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trlProps/ctrlProp3.xml" ContentType="application/vnd.ms-excel.controlproperties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inciane\Desktop\"/>
    </mc:Choice>
  </mc:AlternateContent>
  <xr:revisionPtr revIDLastSave="0" documentId="13_ncr:1_{579513B0-E06C-412F-B70F-DC715D48BEC0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BDD" sheetId="1" r:id="rId1"/>
    <sheet name="FDV" sheetId="2" r:id="rId2"/>
    <sheet name="Ticket" sheetId="6" r:id="rId3"/>
    <sheet name="J" sheetId="3" r:id="rId4"/>
    <sheet name="S" sheetId="4" r:id="rId5"/>
    <sheet name="A" sheetId="5" r:id="rId6"/>
  </sheets>
  <definedNames>
    <definedName name="transporteur">BDD!$K$1:$K$4</definedName>
    <definedName name="TVA">BDD!$D$1:$D$4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6" l="1"/>
  <c r="D29" i="6"/>
  <c r="B29" i="6"/>
  <c r="B28" i="6"/>
  <c r="B27" i="6"/>
  <c r="E25" i="6"/>
  <c r="B25" i="6"/>
  <c r="E24" i="6"/>
  <c r="B24" i="6"/>
  <c r="B10" i="6"/>
  <c r="B5" i="6"/>
  <c r="B4" i="6"/>
  <c r="B3" i="6"/>
  <c r="B2" i="6"/>
  <c r="B1" i="6"/>
  <c r="B22" i="6" l="1"/>
  <c r="F5" i="2"/>
  <c r="F6" i="2"/>
  <c r="F7" i="2"/>
  <c r="F8" i="2"/>
  <c r="F9" i="2"/>
  <c r="F10" i="2"/>
  <c r="F11" i="2"/>
  <c r="F12" i="2"/>
  <c r="F13" i="2"/>
  <c r="B5" i="2"/>
  <c r="B6" i="2"/>
  <c r="B7" i="2"/>
  <c r="B8" i="2"/>
  <c r="B9" i="2"/>
  <c r="B10" i="2"/>
  <c r="B11" i="2"/>
  <c r="B12" i="2"/>
  <c r="B13" i="2"/>
  <c r="G14" i="2" l="1"/>
  <c r="E14" i="2"/>
  <c r="G12" i="2" l="1"/>
  <c r="G8" i="2"/>
  <c r="G9" i="2"/>
  <c r="G5" i="2"/>
  <c r="G11" i="2"/>
  <c r="G7" i="2"/>
  <c r="G13" i="2"/>
  <c r="G10" i="2"/>
  <c r="G6" i="2"/>
  <c r="L8" i="4" l="1"/>
  <c r="L6" i="4"/>
  <c r="J6" i="4"/>
  <c r="C4" i="4"/>
  <c r="L14" i="4"/>
  <c r="L15" i="4"/>
  <c r="L16" i="4"/>
  <c r="L17" i="4"/>
  <c r="J14" i="4"/>
  <c r="J15" i="4"/>
  <c r="J16" i="4"/>
  <c r="J17" i="4"/>
  <c r="I14" i="4"/>
  <c r="I15" i="4"/>
  <c r="I16" i="4"/>
  <c r="I17" i="4"/>
  <c r="H14" i="4"/>
  <c r="H15" i="4"/>
  <c r="H16" i="4"/>
  <c r="H17" i="4"/>
  <c r="F14" i="4"/>
  <c r="F15" i="4"/>
  <c r="F16" i="4"/>
  <c r="F17" i="4"/>
  <c r="G2" i="4"/>
  <c r="F2" i="4"/>
  <c r="D2" i="4"/>
  <c r="C2" i="4"/>
  <c r="A3" i="4"/>
  <c r="A2" i="4" s="1"/>
  <c r="K14" i="4" l="1"/>
  <c r="K16" i="4"/>
  <c r="N16" i="4" s="1"/>
  <c r="D9" i="2"/>
  <c r="D13" i="2"/>
  <c r="D11" i="2"/>
  <c r="D6" i="2"/>
  <c r="D10" i="2"/>
  <c r="D7" i="2"/>
  <c r="D12" i="2"/>
  <c r="D5" i="2"/>
  <c r="D8" i="2"/>
  <c r="K15" i="4"/>
  <c r="N15" i="4" s="1"/>
  <c r="K17" i="4"/>
  <c r="O17" i="4" s="1"/>
  <c r="O16" i="4"/>
  <c r="M16" i="4"/>
  <c r="O14" i="4"/>
  <c r="N14" i="4"/>
  <c r="M14" i="4"/>
  <c r="E5" i="2" l="1"/>
  <c r="E6" i="2"/>
  <c r="E12" i="2"/>
  <c r="E11" i="2"/>
  <c r="E7" i="2"/>
  <c r="E13" i="2"/>
  <c r="E8" i="2"/>
  <c r="E10" i="2"/>
  <c r="E9" i="2"/>
  <c r="J8" i="4"/>
  <c r="M15" i="4"/>
  <c r="O15" i="4"/>
  <c r="M17" i="4"/>
  <c r="N17" i="4"/>
  <c r="N8" i="4" s="1"/>
  <c r="J4" i="2" l="1"/>
  <c r="J14" i="2" s="1"/>
  <c r="E23" i="6"/>
  <c r="E26" i="6" s="1"/>
  <c r="E27" i="6" s="1"/>
  <c r="N6" i="4"/>
  <c r="J15" i="2" l="1"/>
  <c r="E28" i="6" s="1"/>
  <c r="J1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C13" authorId="0" shapeId="0" xr:uid="{00000000-0006-0000-0300-000001000000}">
      <text>
        <r>
          <rPr>
            <b/>
            <i/>
            <sz val="10"/>
            <color indexed="10"/>
            <rFont val="Baskerville Old Face"/>
            <family val="1"/>
          </rPr>
          <t>Prix A HT</t>
        </r>
        <r>
          <rPr>
            <i/>
            <sz val="10"/>
            <color indexed="8"/>
            <rFont val="Baskerville Old Face"/>
            <family val="1"/>
          </rPr>
          <t xml:space="preserve">
Pris d'Achat Hors Taxe</t>
        </r>
      </text>
    </comment>
    <comment ref="D13" authorId="0" shapeId="0" xr:uid="{00000000-0006-0000-0300-000002000000}">
      <text>
        <r>
          <rPr>
            <b/>
            <i/>
            <sz val="10"/>
            <color indexed="10"/>
            <rFont val="Baskerville Old Face"/>
            <family val="1"/>
          </rPr>
          <t>Prix U HT</t>
        </r>
        <r>
          <rPr>
            <i/>
            <sz val="10"/>
            <color indexed="8"/>
            <rFont val="Baskerville Old Face"/>
            <family val="1"/>
          </rPr>
          <t xml:space="preserve">
Prix Unitaire Hors Taxe</t>
        </r>
      </text>
    </comment>
    <comment ref="F13" authorId="0" shapeId="0" xr:uid="{00000000-0006-0000-0300-000003000000}">
      <text>
        <r>
          <rPr>
            <b/>
            <i/>
            <sz val="10"/>
            <color indexed="10"/>
            <rFont val="Baskerville Old Face"/>
            <family val="1"/>
          </rPr>
          <t>Prix U TTC</t>
        </r>
        <r>
          <rPr>
            <i/>
            <sz val="10"/>
            <color indexed="8"/>
            <rFont val="Baskerville Old Face"/>
            <family val="1"/>
          </rPr>
          <t xml:space="preserve">
Prix Unitaire Toutes Taxes Comprise</t>
        </r>
      </text>
    </comment>
    <comment ref="L13" authorId="0" shapeId="0" xr:uid="{00000000-0006-0000-0300-000004000000}">
      <text>
        <r>
          <rPr>
            <b/>
            <i/>
            <sz val="10"/>
            <color indexed="10"/>
            <rFont val="Baskerville Old Face"/>
            <family val="1"/>
          </rPr>
          <t>V S I HT</t>
        </r>
        <r>
          <rPr>
            <i/>
            <sz val="10"/>
            <color indexed="8"/>
            <rFont val="Baskerville Old Face"/>
            <family val="1"/>
          </rPr>
          <t xml:space="preserve">
Valeur Stock Initial Hors taxe</t>
        </r>
      </text>
    </comment>
    <comment ref="M13" authorId="0" shapeId="0" xr:uid="{00000000-0006-0000-0300-000005000000}">
      <text>
        <r>
          <rPr>
            <b/>
            <i/>
            <sz val="10"/>
            <color indexed="10"/>
            <rFont val="Baskerville Old Face"/>
            <family val="1"/>
          </rPr>
          <t>V S F HT</t>
        </r>
        <r>
          <rPr>
            <i/>
            <sz val="10"/>
            <color indexed="8"/>
            <rFont val="Baskerville Old Face"/>
            <family val="1"/>
          </rPr>
          <t xml:space="preserve">
Valeur Stock Final Hors Taxe</t>
        </r>
      </text>
    </comment>
    <comment ref="N13" authorId="0" shapeId="0" xr:uid="{00000000-0006-0000-0300-000006000000}">
      <text>
        <r>
          <rPr>
            <b/>
            <i/>
            <sz val="10"/>
            <color indexed="10"/>
            <rFont val="Baskerville Old Face"/>
            <family val="1"/>
          </rPr>
          <t>Total V HT</t>
        </r>
        <r>
          <rPr>
            <i/>
            <sz val="10"/>
            <color indexed="8"/>
            <rFont val="Baskerville Old Face"/>
            <family val="1"/>
          </rPr>
          <t xml:space="preserve">
Total Vente Hors Taxe</t>
        </r>
      </text>
    </comment>
    <comment ref="O13" authorId="0" shapeId="0" xr:uid="{00000000-0006-0000-0300-000007000000}">
      <text>
        <r>
          <rPr>
            <b/>
            <i/>
            <sz val="10"/>
            <color indexed="10"/>
            <rFont val="Baskerville Old Face"/>
            <family val="1"/>
          </rPr>
          <t>Total V TTC</t>
        </r>
        <r>
          <rPr>
            <i/>
            <sz val="10"/>
            <color indexed="8"/>
            <rFont val="Baskerville Old Face"/>
            <family val="1"/>
          </rPr>
          <t xml:space="preserve">
Total Vente Toutes Taxes Comprise</t>
        </r>
      </text>
    </comment>
  </commentList>
</comments>
</file>

<file path=xl/sharedStrings.xml><?xml version="1.0" encoding="utf-8"?>
<sst xmlns="http://schemas.openxmlformats.org/spreadsheetml/2006/main" count="123" uniqueCount="94">
  <si>
    <t>A afficher</t>
  </si>
  <si>
    <t>Siret :</t>
  </si>
  <si>
    <t>+33 6 12 34 56 78</t>
  </si>
  <si>
    <t>Tel</t>
  </si>
  <si>
    <t>Amazon</t>
  </si>
  <si>
    <t>Ville1</t>
  </si>
  <si>
    <t>Ville</t>
  </si>
  <si>
    <t>Mondial Relay</t>
  </si>
  <si>
    <t>Rakuten</t>
  </si>
  <si>
    <t>En compte</t>
  </si>
  <si>
    <t>Société UE</t>
  </si>
  <si>
    <t>CP1</t>
  </si>
  <si>
    <t>CP</t>
  </si>
  <si>
    <t>La poste</t>
  </si>
  <si>
    <t>Cdiscount</t>
  </si>
  <si>
    <t>Carte Bancaire</t>
  </si>
  <si>
    <t>Hors.UE</t>
  </si>
  <si>
    <t>Addr 2</t>
  </si>
  <si>
    <t>Adresse 2</t>
  </si>
  <si>
    <t>GLS</t>
  </si>
  <si>
    <t>eBay</t>
  </si>
  <si>
    <t>Virement</t>
  </si>
  <si>
    <t>UE</t>
  </si>
  <si>
    <t>Addr1</t>
  </si>
  <si>
    <t>Adresse 1</t>
  </si>
  <si>
    <t>Comptoir</t>
  </si>
  <si>
    <t>Site</t>
  </si>
  <si>
    <t>Chèque</t>
  </si>
  <si>
    <t>FR</t>
  </si>
  <si>
    <t>STE ABC</t>
  </si>
  <si>
    <t>Société :</t>
  </si>
  <si>
    <t>Date</t>
  </si>
  <si>
    <t>FdV</t>
  </si>
  <si>
    <t>Ref</t>
  </si>
  <si>
    <t>Entrée</t>
  </si>
  <si>
    <t>Sortie</t>
  </si>
  <si>
    <t>Destockage</t>
  </si>
  <si>
    <t>Description</t>
  </si>
  <si>
    <t>Entrée Stock</t>
  </si>
  <si>
    <t>REASSORT / DESTOCKAGE</t>
  </si>
  <si>
    <t>Motif</t>
  </si>
  <si>
    <t>Déstockage</t>
  </si>
  <si>
    <t>Produits</t>
  </si>
  <si>
    <t>Nom</t>
  </si>
  <si>
    <t>Prix A HT</t>
  </si>
  <si>
    <t>Prix U HT</t>
  </si>
  <si>
    <t>TVA</t>
  </si>
  <si>
    <t>Prix U TTC</t>
  </si>
  <si>
    <t>Stock I</t>
  </si>
  <si>
    <t>Stock F</t>
  </si>
  <si>
    <t>V S I HT</t>
  </si>
  <si>
    <t>V S F HT</t>
  </si>
  <si>
    <t>Total V HT</t>
  </si>
  <si>
    <t>Total V TTC</t>
  </si>
  <si>
    <t>test</t>
  </si>
  <si>
    <t>DOUDOU MAILEG LAPIN ROSE ANGEL DANS UNE CHAUSSETTE MINI PANTIN</t>
  </si>
  <si>
    <t>Doudou et Compagnie Lapin Celeste Boule DC2399</t>
  </si>
  <si>
    <t>news</t>
  </si>
  <si>
    <t>Doudou et compagnie ours plat arc en ciel nuage de couleur DC1031</t>
  </si>
  <si>
    <t>M47</t>
  </si>
  <si>
    <t>Doudou Kaloo  Perle ours Ourson marionnette bleu</t>
  </si>
  <si>
    <t>VALEUR STOCK</t>
  </si>
  <si>
    <t>Par Ref</t>
  </si>
  <si>
    <t>Stock H.T</t>
  </si>
  <si>
    <t>Stock V H.T</t>
  </si>
  <si>
    <t>Plateforme</t>
  </si>
  <si>
    <t>N° de commande</t>
  </si>
  <si>
    <t>Nom Pdt</t>
  </si>
  <si>
    <t>Quantité</t>
  </si>
  <si>
    <t>Prix total</t>
  </si>
  <si>
    <t>Sock initial</t>
  </si>
  <si>
    <t>Stock restant</t>
  </si>
  <si>
    <t>Total commande</t>
  </si>
  <si>
    <t>TVA Applicable</t>
  </si>
  <si>
    <t>Réduction</t>
  </si>
  <si>
    <t>Frais de Port</t>
  </si>
  <si>
    <t>Transporteur</t>
  </si>
  <si>
    <t>Pas au-delà</t>
  </si>
  <si>
    <t/>
  </si>
  <si>
    <t>TOTAL TTC PAYE</t>
  </si>
  <si>
    <t>HT</t>
  </si>
  <si>
    <t>Type de règlement</t>
  </si>
  <si>
    <t>LIBELLE</t>
  </si>
  <si>
    <t>QTE</t>
  </si>
  <si>
    <t>PU</t>
  </si>
  <si>
    <t>TOTAL</t>
  </si>
  <si>
    <t>Total Commandé</t>
  </si>
  <si>
    <t>TOTAL EUR</t>
  </si>
  <si>
    <t>Merci pour votre achat</t>
  </si>
  <si>
    <t>Fdv</t>
  </si>
  <si>
    <t>Règlement</t>
  </si>
  <si>
    <t>TOTAL PAYE</t>
  </si>
  <si>
    <t>Fiche de Vente</t>
  </si>
  <si>
    <t>2021-001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</si>
</sst>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-40C]_-;\-* #,##0.00\ [$€-40C]_-;_-* &quot;-&quot;??\ [$€-40C]_-;_-@_-"/>
    <numFmt numFmtId="166" formatCode="#,###;\-#,###;;@"/>
    <numFmt numFmtId="167" formatCode="_-* #,##0\ _€_-;\-* #,##0\ _€_-;_-* &quot;-&quot;??\ _€_-;_-@_-"/>
    <numFmt numFmtId="168" formatCode="0;\-0;;@"/>
    <numFmt numFmtId="169" formatCode="0.00&quot; Eur&quot;;\-0.00&quot; Eur&quot;;;@"/>
    <numFmt numFmtId="170" formatCode="0&quot; articles&quot;"/>
    <numFmt numFmtId="171" formatCode="0.00&quot; Eur&quot;;0.00&quot; Eur&quot;;;@"/>
    <numFmt numFmtId="172" formatCode="_-* #,##0.00,&quot;Eur&quot;;\-* #,##0.00&quot; Eur&quot;_-;;_-@_-"/>
    <numFmt numFmtId="173" formatCode="_-* #,##0.000\ _€_-;\-* #,##0.000\ _€_-;_-* &quot;-&quot;??\ _€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indexed="10"/>
      <name val="Baskerville Old Face"/>
      <family val="1"/>
    </font>
    <font>
      <i/>
      <sz val="10"/>
      <color indexed="8"/>
      <name val="Baskerville Old Face"/>
      <family val="1"/>
    </font>
    <font>
      <sz val="10"/>
      <name val="Arial"/>
      <family val="2"/>
    </font>
    <font>
      <sz val="9"/>
      <color theme="0"/>
      <name val="Calibri"/>
      <family val="2"/>
      <scheme val="minor"/>
    </font>
    <font>
      <b/>
      <sz val="11"/>
      <color theme="0"/>
      <name val="Baskerville Old Face"/>
      <family val="1"/>
    </font>
    <font>
      <sz val="12"/>
      <color theme="1"/>
      <name val="Calibri"/>
      <family val="2"/>
      <scheme val="minor"/>
    </font>
    <font>
      <sz val="14"/>
      <color theme="0"/>
      <name val="Baskerville Old Face"/>
      <family val="1"/>
    </font>
    <font>
      <sz val="11"/>
      <color theme="0"/>
      <name val="Baskerville Old Face"/>
      <family val="1"/>
    </font>
    <font>
      <sz val="12"/>
      <color theme="1"/>
      <name val="Baskerville Old Face"/>
      <family val="1"/>
    </font>
    <font>
      <sz val="14"/>
      <color theme="1"/>
      <name val="Baskerville Old Face"/>
      <family val="1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Baskerville Old Face"/>
      <family val="1"/>
    </font>
    <font>
      <b/>
      <sz val="11"/>
      <color theme="1"/>
      <name val="Calibri Light"/>
      <family val="2"/>
      <scheme val="maj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5"/>
      <color rgb="FF00336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auto="1"/>
      </right>
      <top style="dotted">
        <color indexed="64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dotted">
        <color indexed="64"/>
      </bottom>
      <diagonal/>
    </border>
    <border>
      <left/>
      <right/>
      <top style="thick">
        <color auto="1"/>
      </top>
      <bottom style="dotted">
        <color indexed="64"/>
      </bottom>
      <diagonal/>
    </border>
    <border>
      <left/>
      <right style="thin">
        <color indexed="64"/>
      </right>
      <top style="thick">
        <color auto="1"/>
      </top>
      <bottom style="dotted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theme="4"/>
      </bottom>
      <diagonal/>
    </border>
  </borders>
  <cellStyleXfs count="5">
    <xf numFmtId="0" fontId="0" fillId="0" borderId="0"/>
    <xf numFmtId="0" fontId="9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11" fillId="2" borderId="0" xfId="0" applyFont="1" applyFill="1" applyBorder="1" applyAlignment="1" applyProtection="1">
      <alignment horizontal="left" vertical="center"/>
      <protection hidden="1"/>
    </xf>
    <xf numFmtId="49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quotePrefix="1" applyBorder="1"/>
    <xf numFmtId="0" fontId="0" fillId="0" borderId="5" xfId="0" applyBorder="1"/>
    <xf numFmtId="0" fontId="0" fillId="0" borderId="4" xfId="0" applyBorder="1"/>
    <xf numFmtId="9" fontId="0" fillId="0" borderId="4" xfId="4" applyFont="1" applyBorder="1"/>
    <xf numFmtId="0" fontId="0" fillId="0" borderId="6" xfId="0" applyBorder="1"/>
    <xf numFmtId="0" fontId="0" fillId="0" borderId="7" xfId="0" applyBorder="1"/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14" fontId="5" fillId="2" borderId="0" xfId="0" applyNumberFormat="1" applyFont="1" applyFill="1" applyAlignment="1">
      <alignment vertical="center"/>
    </xf>
    <xf numFmtId="14" fontId="0" fillId="0" borderId="0" xfId="0" applyNumberFormat="1"/>
    <xf numFmtId="44" fontId="0" fillId="0" borderId="0" xfId="3" applyFont="1"/>
    <xf numFmtId="14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0" fillId="2" borderId="0" xfId="0" applyFont="1" applyFill="1"/>
    <xf numFmtId="0" fontId="0" fillId="0" borderId="8" xfId="0" applyFill="1" applyBorder="1" applyAlignment="1">
      <alignment horizontal="center"/>
    </xf>
    <xf numFmtId="44" fontId="0" fillId="0" borderId="8" xfId="3" applyFont="1" applyFill="1" applyBorder="1"/>
    <xf numFmtId="0" fontId="11" fillId="2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/>
    <xf numFmtId="0" fontId="13" fillId="2" borderId="0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left" vertical="center"/>
      <protection hidden="1"/>
    </xf>
    <xf numFmtId="165" fontId="3" fillId="2" borderId="0" xfId="0" applyNumberFormat="1" applyFont="1" applyFill="1" applyAlignment="1">
      <alignment horizontal="left"/>
    </xf>
    <xf numFmtId="0" fontId="0" fillId="3" borderId="13" xfId="1" applyNumberFormat="1" applyFont="1" applyFill="1" applyBorder="1" applyAlignment="1">
      <alignment horizontal="left" vertical="center"/>
    </xf>
    <xf numFmtId="0" fontId="12" fillId="3" borderId="13" xfId="1" applyNumberFormat="1" applyFont="1" applyFill="1" applyBorder="1" applyAlignment="1">
      <alignment horizontal="left" vertical="center"/>
    </xf>
    <xf numFmtId="0" fontId="12" fillId="3" borderId="13" xfId="1" applyNumberFormat="1" applyFont="1" applyFill="1" applyBorder="1" applyAlignment="1">
      <alignment horizontal="center" vertical="center"/>
    </xf>
    <xf numFmtId="44" fontId="12" fillId="3" borderId="13" xfId="3" applyFont="1" applyFill="1" applyBorder="1" applyAlignment="1">
      <alignment horizontal="left" vertical="center"/>
    </xf>
    <xf numFmtId="0" fontId="0" fillId="0" borderId="13" xfId="1" applyNumberFormat="1" applyFont="1" applyBorder="1" applyAlignment="1">
      <alignment horizontal="left" vertical="center"/>
    </xf>
    <xf numFmtId="0" fontId="12" fillId="0" borderId="13" xfId="1" applyNumberFormat="1" applyFont="1" applyBorder="1" applyAlignment="1">
      <alignment horizontal="left" vertical="center"/>
    </xf>
    <xf numFmtId="0" fontId="12" fillId="0" borderId="13" xfId="1" applyNumberFormat="1" applyFont="1" applyBorder="1" applyAlignment="1">
      <alignment horizontal="center" vertical="center"/>
    </xf>
    <xf numFmtId="44" fontId="12" fillId="0" borderId="13" xfId="3" applyFont="1" applyBorder="1" applyAlignment="1">
      <alignment horizontal="left" vertical="center"/>
    </xf>
    <xf numFmtId="0" fontId="12" fillId="2" borderId="0" xfId="0" applyFont="1" applyFill="1"/>
    <xf numFmtId="165" fontId="0" fillId="2" borderId="0" xfId="0" applyNumberFormat="1" applyFont="1" applyFill="1" applyAlignment="1">
      <alignment horizontal="left"/>
    </xf>
    <xf numFmtId="165" fontId="0" fillId="2" borderId="0" xfId="2" applyNumberFormat="1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15" fillId="0" borderId="0" xfId="0" applyFont="1" applyFill="1" applyBorder="1" applyProtection="1">
      <protection locked="0" hidden="1"/>
    </xf>
    <xf numFmtId="166" fontId="16" fillId="0" borderId="0" xfId="2" applyNumberFormat="1" applyFont="1" applyFill="1" applyBorder="1" applyProtection="1">
      <protection hidden="1"/>
    </xf>
    <xf numFmtId="165" fontId="16" fillId="0" borderId="0" xfId="0" applyNumberFormat="1" applyFont="1" applyFill="1" applyBorder="1" applyProtection="1">
      <protection hidden="1"/>
    </xf>
    <xf numFmtId="165" fontId="16" fillId="0" borderId="0" xfId="3" applyNumberFormat="1" applyFont="1" applyFill="1" applyBorder="1" applyProtection="1">
      <protection hidden="1"/>
    </xf>
    <xf numFmtId="167" fontId="16" fillId="0" borderId="0" xfId="2" applyNumberFormat="1" applyFont="1" applyFill="1" applyBorder="1" applyAlignment="1" applyProtection="1">
      <alignment horizontal="center" vertical="center"/>
      <protection hidden="1"/>
    </xf>
    <xf numFmtId="165" fontId="2" fillId="2" borderId="0" xfId="0" applyNumberFormat="1" applyFont="1" applyFill="1"/>
    <xf numFmtId="164" fontId="18" fillId="2" borderId="0" xfId="2" applyFont="1" applyFill="1"/>
    <xf numFmtId="164" fontId="3" fillId="2" borderId="0" xfId="0" applyNumberFormat="1" applyFont="1" applyFill="1"/>
    <xf numFmtId="0" fontId="19" fillId="4" borderId="16" xfId="0" applyFont="1" applyFill="1" applyBorder="1" applyAlignment="1" applyProtection="1">
      <protection hidden="1"/>
    </xf>
    <xf numFmtId="0" fontId="19" fillId="4" borderId="0" xfId="0" applyFont="1" applyFill="1" applyBorder="1" applyAlignment="1" applyProtection="1">
      <protection hidden="1"/>
    </xf>
    <xf numFmtId="0" fontId="19" fillId="4" borderId="17" xfId="0" applyFont="1" applyFill="1" applyBorder="1" applyAlignment="1" applyProtection="1">
      <protection hidden="1"/>
    </xf>
    <xf numFmtId="0" fontId="19" fillId="4" borderId="18" xfId="0" applyFont="1" applyFill="1" applyBorder="1" applyAlignment="1" applyProtection="1">
      <protection hidden="1"/>
    </xf>
    <xf numFmtId="0" fontId="19" fillId="4" borderId="19" xfId="0" applyFont="1" applyFill="1" applyBorder="1" applyAlignment="1" applyProtection="1">
      <protection hidden="1"/>
    </xf>
    <xf numFmtId="0" fontId="19" fillId="4" borderId="20" xfId="0" applyFont="1" applyFill="1" applyBorder="1" applyAlignment="1" applyProtection="1">
      <protection hidden="1"/>
    </xf>
    <xf numFmtId="0" fontId="21" fillId="0" borderId="24" xfId="0" applyFont="1" applyBorder="1" applyAlignment="1" applyProtection="1">
      <protection hidden="1"/>
    </xf>
    <xf numFmtId="0" fontId="21" fillId="0" borderId="25" xfId="0" applyFont="1" applyBorder="1" applyAlignment="1" applyProtection="1">
      <protection hidden="1"/>
    </xf>
    <xf numFmtId="0" fontId="21" fillId="0" borderId="26" xfId="0" applyFont="1" applyBorder="1" applyAlignment="1" applyProtection="1">
      <protection hidden="1"/>
    </xf>
    <xf numFmtId="0" fontId="21" fillId="0" borderId="16" xfId="0" applyFont="1" applyBorder="1" applyAlignment="1" applyProtection="1">
      <alignment horizontal="left"/>
      <protection hidden="1"/>
    </xf>
    <xf numFmtId="168" fontId="21" fillId="0" borderId="0" xfId="2" applyNumberFormat="1" applyFont="1" applyBorder="1" applyAlignment="1" applyProtection="1">
      <alignment horizontal="center"/>
      <protection hidden="1"/>
    </xf>
    <xf numFmtId="164" fontId="21" fillId="0" borderId="0" xfId="2" applyFont="1" applyBorder="1" applyAlignment="1" applyProtection="1">
      <alignment horizontal="left"/>
      <protection hidden="1"/>
    </xf>
    <xf numFmtId="169" fontId="0" fillId="0" borderId="17" xfId="0" applyNumberFormat="1" applyBorder="1"/>
    <xf numFmtId="0" fontId="21" fillId="0" borderId="16" xfId="0" applyFont="1" applyBorder="1" applyAlignment="1" applyProtection="1">
      <protection hidden="1"/>
    </xf>
    <xf numFmtId="164" fontId="21" fillId="0" borderId="0" xfId="2" applyFont="1" applyBorder="1" applyAlignment="1" applyProtection="1">
      <protection hidden="1"/>
    </xf>
    <xf numFmtId="0" fontId="21" fillId="0" borderId="0" xfId="0" applyFont="1" applyBorder="1" applyAlignment="1" applyProtection="1">
      <protection hidden="1"/>
    </xf>
    <xf numFmtId="0" fontId="21" fillId="0" borderId="17" xfId="0" applyFont="1" applyBorder="1" applyAlignment="1" applyProtection="1">
      <protection hidden="1"/>
    </xf>
    <xf numFmtId="170" fontId="22" fillId="0" borderId="18" xfId="0" applyNumberFormat="1" applyFont="1" applyBorder="1" applyAlignment="1"/>
    <xf numFmtId="170" fontId="22" fillId="0" borderId="19" xfId="0" applyNumberFormat="1" applyFont="1" applyBorder="1" applyAlignment="1"/>
    <xf numFmtId="170" fontId="22" fillId="0" borderId="19" xfId="0" applyNumberFormat="1" applyFont="1" applyBorder="1" applyAlignment="1">
      <alignment horizontal="left"/>
    </xf>
    <xf numFmtId="0" fontId="0" fillId="0" borderId="20" xfId="0" applyBorder="1"/>
    <xf numFmtId="0" fontId="0" fillId="0" borderId="16" xfId="0" applyBorder="1"/>
    <xf numFmtId="0" fontId="0" fillId="0" borderId="0" xfId="0" applyBorder="1"/>
    <xf numFmtId="171" fontId="21" fillId="0" borderId="17" xfId="2" applyNumberFormat="1" applyFont="1" applyBorder="1" applyAlignment="1" applyProtection="1">
      <alignment horizontal="right"/>
      <protection hidden="1"/>
    </xf>
    <xf numFmtId="169" fontId="21" fillId="0" borderId="17" xfId="2" applyNumberFormat="1" applyFont="1" applyBorder="1" applyAlignment="1" applyProtection="1">
      <alignment horizontal="right"/>
      <protection hidden="1"/>
    </xf>
    <xf numFmtId="0" fontId="23" fillId="0" borderId="27" xfId="0" applyFont="1" applyBorder="1" applyAlignment="1" applyProtection="1">
      <protection hidden="1"/>
    </xf>
    <xf numFmtId="0" fontId="0" fillId="0" borderId="28" xfId="0" applyBorder="1"/>
    <xf numFmtId="169" fontId="23" fillId="0" borderId="29" xfId="2" applyNumberFormat="1" applyFont="1" applyBorder="1" applyAlignment="1" applyProtection="1">
      <alignment horizontal="right"/>
      <protection hidden="1"/>
    </xf>
    <xf numFmtId="0" fontId="21" fillId="5" borderId="30" xfId="0" applyFont="1" applyFill="1" applyBorder="1" applyAlignment="1" applyProtection="1">
      <protection hidden="1"/>
    </xf>
    <xf numFmtId="0" fontId="0" fillId="5" borderId="31" xfId="0" applyFill="1" applyBorder="1"/>
    <xf numFmtId="169" fontId="21" fillId="5" borderId="32" xfId="2" applyNumberFormat="1" applyFont="1" applyFill="1" applyBorder="1" applyAlignment="1" applyProtection="1">
      <alignment horizontal="right"/>
      <protection hidden="1"/>
    </xf>
    <xf numFmtId="172" fontId="24" fillId="0" borderId="16" xfId="2" applyNumberFormat="1" applyFont="1" applyBorder="1" applyAlignment="1" applyProtection="1">
      <protection hidden="1"/>
    </xf>
    <xf numFmtId="172" fontId="24" fillId="0" borderId="0" xfId="2" applyNumberFormat="1" applyFont="1" applyBorder="1" applyAlignment="1" applyProtection="1">
      <protection hidden="1"/>
    </xf>
    <xf numFmtId="172" fontId="24" fillId="0" borderId="0" xfId="2" applyNumberFormat="1" applyFont="1" applyBorder="1" applyAlignment="1" applyProtection="1">
      <alignment horizontal="center"/>
      <protection hidden="1"/>
    </xf>
    <xf numFmtId="169" fontId="24" fillId="0" borderId="17" xfId="2" applyNumberFormat="1" applyFont="1" applyBorder="1" applyAlignment="1" applyProtection="1">
      <alignment horizontal="right"/>
      <protection hidden="1"/>
    </xf>
    <xf numFmtId="172" fontId="24" fillId="0" borderId="16" xfId="2" applyNumberFormat="1" applyFont="1" applyBorder="1" applyAlignment="1" applyProtection="1">
      <alignment horizontal="left"/>
      <protection hidden="1"/>
    </xf>
    <xf numFmtId="169" fontId="24" fillId="0" borderId="0" xfId="2" applyNumberFormat="1" applyFont="1" applyBorder="1" applyAlignment="1" applyProtection="1">
      <alignment horizontal="right"/>
      <protection hidden="1"/>
    </xf>
    <xf numFmtId="0" fontId="25" fillId="0" borderId="0" xfId="0" applyFont="1" applyBorder="1"/>
    <xf numFmtId="172" fontId="24" fillId="0" borderId="17" xfId="2" applyNumberFormat="1" applyFont="1" applyBorder="1" applyAlignment="1" applyProtection="1">
      <alignment horizontal="left"/>
      <protection hidden="1"/>
    </xf>
    <xf numFmtId="0" fontId="0" fillId="0" borderId="5" xfId="0" applyFill="1" applyBorder="1"/>
    <xf numFmtId="0" fontId="26" fillId="0" borderId="0" xfId="0" applyFont="1"/>
    <xf numFmtId="0" fontId="6" fillId="0" borderId="8" xfId="0" applyFon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165" fontId="2" fillId="2" borderId="11" xfId="0" applyNumberFormat="1" applyFont="1" applyFill="1" applyBorder="1" applyAlignment="1" applyProtection="1">
      <alignment horizontal="center" vertical="center"/>
      <protection locked="0"/>
    </xf>
    <xf numFmtId="165" fontId="2" fillId="2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Border="1" applyAlignment="1" applyProtection="1">
      <alignment horizontal="left" vertical="center"/>
      <protection locked="0"/>
    </xf>
    <xf numFmtId="9" fontId="0" fillId="0" borderId="0" xfId="0" applyNumberFormat="1" applyBorder="1" applyProtection="1">
      <protection locked="0"/>
    </xf>
    <xf numFmtId="44" fontId="0" fillId="0" borderId="0" xfId="3" applyFont="1" applyBorder="1" applyProtection="1">
      <protection locked="0"/>
    </xf>
    <xf numFmtId="165" fontId="0" fillId="0" borderId="0" xfId="2" applyNumberFormat="1" applyFont="1" applyBorder="1" applyProtection="1">
      <protection locked="0"/>
    </xf>
    <xf numFmtId="0" fontId="27" fillId="0" borderId="8" xfId="0" applyFont="1" applyFill="1" applyBorder="1" applyProtection="1">
      <protection locked="0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/>
    <xf numFmtId="0" fontId="3" fillId="0" borderId="0" xfId="0" applyFont="1"/>
    <xf numFmtId="167" fontId="0" fillId="0" borderId="0" xfId="2" applyNumberFormat="1" applyFont="1" applyBorder="1" applyProtection="1">
      <protection locked="0"/>
    </xf>
    <xf numFmtId="173" fontId="0" fillId="0" borderId="0" xfId="2" applyNumberFormat="1" applyFont="1" applyFill="1" applyBorder="1" applyAlignment="1" applyProtection="1">
      <alignment horizontal="right" vertical="center"/>
      <protection locked="0"/>
    </xf>
    <xf numFmtId="0" fontId="2" fillId="2" borderId="11" xfId="0" applyFont="1" applyFill="1" applyBorder="1" applyAlignment="1">
      <alignment horizontal="center" vertical="center"/>
    </xf>
    <xf numFmtId="165" fontId="2" fillId="2" borderId="11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165" fontId="0" fillId="4" borderId="0" xfId="0" applyNumberFormat="1" applyFont="1" applyFill="1" applyAlignment="1">
      <alignment vertical="center"/>
    </xf>
    <xf numFmtId="165" fontId="0" fillId="2" borderId="0" xfId="0" applyNumberFormat="1" applyFont="1" applyFill="1" applyAlignment="1">
      <alignment vertical="center"/>
    </xf>
    <xf numFmtId="165" fontId="0" fillId="4" borderId="0" xfId="2" applyNumberFormat="1" applyFont="1" applyFill="1" applyAlignment="1">
      <alignment vertical="center"/>
    </xf>
    <xf numFmtId="165" fontId="0" fillId="2" borderId="0" xfId="2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17" fillId="2" borderId="0" xfId="0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vertical="center"/>
    </xf>
    <xf numFmtId="164" fontId="18" fillId="2" borderId="0" xfId="2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12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13" fillId="2" borderId="36" xfId="0" applyFont="1" applyFill="1" applyBorder="1" applyAlignment="1" applyProtection="1">
      <alignment horizontal="center" vertical="center"/>
      <protection hidden="1"/>
    </xf>
    <xf numFmtId="14" fontId="19" fillId="0" borderId="16" xfId="0" applyNumberFormat="1" applyFont="1" applyBorder="1" applyAlignment="1" applyProtection="1">
      <alignment horizontal="left"/>
      <protection hidden="1"/>
    </xf>
    <xf numFmtId="14" fontId="19" fillId="0" borderId="0" xfId="0" applyNumberFormat="1" applyFont="1" applyBorder="1" applyAlignment="1" applyProtection="1">
      <protection hidden="1"/>
    </xf>
    <xf numFmtId="14" fontId="19" fillId="0" borderId="17" xfId="0" applyNumberFormat="1" applyFont="1" applyBorder="1" applyAlignment="1" applyProtection="1">
      <protection hidden="1"/>
    </xf>
    <xf numFmtId="44" fontId="6" fillId="0" borderId="0" xfId="3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44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19" fillId="5" borderId="14" xfId="0" applyFont="1" applyFill="1" applyBorder="1" applyAlignment="1" applyProtection="1">
      <alignment horizontal="center" vertical="center" wrapText="1"/>
      <protection hidden="1"/>
    </xf>
    <xf numFmtId="0" fontId="19" fillId="5" borderId="12" xfId="0" applyFont="1" applyFill="1" applyBorder="1" applyAlignment="1" applyProtection="1">
      <alignment horizontal="center" vertical="center" wrapText="1"/>
      <protection hidden="1"/>
    </xf>
    <xf numFmtId="0" fontId="19" fillId="5" borderId="15" xfId="0" applyFont="1" applyFill="1" applyBorder="1" applyAlignment="1" applyProtection="1">
      <alignment horizontal="center" vertical="center" wrapText="1"/>
      <protection hidden="1"/>
    </xf>
    <xf numFmtId="0" fontId="19" fillId="5" borderId="16" xfId="0" applyFont="1" applyFill="1" applyBorder="1" applyAlignment="1" applyProtection="1">
      <alignment horizontal="center" vertical="center" wrapText="1"/>
      <protection hidden="1"/>
    </xf>
    <xf numFmtId="0" fontId="19" fillId="5" borderId="0" xfId="0" applyFont="1" applyFill="1" applyBorder="1" applyAlignment="1" applyProtection="1">
      <alignment horizontal="center" vertical="center" wrapText="1"/>
      <protection hidden="1"/>
    </xf>
    <xf numFmtId="0" fontId="19" fillId="5" borderId="17" xfId="0" applyFont="1" applyFill="1" applyBorder="1" applyAlignment="1" applyProtection="1">
      <alignment horizontal="center" vertical="center" wrapText="1"/>
      <protection hidden="1"/>
    </xf>
    <xf numFmtId="0" fontId="19" fillId="5" borderId="18" xfId="0" applyFont="1" applyFill="1" applyBorder="1" applyAlignment="1" applyProtection="1">
      <alignment horizontal="center" vertical="center" wrapText="1"/>
      <protection hidden="1"/>
    </xf>
    <xf numFmtId="0" fontId="19" fillId="5" borderId="19" xfId="0" applyFont="1" applyFill="1" applyBorder="1" applyAlignment="1" applyProtection="1">
      <alignment horizontal="center" vertical="center" wrapText="1"/>
      <protection hidden="1"/>
    </xf>
    <xf numFmtId="0" fontId="19" fillId="5" borderId="20" xfId="0" applyFont="1" applyFill="1" applyBorder="1" applyAlignment="1" applyProtection="1">
      <alignment horizontal="center" vertical="center" wrapText="1"/>
      <protection hidden="1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9" fillId="4" borderId="16" xfId="0" applyFont="1" applyFill="1" applyBorder="1" applyAlignment="1" applyProtection="1">
      <alignment horizontal="center"/>
      <protection hidden="1"/>
    </xf>
    <xf numFmtId="0" fontId="19" fillId="4" borderId="0" xfId="0" applyFont="1" applyFill="1" applyBorder="1" applyAlignment="1" applyProtection="1">
      <alignment horizontal="center"/>
      <protection hidden="1"/>
    </xf>
    <xf numFmtId="0" fontId="19" fillId="4" borderId="17" xfId="0" applyFont="1" applyFill="1" applyBorder="1" applyAlignment="1" applyProtection="1">
      <alignment horizontal="center"/>
      <protection hidden="1"/>
    </xf>
    <xf numFmtId="0" fontId="19" fillId="5" borderId="16" xfId="0" applyFont="1" applyFill="1" applyBorder="1" applyAlignment="1" applyProtection="1">
      <alignment horizontal="center"/>
      <protection hidden="1"/>
    </xf>
    <xf numFmtId="0" fontId="19" fillId="5" borderId="0" xfId="0" applyFont="1" applyFill="1" applyBorder="1" applyAlignment="1" applyProtection="1">
      <alignment horizontal="center"/>
      <protection hidden="1"/>
    </xf>
    <xf numFmtId="0" fontId="19" fillId="5" borderId="17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/>
    </xf>
  </cellXfs>
  <cellStyles count="5">
    <cellStyle name="Milliers" xfId="2" builtinId="3"/>
    <cellStyle name="Monétaire" xfId="3" builtinId="4"/>
    <cellStyle name="NiveauLigne_4" xfId="1" builtinId="1" iLevel="3"/>
    <cellStyle name="Normal" xfId="0" builtinId="0"/>
    <cellStyle name="Pourcentage" xfId="4" builtinId="5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protection locked="0" hidden="0"/>
    </dxf>
    <dxf>
      <protection locked="0" hidden="0"/>
    </dxf>
    <dxf>
      <protection locked="0" hidden="0"/>
    </dxf>
    <dxf>
      <numFmt numFmtId="165" formatCode="_-* #,##0.00\ [$€-40C]_-;\-* #,##0.00\ [$€-40C]_-;_-* &quot;-&quot;??\ [$€-40C]_-;_-@_-"/>
      <protection locked="0" hidden="0"/>
    </dxf>
    <dxf>
      <numFmt numFmtId="167" formatCode="_-* #,##0\ _€_-;\-* #,##0\ _€_-;_-* &quot;-&quot;??\ _€_-;_-@_-"/>
      <protection locked="0" hidden="0"/>
    </dxf>
    <dxf>
      <numFmt numFmtId="167" formatCode="_-* #,##0\ _€_-;\-* #,##0\ _€_-;_-* &quot;-&quot;??\ _€_-;_-@_-"/>
      <protection locked="0" hidden="0"/>
    </dxf>
    <dxf>
      <numFmt numFmtId="167" formatCode="_-* #,##0\ _€_-;\-* #,##0\ _€_-;_-* &quot;-&quot;??\ _€_-;_-@_-"/>
      <protection locked="0" hidden="0"/>
    </dxf>
    <dxf>
      <numFmt numFmtId="167" formatCode="_-* #,##0\ _€_-;\-* #,##0\ _€_-;_-* &quot;-&quot;??\ _€_-;_-@_-"/>
      <protection locked="0" hidden="0"/>
    </dxf>
    <dxf>
      <numFmt numFmtId="167" formatCode="_-* #,##0\ _€_-;\-* #,##0\ _€_-;_-* &quot;-&quot;??\ _€_-;_-@_-"/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3" formatCode="_-* #,##0.000\ _€_-;\-* #,##0.000\ _€_-;_-* &quot;-&quot;??\ _€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3" formatCode="_-* #,##0.000\ _€_-;\-* #,##0.000\ _€_-;_-* &quot;-&quot;??\ _€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_-* #,##0.00\ [$€-40C]_-;\-* #,##0.00\ [$€-40C]_-;_-* &quot;-&quot;??\ [$€-40C]_-;_-@_-"/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</dxf>
    <dxf>
      <border outline="0">
        <top style="thin">
          <color auto="1"/>
        </top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685800</xdr:colOff>
          <xdr:row>0</xdr:row>
          <xdr:rowOff>28575</xdr:rowOff>
        </xdr:from>
        <xdr:to>
          <xdr:col>5</xdr:col>
          <xdr:colOff>285750</xdr:colOff>
          <xdr:row>1</xdr:row>
          <xdr:rowOff>152400</xdr:rowOff>
        </xdr:to>
        <xdr:sp macro="" textlink="">
          <xdr:nvSpPr>
            <xdr:cNvPr id="5123" name="Butto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BE" sz="1500" b="1" i="0" u="none" strike="noStrike" baseline="0">
                  <a:solidFill>
                    <a:srgbClr val="003366"/>
                  </a:solidFill>
                  <a:latin typeface="Calibri"/>
                  <a:cs typeface="Calibri"/>
                </a:rPr>
                <a:t>Archiver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371475</xdr:colOff>
          <xdr:row>0</xdr:row>
          <xdr:rowOff>34290</xdr:rowOff>
        </xdr:from>
        <xdr:to>
          <xdr:col>6</xdr:col>
          <xdr:colOff>742950</xdr:colOff>
          <xdr:row>1</xdr:row>
          <xdr:rowOff>158115</xdr:rowOff>
        </xdr:to>
        <xdr:sp macro="" textlink="">
          <xdr:nvSpPr>
            <xdr:cNvPr id="5127" name="Button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1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BE" sz="1500" b="1" i="0" u="none" strike="noStrike" baseline="0">
                  <a:solidFill>
                    <a:srgbClr val="003366"/>
                  </a:solidFill>
                  <a:latin typeface="Calibri"/>
                  <a:cs typeface="Calibri"/>
                </a:rPr>
                <a:t>Reset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104775</xdr:colOff>
          <xdr:row>4</xdr:row>
          <xdr:rowOff>66675</xdr:rowOff>
        </xdr:from>
        <xdr:to>
          <xdr:col>7</xdr:col>
          <xdr:colOff>695325</xdr:colOff>
          <xdr:row>7</xdr:row>
          <xdr:rowOff>161925</xdr:rowOff>
        </xdr:to>
        <xdr:sp macro="" textlink="">
          <xdr:nvSpPr>
            <xdr:cNvPr id="4104" name="Button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4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BE" sz="1500" b="1" i="0" u="none" strike="noStrike" baseline="0">
                  <a:solidFill>
                    <a:srgbClr val="003366"/>
                  </a:solidFill>
                  <a:latin typeface="Calibri"/>
                  <a:cs typeface="Calibri"/>
                </a:rPr>
                <a:t>Reassort </a:t>
              </a:r>
            </a:p>
            <a:p>
              <a:pPr algn="ctr" rtl="0">
                <a:defRPr sz="1000"/>
              </a:pPr>
              <a:r>
                <a:rPr lang="fr-BE" sz="1500" b="1" i="0" u="none" strike="noStrike" baseline="0">
                  <a:solidFill>
                    <a:srgbClr val="003366"/>
                  </a:solidFill>
                  <a:latin typeface="Calibri"/>
                  <a:cs typeface="Calibri"/>
                </a:rPr>
                <a:t>Destockage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journal" displayName="journal" ref="A1:G2" insertRow="1" totalsRowShown="0" headerRowDxfId="46" dataDxfId="44" headerRowBorderDxfId="45" tableBorderDxfId="43">
  <autoFilter ref="A1:G2" xr:uid="{00000000-0009-0000-0100-000003000000}"/>
  <tableColumns count="7">
    <tableColumn id="1" xr3:uid="{00000000-0010-0000-0000-000001000000}" name="Date" dataDxfId="42"/>
    <tableColumn id="2" xr3:uid="{00000000-0010-0000-0000-000002000000}" name="FdV" dataDxfId="41"/>
    <tableColumn id="3" xr3:uid="{00000000-0010-0000-0000-000003000000}" name="Ref" dataDxfId="40"/>
    <tableColumn id="4" xr3:uid="{00000000-0010-0000-0000-000004000000}" name="Entrée" dataDxfId="39"/>
    <tableColumn id="5" xr3:uid="{00000000-0010-0000-0000-000005000000}" name="Sortie" dataDxfId="38"/>
    <tableColumn id="6" xr3:uid="{00000000-0010-0000-0000-000006000000}" name="Destockage" dataDxfId="37"/>
    <tableColumn id="7" xr3:uid="{00000000-0010-0000-0000-000007000000}" name="Description" dataDxfId="3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Stock" displayName="Stock" ref="A13:O17" totalsRowShown="0" headerRowDxfId="35" dataDxfId="33" headerRowBorderDxfId="34" tableBorderDxfId="32">
  <autoFilter ref="A13:O17" xr:uid="{00000000-0009-0000-0100-000002000000}"/>
  <tableColumns count="15">
    <tableColumn id="1" xr3:uid="{00000000-0010-0000-0100-000001000000}" name="Produits" dataDxfId="31" dataCellStyle="NiveauLigne_4"/>
    <tableColumn id="2" xr3:uid="{00000000-0010-0000-0100-000002000000}" name="Nom" dataDxfId="30" dataCellStyle="NiveauLigne_4"/>
    <tableColumn id="3" xr3:uid="{00000000-0010-0000-0100-000003000000}" name="Prix A HT" dataDxfId="29" dataCellStyle="Milliers"/>
    <tableColumn id="4" xr3:uid="{00000000-0010-0000-0100-000004000000}" name="Prix U HT" dataDxfId="28" dataCellStyle="Milliers"/>
    <tableColumn id="5" xr3:uid="{00000000-0010-0000-0100-000005000000}" name="TVA" dataDxfId="27"/>
    <tableColumn id="6" xr3:uid="{00000000-0010-0000-0100-000006000000}" name="Prix U TTC" dataDxfId="26" dataCellStyle="Monétaire">
      <calculatedColumnFormula>+Stock[[#This Row],[TVA]]*Stock[[#This Row],[Prix U HT]]+Stock[[#This Row],[Prix U HT]]</calculatedColumnFormula>
    </tableColumn>
    <tableColumn id="7" xr3:uid="{00000000-0010-0000-0100-000007000000}" name="Stock I" dataDxfId="25" dataCellStyle="Milliers"/>
    <tableColumn id="8" xr3:uid="{00000000-0010-0000-0100-000008000000}" name="Entrée" dataDxfId="24" dataCellStyle="Milliers">
      <calculatedColumnFormula>+SUMIFS(journal[[#All],[Entrée]],journal[[#All],[Ref]],A14)</calculatedColumnFormula>
    </tableColumn>
    <tableColumn id="9" xr3:uid="{00000000-0010-0000-0100-000009000000}" name="Sortie" dataDxfId="23" dataCellStyle="Milliers">
      <calculatedColumnFormula>+SUMIFS(journal[[#All],[Sortie]],journal[[#All],[Ref]],A14)</calculatedColumnFormula>
    </tableColumn>
    <tableColumn id="10" xr3:uid="{00000000-0010-0000-0100-00000A000000}" name="Destockage" dataDxfId="22" dataCellStyle="Milliers">
      <calculatedColumnFormula>+SUMIFS(journal[[#All],[Destockage]],journal[[#All],[Ref]],A14)</calculatedColumnFormula>
    </tableColumn>
    <tableColumn id="11" xr3:uid="{00000000-0010-0000-0100-00000B000000}" name="Stock F" dataDxfId="21" dataCellStyle="Milliers">
      <calculatedColumnFormula>+Stock[[#This Row],[Stock I]]+Stock[[#This Row],[Entrée]]-Stock[[#This Row],[Sortie]]-Stock[[#This Row],[Destockage]]</calculatedColumnFormula>
    </tableColumn>
    <tableColumn id="12" xr3:uid="{00000000-0010-0000-0100-00000C000000}" name="V S I HT" dataDxfId="20" dataCellStyle="Milliers">
      <calculatedColumnFormula>+Stock[[#This Row],[Stock I]]*Stock[[#This Row],[Prix A HT]]</calculatedColumnFormula>
    </tableColumn>
    <tableColumn id="13" xr3:uid="{00000000-0010-0000-0100-00000D000000}" name="V S F HT" dataDxfId="19" dataCellStyle="Monétaire">
      <calculatedColumnFormula>+Stock[[#This Row],[Stock F]]*Stock[[#This Row],[Prix A HT]]</calculatedColumnFormula>
    </tableColumn>
    <tableColumn id="14" xr3:uid="{00000000-0010-0000-0100-00000E000000}" name="Total V HT" dataDxfId="18" dataCellStyle="Monétaire">
      <calculatedColumnFormula>+Stock[[#This Row],[Stock F]]*Stock[[#This Row],[Prix U HT]]</calculatedColumnFormula>
    </tableColumn>
    <tableColumn id="15" xr3:uid="{00000000-0010-0000-0100-00000F000000}" name="Total V TTC" dataDxfId="17" dataCellStyle="Monétaire">
      <calculatedColumnFormula>+Stock[[#This Row],[Stock F]]*Stock[[#This Row],[Prix U TTC]]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640A83-0A10-4E71-B6ED-FE202E15FDD1}" name="T_Archives" displayName="T_Archives" ref="A1:M2" insertRow="1" totalsRowShown="0" headerRowDxfId="16" dataDxfId="14" headerRowBorderDxfId="15" tableBorderDxfId="13" dataCellStyle="Monétaire">
  <autoFilter ref="A1:M2" xr:uid="{6EFEFC3E-055E-4092-A654-31578A67F90D}"/>
  <tableColumns count="13">
    <tableColumn id="1" xr3:uid="{E0BC80E9-70A3-4375-AC45-A9D827BA27A4}" name="Date" dataDxfId="12"/>
    <tableColumn id="2" xr3:uid="{C3BE64F6-D95D-4406-9C08-C784C6C77307}" name="Fdv" dataDxfId="11"/>
    <tableColumn id="3" xr3:uid="{B199CCFD-CC36-4305-B50E-41C821E802B0}" name="Ref" dataDxfId="10"/>
    <tableColumn id="4" xr3:uid="{F1845CEB-3F4E-418E-AAF8-A0BF9EC58462}" name="Quantité" dataDxfId="9"/>
    <tableColumn id="5" xr3:uid="{26BA3CF1-EEE8-476C-B79B-2BDF575808F1}" name="Prix U TTC" dataDxfId="8"/>
    <tableColumn id="6" xr3:uid="{376C9234-91D2-43EB-81F9-F2449A73E061}" name="Plateforme" dataDxfId="7"/>
    <tableColumn id="7" xr3:uid="{624280DB-AD0E-4992-9A39-8BFB200C2EAA}" name="N° de commande" dataDxfId="6"/>
    <tableColumn id="8" xr3:uid="{57607F54-6045-4436-BDFF-EFF8AC5040B9}" name="TVA Applicable" dataDxfId="5"/>
    <tableColumn id="9" xr3:uid="{8570092B-21C7-480E-A844-C0872978BB03}" name="Réduction" dataDxfId="4" dataCellStyle="Monétaire"/>
    <tableColumn id="10" xr3:uid="{413FF430-EC3C-4438-8704-5DD8E0809E32}" name="Frais de Port" dataDxfId="3" dataCellStyle="Monétaire"/>
    <tableColumn id="11" xr3:uid="{FC28B99D-8FEB-4EB4-81E9-BDC75E8CE080}" name="Transporteur" dataDxfId="2"/>
    <tableColumn id="12" xr3:uid="{5D1D5FD4-6B49-471A-AF93-34FDEDA9A5D0}" name="Règlement" dataDxfId="1"/>
    <tableColumn id="13" xr3:uid="{7E15A3C8-B1A3-4B21-91F2-8B532C492E00}" name="TOTAL PAYE" dataDxfId="0" dataCellStyle="Monétair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K7"/>
  <sheetViews>
    <sheetView workbookViewId="0">
      <selection activeCell="G20" sqref="G20"/>
    </sheetView>
  </sheetViews>
  <sheetFormatPr baseColWidth="10" defaultRowHeight="15" x14ac:dyDescent="0.25"/>
  <cols>
    <col min="2" max="2" width="18.42578125" bestFit="1" customWidth="1"/>
    <col min="3" max="3" width="1.85546875" customWidth="1"/>
    <col min="5" max="5" width="4.42578125" bestFit="1" customWidth="1"/>
    <col min="6" max="6" width="1.7109375" customWidth="1"/>
    <col min="7" max="7" width="14.7109375" bestFit="1" customWidth="1"/>
    <col min="8" max="8" width="2.28515625" customWidth="1"/>
    <col min="10" max="10" width="4" customWidth="1"/>
    <col min="11" max="11" width="12.5703125" bestFit="1" customWidth="1"/>
  </cols>
  <sheetData>
    <row r="1" spans="1:11" x14ac:dyDescent="0.25">
      <c r="A1" s="10" t="s">
        <v>30</v>
      </c>
      <c r="B1" s="9" t="s">
        <v>29</v>
      </c>
      <c r="D1" s="6" t="s">
        <v>28</v>
      </c>
      <c r="E1" s="8">
        <v>0.2</v>
      </c>
      <c r="G1" s="4" t="s">
        <v>27</v>
      </c>
      <c r="I1" s="4" t="s">
        <v>26</v>
      </c>
      <c r="K1" s="4" t="s">
        <v>25</v>
      </c>
    </row>
    <row r="2" spans="1:11" x14ac:dyDescent="0.25">
      <c r="A2" s="6" t="s">
        <v>24</v>
      </c>
      <c r="B2" s="7" t="s">
        <v>23</v>
      </c>
      <c r="D2" s="6" t="s">
        <v>22</v>
      </c>
      <c r="E2" s="8">
        <v>0.2</v>
      </c>
      <c r="G2" s="4" t="s">
        <v>21</v>
      </c>
      <c r="I2" s="4" t="s">
        <v>20</v>
      </c>
      <c r="K2" s="4" t="s">
        <v>19</v>
      </c>
    </row>
    <row r="3" spans="1:11" x14ac:dyDescent="0.25">
      <c r="A3" s="6" t="s">
        <v>18</v>
      </c>
      <c r="B3" s="7" t="s">
        <v>17</v>
      </c>
      <c r="D3" s="6" t="s">
        <v>16</v>
      </c>
      <c r="E3" s="8">
        <v>0</v>
      </c>
      <c r="G3" s="4" t="s">
        <v>15</v>
      </c>
      <c r="I3" s="4" t="s">
        <v>14</v>
      </c>
      <c r="K3" s="4" t="s">
        <v>13</v>
      </c>
    </row>
    <row r="4" spans="1:11" x14ac:dyDescent="0.25">
      <c r="A4" s="6" t="s">
        <v>12</v>
      </c>
      <c r="B4" s="7" t="s">
        <v>11</v>
      </c>
      <c r="D4" s="6" t="s">
        <v>10</v>
      </c>
      <c r="E4" s="8">
        <v>0</v>
      </c>
      <c r="G4" s="4" t="s">
        <v>9</v>
      </c>
      <c r="I4" s="4" t="s">
        <v>8</v>
      </c>
      <c r="K4" s="4" t="s">
        <v>7</v>
      </c>
    </row>
    <row r="5" spans="1:11" x14ac:dyDescent="0.25">
      <c r="A5" s="6" t="s">
        <v>6</v>
      </c>
      <c r="B5" s="7" t="s">
        <v>5</v>
      </c>
      <c r="D5" s="86"/>
      <c r="G5" s="4"/>
      <c r="I5" s="4" t="s">
        <v>4</v>
      </c>
      <c r="K5" s="4"/>
    </row>
    <row r="6" spans="1:11" x14ac:dyDescent="0.25">
      <c r="A6" s="6" t="s">
        <v>3</v>
      </c>
      <c r="B6" s="5" t="s">
        <v>2</v>
      </c>
      <c r="I6" s="4"/>
      <c r="K6" s="4"/>
    </row>
    <row r="7" spans="1:11" ht="15.75" thickBot="1" x14ac:dyDescent="0.3">
      <c r="A7" s="3" t="s">
        <v>1</v>
      </c>
      <c r="B7" s="2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K19"/>
  <sheetViews>
    <sheetView showGridLines="0" tabSelected="1" zoomScale="125" zoomScaleNormal="125" workbookViewId="0">
      <selection activeCell="I2" sqref="I2"/>
    </sheetView>
  </sheetViews>
  <sheetFormatPr baseColWidth="10" defaultRowHeight="15" x14ac:dyDescent="0.25"/>
  <cols>
    <col min="2" max="2" width="17.42578125" customWidth="1"/>
    <col min="8" max="8" width="3.85546875" customWidth="1"/>
    <col min="9" max="9" width="16.42578125" bestFit="1" customWidth="1"/>
    <col min="10" max="10" width="13.5703125" customWidth="1"/>
    <col min="11" max="11" width="1.7109375" customWidth="1"/>
    <col min="12" max="12" width="5.28515625" customWidth="1"/>
  </cols>
  <sheetData>
    <row r="1" spans="1:11" ht="15.75" x14ac:dyDescent="0.25">
      <c r="A1" s="22" t="s">
        <v>65</v>
      </c>
      <c r="B1" s="1" t="s">
        <v>66</v>
      </c>
      <c r="C1" s="1"/>
      <c r="I1" s="23"/>
    </row>
    <row r="2" spans="1:11" ht="15.75" x14ac:dyDescent="0.25">
      <c r="A2" s="23"/>
      <c r="B2" s="132"/>
      <c r="C2" s="132"/>
      <c r="I2" s="23"/>
    </row>
    <row r="3" spans="1:11" ht="15.75" x14ac:dyDescent="0.25">
      <c r="I3" s="23"/>
    </row>
    <row r="4" spans="1:11" ht="18.75" x14ac:dyDescent="0.25">
      <c r="A4" s="121" t="s">
        <v>33</v>
      </c>
      <c r="B4" s="24" t="s">
        <v>67</v>
      </c>
      <c r="C4" s="24" t="s">
        <v>68</v>
      </c>
      <c r="D4" s="24" t="s">
        <v>47</v>
      </c>
      <c r="E4" s="24" t="s">
        <v>69</v>
      </c>
      <c r="F4" s="24" t="s">
        <v>70</v>
      </c>
      <c r="G4" s="24" t="s">
        <v>71</v>
      </c>
      <c r="I4" s="25" t="s">
        <v>72</v>
      </c>
      <c r="J4" s="107">
        <f>+SUM(E5:E13)</f>
        <v>0</v>
      </c>
      <c r="K4" s="26"/>
    </row>
    <row r="5" spans="1:11" ht="15.75" x14ac:dyDescent="0.25">
      <c r="A5" s="27"/>
      <c r="B5" s="28" t="str">
        <f>+IFERROR(VLOOKUP(A5,Stock[[#All],[Produits]:[Nom]],2,FALSE),"")</f>
        <v/>
      </c>
      <c r="C5" s="29"/>
      <c r="D5" s="30" t="str">
        <f>+IFERROR(VLOOKUP(A5,Stock[[#All],[Produits]:[Prix U TTC]],6,FALSE),"")</f>
        <v/>
      </c>
      <c r="E5" s="30">
        <f t="shared" ref="E5:E13" si="0">IFERROR(IF(C5=0,0,D5*C5),"")</f>
        <v>0</v>
      </c>
      <c r="F5" s="29">
        <f>+SUMIFS(Stock[[#All],[Stock I]],Stock[[#All],[Produits]],A5)</f>
        <v>0</v>
      </c>
      <c r="G5" s="29">
        <f t="shared" ref="G5:G14" si="1">+IFERROR(F5-C5,"")</f>
        <v>0</v>
      </c>
      <c r="I5" s="25"/>
      <c r="J5" s="107"/>
      <c r="K5" s="26"/>
    </row>
    <row r="6" spans="1:11" ht="15.75" x14ac:dyDescent="0.25">
      <c r="A6" s="31"/>
      <c r="B6" s="32" t="str">
        <f>+IFERROR(VLOOKUP(A6,Stock[[#All],[Produits]:[Nom]],2,FALSE),"")</f>
        <v/>
      </c>
      <c r="C6" s="33"/>
      <c r="D6" s="34" t="str">
        <f>+IFERROR(VLOOKUP(A6,Stock[[#All],[Produits]:[Prix U TTC]],6,FALSE),"")</f>
        <v/>
      </c>
      <c r="E6" s="34">
        <f t="shared" si="0"/>
        <v>0</v>
      </c>
      <c r="F6" s="33">
        <f>+SUMIFS(Stock[[#All],[Stock I]],Stock[[#All],[Produits]],A6)</f>
        <v>0</v>
      </c>
      <c r="G6" s="33">
        <f t="shared" si="1"/>
        <v>0</v>
      </c>
      <c r="I6" s="25" t="s">
        <v>73</v>
      </c>
      <c r="J6" s="119"/>
      <c r="K6" s="35"/>
    </row>
    <row r="7" spans="1:11" ht="15.75" x14ac:dyDescent="0.25">
      <c r="A7" s="27"/>
      <c r="B7" s="28" t="str">
        <f>+IFERROR(VLOOKUP(A7,Stock[[#All],[Produits]:[Nom]],2,FALSE),"")</f>
        <v/>
      </c>
      <c r="C7" s="29"/>
      <c r="D7" s="30" t="str">
        <f>+IFERROR(VLOOKUP(A7,Stock[[#All],[Produits]:[Prix U TTC]],6,FALSE),"")</f>
        <v/>
      </c>
      <c r="E7" s="30">
        <f t="shared" si="0"/>
        <v>0</v>
      </c>
      <c r="F7" s="29">
        <f>+SUMIFS(Stock[[#All],[Stock I]],Stock[[#All],[Produits]],A7)</f>
        <v>0</v>
      </c>
      <c r="G7" s="29">
        <f t="shared" si="1"/>
        <v>0</v>
      </c>
      <c r="I7" s="25"/>
      <c r="J7" s="108"/>
      <c r="K7" s="35"/>
    </row>
    <row r="8" spans="1:11" ht="15.75" x14ac:dyDescent="0.25">
      <c r="A8" s="31"/>
      <c r="B8" s="32" t="str">
        <f>+IFERROR(VLOOKUP(A8,Stock[[#All],[Produits]:[Nom]],2,FALSE),"")</f>
        <v/>
      </c>
      <c r="C8" s="33"/>
      <c r="D8" s="34" t="str">
        <f>+IFERROR(VLOOKUP(A8,Stock[[#All],[Produits]:[Prix U TTC]],6,FALSE),"")</f>
        <v/>
      </c>
      <c r="E8" s="34">
        <f t="shared" si="0"/>
        <v>0</v>
      </c>
      <c r="F8" s="33">
        <f>+SUMIFS(Stock[[#All],[Stock I]],Stock[[#All],[Produits]],A8)</f>
        <v>0</v>
      </c>
      <c r="G8" s="33">
        <f t="shared" si="1"/>
        <v>0</v>
      </c>
      <c r="I8" s="25" t="s">
        <v>74</v>
      </c>
      <c r="J8" s="109"/>
      <c r="K8" s="36"/>
    </row>
    <row r="9" spans="1:11" ht="15.75" x14ac:dyDescent="0.25">
      <c r="A9" s="27"/>
      <c r="B9" s="28" t="str">
        <f>+IFERROR(VLOOKUP(A9,Stock[[#All],[Produits]:[Nom]],2,FALSE),"")</f>
        <v/>
      </c>
      <c r="C9" s="29"/>
      <c r="D9" s="30" t="str">
        <f>+IFERROR(VLOOKUP(A9,Stock[[#All],[Produits]:[Prix U TTC]],6,FALSE),"")</f>
        <v/>
      </c>
      <c r="E9" s="30">
        <f t="shared" si="0"/>
        <v>0</v>
      </c>
      <c r="F9" s="29">
        <f>+SUMIFS(Stock[[#All],[Stock I]],Stock[[#All],[Produits]],A9)</f>
        <v>0</v>
      </c>
      <c r="G9" s="29">
        <f t="shared" si="1"/>
        <v>0</v>
      </c>
      <c r="I9" s="25"/>
      <c r="J9" s="110"/>
      <c r="K9" s="36"/>
    </row>
    <row r="10" spans="1:11" ht="15.75" x14ac:dyDescent="0.25">
      <c r="A10" s="31"/>
      <c r="B10" s="32" t="str">
        <f>+IFERROR(VLOOKUP(A10,Stock[[#All],[Produits]:[Nom]],2,FALSE),"")</f>
        <v/>
      </c>
      <c r="C10" s="33"/>
      <c r="D10" s="34" t="str">
        <f>+IFERROR(VLOOKUP(A10,Stock[[#All],[Produits]:[Prix U TTC]],6,FALSE),"")</f>
        <v/>
      </c>
      <c r="E10" s="34">
        <f t="shared" si="0"/>
        <v>0</v>
      </c>
      <c r="F10" s="33">
        <f>+SUMIFS(Stock[[#All],[Stock I]],Stock[[#All],[Produits]],A10)</f>
        <v>0</v>
      </c>
      <c r="G10" s="33">
        <f t="shared" si="1"/>
        <v>0</v>
      </c>
      <c r="I10" s="25" t="s">
        <v>75</v>
      </c>
      <c r="J10" s="111"/>
      <c r="K10" s="37"/>
    </row>
    <row r="11" spans="1:11" ht="15.75" x14ac:dyDescent="0.25">
      <c r="A11" s="27"/>
      <c r="B11" s="28" t="str">
        <f>+IFERROR(VLOOKUP(A11,Stock[[#All],[Produits]:[Nom]],2,FALSE),"")</f>
        <v/>
      </c>
      <c r="C11" s="29"/>
      <c r="D11" s="30" t="str">
        <f>+IFERROR(VLOOKUP(A11,Stock[[#All],[Produits]:[Prix U TTC]],6,FALSE),"")</f>
        <v/>
      </c>
      <c r="E11" s="30">
        <f t="shared" si="0"/>
        <v>0</v>
      </c>
      <c r="F11" s="29">
        <f>+SUMIFS(Stock[[#All],[Stock I]],Stock[[#All],[Produits]],A11)</f>
        <v>0</v>
      </c>
      <c r="G11" s="29">
        <f t="shared" si="1"/>
        <v>0</v>
      </c>
      <c r="I11" s="25"/>
      <c r="J11" s="112"/>
      <c r="K11" s="37"/>
    </row>
    <row r="12" spans="1:11" ht="15.75" x14ac:dyDescent="0.25">
      <c r="A12" s="31"/>
      <c r="B12" s="32" t="str">
        <f>+IFERROR(VLOOKUP(A12,Stock[[#All],[Produits]:[Nom]],2,FALSE),"")</f>
        <v/>
      </c>
      <c r="C12" s="33"/>
      <c r="D12" s="34" t="str">
        <f>+IFERROR(VLOOKUP(A12,Stock[[#All],[Produits]:[Prix U TTC]],6,FALSE),"")</f>
        <v/>
      </c>
      <c r="E12" s="34">
        <f t="shared" si="0"/>
        <v>0</v>
      </c>
      <c r="F12" s="33">
        <f>+SUMIFS(Stock[[#All],[Stock I]],Stock[[#All],[Produits]],A12)</f>
        <v>0</v>
      </c>
      <c r="G12" s="33">
        <f t="shared" si="1"/>
        <v>0</v>
      </c>
      <c r="I12" s="25" t="s">
        <v>76</v>
      </c>
      <c r="J12" s="120"/>
      <c r="K12" s="38"/>
    </row>
    <row r="13" spans="1:11" ht="15.75" x14ac:dyDescent="0.25">
      <c r="A13" s="27"/>
      <c r="B13" s="28" t="str">
        <f>+IFERROR(VLOOKUP(A13,Stock[[#All],[Produits]:[Nom]],2,FALSE),"")</f>
        <v/>
      </c>
      <c r="C13" s="29"/>
      <c r="D13" s="30" t="str">
        <f>+IFERROR(VLOOKUP(A13,Stock[[#All],[Produits]:[Prix U TTC]],6,FALSE),"")</f>
        <v/>
      </c>
      <c r="E13" s="30">
        <f t="shared" si="0"/>
        <v>0</v>
      </c>
      <c r="F13" s="29">
        <f>+SUMIFS(Stock[[#All],[Stock I]],Stock[[#All],[Produits]],A13)</f>
        <v>0</v>
      </c>
      <c r="G13" s="29">
        <f t="shared" si="1"/>
        <v>0</v>
      </c>
      <c r="I13" s="108"/>
      <c r="J13" s="113"/>
      <c r="K13" s="11"/>
    </row>
    <row r="14" spans="1:11" ht="18.75" x14ac:dyDescent="0.3">
      <c r="A14" s="31" t="s">
        <v>77</v>
      </c>
      <c r="B14" s="39"/>
      <c r="C14" s="40"/>
      <c r="D14" s="41" t="s">
        <v>78</v>
      </c>
      <c r="E14" s="42" t="str">
        <f t="shared" ref="E14" si="2">+IFERROR(D14*C14,"")</f>
        <v/>
      </c>
      <c r="F14" s="43" t="s">
        <v>78</v>
      </c>
      <c r="G14" s="43" t="str">
        <f t="shared" si="1"/>
        <v/>
      </c>
      <c r="I14" s="114" t="s">
        <v>79</v>
      </c>
      <c r="J14" s="115">
        <f>+J4-J8+J10</f>
        <v>0</v>
      </c>
      <c r="K14" s="44"/>
    </row>
    <row r="15" spans="1:11" ht="18.75" x14ac:dyDescent="0.3">
      <c r="A15" s="39"/>
      <c r="B15" s="39"/>
      <c r="C15" s="40"/>
      <c r="D15" s="41"/>
      <c r="E15" s="42"/>
      <c r="F15" s="43"/>
      <c r="G15" s="43"/>
      <c r="I15" s="116" t="s">
        <v>80</v>
      </c>
      <c r="J15" s="117">
        <f>+IF(J6=BDD!D1,J14/(1+BDD!E1),IF(J6=BDD!D2,J14/(1+BDD!E2),J14))</f>
        <v>0</v>
      </c>
      <c r="K15" s="45"/>
    </row>
    <row r="16" spans="1:11" x14ac:dyDescent="0.25">
      <c r="I16" s="116" t="s">
        <v>46</v>
      </c>
      <c r="J16" s="118">
        <f>+J14-J15</f>
        <v>0</v>
      </c>
      <c r="K16" s="46"/>
    </row>
    <row r="17" spans="9:10" ht="15.75" x14ac:dyDescent="0.25">
      <c r="I17" s="23"/>
    </row>
    <row r="18" spans="9:10" x14ac:dyDescent="0.25">
      <c r="I18" s="1" t="s">
        <v>81</v>
      </c>
      <c r="J18" s="1"/>
    </row>
    <row r="19" spans="9:10" x14ac:dyDescent="0.25">
      <c r="I19" s="133"/>
      <c r="J19" s="133"/>
    </row>
  </sheetData>
  <mergeCells count="4">
    <mergeCell ref="B1:C1"/>
    <mergeCell ref="B2:C2"/>
    <mergeCell ref="I18:J18"/>
    <mergeCell ref="I19:J19"/>
  </mergeCells>
  <conditionalFormatting sqref="F5:F13">
    <cfRule type="cellIs" dxfId="48" priority="2" operator="equal">
      <formula>0</formula>
    </cfRule>
  </conditionalFormatting>
  <conditionalFormatting sqref="G5:G13">
    <cfRule type="cellIs" dxfId="47" priority="1" operator="lessThan">
      <formula>0</formula>
    </cfRule>
  </conditionalFormatting>
  <dataValidations count="2">
    <dataValidation type="list" allowBlank="1" showInputMessage="1" showErrorMessage="1" sqref="J6" xr:uid="{00000000-0002-0000-0100-000000000000}">
      <formula1>TVA</formula1>
    </dataValidation>
    <dataValidation type="list" allowBlank="1" showInputMessage="1" showErrorMessage="1" sqref="J12" xr:uid="{00000000-0002-0000-0100-000001000000}">
      <formula1>transporteur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Button 3">
              <controlPr defaultSize="0" print="0" autoFill="0" autoPict="0" macro="[0]!Archiver">
                <anchor moveWithCells="1" sizeWithCells="1">
                  <from>
                    <xdr:col>3</xdr:col>
                    <xdr:colOff>685800</xdr:colOff>
                    <xdr:row>0</xdr:row>
                    <xdr:rowOff>28575</xdr:rowOff>
                  </from>
                  <to>
                    <xdr:col>5</xdr:col>
                    <xdr:colOff>285750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Button 7">
              <controlPr defaultSize="0" print="0" autoFill="0" autoPict="0" macro="[0]!Reset">
                <anchor moveWithCells="1" sizeWithCells="1">
                  <from>
                    <xdr:col>5</xdr:col>
                    <xdr:colOff>371475</xdr:colOff>
                    <xdr:row>0</xdr:row>
                    <xdr:rowOff>38100</xdr:rowOff>
                  </from>
                  <to>
                    <xdr:col>6</xdr:col>
                    <xdr:colOff>742950</xdr:colOff>
                    <xdr:row>1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F7CB404-E64C-4C3A-9DB1-C0E0637A5372}">
          <x14:formula1>
            <xm:f>BDD!$I$1:$I$6</xm:f>
          </x14:formula1>
          <xm:sqref>A1:A2 A4</xm:sqref>
        </x14:dataValidation>
        <x14:dataValidation type="list" allowBlank="1" showInputMessage="1" showErrorMessage="1" xr:uid="{945D52F7-4394-44B6-9FA1-488F8E55D899}">
          <x14:formula1>
            <xm:f>BDD!$G$1:$G$4</xm:f>
          </x14:formula1>
          <xm:sqref>I19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9C569-746B-4DD4-9A3F-7ACDEA59272A}">
  <sheetPr codeName="Feuil6"/>
  <dimension ref="B1:E31"/>
  <sheetViews>
    <sheetView showGridLines="0" topLeftCell="A7" workbookViewId="0">
      <selection activeCell="C34" sqref="C34"/>
    </sheetView>
  </sheetViews>
  <sheetFormatPr baseColWidth="10" defaultRowHeight="15" x14ac:dyDescent="0.25"/>
  <sheetData>
    <row r="1" spans="2:5" x14ac:dyDescent="0.25">
      <c r="B1" s="137" t="str">
        <f>+BDD!B1</f>
        <v>STE ABC</v>
      </c>
      <c r="C1" s="138"/>
      <c r="D1" s="138"/>
      <c r="E1" s="139"/>
    </row>
    <row r="2" spans="2:5" x14ac:dyDescent="0.25">
      <c r="B2" s="140" t="str">
        <f>+BDD!B2</f>
        <v>Addr1</v>
      </c>
      <c r="C2" s="141"/>
      <c r="D2" s="141"/>
      <c r="E2" s="142"/>
    </row>
    <row r="3" spans="2:5" x14ac:dyDescent="0.25">
      <c r="B3" s="140" t="str">
        <f>+BDD!B3</f>
        <v>Addr 2</v>
      </c>
      <c r="C3" s="141"/>
      <c r="D3" s="141"/>
      <c r="E3" s="142"/>
    </row>
    <row r="4" spans="2:5" x14ac:dyDescent="0.25">
      <c r="B4" s="140" t="str">
        <f>+BDD!B4&amp;" "&amp;BDD!B5</f>
        <v>CP1 Ville1</v>
      </c>
      <c r="C4" s="141"/>
      <c r="D4" s="141"/>
      <c r="E4" s="142"/>
    </row>
    <row r="5" spans="2:5" x14ac:dyDescent="0.25">
      <c r="B5" s="143" t="str">
        <f>+BDD!B6</f>
        <v>+33 6 12 34 56 78</v>
      </c>
      <c r="C5" s="144"/>
      <c r="D5" s="144"/>
      <c r="E5" s="145"/>
    </row>
    <row r="6" spans="2:5" x14ac:dyDescent="0.25">
      <c r="B6" s="146" t="s">
        <v>92</v>
      </c>
      <c r="C6" s="147"/>
      <c r="D6" s="147"/>
      <c r="E6" s="148"/>
    </row>
    <row r="7" spans="2:5" x14ac:dyDescent="0.25">
      <c r="B7" s="149" t="s">
        <v>93</v>
      </c>
      <c r="C7" s="150"/>
      <c r="D7" s="150"/>
      <c r="E7" s="151"/>
    </row>
    <row r="8" spans="2:5" x14ac:dyDescent="0.25">
      <c r="B8" s="122">
        <v>44266.485543981478</v>
      </c>
      <c r="C8" s="123"/>
      <c r="D8" s="123"/>
      <c r="E8" s="124"/>
    </row>
    <row r="9" spans="2:5" x14ac:dyDescent="0.25">
      <c r="B9" s="47"/>
      <c r="C9" s="48"/>
      <c r="D9" s="48"/>
      <c r="E9" s="49"/>
    </row>
    <row r="10" spans="2:5" x14ac:dyDescent="0.25">
      <c r="B10" s="50" t="str">
        <f>IF(FDV!B2="","",FDV!B1&amp;" : "&amp;FDV!B2)</f>
        <v/>
      </c>
      <c r="C10" s="51"/>
      <c r="D10" s="51"/>
      <c r="E10" s="52"/>
    </row>
    <row r="11" spans="2:5" x14ac:dyDescent="0.25">
      <c r="B11" s="53" t="s">
        <v>82</v>
      </c>
      <c r="C11" s="54" t="s">
        <v>83</v>
      </c>
      <c r="D11" s="54" t="s">
        <v>84</v>
      </c>
      <c r="E11" s="55" t="s">
        <v>85</v>
      </c>
    </row>
    <row r="12" spans="2:5" hidden="1" x14ac:dyDescent="0.25">
      <c r="B12" s="56"/>
      <c r="C12" s="57"/>
      <c r="D12" s="58"/>
      <c r="E12" s="59"/>
    </row>
    <row r="13" spans="2:5" hidden="1" x14ac:dyDescent="0.25">
      <c r="B13" s="60"/>
      <c r="C13" s="57"/>
      <c r="D13" s="61"/>
      <c r="E13" s="59"/>
    </row>
    <row r="14" spans="2:5" hidden="1" x14ac:dyDescent="0.25">
      <c r="B14" s="60"/>
      <c r="C14" s="57"/>
      <c r="D14" s="61"/>
      <c r="E14" s="59"/>
    </row>
    <row r="15" spans="2:5" hidden="1" x14ac:dyDescent="0.25">
      <c r="B15" s="60"/>
      <c r="C15" s="57"/>
      <c r="D15" s="61"/>
      <c r="E15" s="59"/>
    </row>
    <row r="16" spans="2:5" hidden="1" x14ac:dyDescent="0.25">
      <c r="B16" s="60"/>
      <c r="C16" s="57"/>
      <c r="D16" s="61"/>
      <c r="E16" s="59"/>
    </row>
    <row r="17" spans="2:5" hidden="1" x14ac:dyDescent="0.25">
      <c r="B17" s="60"/>
      <c r="C17" s="57"/>
      <c r="D17" s="61"/>
      <c r="E17" s="59"/>
    </row>
    <row r="18" spans="2:5" hidden="1" x14ac:dyDescent="0.25">
      <c r="B18" s="60"/>
      <c r="C18" s="57"/>
      <c r="D18" s="61"/>
      <c r="E18" s="59"/>
    </row>
    <row r="19" spans="2:5" hidden="1" x14ac:dyDescent="0.25">
      <c r="B19" s="60"/>
      <c r="C19" s="57"/>
      <c r="D19" s="61"/>
      <c r="E19" s="59"/>
    </row>
    <row r="20" spans="2:5" hidden="1" x14ac:dyDescent="0.25">
      <c r="B20" s="60"/>
      <c r="C20" s="57"/>
      <c r="D20" s="61"/>
      <c r="E20" s="59"/>
    </row>
    <row r="21" spans="2:5" x14ac:dyDescent="0.25">
      <c r="B21" s="60"/>
      <c r="C21" s="62"/>
      <c r="D21" s="62"/>
      <c r="E21" s="63"/>
    </row>
    <row r="22" spans="2:5" x14ac:dyDescent="0.25">
      <c r="B22" s="64">
        <f>+SUM(C12:C20)</f>
        <v>0</v>
      </c>
      <c r="C22" s="65"/>
      <c r="D22" s="66"/>
      <c r="E22" s="67"/>
    </row>
    <row r="23" spans="2:5" x14ac:dyDescent="0.25">
      <c r="B23" s="68" t="s">
        <v>86</v>
      </c>
      <c r="C23" s="69"/>
      <c r="D23" s="69"/>
      <c r="E23" s="59">
        <f>+SUM(E12:E20)</f>
        <v>0</v>
      </c>
    </row>
    <row r="24" spans="2:5" x14ac:dyDescent="0.25">
      <c r="B24" s="60" t="str">
        <f>+IF(FDV!J8="","",FDV!I8)</f>
        <v/>
      </c>
      <c r="C24" s="69"/>
      <c r="D24" s="69"/>
      <c r="E24" s="70">
        <f>FDV!J8</f>
        <v>0</v>
      </c>
    </row>
    <row r="25" spans="2:5" ht="15.75" thickBot="1" x14ac:dyDescent="0.3">
      <c r="B25" s="60" t="str">
        <f>+IF(FDV!J10="","",FDV!I10)</f>
        <v/>
      </c>
      <c r="C25" s="69"/>
      <c r="D25" s="69"/>
      <c r="E25" s="71">
        <f>+FDV!J10</f>
        <v>0</v>
      </c>
    </row>
    <row r="26" spans="2:5" ht="16.5" thickTop="1" thickBot="1" x14ac:dyDescent="0.3">
      <c r="B26" s="72" t="s">
        <v>87</v>
      </c>
      <c r="C26" s="73"/>
      <c r="D26" s="73"/>
      <c r="E26" s="74">
        <f>+E25+E23-E24</f>
        <v>0</v>
      </c>
    </row>
    <row r="27" spans="2:5" ht="15.75" thickTop="1" x14ac:dyDescent="0.25">
      <c r="B27" s="75">
        <f>+FDV!I19</f>
        <v>0</v>
      </c>
      <c r="C27" s="76"/>
      <c r="D27" s="76"/>
      <c r="E27" s="77">
        <f>+E26</f>
        <v>0</v>
      </c>
    </row>
    <row r="28" spans="2:5" x14ac:dyDescent="0.25">
      <c r="B28" s="78" t="str">
        <f>+IF(FDV!J6="FR","Dont Tva",IF(FDV!J6="UE","Dont Tva","Non soumis à TVA : export H.UE"))</f>
        <v>Non soumis à TVA : export H.UE</v>
      </c>
      <c r="C28" s="79"/>
      <c r="D28" s="80"/>
      <c r="E28" s="81">
        <f>+FDV!J15</f>
        <v>0</v>
      </c>
    </row>
    <row r="29" spans="2:5" x14ac:dyDescent="0.25">
      <c r="B29" s="82" t="str">
        <f>+IF(FDV!J12=BDD!K1,"Retrait magasin","Transporteur : ")</f>
        <v xml:space="preserve">Transporteur : </v>
      </c>
      <c r="C29" s="83"/>
      <c r="D29" s="84">
        <f>+IF(FDV!J12=BDD!K1,"",FDV!J12)</f>
        <v>0</v>
      </c>
      <c r="E29" s="85"/>
    </row>
    <row r="30" spans="2:5" x14ac:dyDescent="0.25">
      <c r="B30" s="152" t="s">
        <v>88</v>
      </c>
      <c r="C30" s="153"/>
      <c r="D30" s="153"/>
      <c r="E30" s="154"/>
    </row>
    <row r="31" spans="2:5" x14ac:dyDescent="0.25">
      <c r="B31" s="134" t="str">
        <f>+BDD!$A$7&amp;" "&amp;BDD!$B$7</f>
        <v>Siret : A afficher</v>
      </c>
      <c r="C31" s="135"/>
      <c r="D31" s="135"/>
      <c r="E31" s="136"/>
    </row>
  </sheetData>
  <mergeCells count="9">
    <mergeCell ref="B31:E31"/>
    <mergeCell ref="B1:E1"/>
    <mergeCell ref="B2:E2"/>
    <mergeCell ref="B3:E3"/>
    <mergeCell ref="B4:E4"/>
    <mergeCell ref="B5:E5"/>
    <mergeCell ref="B6:E6"/>
    <mergeCell ref="B7:E7"/>
    <mergeCell ref="B30:E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G2"/>
  <sheetViews>
    <sheetView workbookViewId="0">
      <selection activeCell="E12" sqref="E12"/>
    </sheetView>
  </sheetViews>
  <sheetFormatPr baseColWidth="10" defaultRowHeight="15" x14ac:dyDescent="0.25"/>
  <cols>
    <col min="1" max="1" width="11.5703125" style="15"/>
    <col min="6" max="6" width="12.5703125" customWidth="1"/>
    <col min="7" max="7" width="12.28515625" customWidth="1"/>
  </cols>
  <sheetData>
    <row r="1" spans="1:7" x14ac:dyDescent="0.25">
      <c r="A1" s="17" t="s">
        <v>31</v>
      </c>
      <c r="B1" s="18" t="s">
        <v>32</v>
      </c>
      <c r="C1" s="18" t="s">
        <v>33</v>
      </c>
      <c r="D1" s="18" t="s">
        <v>34</v>
      </c>
      <c r="E1" s="18" t="s">
        <v>35</v>
      </c>
      <c r="F1" s="18" t="s">
        <v>36</v>
      </c>
      <c r="G1" s="18" t="s">
        <v>37</v>
      </c>
    </row>
    <row r="2" spans="1:7" x14ac:dyDescent="0.25">
      <c r="A2" s="130"/>
      <c r="B2" s="131"/>
      <c r="C2" s="131"/>
      <c r="D2" s="131"/>
      <c r="E2" s="131"/>
      <c r="F2" s="131"/>
      <c r="G2" s="131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O17"/>
  <sheetViews>
    <sheetView showGridLines="0" workbookViewId="0">
      <selection activeCell="B20" sqref="B20"/>
    </sheetView>
  </sheetViews>
  <sheetFormatPr baseColWidth="10" defaultRowHeight="15" x14ac:dyDescent="0.25"/>
  <cols>
    <col min="1" max="1" width="11.28515625" bestFit="1" customWidth="1"/>
    <col min="2" max="2" width="15.5703125" bestFit="1" customWidth="1"/>
    <col min="6" max="6" width="12.28515625" customWidth="1"/>
    <col min="10" max="10" width="12.5703125" customWidth="1"/>
    <col min="11" max="11" width="11.42578125" bestFit="1" customWidth="1"/>
    <col min="14" max="14" width="12.28515625" customWidth="1"/>
    <col min="15" max="15" width="13.28515625" customWidth="1"/>
  </cols>
  <sheetData>
    <row r="1" spans="1:15" x14ac:dyDescent="0.25">
      <c r="A1" s="99" t="s">
        <v>31</v>
      </c>
      <c r="B1" s="100" t="s">
        <v>32</v>
      </c>
      <c r="C1" s="100" t="s">
        <v>33</v>
      </c>
      <c r="D1" s="100" t="s">
        <v>34</v>
      </c>
      <c r="E1" s="100" t="s">
        <v>35</v>
      </c>
      <c r="F1" s="100" t="s">
        <v>36</v>
      </c>
      <c r="G1" s="100" t="s">
        <v>37</v>
      </c>
    </row>
    <row r="2" spans="1:15" x14ac:dyDescent="0.25">
      <c r="A2" s="101">
        <f ca="1">+A3</f>
        <v>44266</v>
      </c>
      <c r="B2" s="102"/>
      <c r="C2" s="102">
        <f>+B4</f>
        <v>0</v>
      </c>
      <c r="D2" s="102">
        <f>+B6</f>
        <v>0</v>
      </c>
      <c r="E2" s="102"/>
      <c r="F2" s="102">
        <f>+B8</f>
        <v>0</v>
      </c>
      <c r="G2" s="102">
        <f>+D8</f>
        <v>0</v>
      </c>
    </row>
    <row r="3" spans="1:15" ht="25.9" customHeight="1" x14ac:dyDescent="0.25">
      <c r="A3" s="14">
        <f ca="1">+TODAY()</f>
        <v>44266</v>
      </c>
      <c r="B3" s="157" t="s">
        <v>39</v>
      </c>
      <c r="C3" s="157"/>
      <c r="D3" s="157"/>
      <c r="E3" s="157"/>
      <c r="F3" s="157"/>
      <c r="I3" s="157" t="s">
        <v>61</v>
      </c>
      <c r="J3" s="157"/>
      <c r="K3" s="157"/>
      <c r="L3" s="157"/>
      <c r="M3" s="157"/>
      <c r="N3" s="157"/>
      <c r="O3" s="157"/>
    </row>
    <row r="4" spans="1:15" x14ac:dyDescent="0.25">
      <c r="A4" s="13" t="s">
        <v>33</v>
      </c>
      <c r="B4" s="88"/>
      <c r="C4" s="19" t="str">
        <f>+IFERROR(VLOOKUP(B4,Stock[[#All],[Produits]:[Nom]],2,FALSE),"")</f>
        <v/>
      </c>
      <c r="D4" s="12"/>
      <c r="E4" s="12"/>
      <c r="F4" s="11"/>
      <c r="I4" s="13" t="s">
        <v>62</v>
      </c>
      <c r="J4" s="89"/>
      <c r="K4" s="11"/>
      <c r="L4" s="11"/>
      <c r="M4" s="11"/>
      <c r="N4" s="11"/>
      <c r="O4" s="11"/>
    </row>
    <row r="5" spans="1:15" x14ac:dyDescent="0.25">
      <c r="A5" s="12"/>
      <c r="B5" s="12"/>
      <c r="C5" s="12"/>
      <c r="D5" s="12"/>
      <c r="E5" s="12"/>
      <c r="F5" s="11"/>
      <c r="I5" s="11"/>
      <c r="J5" s="11"/>
      <c r="K5" s="11"/>
      <c r="L5" s="11"/>
      <c r="M5" s="11"/>
      <c r="N5" s="11"/>
      <c r="O5" s="11"/>
    </row>
    <row r="6" spans="1:15" x14ac:dyDescent="0.25">
      <c r="A6" s="13" t="s">
        <v>38</v>
      </c>
      <c r="B6" s="88"/>
      <c r="C6" s="12"/>
      <c r="D6" s="12"/>
      <c r="E6" s="12"/>
      <c r="F6" s="11"/>
      <c r="I6" s="13" t="s">
        <v>48</v>
      </c>
      <c r="J6" s="20">
        <f>+IFERROR(VLOOKUP(J4,Stock[[#All],[Produits]:[Total V HT]],7,FALSE),SUM(Stock[Stock I]))</f>
        <v>38</v>
      </c>
      <c r="K6" s="13" t="s">
        <v>44</v>
      </c>
      <c r="L6" s="21" t="str">
        <f>+IFERROR(VLOOKUP(J4,Stock[[#All],[Produits]:[Prix U HT]],3,FALSE),"")</f>
        <v/>
      </c>
      <c r="M6" s="13" t="s">
        <v>63</v>
      </c>
      <c r="N6" s="21">
        <f>+IFERROR(VLOOKUP(J4,Stock[[#All],[Produits]:[V S F HT]],13,FALSE),SUM(Stock[V S F HT]))</f>
        <v>139.5</v>
      </c>
      <c r="O6" s="11"/>
    </row>
    <row r="7" spans="1:15" x14ac:dyDescent="0.25">
      <c r="A7" s="12"/>
      <c r="B7" s="12"/>
      <c r="C7" s="12"/>
      <c r="D7" s="12"/>
      <c r="E7" s="12"/>
      <c r="F7" s="11"/>
      <c r="I7" s="11"/>
      <c r="J7" s="11"/>
      <c r="K7" s="11"/>
      <c r="L7" s="11"/>
      <c r="M7" s="11"/>
      <c r="N7" s="11"/>
      <c r="O7" s="11"/>
    </row>
    <row r="8" spans="1:15" ht="15.75" x14ac:dyDescent="0.25">
      <c r="A8" s="13" t="s">
        <v>41</v>
      </c>
      <c r="B8" s="98"/>
      <c r="C8" s="13" t="s">
        <v>40</v>
      </c>
      <c r="D8" s="155"/>
      <c r="E8" s="156"/>
      <c r="F8" s="11"/>
      <c r="I8" s="13" t="s">
        <v>49</v>
      </c>
      <c r="J8" s="20">
        <f>+IFERROR(VLOOKUP(J4,Stock[[#All],[Produits]:[Total V HT]],11,FALSE),SUM(Stock[Stock F]))</f>
        <v>38</v>
      </c>
      <c r="K8" s="13" t="s">
        <v>45</v>
      </c>
      <c r="L8" s="21" t="str">
        <f>+IFERROR(VLOOKUP(J4,Stock[[#All],[Produits]:[Prix U HT]],4,FALSE),"")</f>
        <v/>
      </c>
      <c r="M8" s="13" t="s">
        <v>64</v>
      </c>
      <c r="N8" s="21">
        <f>+IFERROR(VLOOKUP(J4,Stock[[#All],[Produits]:[Total V HT]],14,FALSE),SUM(Stock[Total V HT]))</f>
        <v>724.47333333333336</v>
      </c>
      <c r="O8" s="11"/>
    </row>
    <row r="9" spans="1:15" x14ac:dyDescent="0.25">
      <c r="A9" s="12"/>
      <c r="B9" s="12"/>
      <c r="C9" s="12"/>
      <c r="D9" s="12"/>
      <c r="E9" s="12"/>
      <c r="F9" s="11"/>
      <c r="I9" s="11"/>
      <c r="J9" s="11"/>
      <c r="K9" s="11"/>
      <c r="L9" s="11"/>
      <c r="M9" s="11"/>
      <c r="N9" s="11"/>
      <c r="O9" s="11"/>
    </row>
    <row r="13" spans="1:15" x14ac:dyDescent="0.25">
      <c r="A13" s="90" t="s">
        <v>42</v>
      </c>
      <c r="B13" s="91" t="s">
        <v>43</v>
      </c>
      <c r="C13" s="92" t="s">
        <v>44</v>
      </c>
      <c r="D13" s="92" t="s">
        <v>45</v>
      </c>
      <c r="E13" s="91" t="s">
        <v>46</v>
      </c>
      <c r="F13" s="92" t="s">
        <v>47</v>
      </c>
      <c r="G13" s="91" t="s">
        <v>48</v>
      </c>
      <c r="H13" s="91" t="s">
        <v>34</v>
      </c>
      <c r="I13" s="91" t="s">
        <v>35</v>
      </c>
      <c r="J13" s="91" t="s">
        <v>36</v>
      </c>
      <c r="K13" s="91" t="s">
        <v>49</v>
      </c>
      <c r="L13" s="92" t="s">
        <v>50</v>
      </c>
      <c r="M13" s="92" t="s">
        <v>51</v>
      </c>
      <c r="N13" s="92" t="s">
        <v>52</v>
      </c>
      <c r="O13" s="93" t="s">
        <v>53</v>
      </c>
    </row>
    <row r="14" spans="1:15" x14ac:dyDescent="0.25">
      <c r="A14" s="94" t="s">
        <v>54</v>
      </c>
      <c r="B14" s="94" t="s">
        <v>55</v>
      </c>
      <c r="C14" s="104">
        <v>4</v>
      </c>
      <c r="D14" s="104">
        <v>23.93</v>
      </c>
      <c r="E14" s="95">
        <v>0.2</v>
      </c>
      <c r="F14" s="96">
        <f>+Stock[[#This Row],[TVA]]*Stock[[#This Row],[Prix U HT]]+Stock[[#This Row],[Prix U HT]]</f>
        <v>28.716000000000001</v>
      </c>
      <c r="G14" s="103">
        <v>23</v>
      </c>
      <c r="H14" s="103">
        <f>+SUMIFS(journal[[#All],[Entrée]],journal[[#All],[Ref]],A14)</f>
        <v>0</v>
      </c>
      <c r="I14" s="103">
        <f>+SUMIFS(journal[[#All],[Sortie]],journal[[#All],[Ref]],A14)</f>
        <v>0</v>
      </c>
      <c r="J14" s="103">
        <f>+SUMIFS(journal[[#All],[Destockage]],journal[[#All],[Ref]],A14)</f>
        <v>0</v>
      </c>
      <c r="K14" s="103">
        <f>+Stock[[#This Row],[Stock I]]+Stock[[#This Row],[Entrée]]-Stock[[#This Row],[Sortie]]-Stock[[#This Row],[Destockage]]</f>
        <v>23</v>
      </c>
      <c r="L14" s="97">
        <f>+Stock[[#This Row],[Stock I]]*Stock[[#This Row],[Prix A HT]]</f>
        <v>92</v>
      </c>
      <c r="M14" s="96">
        <f>+Stock[[#This Row],[Stock F]]*Stock[[#This Row],[Prix A HT]]</f>
        <v>92</v>
      </c>
      <c r="N14" s="96">
        <f>+Stock[[#This Row],[Stock F]]*Stock[[#This Row],[Prix U HT]]</f>
        <v>550.39</v>
      </c>
      <c r="O14" s="96">
        <f>+Stock[[#This Row],[Stock F]]*Stock[[#This Row],[Prix U TTC]]</f>
        <v>660.46800000000007</v>
      </c>
    </row>
    <row r="15" spans="1:15" x14ac:dyDescent="0.25">
      <c r="A15" s="94">
        <v>3</v>
      </c>
      <c r="B15" s="94" t="s">
        <v>56</v>
      </c>
      <c r="C15" s="104">
        <v>7.5</v>
      </c>
      <c r="D15" s="104">
        <v>16.625</v>
      </c>
      <c r="E15" s="95">
        <v>0.2</v>
      </c>
      <c r="F15" s="96">
        <f>+Stock[[#This Row],[TVA]]*Stock[[#This Row],[Prix U HT]]+Stock[[#This Row],[Prix U HT]]</f>
        <v>19.95</v>
      </c>
      <c r="G15" s="103">
        <v>2</v>
      </c>
      <c r="H15" s="103">
        <f>+SUMIFS(journal[[#All],[Entrée]],journal[[#All],[Ref]],A15)</f>
        <v>0</v>
      </c>
      <c r="I15" s="103">
        <f>+SUMIFS(journal[[#All],[Sortie]],journal[[#All],[Ref]],A15)</f>
        <v>0</v>
      </c>
      <c r="J15" s="103">
        <f>+SUMIFS(journal[[#All],[Destockage]],journal[[#All],[Ref]],A15)</f>
        <v>0</v>
      </c>
      <c r="K15" s="103">
        <f>+Stock[[#This Row],[Stock I]]+Stock[[#This Row],[Entrée]]-Stock[[#This Row],[Sortie]]-Stock[[#This Row],[Destockage]]</f>
        <v>2</v>
      </c>
      <c r="L15" s="97">
        <f>+Stock[[#This Row],[Stock I]]*Stock[[#This Row],[Prix A HT]]</f>
        <v>15</v>
      </c>
      <c r="M15" s="96">
        <f>+Stock[[#This Row],[Stock F]]*Stock[[#This Row],[Prix A HT]]</f>
        <v>15</v>
      </c>
      <c r="N15" s="96">
        <f>+Stock[[#This Row],[Stock F]]*Stock[[#This Row],[Prix U HT]]</f>
        <v>33.25</v>
      </c>
      <c r="O15" s="96">
        <f>+Stock[[#This Row],[Stock F]]*Stock[[#This Row],[Prix U TTC]]</f>
        <v>39.9</v>
      </c>
    </row>
    <row r="16" spans="1:15" x14ac:dyDescent="0.25">
      <c r="A16" s="94" t="s">
        <v>57</v>
      </c>
      <c r="B16" s="94" t="s">
        <v>58</v>
      </c>
      <c r="C16" s="104">
        <v>2.5</v>
      </c>
      <c r="D16" s="104">
        <v>10.833333333333334</v>
      </c>
      <c r="E16" s="95">
        <v>0.2</v>
      </c>
      <c r="F16" s="96">
        <f>+Stock[[#This Row],[TVA]]*Stock[[#This Row],[Prix U HT]]+Stock[[#This Row],[Prix U HT]]</f>
        <v>13</v>
      </c>
      <c r="G16" s="103">
        <v>13</v>
      </c>
      <c r="H16" s="103">
        <f>+SUMIFS(journal[[#All],[Entrée]],journal[[#All],[Ref]],A16)</f>
        <v>0</v>
      </c>
      <c r="I16" s="103">
        <f>+SUMIFS(journal[[#All],[Sortie]],journal[[#All],[Ref]],A16)</f>
        <v>0</v>
      </c>
      <c r="J16" s="103">
        <f>+SUMIFS(journal[[#All],[Destockage]],journal[[#All],[Ref]],A16)</f>
        <v>0</v>
      </c>
      <c r="K16" s="103">
        <f>+Stock[[#This Row],[Stock I]]+Stock[[#This Row],[Entrée]]-Stock[[#This Row],[Sortie]]-Stock[[#This Row],[Destockage]]</f>
        <v>13</v>
      </c>
      <c r="L16" s="97">
        <f>+Stock[[#This Row],[Stock I]]*Stock[[#This Row],[Prix A HT]]</f>
        <v>32.5</v>
      </c>
      <c r="M16" s="96">
        <f>+Stock[[#This Row],[Stock F]]*Stock[[#This Row],[Prix A HT]]</f>
        <v>32.5</v>
      </c>
      <c r="N16" s="96">
        <f>+Stock[[#This Row],[Stock F]]*Stock[[#This Row],[Prix U HT]]</f>
        <v>140.83333333333334</v>
      </c>
      <c r="O16" s="96">
        <f>+Stock[[#This Row],[Stock F]]*Stock[[#This Row],[Prix U TTC]]</f>
        <v>169</v>
      </c>
    </row>
    <row r="17" spans="1:15" x14ac:dyDescent="0.25">
      <c r="A17" s="94" t="s">
        <v>59</v>
      </c>
      <c r="B17" s="94" t="s">
        <v>60</v>
      </c>
      <c r="C17" s="104">
        <v>9.5750000000000011</v>
      </c>
      <c r="D17" s="104">
        <v>19.958333333333332</v>
      </c>
      <c r="E17" s="95">
        <v>0.2</v>
      </c>
      <c r="F17" s="96">
        <f>+Stock[[#This Row],[TVA]]*Stock[[#This Row],[Prix U HT]]+Stock[[#This Row],[Prix U HT]]</f>
        <v>23.95</v>
      </c>
      <c r="G17" s="103">
        <v>0</v>
      </c>
      <c r="H17" s="103">
        <f>+SUMIFS(journal[[#All],[Entrée]],journal[[#All],[Ref]],A17)</f>
        <v>0</v>
      </c>
      <c r="I17" s="103">
        <f>+SUMIFS(journal[[#All],[Sortie]],journal[[#All],[Ref]],A17)</f>
        <v>0</v>
      </c>
      <c r="J17" s="103">
        <f>+SUMIFS(journal[[#All],[Destockage]],journal[[#All],[Ref]],A17)</f>
        <v>0</v>
      </c>
      <c r="K17" s="103">
        <f>+Stock[[#This Row],[Stock I]]+Stock[[#This Row],[Entrée]]-Stock[[#This Row],[Sortie]]-Stock[[#This Row],[Destockage]]</f>
        <v>0</v>
      </c>
      <c r="L17" s="97">
        <f>+Stock[[#This Row],[Stock I]]*Stock[[#This Row],[Prix A HT]]</f>
        <v>0</v>
      </c>
      <c r="M17" s="96">
        <f>+Stock[[#This Row],[Stock F]]*Stock[[#This Row],[Prix A HT]]</f>
        <v>0</v>
      </c>
      <c r="N17" s="96">
        <f>+Stock[[#This Row],[Stock F]]*Stock[[#This Row],[Prix U HT]]</f>
        <v>0</v>
      </c>
      <c r="O17" s="96">
        <f>+Stock[[#This Row],[Stock F]]*Stock[[#This Row],[Prix U TTC]]</f>
        <v>0</v>
      </c>
    </row>
  </sheetData>
  <sheetProtection selectLockedCells="1"/>
  <mergeCells count="3">
    <mergeCell ref="D8:E8"/>
    <mergeCell ref="B3:F3"/>
    <mergeCell ref="I3:O3"/>
  </mergeCells>
  <pageMargins left="0.7" right="0.7" top="0.75" bottom="0.75" header="0.3" footer="0.3"/>
  <pageSetup paperSize="9" orientation="portrait" verticalDpi="0" r:id="rId1"/>
  <ignoredErrors>
    <ignoredError sqref="F14:O1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4" r:id="rId4" name="Button 8">
              <controlPr defaultSize="0" print="0" autoFill="0" autoPict="0" macro="[0]!rea_destock">
                <anchor moveWithCells="1" sizeWithCells="1">
                  <from>
                    <xdr:col>6</xdr:col>
                    <xdr:colOff>104775</xdr:colOff>
                    <xdr:row>4</xdr:row>
                    <xdr:rowOff>66675</xdr:rowOff>
                  </from>
                  <to>
                    <xdr:col>7</xdr:col>
                    <xdr:colOff>695325</xdr:colOff>
                    <xdr:row>7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M2"/>
  <sheetViews>
    <sheetView workbookViewId="0">
      <selection activeCell="G4" sqref="G4"/>
    </sheetView>
  </sheetViews>
  <sheetFormatPr baseColWidth="10" defaultRowHeight="15" x14ac:dyDescent="0.25"/>
  <cols>
    <col min="1" max="1" width="15.5703125" style="15" bestFit="1" customWidth="1"/>
    <col min="4" max="4" width="12.42578125" customWidth="1"/>
    <col min="5" max="5" width="12" customWidth="1"/>
    <col min="6" max="6" width="14.5703125" customWidth="1"/>
    <col min="7" max="7" width="18.28515625" customWidth="1"/>
    <col min="8" max="8" width="16.5703125" customWidth="1"/>
    <col min="9" max="9" width="12.140625" style="16" customWidth="1"/>
    <col min="10" max="10" width="14.140625" style="16" customWidth="1"/>
    <col min="11" max="11" width="14.5703125" customWidth="1"/>
    <col min="12" max="12" width="14.28515625" customWidth="1"/>
    <col min="13" max="13" width="15.140625" style="16" customWidth="1"/>
  </cols>
  <sheetData>
    <row r="1" spans="1:13" s="87" customFormat="1" x14ac:dyDescent="0.2">
      <c r="A1" s="105" t="s">
        <v>31</v>
      </c>
      <c r="B1" s="105" t="s">
        <v>89</v>
      </c>
      <c r="C1" s="106" t="s">
        <v>33</v>
      </c>
      <c r="D1" s="106" t="s">
        <v>68</v>
      </c>
      <c r="E1" s="105" t="s">
        <v>47</v>
      </c>
      <c r="F1" s="106" t="s">
        <v>65</v>
      </c>
      <c r="G1" s="105" t="s">
        <v>66</v>
      </c>
      <c r="H1" s="105" t="s">
        <v>73</v>
      </c>
      <c r="I1" s="105" t="s">
        <v>74</v>
      </c>
      <c r="J1" s="105" t="s">
        <v>75</v>
      </c>
      <c r="K1" s="105" t="s">
        <v>76</v>
      </c>
      <c r="L1" s="106" t="s">
        <v>90</v>
      </c>
      <c r="M1" s="106" t="s">
        <v>91</v>
      </c>
    </row>
    <row r="2" spans="1:13" x14ac:dyDescent="0.25">
      <c r="A2" s="129"/>
      <c r="B2" s="126"/>
      <c r="C2" s="127"/>
      <c r="D2" s="127"/>
      <c r="E2" s="128"/>
      <c r="F2" s="127"/>
      <c r="G2" s="126"/>
      <c r="H2" s="126"/>
      <c r="I2" s="125"/>
      <c r="J2" s="125"/>
      <c r="K2" s="126"/>
      <c r="L2" s="127"/>
      <c r="M2" s="125"/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BDD</vt:lpstr>
      <vt:lpstr>FDV</vt:lpstr>
      <vt:lpstr>Ticket</vt:lpstr>
      <vt:lpstr>J</vt:lpstr>
      <vt:lpstr>S</vt:lpstr>
      <vt:lpstr>A</vt:lpstr>
      <vt:lpstr>transporteur</vt:lpstr>
      <vt:lpstr>TVA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</dc:creator>
  <cp:lastModifiedBy>Dany</cp:lastModifiedBy>
  <dcterms:created xsi:type="dcterms:W3CDTF">2015-06-05T18:17:20Z</dcterms:created>
  <dcterms:modified xsi:type="dcterms:W3CDTF">2021-03-11T13:22:48Z</dcterms:modified>
</cp:coreProperties>
</file>