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lek\Desktop\"/>
    </mc:Choice>
  </mc:AlternateContent>
  <xr:revisionPtr revIDLastSave="0" documentId="13_ncr:1_{187AC785-CFD9-4D21-AAB6-7319642748A9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BDD" sheetId="1" r:id="rId1"/>
    <sheet name="FDV" sheetId="2" r:id="rId2"/>
    <sheet name="Ticket" sheetId="6" r:id="rId3"/>
    <sheet name="J" sheetId="3" r:id="rId4"/>
    <sheet name="S" sheetId="4" r:id="rId5"/>
    <sheet name="A" sheetId="5" r:id="rId6"/>
  </sheets>
  <definedNames>
    <definedName name="transporteur">BDD!$K$1:$K$4</definedName>
    <definedName name="TVA">BDD!$D$1:$D$4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6" l="1"/>
  <c r="D29" i="6"/>
  <c r="B29" i="6"/>
  <c r="B28" i="6"/>
  <c r="B27" i="6"/>
  <c r="E25" i="6"/>
  <c r="B25" i="6"/>
  <c r="E24" i="6"/>
  <c r="B24" i="6"/>
  <c r="C20" i="6"/>
  <c r="C19" i="6"/>
  <c r="C18" i="6"/>
  <c r="C17" i="6"/>
  <c r="C16" i="6"/>
  <c r="C15" i="6"/>
  <c r="C14" i="6"/>
  <c r="C13" i="6"/>
  <c r="E12" i="6"/>
  <c r="D12" i="6"/>
  <c r="C12" i="6"/>
  <c r="B12" i="6"/>
  <c r="B10" i="6"/>
  <c r="B9" i="6"/>
  <c r="B8" i="6"/>
  <c r="B5" i="6"/>
  <c r="B4" i="6"/>
  <c r="B3" i="6"/>
  <c r="B2" i="6"/>
  <c r="B1" i="6"/>
  <c r="B22" i="6" l="1"/>
  <c r="L2" i="5"/>
  <c r="K2" i="5"/>
  <c r="J2" i="5"/>
  <c r="I2" i="5"/>
  <c r="H2" i="5"/>
  <c r="G2" i="5"/>
  <c r="F2" i="5"/>
  <c r="D2" i="5"/>
  <c r="D3" i="5"/>
  <c r="D4" i="5"/>
  <c r="D5" i="5"/>
  <c r="D6" i="5"/>
  <c r="D7" i="5"/>
  <c r="D8" i="5"/>
  <c r="D9" i="5"/>
  <c r="D10" i="5"/>
  <c r="C2" i="5"/>
  <c r="C10" i="5"/>
  <c r="C9" i="5"/>
  <c r="C8" i="5"/>
  <c r="C3" i="5"/>
  <c r="C4" i="5"/>
  <c r="C5" i="5"/>
  <c r="C6" i="5"/>
  <c r="C7" i="5"/>
  <c r="F5" i="2"/>
  <c r="F6" i="2"/>
  <c r="F7" i="2"/>
  <c r="F8" i="2"/>
  <c r="F9" i="2"/>
  <c r="F10" i="2"/>
  <c r="F11" i="2"/>
  <c r="F12" i="2"/>
  <c r="F13" i="2"/>
  <c r="B5" i="2"/>
  <c r="B6" i="2"/>
  <c r="B13" i="6" s="1"/>
  <c r="B7" i="2"/>
  <c r="B14" i="6" s="1"/>
  <c r="B8" i="2"/>
  <c r="B15" i="6" s="1"/>
  <c r="B9" i="2"/>
  <c r="B16" i="6" s="1"/>
  <c r="B10" i="2"/>
  <c r="B17" i="6" s="1"/>
  <c r="B11" i="2"/>
  <c r="B18" i="6" s="1"/>
  <c r="B12" i="2"/>
  <c r="B19" i="6" s="1"/>
  <c r="B13" i="2"/>
  <c r="B20" i="6" s="1"/>
  <c r="A2" i="5" l="1"/>
  <c r="G14" i="2"/>
  <c r="E14" i="2"/>
  <c r="G12" i="2" l="1"/>
  <c r="G8" i="2"/>
  <c r="G9" i="2"/>
  <c r="G5" i="2"/>
  <c r="G11" i="2"/>
  <c r="G7" i="2"/>
  <c r="G13" i="2"/>
  <c r="G10" i="2"/>
  <c r="G6" i="2"/>
  <c r="L8" i="4" l="1"/>
  <c r="L6" i="4"/>
  <c r="J6" i="4"/>
  <c r="C4" i="4"/>
  <c r="L14" i="4"/>
  <c r="L15" i="4"/>
  <c r="L16" i="4"/>
  <c r="L17" i="4"/>
  <c r="J14" i="4"/>
  <c r="J15" i="4"/>
  <c r="J16" i="4"/>
  <c r="J17" i="4"/>
  <c r="I14" i="4"/>
  <c r="I15" i="4"/>
  <c r="I16" i="4"/>
  <c r="I17" i="4"/>
  <c r="H14" i="4"/>
  <c r="K14" i="4" s="1"/>
  <c r="H15" i="4"/>
  <c r="H16" i="4"/>
  <c r="K16" i="4" s="1"/>
  <c r="H17" i="4"/>
  <c r="F14" i="4"/>
  <c r="F15" i="4"/>
  <c r="F16" i="4"/>
  <c r="F17" i="4"/>
  <c r="G2" i="4"/>
  <c r="F2" i="4"/>
  <c r="D2" i="4"/>
  <c r="C2" i="4"/>
  <c r="A3" i="4"/>
  <c r="A2" i="4" s="1"/>
  <c r="D9" i="2" l="1"/>
  <c r="D16" i="6" s="1"/>
  <c r="D13" i="2"/>
  <c r="D20" i="6" s="1"/>
  <c r="D11" i="2"/>
  <c r="D18" i="6" s="1"/>
  <c r="D6" i="2"/>
  <c r="D13" i="6" s="1"/>
  <c r="D10" i="2"/>
  <c r="D17" i="6" s="1"/>
  <c r="D7" i="2"/>
  <c r="D14" i="6" s="1"/>
  <c r="D12" i="2"/>
  <c r="D19" i="6" s="1"/>
  <c r="D5" i="2"/>
  <c r="D8" i="2"/>
  <c r="D15" i="6" s="1"/>
  <c r="K15" i="4"/>
  <c r="N15" i="4" s="1"/>
  <c r="K17" i="4"/>
  <c r="O17" i="4" s="1"/>
  <c r="O16" i="4"/>
  <c r="N16" i="4"/>
  <c r="M16" i="4"/>
  <c r="O14" i="4"/>
  <c r="N14" i="4"/>
  <c r="M14" i="4"/>
  <c r="E2" i="5" l="1"/>
  <c r="E5" i="2"/>
  <c r="E6" i="2"/>
  <c r="E13" i="6" s="1"/>
  <c r="E3" i="5"/>
  <c r="E12" i="2"/>
  <c r="E19" i="6" s="1"/>
  <c r="E9" i="5"/>
  <c r="E8" i="5"/>
  <c r="E11" i="2"/>
  <c r="E18" i="6" s="1"/>
  <c r="E7" i="2"/>
  <c r="E14" i="6" s="1"/>
  <c r="E4" i="5"/>
  <c r="E10" i="5"/>
  <c r="E13" i="2"/>
  <c r="E20" i="6" s="1"/>
  <c r="E5" i="5"/>
  <c r="E8" i="2"/>
  <c r="E15" i="6" s="1"/>
  <c r="E7" i="5"/>
  <c r="E10" i="2"/>
  <c r="E17" i="6" s="1"/>
  <c r="E9" i="2"/>
  <c r="E16" i="6" s="1"/>
  <c r="E6" i="5"/>
  <c r="J8" i="4"/>
  <c r="M15" i="4"/>
  <c r="O15" i="4"/>
  <c r="M17" i="4"/>
  <c r="N17" i="4"/>
  <c r="N8" i="4" s="1"/>
  <c r="E23" i="6" l="1"/>
  <c r="E26" i="6" s="1"/>
  <c r="E27" i="6" s="1"/>
  <c r="J4" i="2"/>
  <c r="J14" i="2" s="1"/>
  <c r="N6" i="4"/>
  <c r="J15" i="2" l="1"/>
  <c r="E28" i="6" s="1"/>
  <c r="M2" i="5"/>
  <c r="J16" i="2" l="1"/>
  <c r="B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3" authorId="0" shapeId="0" xr:uid="{00000000-0006-0000-0300-000001000000}">
      <text>
        <r>
          <rPr>
            <b/>
            <i/>
            <sz val="10"/>
            <color indexed="10"/>
            <rFont val="Baskerville Old Face"/>
            <family val="1"/>
          </rPr>
          <t>Prix A HT</t>
        </r>
        <r>
          <rPr>
            <i/>
            <sz val="10"/>
            <color indexed="8"/>
            <rFont val="Baskerville Old Face"/>
            <family val="1"/>
          </rPr>
          <t xml:space="preserve">
Pris d'Achat Hors Taxe</t>
        </r>
      </text>
    </comment>
    <comment ref="D13" authorId="0" shapeId="0" xr:uid="{00000000-0006-0000-0300-000002000000}">
      <text>
        <r>
          <rPr>
            <b/>
            <i/>
            <sz val="10"/>
            <color indexed="10"/>
            <rFont val="Baskerville Old Face"/>
            <family val="1"/>
          </rPr>
          <t>Prix U HT</t>
        </r>
        <r>
          <rPr>
            <i/>
            <sz val="10"/>
            <color indexed="8"/>
            <rFont val="Baskerville Old Face"/>
            <family val="1"/>
          </rPr>
          <t xml:space="preserve">
Prix Unitaire Hors Taxe</t>
        </r>
      </text>
    </comment>
    <comment ref="F13" authorId="0" shapeId="0" xr:uid="{00000000-0006-0000-0300-000003000000}">
      <text>
        <r>
          <rPr>
            <b/>
            <i/>
            <sz val="10"/>
            <color indexed="10"/>
            <rFont val="Baskerville Old Face"/>
            <family val="1"/>
          </rPr>
          <t>Prix U TTC</t>
        </r>
        <r>
          <rPr>
            <i/>
            <sz val="10"/>
            <color indexed="8"/>
            <rFont val="Baskerville Old Face"/>
            <family val="1"/>
          </rPr>
          <t xml:space="preserve">
Prix Unitaire Toutes Taxes Comprise</t>
        </r>
      </text>
    </comment>
    <comment ref="L13" authorId="0" shapeId="0" xr:uid="{00000000-0006-0000-0300-000004000000}">
      <text>
        <r>
          <rPr>
            <b/>
            <i/>
            <sz val="10"/>
            <color indexed="10"/>
            <rFont val="Baskerville Old Face"/>
            <family val="1"/>
          </rPr>
          <t>V S I HT</t>
        </r>
        <r>
          <rPr>
            <i/>
            <sz val="10"/>
            <color indexed="8"/>
            <rFont val="Baskerville Old Face"/>
            <family val="1"/>
          </rPr>
          <t xml:space="preserve">
Valeur Stock Initial Hors taxe</t>
        </r>
      </text>
    </comment>
    <comment ref="M13" authorId="0" shapeId="0" xr:uid="{00000000-0006-0000-0300-000005000000}">
      <text>
        <r>
          <rPr>
            <b/>
            <i/>
            <sz val="10"/>
            <color indexed="10"/>
            <rFont val="Baskerville Old Face"/>
            <family val="1"/>
          </rPr>
          <t>V S F HT</t>
        </r>
        <r>
          <rPr>
            <i/>
            <sz val="10"/>
            <color indexed="8"/>
            <rFont val="Baskerville Old Face"/>
            <family val="1"/>
          </rPr>
          <t xml:space="preserve">
Valeur Stock Final Hors Taxe</t>
        </r>
      </text>
    </comment>
    <comment ref="N13" authorId="0" shapeId="0" xr:uid="{00000000-0006-0000-0300-000006000000}">
      <text>
        <r>
          <rPr>
            <b/>
            <i/>
            <sz val="10"/>
            <color indexed="10"/>
            <rFont val="Baskerville Old Face"/>
            <family val="1"/>
          </rPr>
          <t>Total V HT</t>
        </r>
        <r>
          <rPr>
            <i/>
            <sz val="10"/>
            <color indexed="8"/>
            <rFont val="Baskerville Old Face"/>
            <family val="1"/>
          </rPr>
          <t xml:space="preserve">
Total Vente Hors Taxe</t>
        </r>
      </text>
    </comment>
    <comment ref="O13" authorId="0" shapeId="0" xr:uid="{00000000-0006-0000-0300-000007000000}">
      <text>
        <r>
          <rPr>
            <b/>
            <i/>
            <sz val="10"/>
            <color indexed="10"/>
            <rFont val="Baskerville Old Face"/>
            <family val="1"/>
          </rPr>
          <t>Total V TTC</t>
        </r>
        <r>
          <rPr>
            <i/>
            <sz val="10"/>
            <color indexed="8"/>
            <rFont val="Baskerville Old Face"/>
            <family val="1"/>
          </rPr>
          <t xml:space="preserve">
Total Vente Toutes Taxes Comprise</t>
        </r>
      </text>
    </comment>
  </commentList>
</comments>
</file>

<file path=xl/sharedStrings.xml><?xml version="1.0" encoding="utf-8"?>
<sst xmlns="http://schemas.openxmlformats.org/spreadsheetml/2006/main" count="132" uniqueCount="96">
  <si>
    <t>A afficher</t>
  </si>
  <si>
    <t>Siret :</t>
  </si>
  <si>
    <t>+33 6 12 34 56 78</t>
  </si>
  <si>
    <t>Tel</t>
  </si>
  <si>
    <t>Amazon</t>
  </si>
  <si>
    <t>Ville1</t>
  </si>
  <si>
    <t>Ville</t>
  </si>
  <si>
    <t>Mondial Relay</t>
  </si>
  <si>
    <t>Rakuten</t>
  </si>
  <si>
    <t>En compte</t>
  </si>
  <si>
    <t>Société UE</t>
  </si>
  <si>
    <t>CP1</t>
  </si>
  <si>
    <t>CP</t>
  </si>
  <si>
    <t>La poste</t>
  </si>
  <si>
    <t>Cdiscount</t>
  </si>
  <si>
    <t>Carte Bancaire</t>
  </si>
  <si>
    <t>Hors.UE</t>
  </si>
  <si>
    <t>Addr 2</t>
  </si>
  <si>
    <t>Adresse 2</t>
  </si>
  <si>
    <t>GLS</t>
  </si>
  <si>
    <t>eBay</t>
  </si>
  <si>
    <t>Virement</t>
  </si>
  <si>
    <t>UE</t>
  </si>
  <si>
    <t>Addr1</t>
  </si>
  <si>
    <t>Adresse 1</t>
  </si>
  <si>
    <t>Comptoir</t>
  </si>
  <si>
    <t>Site</t>
  </si>
  <si>
    <t>Chèque</t>
  </si>
  <si>
    <t>FR</t>
  </si>
  <si>
    <t>STE ABC</t>
  </si>
  <si>
    <t>Société :</t>
  </si>
  <si>
    <t>Date</t>
  </si>
  <si>
    <t>FdV</t>
  </si>
  <si>
    <t>Ref</t>
  </si>
  <si>
    <t>Entrée</t>
  </si>
  <si>
    <t>Sortie</t>
  </si>
  <si>
    <t>Destockage</t>
  </si>
  <si>
    <t>Description</t>
  </si>
  <si>
    <t>Entrée Stock</t>
  </si>
  <si>
    <t>REASSORT / DESTOCKAGE</t>
  </si>
  <si>
    <t>Motif</t>
  </si>
  <si>
    <t>Déstockage</t>
  </si>
  <si>
    <t>Produits</t>
  </si>
  <si>
    <t>Nom</t>
  </si>
  <si>
    <t>Prix A HT</t>
  </si>
  <si>
    <t>Prix U HT</t>
  </si>
  <si>
    <t>TVA</t>
  </si>
  <si>
    <t>Prix U TTC</t>
  </si>
  <si>
    <t>Stock I</t>
  </si>
  <si>
    <t>Stock F</t>
  </si>
  <si>
    <t>V S I HT</t>
  </si>
  <si>
    <t>V S F HT</t>
  </si>
  <si>
    <t>Total V HT</t>
  </si>
  <si>
    <t>Total V TTC</t>
  </si>
  <si>
    <t>test</t>
  </si>
  <si>
    <t>DOUDOU MAILEG LAPIN ROSE ANGEL DANS UNE CHAUSSETTE MINI PANTIN</t>
  </si>
  <si>
    <t>Doudou et Compagnie Lapin Celeste Boule DC2399</t>
  </si>
  <si>
    <t>news</t>
  </si>
  <si>
    <t>Doudou et compagnie ours plat arc en ciel nuage de couleur DC1031</t>
  </si>
  <si>
    <t>M47</t>
  </si>
  <si>
    <t>Doudou Kaloo  Perle ours Ourson marionnette bleu</t>
  </si>
  <si>
    <t>VALEUR STOCK</t>
  </si>
  <si>
    <t>Par Ref</t>
  </si>
  <si>
    <t>Stock H.T</t>
  </si>
  <si>
    <t>Stock V H.T</t>
  </si>
  <si>
    <t>Plateforme</t>
  </si>
  <si>
    <t>N° de commande</t>
  </si>
  <si>
    <t>230-258</t>
  </si>
  <si>
    <t>Nom Pdt</t>
  </si>
  <si>
    <t>Quantité</t>
  </si>
  <si>
    <t>Prix total</t>
  </si>
  <si>
    <t>Sock initial</t>
  </si>
  <si>
    <t>Stock restant</t>
  </si>
  <si>
    <t>Total commande</t>
  </si>
  <si>
    <t>TVA Applicable</t>
  </si>
  <si>
    <t>Réduction</t>
  </si>
  <si>
    <t>Frais de Port</t>
  </si>
  <si>
    <t>Transporteur</t>
  </si>
  <si>
    <t>Pas au-delà</t>
  </si>
  <si>
    <t/>
  </si>
  <si>
    <t>TOTAL TTC PAYE</t>
  </si>
  <si>
    <t>HT</t>
  </si>
  <si>
    <t>Type de règlement</t>
  </si>
  <si>
    <t>Fiche de vente</t>
  </si>
  <si>
    <t>2021-313</t>
  </si>
  <si>
    <t>LIBELLE</t>
  </si>
  <si>
    <t>QTE</t>
  </si>
  <si>
    <t>PU</t>
  </si>
  <si>
    <t>TOTAL</t>
  </si>
  <si>
    <t>Total Commandé</t>
  </si>
  <si>
    <t>TOTAL EUR</t>
  </si>
  <si>
    <t>Merci pour votre achat</t>
  </si>
  <si>
    <t>Fdv</t>
  </si>
  <si>
    <t>Règlement</t>
  </si>
  <si>
    <t>TOTAL PAYE</t>
  </si>
  <si>
    <t>essai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</si>
</sst>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#;\-#,###;;@"/>
    <numFmt numFmtId="166" formatCode="_-* #,##0\ _€_-;\-* #,##0\ _€_-;_-* &quot;-&quot;??\ _€_-;_-@_-"/>
    <numFmt numFmtId="167" formatCode="0;\-0;;@"/>
    <numFmt numFmtId="168" formatCode="0.00&quot; Eur&quot;;\-0.00&quot; Eur&quot;;;@"/>
    <numFmt numFmtId="169" formatCode="0&quot; articles&quot;"/>
    <numFmt numFmtId="170" formatCode="0.00&quot; Eur&quot;;0.00&quot; Eur&quot;;;@"/>
    <numFmt numFmtId="171" formatCode="_-* #,##0.00,&quot;Eur&quot;;\-* #,##0.00&quot; Eur&quot;_-;;_-@_-"/>
    <numFmt numFmtId="172" formatCode="_-* #,##0.000\ _€_-;\-* #,##0.0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indexed="10"/>
      <name val="Baskerville Old Face"/>
      <family val="1"/>
    </font>
    <font>
      <i/>
      <sz val="10"/>
      <color indexed="8"/>
      <name val="Baskerville Old Face"/>
      <family val="1"/>
    </font>
    <font>
      <sz val="10"/>
      <name val="Arial"/>
      <family val="2"/>
    </font>
    <font>
      <sz val="9"/>
      <color theme="0"/>
      <name val="Calibri"/>
      <family val="2"/>
      <scheme val="minor"/>
    </font>
    <font>
      <b/>
      <sz val="11"/>
      <color theme="0"/>
      <name val="Baskerville Old Face"/>
      <family val="1"/>
    </font>
    <font>
      <sz val="12"/>
      <color theme="1"/>
      <name val="Calibri"/>
      <family val="2"/>
      <scheme val="minor"/>
    </font>
    <font>
      <sz val="14"/>
      <color theme="0"/>
      <name val="Baskerville Old Face"/>
      <family val="1"/>
    </font>
    <font>
      <sz val="11"/>
      <color theme="0"/>
      <name val="Baskerville Old Face"/>
      <family val="1"/>
    </font>
    <font>
      <sz val="12"/>
      <color theme="1"/>
      <name val="Baskerville Old Face"/>
      <family val="1"/>
    </font>
    <font>
      <sz val="14"/>
      <color theme="1"/>
      <name val="Baskerville Old Face"/>
      <family val="1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Baskerville Old Face"/>
      <family val="1"/>
    </font>
    <font>
      <b/>
      <sz val="11"/>
      <color theme="1"/>
      <name val="Calibri Light"/>
      <family val="2"/>
      <scheme val="maj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0"/>
      <name val="Baskerville Old Face"/>
      <family val="1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5"/>
      <color rgb="FF00336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dotted">
        <color indexed="64"/>
      </bottom>
      <diagonal/>
    </border>
    <border>
      <left/>
      <right/>
      <top style="thick">
        <color auto="1"/>
      </top>
      <bottom style="dotted">
        <color indexed="64"/>
      </bottom>
      <diagonal/>
    </border>
    <border>
      <left/>
      <right style="thin">
        <color indexed="64"/>
      </right>
      <top style="thick">
        <color auto="1"/>
      </top>
      <bottom style="dotted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11" fillId="2" borderId="0" xfId="0" applyFont="1" applyFill="1" applyBorder="1" applyAlignment="1" applyProtection="1">
      <alignment horizontal="left" vertical="center"/>
      <protection hidden="1"/>
    </xf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quotePrefix="1" applyBorder="1"/>
    <xf numFmtId="0" fontId="0" fillId="0" borderId="5" xfId="0" applyBorder="1"/>
    <xf numFmtId="0" fontId="0" fillId="0" borderId="4" xfId="0" applyBorder="1"/>
    <xf numFmtId="9" fontId="0" fillId="0" borderId="4" xfId="4" applyFont="1" applyBorder="1"/>
    <xf numFmtId="0" fontId="0" fillId="0" borderId="6" xfId="0" applyBorder="1"/>
    <xf numFmtId="0" fontId="0" fillId="0" borderId="7" xfId="0" applyBorder="1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14" fontId="5" fillId="2" borderId="0" xfId="0" applyNumberFormat="1" applyFont="1" applyFill="1" applyAlignment="1">
      <alignment vertical="center"/>
    </xf>
    <xf numFmtId="14" fontId="0" fillId="0" borderId="0" xfId="0" applyNumberFormat="1"/>
    <xf numFmtId="44" fontId="0" fillId="0" borderId="0" xfId="3" applyFont="1"/>
    <xf numFmtId="14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0" fillId="2" borderId="0" xfId="0" applyFont="1" applyFill="1"/>
    <xf numFmtId="0" fontId="0" fillId="0" borderId="8" xfId="0" applyFill="1" applyBorder="1" applyAlignment="1">
      <alignment horizontal="center"/>
    </xf>
    <xf numFmtId="44" fontId="0" fillId="0" borderId="8" xfId="3" applyFont="1" applyFill="1" applyBorder="1"/>
    <xf numFmtId="0" fontId="11" fillId="2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/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left" vertical="center"/>
      <protection hidden="1"/>
    </xf>
    <xf numFmtId="164" fontId="3" fillId="2" borderId="0" xfId="0" applyNumberFormat="1" applyFont="1" applyFill="1" applyAlignment="1">
      <alignment horizontal="left"/>
    </xf>
    <xf numFmtId="0" fontId="0" fillId="3" borderId="13" xfId="1" applyNumberFormat="1" applyFont="1" applyFill="1" applyBorder="1" applyAlignment="1">
      <alignment horizontal="left" vertical="center"/>
    </xf>
    <xf numFmtId="0" fontId="12" fillId="3" borderId="13" xfId="1" applyNumberFormat="1" applyFont="1" applyFill="1" applyBorder="1" applyAlignment="1">
      <alignment horizontal="left" vertical="center"/>
    </xf>
    <xf numFmtId="0" fontId="12" fillId="3" borderId="13" xfId="1" applyNumberFormat="1" applyFont="1" applyFill="1" applyBorder="1" applyAlignment="1">
      <alignment horizontal="center" vertical="center"/>
    </xf>
    <xf numFmtId="44" fontId="12" fillId="3" borderId="13" xfId="3" applyFont="1" applyFill="1" applyBorder="1" applyAlignment="1">
      <alignment horizontal="left" vertical="center"/>
    </xf>
    <xf numFmtId="0" fontId="0" fillId="0" borderId="13" xfId="1" applyNumberFormat="1" applyFont="1" applyBorder="1" applyAlignment="1">
      <alignment horizontal="left" vertical="center"/>
    </xf>
    <xf numFmtId="0" fontId="12" fillId="0" borderId="13" xfId="1" applyNumberFormat="1" applyFont="1" applyBorder="1" applyAlignment="1">
      <alignment horizontal="left" vertical="center"/>
    </xf>
    <xf numFmtId="0" fontId="12" fillId="0" borderId="13" xfId="1" applyNumberFormat="1" applyFont="1" applyBorder="1" applyAlignment="1">
      <alignment horizontal="center" vertical="center"/>
    </xf>
    <xf numFmtId="44" fontId="12" fillId="0" borderId="13" xfId="3" applyFont="1" applyBorder="1" applyAlignment="1">
      <alignment horizontal="left" vertical="center"/>
    </xf>
    <xf numFmtId="0" fontId="12" fillId="4" borderId="0" xfId="0" applyFont="1" applyFill="1"/>
    <xf numFmtId="0" fontId="12" fillId="2" borderId="0" xfId="0" applyFont="1" applyFill="1"/>
    <xf numFmtId="164" fontId="0" fillId="4" borderId="0" xfId="0" applyNumberFormat="1" applyFont="1" applyFill="1" applyAlignment="1"/>
    <xf numFmtId="164" fontId="0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/>
    <xf numFmtId="164" fontId="0" fillId="4" borderId="0" xfId="2" applyNumberFormat="1" applyFont="1" applyFill="1" applyAlignment="1"/>
    <xf numFmtId="164" fontId="0" fillId="2" borderId="0" xfId="2" applyNumberFormat="1" applyFont="1" applyFill="1" applyAlignment="1">
      <alignment horizontal="left"/>
    </xf>
    <xf numFmtId="164" fontId="0" fillId="2" borderId="0" xfId="2" applyNumberFormat="1" applyFont="1" applyFill="1" applyAlignment="1"/>
    <xf numFmtId="0" fontId="0" fillId="4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5" fillId="0" borderId="0" xfId="0" applyFont="1" applyFill="1" applyBorder="1" applyProtection="1">
      <protection locked="0" hidden="1"/>
    </xf>
    <xf numFmtId="165" fontId="16" fillId="0" borderId="0" xfId="2" applyNumberFormat="1" applyFont="1" applyFill="1" applyBorder="1" applyProtection="1">
      <protection hidden="1"/>
    </xf>
    <xf numFmtId="164" fontId="16" fillId="0" borderId="0" xfId="0" applyNumberFormat="1" applyFont="1" applyFill="1" applyBorder="1" applyProtection="1">
      <protection hidden="1"/>
    </xf>
    <xf numFmtId="164" fontId="16" fillId="0" borderId="0" xfId="3" applyNumberFormat="1" applyFont="1" applyFill="1" applyBorder="1" applyProtection="1">
      <protection hidden="1"/>
    </xf>
    <xf numFmtId="166" fontId="16" fillId="0" borderId="0" xfId="2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/>
    <xf numFmtId="164" fontId="2" fillId="2" borderId="0" xfId="0" applyNumberFormat="1" applyFont="1" applyFill="1"/>
    <xf numFmtId="0" fontId="18" fillId="2" borderId="0" xfId="0" applyFont="1" applyFill="1"/>
    <xf numFmtId="43" fontId="18" fillId="2" borderId="0" xfId="2" applyFont="1" applyFill="1"/>
    <xf numFmtId="43" fontId="3" fillId="2" borderId="0" xfId="0" applyNumberFormat="1" applyFont="1" applyFill="1"/>
    <xf numFmtId="0" fontId="19" fillId="4" borderId="16" xfId="0" applyFont="1" applyFill="1" applyBorder="1" applyAlignment="1" applyProtection="1">
      <protection hidden="1"/>
    </xf>
    <xf numFmtId="0" fontId="19" fillId="4" borderId="0" xfId="0" applyFont="1" applyFill="1" applyBorder="1" applyAlignment="1" applyProtection="1">
      <protection hidden="1"/>
    </xf>
    <xf numFmtId="0" fontId="19" fillId="4" borderId="17" xfId="0" applyFont="1" applyFill="1" applyBorder="1" applyAlignment="1" applyProtection="1">
      <protection hidden="1"/>
    </xf>
    <xf numFmtId="0" fontId="19" fillId="4" borderId="18" xfId="0" applyFont="1" applyFill="1" applyBorder="1" applyAlignment="1" applyProtection="1">
      <protection hidden="1"/>
    </xf>
    <xf numFmtId="0" fontId="19" fillId="4" borderId="19" xfId="0" applyFont="1" applyFill="1" applyBorder="1" applyAlignment="1" applyProtection="1">
      <protection hidden="1"/>
    </xf>
    <xf numFmtId="0" fontId="19" fillId="4" borderId="20" xfId="0" applyFont="1" applyFill="1" applyBorder="1" applyAlignment="1" applyProtection="1">
      <protection hidden="1"/>
    </xf>
    <xf numFmtId="0" fontId="21" fillId="0" borderId="24" xfId="0" applyFont="1" applyBorder="1" applyAlignment="1" applyProtection="1">
      <protection hidden="1"/>
    </xf>
    <xf numFmtId="0" fontId="21" fillId="0" borderId="25" xfId="0" applyFont="1" applyBorder="1" applyAlignment="1" applyProtection="1">
      <protection hidden="1"/>
    </xf>
    <xf numFmtId="0" fontId="21" fillId="0" borderId="26" xfId="0" applyFont="1" applyBorder="1" applyAlignment="1" applyProtection="1">
      <protection hidden="1"/>
    </xf>
    <xf numFmtId="0" fontId="21" fillId="0" borderId="16" xfId="0" applyFont="1" applyBorder="1" applyAlignment="1" applyProtection="1">
      <alignment horizontal="left"/>
      <protection hidden="1"/>
    </xf>
    <xf numFmtId="167" fontId="21" fillId="0" borderId="0" xfId="2" applyNumberFormat="1" applyFont="1" applyBorder="1" applyAlignment="1" applyProtection="1">
      <alignment horizontal="center"/>
      <protection hidden="1"/>
    </xf>
    <xf numFmtId="43" fontId="21" fillId="0" borderId="0" xfId="2" applyFont="1" applyBorder="1" applyAlignment="1" applyProtection="1">
      <alignment horizontal="left"/>
      <protection hidden="1"/>
    </xf>
    <xf numFmtId="168" fontId="0" fillId="0" borderId="17" xfId="0" applyNumberFormat="1" applyBorder="1"/>
    <xf numFmtId="0" fontId="21" fillId="0" borderId="16" xfId="0" applyFont="1" applyBorder="1" applyAlignment="1" applyProtection="1">
      <protection hidden="1"/>
    </xf>
    <xf numFmtId="43" fontId="21" fillId="0" borderId="0" xfId="2" applyFont="1" applyBorder="1" applyAlignment="1" applyProtection="1">
      <protection hidden="1"/>
    </xf>
    <xf numFmtId="0" fontId="21" fillId="0" borderId="0" xfId="0" applyFont="1" applyBorder="1" applyAlignment="1" applyProtection="1">
      <protection hidden="1"/>
    </xf>
    <xf numFmtId="0" fontId="21" fillId="0" borderId="17" xfId="0" applyFont="1" applyBorder="1" applyAlignment="1" applyProtection="1">
      <protection hidden="1"/>
    </xf>
    <xf numFmtId="169" fontId="22" fillId="0" borderId="18" xfId="0" applyNumberFormat="1" applyFont="1" applyBorder="1" applyAlignment="1"/>
    <xf numFmtId="169" fontId="22" fillId="0" borderId="19" xfId="0" applyNumberFormat="1" applyFont="1" applyBorder="1" applyAlignment="1"/>
    <xf numFmtId="169" fontId="22" fillId="0" borderId="19" xfId="0" applyNumberFormat="1" applyFont="1" applyBorder="1" applyAlignment="1">
      <alignment horizontal="left"/>
    </xf>
    <xf numFmtId="0" fontId="0" fillId="0" borderId="20" xfId="0" applyBorder="1"/>
    <xf numFmtId="0" fontId="0" fillId="0" borderId="16" xfId="0" applyBorder="1"/>
    <xf numFmtId="0" fontId="0" fillId="0" borderId="0" xfId="0" applyBorder="1"/>
    <xf numFmtId="170" fontId="21" fillId="0" borderId="17" xfId="2" applyNumberFormat="1" applyFont="1" applyBorder="1" applyAlignment="1" applyProtection="1">
      <alignment horizontal="right"/>
      <protection hidden="1"/>
    </xf>
    <xf numFmtId="168" fontId="21" fillId="0" borderId="17" xfId="2" applyNumberFormat="1" applyFont="1" applyBorder="1" applyAlignment="1" applyProtection="1">
      <alignment horizontal="right"/>
      <protection hidden="1"/>
    </xf>
    <xf numFmtId="0" fontId="23" fillId="0" borderId="27" xfId="0" applyFont="1" applyBorder="1" applyAlignment="1" applyProtection="1">
      <protection hidden="1"/>
    </xf>
    <xf numFmtId="0" fontId="0" fillId="0" borderId="28" xfId="0" applyBorder="1"/>
    <xf numFmtId="168" fontId="23" fillId="0" borderId="29" xfId="2" applyNumberFormat="1" applyFont="1" applyBorder="1" applyAlignment="1" applyProtection="1">
      <alignment horizontal="right"/>
      <protection hidden="1"/>
    </xf>
    <xf numFmtId="0" fontId="21" fillId="5" borderId="30" xfId="0" applyFont="1" applyFill="1" applyBorder="1" applyAlignment="1" applyProtection="1">
      <protection hidden="1"/>
    </xf>
    <xf numFmtId="0" fontId="0" fillId="5" borderId="31" xfId="0" applyFill="1" applyBorder="1"/>
    <xf numFmtId="168" fontId="21" fillId="5" borderId="32" xfId="2" applyNumberFormat="1" applyFont="1" applyFill="1" applyBorder="1" applyAlignment="1" applyProtection="1">
      <alignment horizontal="right"/>
      <protection hidden="1"/>
    </xf>
    <xf numFmtId="171" fontId="24" fillId="0" borderId="16" xfId="2" applyNumberFormat="1" applyFont="1" applyBorder="1" applyAlignment="1" applyProtection="1">
      <protection hidden="1"/>
    </xf>
    <xf numFmtId="171" fontId="24" fillId="0" borderId="0" xfId="2" applyNumberFormat="1" applyFont="1" applyBorder="1" applyAlignment="1" applyProtection="1">
      <protection hidden="1"/>
    </xf>
    <xf numFmtId="171" fontId="24" fillId="0" borderId="0" xfId="2" applyNumberFormat="1" applyFont="1" applyBorder="1" applyAlignment="1" applyProtection="1">
      <alignment horizontal="center"/>
      <protection hidden="1"/>
    </xf>
    <xf numFmtId="168" fontId="24" fillId="0" borderId="17" xfId="2" applyNumberFormat="1" applyFont="1" applyBorder="1" applyAlignment="1" applyProtection="1">
      <alignment horizontal="right"/>
      <protection hidden="1"/>
    </xf>
    <xf numFmtId="171" fontId="24" fillId="0" borderId="16" xfId="2" applyNumberFormat="1" applyFont="1" applyBorder="1" applyAlignment="1" applyProtection="1">
      <alignment horizontal="left"/>
      <protection hidden="1"/>
    </xf>
    <xf numFmtId="168" fontId="24" fillId="0" borderId="0" xfId="2" applyNumberFormat="1" applyFont="1" applyBorder="1" applyAlignment="1" applyProtection="1">
      <alignment horizontal="right"/>
      <protection hidden="1"/>
    </xf>
    <xf numFmtId="0" fontId="25" fillId="0" borderId="0" xfId="0" applyFont="1" applyBorder="1"/>
    <xf numFmtId="171" fontId="24" fillId="0" borderId="17" xfId="2" applyNumberFormat="1" applyFont="1" applyBorder="1" applyAlignment="1" applyProtection="1">
      <alignment horizontal="left"/>
      <protection hidden="1"/>
    </xf>
    <xf numFmtId="0" fontId="0" fillId="0" borderId="5" xfId="0" applyFill="1" applyBorder="1"/>
    <xf numFmtId="0" fontId="26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Border="1" applyAlignment="1" applyProtection="1">
      <alignment vertical="center"/>
      <protection hidden="1"/>
    </xf>
    <xf numFmtId="0" fontId="26" fillId="2" borderId="7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/>
    <xf numFmtId="44" fontId="0" fillId="0" borderId="0" xfId="0" applyNumberFormat="1"/>
    <xf numFmtId="44" fontId="27" fillId="0" borderId="0" xfId="3" applyFont="1"/>
    <xf numFmtId="44" fontId="26" fillId="2" borderId="0" xfId="3" applyFont="1" applyFill="1" applyBorder="1" applyAlignment="1" applyProtection="1">
      <alignment horizontal="left" vertical="center"/>
      <protection hidden="1"/>
    </xf>
    <xf numFmtId="0" fontId="6" fillId="0" borderId="8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Border="1" applyAlignment="1" applyProtection="1">
      <alignment horizontal="left" vertical="center"/>
      <protection locked="0"/>
    </xf>
    <xf numFmtId="9" fontId="0" fillId="0" borderId="0" xfId="0" applyNumberFormat="1" applyBorder="1" applyProtection="1">
      <protection locked="0"/>
    </xf>
    <xf numFmtId="44" fontId="0" fillId="0" borderId="0" xfId="3" applyFont="1" applyBorder="1" applyProtection="1">
      <protection locked="0"/>
    </xf>
    <xf numFmtId="164" fontId="0" fillId="0" borderId="0" xfId="2" applyNumberFormat="1" applyFont="1" applyBorder="1" applyProtection="1">
      <protection locked="0"/>
    </xf>
    <xf numFmtId="14" fontId="26" fillId="2" borderId="7" xfId="0" applyNumberFormat="1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Protection="1">
      <protection locked="0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/>
    <xf numFmtId="0" fontId="3" fillId="0" borderId="0" xfId="0" applyFont="1"/>
    <xf numFmtId="166" fontId="0" fillId="0" borderId="0" xfId="2" applyNumberFormat="1" applyFont="1" applyBorder="1" applyProtection="1">
      <protection locked="0"/>
    </xf>
    <xf numFmtId="172" fontId="0" fillId="0" borderId="0" xfId="2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19" fillId="5" borderId="14" xfId="0" applyFont="1" applyFill="1" applyBorder="1" applyAlignment="1" applyProtection="1">
      <alignment horizontal="center" vertical="center" wrapText="1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9" fillId="5" borderId="15" xfId="0" applyFont="1" applyFill="1" applyBorder="1" applyAlignment="1" applyProtection="1">
      <alignment horizontal="center" vertical="center" wrapText="1"/>
      <protection hidden="1"/>
    </xf>
    <xf numFmtId="0" fontId="19" fillId="5" borderId="16" xfId="0" applyFont="1" applyFill="1" applyBorder="1" applyAlignment="1" applyProtection="1">
      <alignment horizontal="center" vertical="center" wrapText="1"/>
      <protection hidden="1"/>
    </xf>
    <xf numFmtId="0" fontId="19" fillId="5" borderId="0" xfId="0" applyFont="1" applyFill="1" applyBorder="1" applyAlignment="1" applyProtection="1">
      <alignment horizontal="center" vertical="center" wrapText="1"/>
      <protection hidden="1"/>
    </xf>
    <xf numFmtId="0" fontId="19" fillId="5" borderId="17" xfId="0" applyFont="1" applyFill="1" applyBorder="1" applyAlignment="1" applyProtection="1">
      <alignment horizontal="center" vertical="center" wrapText="1"/>
      <protection hidden="1"/>
    </xf>
    <xf numFmtId="0" fontId="19" fillId="5" borderId="18" xfId="0" applyFont="1" applyFill="1" applyBorder="1" applyAlignment="1" applyProtection="1">
      <alignment horizontal="center" vertical="center" wrapText="1"/>
      <protection hidden="1"/>
    </xf>
    <xf numFmtId="0" fontId="19" fillId="5" borderId="19" xfId="0" applyFont="1" applyFill="1" applyBorder="1" applyAlignment="1" applyProtection="1">
      <alignment horizontal="center" vertical="center" wrapText="1"/>
      <protection hidden="1"/>
    </xf>
    <xf numFmtId="0" fontId="19" fillId="5" borderId="20" xfId="0" applyFont="1" applyFill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4" borderId="16" xfId="0" applyFont="1" applyFill="1" applyBorder="1" applyAlignment="1" applyProtection="1">
      <alignment horizontal="center"/>
      <protection hidden="1"/>
    </xf>
    <xf numFmtId="0" fontId="19" fillId="4" borderId="0" xfId="0" applyFont="1" applyFill="1" applyBorder="1" applyAlignment="1" applyProtection="1">
      <alignment horizontal="center"/>
      <protection hidden="1"/>
    </xf>
    <xf numFmtId="0" fontId="19" fillId="4" borderId="17" xfId="0" applyFont="1" applyFill="1" applyBorder="1" applyAlignment="1" applyProtection="1">
      <alignment horizontal="center"/>
      <protection hidden="1"/>
    </xf>
    <xf numFmtId="14" fontId="19" fillId="0" borderId="16" xfId="0" applyNumberFormat="1" applyFont="1" applyBorder="1" applyAlignment="1" applyProtection="1">
      <alignment horizontal="left"/>
      <protection hidden="1"/>
    </xf>
    <xf numFmtId="14" fontId="19" fillId="0" borderId="0" xfId="0" applyNumberFormat="1" applyFont="1" applyBorder="1" applyAlignment="1" applyProtection="1">
      <alignment horizontal="left"/>
      <protection hidden="1"/>
    </xf>
    <xf numFmtId="14" fontId="19" fillId="0" borderId="17" xfId="0" applyNumberFormat="1" applyFont="1" applyBorder="1" applyAlignment="1" applyProtection="1">
      <alignment horizontal="left"/>
      <protection hidden="1"/>
    </xf>
    <xf numFmtId="0" fontId="19" fillId="5" borderId="16" xfId="0" applyFont="1" applyFill="1" applyBorder="1" applyAlignment="1" applyProtection="1">
      <alignment horizontal="center"/>
      <protection hidden="1"/>
    </xf>
    <xf numFmtId="0" fontId="19" fillId="5" borderId="0" xfId="0" applyFont="1" applyFill="1" applyBorder="1" applyAlignment="1" applyProtection="1">
      <alignment horizontal="center"/>
      <protection hidden="1"/>
    </xf>
    <xf numFmtId="0" fontId="19" fillId="5" borderId="17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</cellXfs>
  <cellStyles count="5">
    <cellStyle name="Milliers" xfId="2" builtinId="3"/>
    <cellStyle name="Monétaire" xfId="3" builtinId="4"/>
    <cellStyle name="NiveauLigne_4" xfId="1" builtinId="1" iLevel="3"/>
    <cellStyle name="Normal" xfId="0" builtinId="0"/>
    <cellStyle name="Pourcentage" xfId="4" builtinId="5"/>
  </cellStyles>
  <dxfs count="25">
    <dxf>
      <protection locked="0" hidden="0"/>
    </dxf>
    <dxf>
      <protection locked="0" hidden="0"/>
    </dxf>
    <dxf>
      <protection locked="0" hidden="0"/>
    </dxf>
    <dxf>
      <numFmt numFmtId="164" formatCode="_-* #,##0.00\ [$€-40C]_-;\-* #,##0.00\ [$€-40C]_-;_-* &quot;-&quot;??\ [$€-40C]_-;_-@_-"/>
      <protection locked="0" hidden="0"/>
    </dxf>
    <dxf>
      <numFmt numFmtId="166" formatCode="_-* #,##0\ _€_-;\-* #,##0\ _€_-;_-* &quot;-&quot;??\ _€_-;_-@_-"/>
      <protection locked="0" hidden="0"/>
    </dxf>
    <dxf>
      <numFmt numFmtId="166" formatCode="_-* #,##0\ _€_-;\-* #,##0\ _€_-;_-* &quot;-&quot;??\ _€_-;_-@_-"/>
      <protection locked="0" hidden="0"/>
    </dxf>
    <dxf>
      <numFmt numFmtId="166" formatCode="_-* #,##0\ _€_-;\-* #,##0\ _€_-;_-* &quot;-&quot;??\ _€_-;_-@_-"/>
      <protection locked="0" hidden="0"/>
    </dxf>
    <dxf>
      <numFmt numFmtId="166" formatCode="_-* #,##0\ _€_-;\-* #,##0\ _€_-;_-* &quot;-&quot;??\ _€_-;_-@_-"/>
      <protection locked="0" hidden="0"/>
    </dxf>
    <dxf>
      <numFmt numFmtId="166" formatCode="_-* #,##0\ _€_-;\-* #,##0\ _€_-;_-* &quot;-&quot;??\ _€_-;_-@_-"/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2" formatCode="_-* #,##0.000\ _€_-;\-* #,##0.000\ _€_-;_-* &quot;-&quot;??\ _€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2" formatCode="_-* #,##0.000\ _€_-;\-* #,##0.000\ _€_-;_-* &quot;-&quot;??\ _€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-* #,##0.00\ [$€-40C]_-;\-* #,##0.00\ [$€-40C]_-;_-* &quot;-&quot;??\ [$€-40C]_-;_-@_-"/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9" formatCode="dd/mm/yyyy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106680</xdr:colOff>
          <xdr:row>4</xdr:row>
          <xdr:rowOff>68580</xdr:rowOff>
        </xdr:from>
        <xdr:to>
          <xdr:col>7</xdr:col>
          <xdr:colOff>693420</xdr:colOff>
          <xdr:row>7</xdr:row>
          <xdr:rowOff>160020</xdr:rowOff>
        </xdr:to>
        <xdr:sp macro="" textlink="">
          <xdr:nvSpPr>
            <xdr:cNvPr id="4104" name="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fr-FR" sz="1500" b="1" i="0" u="none" strike="noStrike" baseline="0">
                  <a:solidFill>
                    <a:srgbClr val="003366"/>
                  </a:solidFill>
                  <a:latin typeface="Calibri"/>
                  <a:cs typeface="Calibri"/>
                </a:rPr>
                <a:t>Reassort </a:t>
              </a:r>
            </a:p>
            <a:p>
              <a:pPr algn="ctr" rtl="0">
                <a:defRPr sz="1000"/>
              </a:pPr>
              <a:r>
                <a:rPr lang="fr-FR" sz="1500" b="1" i="0" u="none" strike="noStrike" baseline="0">
                  <a:solidFill>
                    <a:srgbClr val="003366"/>
                  </a:solidFill>
                  <a:latin typeface="Calibri"/>
                  <a:cs typeface="Calibri"/>
                </a:rPr>
                <a:t>Destockage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journal" displayName="journal" ref="A1:G5" totalsRowShown="0" headerRowDxfId="22" headerRowBorderDxfId="21" tableBorderDxfId="20">
  <autoFilter ref="A1:G5" xr:uid="{00000000-0009-0000-0100-000003000000}"/>
  <tableColumns count="7">
    <tableColumn id="1" xr3:uid="{00000000-0010-0000-0000-000001000000}" name="Date" dataDxfId="19"/>
    <tableColumn id="2" xr3:uid="{00000000-0010-0000-0000-000002000000}" name="FdV"/>
    <tableColumn id="3" xr3:uid="{00000000-0010-0000-0000-000003000000}" name="Ref"/>
    <tableColumn id="4" xr3:uid="{00000000-0010-0000-0000-000004000000}" name="Entrée"/>
    <tableColumn id="5" xr3:uid="{00000000-0010-0000-0000-000005000000}" name="Sortie"/>
    <tableColumn id="6" xr3:uid="{00000000-0010-0000-0000-000006000000}" name="Destockage"/>
    <tableColumn id="7" xr3:uid="{00000000-0010-0000-0000-000007000000}" name="Descrip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tock" displayName="Stock" ref="A13:O17" totalsRowShown="0" headerRowDxfId="18" dataDxfId="16" headerRowBorderDxfId="17" tableBorderDxfId="15">
  <autoFilter ref="A13:O17" xr:uid="{00000000-0009-0000-0100-000002000000}"/>
  <tableColumns count="15">
    <tableColumn id="1" xr3:uid="{00000000-0010-0000-0100-000001000000}" name="Produits" dataDxfId="14" dataCellStyle="NiveauLigne_4"/>
    <tableColumn id="2" xr3:uid="{00000000-0010-0000-0100-000002000000}" name="Nom" dataDxfId="13" dataCellStyle="NiveauLigne_4"/>
    <tableColumn id="3" xr3:uid="{00000000-0010-0000-0100-000003000000}" name="Prix A HT" dataDxfId="12" dataCellStyle="Milliers"/>
    <tableColumn id="4" xr3:uid="{00000000-0010-0000-0100-000004000000}" name="Prix U HT" dataDxfId="11" dataCellStyle="Milliers"/>
    <tableColumn id="5" xr3:uid="{00000000-0010-0000-0100-000005000000}" name="TVA" dataDxfId="10"/>
    <tableColumn id="6" xr3:uid="{00000000-0010-0000-0100-000006000000}" name="Prix U TTC" dataDxfId="9" dataCellStyle="Monétaire">
      <calculatedColumnFormula>+Stock[[#This Row],[TVA]]*Stock[[#This Row],[Prix U HT]]+Stock[[#This Row],[Prix U HT]]</calculatedColumnFormula>
    </tableColumn>
    <tableColumn id="7" xr3:uid="{00000000-0010-0000-0100-000007000000}" name="Stock I" dataDxfId="8" dataCellStyle="Milliers"/>
    <tableColumn id="8" xr3:uid="{00000000-0010-0000-0100-000008000000}" name="Entrée" dataDxfId="7" dataCellStyle="Milliers">
      <calculatedColumnFormula>+SUMIFS(journal[[#All],[Entrée]],journal[[#All],[Ref]],A14)</calculatedColumnFormula>
    </tableColumn>
    <tableColumn id="9" xr3:uid="{00000000-0010-0000-0100-000009000000}" name="Sortie" dataDxfId="6" dataCellStyle="Milliers">
      <calculatedColumnFormula>+SUMIFS(journal[[#All],[Sortie]],journal[[#All],[Ref]],A14)</calculatedColumnFormula>
    </tableColumn>
    <tableColumn id="10" xr3:uid="{00000000-0010-0000-0100-00000A000000}" name="Destockage" dataDxfId="5" dataCellStyle="Milliers">
      <calculatedColumnFormula>+SUMIFS(journal[[#All],[Destockage]],journal[[#All],[Ref]],A14)</calculatedColumnFormula>
    </tableColumn>
    <tableColumn id="11" xr3:uid="{00000000-0010-0000-0100-00000B000000}" name="Stock F" dataDxfId="4" dataCellStyle="Milliers">
      <calculatedColumnFormula>+Stock[[#This Row],[Stock I]]+Stock[[#This Row],[Entrée]]-Stock[[#This Row],[Sortie]]-Stock[[#This Row],[Destockage]]</calculatedColumnFormula>
    </tableColumn>
    <tableColumn id="12" xr3:uid="{00000000-0010-0000-0100-00000C000000}" name="V S I HT" dataDxfId="3" dataCellStyle="Milliers">
      <calculatedColumnFormula>+Stock[[#This Row],[Stock I]]*Stock[[#This Row],[Prix A HT]]</calculatedColumnFormula>
    </tableColumn>
    <tableColumn id="13" xr3:uid="{00000000-0010-0000-0100-00000D000000}" name="V S F HT" dataDxfId="2" dataCellStyle="Monétaire">
      <calculatedColumnFormula>+Stock[[#This Row],[Stock F]]*Stock[[#This Row],[Prix A HT]]</calculatedColumnFormula>
    </tableColumn>
    <tableColumn id="14" xr3:uid="{00000000-0010-0000-0100-00000E000000}" name="Total V HT" dataDxfId="1" dataCellStyle="Monétaire">
      <calculatedColumnFormula>+Stock[[#This Row],[Stock F]]*Stock[[#This Row],[Prix U HT]]</calculatedColumnFormula>
    </tableColumn>
    <tableColumn id="15" xr3:uid="{00000000-0010-0000-0100-00000F000000}" name="Total V TTC" dataDxfId="0" dataCellStyle="Monétaire">
      <calculatedColumnFormula>+Stock[[#This Row],[Stock F]]*Stock[[#This Row],[Prix U TTC]]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7"/>
  <sheetViews>
    <sheetView workbookViewId="0">
      <selection activeCell="G20" sqref="G20"/>
    </sheetView>
  </sheetViews>
  <sheetFormatPr baseColWidth="10" defaultRowHeight="14.4" x14ac:dyDescent="0.3"/>
  <cols>
    <col min="2" max="2" width="18.44140625" bestFit="1" customWidth="1"/>
    <col min="3" max="3" width="2.5546875" customWidth="1"/>
    <col min="5" max="5" width="4.44140625" bestFit="1" customWidth="1"/>
    <col min="6" max="6" width="1.6640625" customWidth="1"/>
    <col min="7" max="7" width="14.77734375" bestFit="1" customWidth="1"/>
    <col min="8" max="8" width="2.21875" customWidth="1"/>
    <col min="10" max="10" width="4" customWidth="1"/>
    <col min="11" max="11" width="12.5546875" bestFit="1" customWidth="1"/>
  </cols>
  <sheetData>
    <row r="1" spans="1:11" x14ac:dyDescent="0.3">
      <c r="A1" s="10" t="s">
        <v>30</v>
      </c>
      <c r="B1" s="9" t="s">
        <v>29</v>
      </c>
      <c r="D1" s="6" t="s">
        <v>28</v>
      </c>
      <c r="E1" s="8">
        <v>0.2</v>
      </c>
      <c r="G1" s="4" t="s">
        <v>27</v>
      </c>
      <c r="I1" s="4" t="s">
        <v>26</v>
      </c>
      <c r="K1" s="4" t="s">
        <v>25</v>
      </c>
    </row>
    <row r="2" spans="1:11" x14ac:dyDescent="0.3">
      <c r="A2" s="6" t="s">
        <v>24</v>
      </c>
      <c r="B2" s="7" t="s">
        <v>23</v>
      </c>
      <c r="D2" s="6" t="s">
        <v>22</v>
      </c>
      <c r="E2" s="8">
        <v>0.2</v>
      </c>
      <c r="G2" s="4" t="s">
        <v>21</v>
      </c>
      <c r="I2" s="4" t="s">
        <v>20</v>
      </c>
      <c r="K2" s="4" t="s">
        <v>19</v>
      </c>
    </row>
    <row r="3" spans="1:11" x14ac:dyDescent="0.3">
      <c r="A3" s="6" t="s">
        <v>18</v>
      </c>
      <c r="B3" s="7" t="s">
        <v>17</v>
      </c>
      <c r="D3" s="6" t="s">
        <v>16</v>
      </c>
      <c r="E3" s="8">
        <v>0</v>
      </c>
      <c r="G3" s="4" t="s">
        <v>15</v>
      </c>
      <c r="I3" s="4" t="s">
        <v>14</v>
      </c>
      <c r="K3" s="4" t="s">
        <v>13</v>
      </c>
    </row>
    <row r="4" spans="1:11" x14ac:dyDescent="0.3">
      <c r="A4" s="6" t="s">
        <v>12</v>
      </c>
      <c r="B4" s="7" t="s">
        <v>11</v>
      </c>
      <c r="D4" s="6" t="s">
        <v>10</v>
      </c>
      <c r="E4" s="8">
        <v>0</v>
      </c>
      <c r="G4" s="4" t="s">
        <v>9</v>
      </c>
      <c r="I4" s="4" t="s">
        <v>8</v>
      </c>
      <c r="K4" s="4" t="s">
        <v>7</v>
      </c>
    </row>
    <row r="5" spans="1:11" x14ac:dyDescent="0.3">
      <c r="A5" s="6" t="s">
        <v>6</v>
      </c>
      <c r="B5" s="7" t="s">
        <v>5</v>
      </c>
      <c r="D5" s="95"/>
      <c r="G5" s="4"/>
      <c r="I5" s="4" t="s">
        <v>4</v>
      </c>
      <c r="K5" s="4"/>
    </row>
    <row r="6" spans="1:11" x14ac:dyDescent="0.3">
      <c r="A6" s="6" t="s">
        <v>3</v>
      </c>
      <c r="B6" s="5" t="s">
        <v>2</v>
      </c>
      <c r="I6" s="4"/>
      <c r="K6" s="4"/>
    </row>
    <row r="7" spans="1:11" ht="15" thickBot="1" x14ac:dyDescent="0.35">
      <c r="A7" s="3" t="s">
        <v>1</v>
      </c>
      <c r="B7" s="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19"/>
  <sheetViews>
    <sheetView showGridLines="0" tabSelected="1" zoomScale="125" zoomScaleNormal="125" workbookViewId="0">
      <selection activeCell="C6" sqref="C6:C13"/>
    </sheetView>
  </sheetViews>
  <sheetFormatPr baseColWidth="10" defaultRowHeight="14.4" x14ac:dyDescent="0.3"/>
  <cols>
    <col min="2" max="2" width="17.44140625" customWidth="1"/>
    <col min="8" max="8" width="3.88671875" customWidth="1"/>
    <col min="9" max="9" width="16.44140625" bestFit="1" customWidth="1"/>
    <col min="10" max="10" width="13.5546875" customWidth="1"/>
    <col min="11" max="11" width="1.77734375" customWidth="1"/>
    <col min="12" max="12" width="5.21875" customWidth="1"/>
  </cols>
  <sheetData>
    <row r="1" spans="1:11" ht="15.6" x14ac:dyDescent="0.3">
      <c r="A1" s="22" t="s">
        <v>65</v>
      </c>
      <c r="B1" s="1" t="s">
        <v>66</v>
      </c>
      <c r="C1" s="1"/>
      <c r="I1" s="23"/>
    </row>
    <row r="2" spans="1:11" ht="15.6" x14ac:dyDescent="0.3">
      <c r="A2" s="23" t="s">
        <v>26</v>
      </c>
      <c r="B2" s="122" t="s">
        <v>67</v>
      </c>
      <c r="C2" s="122"/>
      <c r="I2" s="23"/>
    </row>
    <row r="3" spans="1:11" ht="16.2" thickBot="1" x14ac:dyDescent="0.35">
      <c r="I3" s="23"/>
    </row>
    <row r="4" spans="1:11" ht="18" x14ac:dyDescent="0.3">
      <c r="A4" s="24" t="s">
        <v>33</v>
      </c>
      <c r="B4" s="25" t="s">
        <v>68</v>
      </c>
      <c r="C4" s="25" t="s">
        <v>69</v>
      </c>
      <c r="D4" s="25" t="s">
        <v>47</v>
      </c>
      <c r="E4" s="25" t="s">
        <v>70</v>
      </c>
      <c r="F4" s="25" t="s">
        <v>71</v>
      </c>
      <c r="G4" s="25" t="s">
        <v>72</v>
      </c>
      <c r="I4" s="26" t="s">
        <v>73</v>
      </c>
      <c r="J4" s="27">
        <f>+SUM(E5:E14)</f>
        <v>13</v>
      </c>
      <c r="K4" s="27"/>
    </row>
    <row r="5" spans="1:11" ht="15.6" x14ac:dyDescent="0.3">
      <c r="A5" s="28" t="s">
        <v>57</v>
      </c>
      <c r="B5" s="29" t="str">
        <f>+IFERROR(VLOOKUP(A5,Stock[[#All],[Produits]:[Nom]],2,FALSE),"")</f>
        <v>Doudou et compagnie ours plat arc en ciel nuage de couleur DC1031</v>
      </c>
      <c r="C5" s="30">
        <v>1</v>
      </c>
      <c r="D5" s="31">
        <f>+IFERROR(VLOOKUP(A5,Stock[[#All],[Produits]:[Prix U TTC]],6,FALSE),"")</f>
        <v>13</v>
      </c>
      <c r="E5" s="31">
        <f t="shared" ref="E5:E13" si="0">IFERROR(IF(C5=0,0,D5*C5),"")</f>
        <v>13</v>
      </c>
      <c r="F5" s="30">
        <f>+SUMIFS(Stock[[#All],[Stock I]],Stock[[#All],[Produits]],A5)</f>
        <v>13</v>
      </c>
      <c r="G5" s="30">
        <f t="shared" ref="G5:G14" si="1">+IFERROR(F5-C5,"")</f>
        <v>12</v>
      </c>
      <c r="I5" s="26"/>
      <c r="J5" s="27"/>
      <c r="K5" s="27"/>
    </row>
    <row r="6" spans="1:11" ht="15.6" x14ac:dyDescent="0.3">
      <c r="A6" s="32"/>
      <c r="B6" s="33" t="str">
        <f>+IFERROR(VLOOKUP(A6,Stock[[#All],[Produits]:[Nom]],2,FALSE),"")</f>
        <v/>
      </c>
      <c r="C6" s="34"/>
      <c r="D6" s="35" t="str">
        <f>+IFERROR(VLOOKUP(A6,Stock[[#All],[Produits]:[Prix U TTC]],6,FALSE),"")</f>
        <v/>
      </c>
      <c r="E6" s="35">
        <f t="shared" si="0"/>
        <v>0</v>
      </c>
      <c r="F6" s="34">
        <f>+SUMIFS(Stock[[#All],[Stock I]],Stock[[#All],[Produits]],A6)</f>
        <v>0</v>
      </c>
      <c r="G6" s="34">
        <f t="shared" si="1"/>
        <v>0</v>
      </c>
      <c r="I6" s="26" t="s">
        <v>74</v>
      </c>
      <c r="J6" s="36" t="s">
        <v>22</v>
      </c>
      <c r="K6" s="37"/>
    </row>
    <row r="7" spans="1:11" ht="15.6" x14ac:dyDescent="0.3">
      <c r="A7" s="28"/>
      <c r="B7" s="29" t="str">
        <f>+IFERROR(VLOOKUP(A7,Stock[[#All],[Produits]:[Nom]],2,FALSE),"")</f>
        <v/>
      </c>
      <c r="C7" s="30"/>
      <c r="D7" s="31" t="str">
        <f>+IFERROR(VLOOKUP(A7,Stock[[#All],[Produits]:[Prix U TTC]],6,FALSE),"")</f>
        <v/>
      </c>
      <c r="E7" s="31">
        <f t="shared" si="0"/>
        <v>0</v>
      </c>
      <c r="F7" s="30">
        <f>+SUMIFS(Stock[[#All],[Stock I]],Stock[[#All],[Produits]],A7)</f>
        <v>0</v>
      </c>
      <c r="G7" s="30">
        <f t="shared" si="1"/>
        <v>0</v>
      </c>
      <c r="I7" s="26"/>
      <c r="J7" s="37"/>
      <c r="K7" s="37"/>
    </row>
    <row r="8" spans="1:11" ht="15.6" x14ac:dyDescent="0.3">
      <c r="A8" s="32"/>
      <c r="B8" s="33" t="str">
        <f>+IFERROR(VLOOKUP(A8,Stock[[#All],[Produits]:[Nom]],2,FALSE),"")</f>
        <v/>
      </c>
      <c r="C8" s="34"/>
      <c r="D8" s="35" t="str">
        <f>+IFERROR(VLOOKUP(A8,Stock[[#All],[Produits]:[Prix U TTC]],6,FALSE),"")</f>
        <v/>
      </c>
      <c r="E8" s="35">
        <f t="shared" si="0"/>
        <v>0</v>
      </c>
      <c r="F8" s="34">
        <f>+SUMIFS(Stock[[#All],[Stock I]],Stock[[#All],[Produits]],A8)</f>
        <v>0</v>
      </c>
      <c r="G8" s="34">
        <f t="shared" si="1"/>
        <v>0</v>
      </c>
      <c r="I8" s="26" t="s">
        <v>75</v>
      </c>
      <c r="J8" s="38">
        <v>2</v>
      </c>
      <c r="K8" s="39"/>
    </row>
    <row r="9" spans="1:11" ht="15.6" x14ac:dyDescent="0.3">
      <c r="A9" s="28"/>
      <c r="B9" s="29" t="str">
        <f>+IFERROR(VLOOKUP(A9,Stock[[#All],[Produits]:[Nom]],2,FALSE),"")</f>
        <v/>
      </c>
      <c r="C9" s="30"/>
      <c r="D9" s="31" t="str">
        <f>+IFERROR(VLOOKUP(A9,Stock[[#All],[Produits]:[Prix U TTC]],6,FALSE),"")</f>
        <v/>
      </c>
      <c r="E9" s="31">
        <f t="shared" si="0"/>
        <v>0</v>
      </c>
      <c r="F9" s="30">
        <f>+SUMIFS(Stock[[#All],[Stock I]],Stock[[#All],[Produits]],A9)</f>
        <v>0</v>
      </c>
      <c r="G9" s="30">
        <f t="shared" si="1"/>
        <v>0</v>
      </c>
      <c r="I9" s="26"/>
      <c r="J9" s="40"/>
      <c r="K9" s="39"/>
    </row>
    <row r="10" spans="1:11" ht="15.6" x14ac:dyDescent="0.3">
      <c r="A10" s="32"/>
      <c r="B10" s="33" t="str">
        <f>+IFERROR(VLOOKUP(A10,Stock[[#All],[Produits]:[Nom]],2,FALSE),"")</f>
        <v/>
      </c>
      <c r="C10" s="34"/>
      <c r="D10" s="35" t="str">
        <f>+IFERROR(VLOOKUP(A10,Stock[[#All],[Produits]:[Prix U TTC]],6,FALSE),"")</f>
        <v/>
      </c>
      <c r="E10" s="35">
        <f t="shared" si="0"/>
        <v>0</v>
      </c>
      <c r="F10" s="34">
        <f>+SUMIFS(Stock[[#All],[Stock I]],Stock[[#All],[Produits]],A10)</f>
        <v>0</v>
      </c>
      <c r="G10" s="34">
        <f t="shared" si="1"/>
        <v>0</v>
      </c>
      <c r="I10" s="26" t="s">
        <v>76</v>
      </c>
      <c r="J10" s="41">
        <v>44</v>
      </c>
      <c r="K10" s="42"/>
    </row>
    <row r="11" spans="1:11" ht="15.6" x14ac:dyDescent="0.3">
      <c r="A11" s="28"/>
      <c r="B11" s="29" t="str">
        <f>+IFERROR(VLOOKUP(A11,Stock[[#All],[Produits]:[Nom]],2,FALSE),"")</f>
        <v/>
      </c>
      <c r="C11" s="30"/>
      <c r="D11" s="31" t="str">
        <f>+IFERROR(VLOOKUP(A11,Stock[[#All],[Produits]:[Prix U TTC]],6,FALSE),"")</f>
        <v/>
      </c>
      <c r="E11" s="31">
        <f t="shared" si="0"/>
        <v>0</v>
      </c>
      <c r="F11" s="30">
        <f>+SUMIFS(Stock[[#All],[Stock I]],Stock[[#All],[Produits]],A11)</f>
        <v>0</v>
      </c>
      <c r="G11" s="30">
        <f t="shared" si="1"/>
        <v>0</v>
      </c>
      <c r="I11" s="26"/>
      <c r="J11" s="43"/>
      <c r="K11" s="42"/>
    </row>
    <row r="12" spans="1:11" ht="15.6" x14ac:dyDescent="0.3">
      <c r="A12" s="32"/>
      <c r="B12" s="33" t="str">
        <f>+IFERROR(VLOOKUP(A12,Stock[[#All],[Produits]:[Nom]],2,FALSE),"")</f>
        <v/>
      </c>
      <c r="C12" s="34"/>
      <c r="D12" s="35" t="str">
        <f>+IFERROR(VLOOKUP(A12,Stock[[#All],[Produits]:[Prix U TTC]],6,FALSE),"")</f>
        <v/>
      </c>
      <c r="E12" s="35">
        <f t="shared" si="0"/>
        <v>0</v>
      </c>
      <c r="F12" s="34">
        <f>+SUMIFS(Stock[[#All],[Stock I]],Stock[[#All],[Produits]],A12)</f>
        <v>0</v>
      </c>
      <c r="G12" s="34">
        <f t="shared" si="1"/>
        <v>0</v>
      </c>
      <c r="I12" s="26" t="s">
        <v>77</v>
      </c>
      <c r="J12" s="44" t="s">
        <v>7</v>
      </c>
      <c r="K12" s="45"/>
    </row>
    <row r="13" spans="1:11" ht="15.6" x14ac:dyDescent="0.3">
      <c r="A13" s="28"/>
      <c r="B13" s="29" t="str">
        <f>+IFERROR(VLOOKUP(A13,Stock[[#All],[Produits]:[Nom]],2,FALSE),"")</f>
        <v/>
      </c>
      <c r="C13" s="30"/>
      <c r="D13" s="31" t="str">
        <f>+IFERROR(VLOOKUP(A13,Stock[[#All],[Produits]:[Prix U TTC]],6,FALSE),"")</f>
        <v/>
      </c>
      <c r="E13" s="31">
        <f t="shared" si="0"/>
        <v>0</v>
      </c>
      <c r="F13" s="30">
        <f>+SUMIFS(Stock[[#All],[Stock I]],Stock[[#All],[Produits]],A13)</f>
        <v>0</v>
      </c>
      <c r="G13" s="30">
        <f t="shared" si="1"/>
        <v>0</v>
      </c>
      <c r="I13" s="37"/>
      <c r="J13" s="11"/>
      <c r="K13" s="11"/>
    </row>
    <row r="14" spans="1:11" ht="18" x14ac:dyDescent="0.35">
      <c r="A14" s="32" t="s">
        <v>78</v>
      </c>
      <c r="B14" s="46"/>
      <c r="C14" s="47"/>
      <c r="D14" s="48" t="s">
        <v>79</v>
      </c>
      <c r="E14" s="49" t="str">
        <f t="shared" ref="E14" si="2">+IFERROR(D14*C14,"")</f>
        <v/>
      </c>
      <c r="F14" s="50" t="s">
        <v>79</v>
      </c>
      <c r="G14" s="50" t="str">
        <f t="shared" si="1"/>
        <v/>
      </c>
      <c r="I14" s="51" t="s">
        <v>80</v>
      </c>
      <c r="J14" s="52">
        <f>+J4-J8+J10</f>
        <v>55</v>
      </c>
      <c r="K14" s="52"/>
    </row>
    <row r="15" spans="1:11" ht="18" x14ac:dyDescent="0.35">
      <c r="A15" s="46"/>
      <c r="B15" s="46"/>
      <c r="C15" s="47"/>
      <c r="D15" s="48"/>
      <c r="E15" s="49"/>
      <c r="F15" s="50"/>
      <c r="G15" s="50"/>
      <c r="I15" s="53" t="s">
        <v>81</v>
      </c>
      <c r="J15" s="54">
        <f>+IF(J6=BDD!D1,J14/(1+BDD!E1),IF(J6=BDD!D2,J14/(1+BDD!E2),J14))</f>
        <v>45.833333333333336</v>
      </c>
      <c r="K15" s="54"/>
    </row>
    <row r="16" spans="1:11" x14ac:dyDescent="0.3">
      <c r="I16" s="53" t="s">
        <v>46</v>
      </c>
      <c r="J16" s="55">
        <f>+J14-J15</f>
        <v>9.1666666666666643</v>
      </c>
      <c r="K16" s="55"/>
    </row>
    <row r="17" spans="9:10" ht="15.6" x14ac:dyDescent="0.3">
      <c r="I17" s="23"/>
    </row>
    <row r="18" spans="9:10" x14ac:dyDescent="0.3">
      <c r="I18" s="1" t="s">
        <v>82</v>
      </c>
      <c r="J18" s="1"/>
    </row>
    <row r="19" spans="9:10" x14ac:dyDescent="0.3">
      <c r="I19" s="123" t="s">
        <v>15</v>
      </c>
      <c r="J19" s="123"/>
    </row>
  </sheetData>
  <mergeCells count="4">
    <mergeCell ref="B1:C1"/>
    <mergeCell ref="B2:C2"/>
    <mergeCell ref="I18:J18"/>
    <mergeCell ref="I19:J19"/>
  </mergeCells>
  <conditionalFormatting sqref="F5:F13">
    <cfRule type="cellIs" dxfId="24" priority="2" operator="equal">
      <formula>0</formula>
    </cfRule>
  </conditionalFormatting>
  <conditionalFormatting sqref="G5:G13">
    <cfRule type="cellIs" dxfId="23" priority="1" operator="lessThan">
      <formula>0</formula>
    </cfRule>
  </conditionalFormatting>
  <dataValidations count="2">
    <dataValidation type="list" allowBlank="1" showInputMessage="1" showErrorMessage="1" sqref="J6" xr:uid="{00000000-0002-0000-0100-000000000000}">
      <formula1>TVA</formula1>
    </dataValidation>
    <dataValidation type="list" allowBlank="1" showInputMessage="1" showErrorMessage="1" sqref="J12" xr:uid="{00000000-0002-0000-0100-000001000000}">
      <formula1>transporteur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7CB404-E64C-4C3A-9DB1-C0E0637A5372}">
          <x14:formula1>
            <xm:f>BDD!$I$1:$I$6</xm:f>
          </x14:formula1>
          <xm:sqref>A2</xm:sqref>
        </x14:dataValidation>
        <x14:dataValidation type="list" allowBlank="1" showInputMessage="1" showErrorMessage="1" xr:uid="{945D52F7-4394-44B6-9FA1-488F8E55D899}">
          <x14:formula1>
            <xm:f>BDD!$G$1:$G$4</xm:f>
          </x14:formula1>
          <xm:sqref>I19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9C569-746B-4DD4-9A3F-7ACDEA59272A}">
  <sheetPr codeName="Feuil6"/>
  <dimension ref="B1:E31"/>
  <sheetViews>
    <sheetView showGridLines="0" workbookViewId="0">
      <selection activeCell="B7" sqref="B7:E7"/>
    </sheetView>
  </sheetViews>
  <sheetFormatPr baseColWidth="10" defaultRowHeight="14.4" x14ac:dyDescent="0.3"/>
  <sheetData>
    <row r="1" spans="2:5" x14ac:dyDescent="0.3">
      <c r="B1" s="127" t="str">
        <f>+BDD!B1</f>
        <v>STE ABC</v>
      </c>
      <c r="C1" s="128"/>
      <c r="D1" s="128"/>
      <c r="E1" s="129"/>
    </row>
    <row r="2" spans="2:5" x14ac:dyDescent="0.3">
      <c r="B2" s="130" t="str">
        <f>+BDD!B2</f>
        <v>Addr1</v>
      </c>
      <c r="C2" s="131"/>
      <c r="D2" s="131"/>
      <c r="E2" s="132"/>
    </row>
    <row r="3" spans="2:5" x14ac:dyDescent="0.3">
      <c r="B3" s="130" t="str">
        <f>+BDD!B3</f>
        <v>Addr 2</v>
      </c>
      <c r="C3" s="131"/>
      <c r="D3" s="131"/>
      <c r="E3" s="132"/>
    </row>
    <row r="4" spans="2:5" x14ac:dyDescent="0.3">
      <c r="B4" s="130" t="str">
        <f>+BDD!B4&amp;" "&amp;BDD!B5</f>
        <v>CP1 Ville1</v>
      </c>
      <c r="C4" s="131"/>
      <c r="D4" s="131"/>
      <c r="E4" s="132"/>
    </row>
    <row r="5" spans="2:5" x14ac:dyDescent="0.3">
      <c r="B5" s="133" t="str">
        <f>+BDD!B6</f>
        <v>+33 6 12 34 56 78</v>
      </c>
      <c r="C5" s="134"/>
      <c r="D5" s="134"/>
      <c r="E5" s="135"/>
    </row>
    <row r="6" spans="2:5" x14ac:dyDescent="0.3">
      <c r="B6" s="136" t="s">
        <v>83</v>
      </c>
      <c r="C6" s="137"/>
      <c r="D6" s="137"/>
      <c r="E6" s="138"/>
    </row>
    <row r="7" spans="2:5" x14ac:dyDescent="0.3">
      <c r="B7" s="139" t="s">
        <v>84</v>
      </c>
      <c r="C7" s="140"/>
      <c r="D7" s="140"/>
      <c r="E7" s="141"/>
    </row>
    <row r="8" spans="2:5" x14ac:dyDescent="0.3">
      <c r="B8" s="142">
        <f ca="1">NOW()</f>
        <v>44264.766392129626</v>
      </c>
      <c r="C8" s="143"/>
      <c r="D8" s="143"/>
      <c r="E8" s="144"/>
    </row>
    <row r="9" spans="2:5" x14ac:dyDescent="0.3">
      <c r="B9" s="56" t="str">
        <f>IF(FDV!A2="","",FDV!A1&amp;" : "&amp;FDV!A2)</f>
        <v>Plateforme : Site</v>
      </c>
      <c r="C9" s="57"/>
      <c r="D9" s="57"/>
      <c r="E9" s="58"/>
    </row>
    <row r="10" spans="2:5" x14ac:dyDescent="0.3">
      <c r="B10" s="59" t="str">
        <f>IF(FDV!B2="","",FDV!B1&amp;" : "&amp;FDV!B2)</f>
        <v>N° de commande : 230-258</v>
      </c>
      <c r="C10" s="60"/>
      <c r="D10" s="60"/>
      <c r="E10" s="61"/>
    </row>
    <row r="11" spans="2:5" x14ac:dyDescent="0.3">
      <c r="B11" s="62" t="s">
        <v>85</v>
      </c>
      <c r="C11" s="63" t="s">
        <v>86</v>
      </c>
      <c r="D11" s="63" t="s">
        <v>87</v>
      </c>
      <c r="E11" s="64" t="s">
        <v>88</v>
      </c>
    </row>
    <row r="12" spans="2:5" x14ac:dyDescent="0.3">
      <c r="B12" s="65" t="str">
        <f>+FDV!B5</f>
        <v>Doudou et compagnie ours plat arc en ciel nuage de couleur DC1031</v>
      </c>
      <c r="C12" s="66">
        <f>+FDV!C5</f>
        <v>1</v>
      </c>
      <c r="D12" s="67">
        <f>+FDV!D5</f>
        <v>13</v>
      </c>
      <c r="E12" s="68">
        <f>+FDV!E5</f>
        <v>13</v>
      </c>
    </row>
    <row r="13" spans="2:5" x14ac:dyDescent="0.3">
      <c r="B13" s="69" t="str">
        <f>+FDV!B6</f>
        <v/>
      </c>
      <c r="C13" s="66">
        <f>+FDV!C6</f>
        <v>0</v>
      </c>
      <c r="D13" s="70" t="str">
        <f>+FDV!D6</f>
        <v/>
      </c>
      <c r="E13" s="68">
        <f>+FDV!E6</f>
        <v>0</v>
      </c>
    </row>
    <row r="14" spans="2:5" x14ac:dyDescent="0.3">
      <c r="B14" s="69" t="str">
        <f>+FDV!B7</f>
        <v/>
      </c>
      <c r="C14" s="66">
        <f>+FDV!C7</f>
        <v>0</v>
      </c>
      <c r="D14" s="70" t="str">
        <f>+FDV!D7</f>
        <v/>
      </c>
      <c r="E14" s="68">
        <f>+FDV!E7</f>
        <v>0</v>
      </c>
    </row>
    <row r="15" spans="2:5" x14ac:dyDescent="0.3">
      <c r="B15" s="69" t="str">
        <f>+FDV!B8</f>
        <v/>
      </c>
      <c r="C15" s="66">
        <f>+FDV!C8</f>
        <v>0</v>
      </c>
      <c r="D15" s="70" t="str">
        <f>+FDV!D8</f>
        <v/>
      </c>
      <c r="E15" s="68">
        <f>+FDV!E8</f>
        <v>0</v>
      </c>
    </row>
    <row r="16" spans="2:5" x14ac:dyDescent="0.3">
      <c r="B16" s="69" t="str">
        <f>+FDV!B9</f>
        <v/>
      </c>
      <c r="C16" s="66">
        <f>+FDV!C9</f>
        <v>0</v>
      </c>
      <c r="D16" s="70" t="str">
        <f>+FDV!D9</f>
        <v/>
      </c>
      <c r="E16" s="68">
        <f>+FDV!E9</f>
        <v>0</v>
      </c>
    </row>
    <row r="17" spans="2:5" x14ac:dyDescent="0.3">
      <c r="B17" s="69" t="str">
        <f>+FDV!B10</f>
        <v/>
      </c>
      <c r="C17" s="66">
        <f>+FDV!C10</f>
        <v>0</v>
      </c>
      <c r="D17" s="70" t="str">
        <f>+FDV!D10</f>
        <v/>
      </c>
      <c r="E17" s="68">
        <f>+FDV!E10</f>
        <v>0</v>
      </c>
    </row>
    <row r="18" spans="2:5" x14ac:dyDescent="0.3">
      <c r="B18" s="69" t="str">
        <f>+FDV!B11</f>
        <v/>
      </c>
      <c r="C18" s="66">
        <f>+FDV!C11</f>
        <v>0</v>
      </c>
      <c r="D18" s="70" t="str">
        <f>+FDV!D11</f>
        <v/>
      </c>
      <c r="E18" s="68">
        <f>+FDV!E11</f>
        <v>0</v>
      </c>
    </row>
    <row r="19" spans="2:5" x14ac:dyDescent="0.3">
      <c r="B19" s="69" t="str">
        <f>+FDV!B12</f>
        <v/>
      </c>
      <c r="C19" s="66">
        <f>+FDV!C12</f>
        <v>0</v>
      </c>
      <c r="D19" s="70" t="str">
        <f>+FDV!D12</f>
        <v/>
      </c>
      <c r="E19" s="68">
        <f>+FDV!E12</f>
        <v>0</v>
      </c>
    </row>
    <row r="20" spans="2:5" x14ac:dyDescent="0.3">
      <c r="B20" s="69" t="str">
        <f>+FDV!B13</f>
        <v/>
      </c>
      <c r="C20" s="66">
        <f>+FDV!C13</f>
        <v>0</v>
      </c>
      <c r="D20" s="70" t="str">
        <f>+FDV!D13</f>
        <v/>
      </c>
      <c r="E20" s="68">
        <f>+FDV!E13</f>
        <v>0</v>
      </c>
    </row>
    <row r="21" spans="2:5" x14ac:dyDescent="0.3">
      <c r="B21" s="69"/>
      <c r="C21" s="71"/>
      <c r="D21" s="71"/>
      <c r="E21" s="72"/>
    </row>
    <row r="22" spans="2:5" x14ac:dyDescent="0.3">
      <c r="B22" s="73">
        <f>+SUM(C12:C20)</f>
        <v>1</v>
      </c>
      <c r="C22" s="74"/>
      <c r="D22" s="75"/>
      <c r="E22" s="76"/>
    </row>
    <row r="23" spans="2:5" x14ac:dyDescent="0.3">
      <c r="B23" s="77" t="s">
        <v>89</v>
      </c>
      <c r="C23" s="78"/>
      <c r="D23" s="78"/>
      <c r="E23" s="68">
        <f>+SUM(E12:E20)</f>
        <v>13</v>
      </c>
    </row>
    <row r="24" spans="2:5" x14ac:dyDescent="0.3">
      <c r="B24" s="69" t="str">
        <f>+IF(FDV!J8="","",FDV!I8)</f>
        <v>Réduction</v>
      </c>
      <c r="C24" s="78"/>
      <c r="D24" s="78"/>
      <c r="E24" s="79">
        <f>FDV!J8</f>
        <v>2</v>
      </c>
    </row>
    <row r="25" spans="2:5" ht="15" thickBot="1" x14ac:dyDescent="0.35">
      <c r="B25" s="69" t="str">
        <f>+IF(FDV!J10="","",FDV!I10)</f>
        <v>Frais de Port</v>
      </c>
      <c r="C25" s="78"/>
      <c r="D25" s="78"/>
      <c r="E25" s="80">
        <f>+FDV!J10</f>
        <v>44</v>
      </c>
    </row>
    <row r="26" spans="2:5" ht="15.6" thickTop="1" thickBot="1" x14ac:dyDescent="0.35">
      <c r="B26" s="81" t="s">
        <v>90</v>
      </c>
      <c r="C26" s="82"/>
      <c r="D26" s="82"/>
      <c r="E26" s="83">
        <f>+E25+E23-E24</f>
        <v>55</v>
      </c>
    </row>
    <row r="27" spans="2:5" ht="15" thickTop="1" x14ac:dyDescent="0.3">
      <c r="B27" s="84" t="str">
        <f>+FDV!I19</f>
        <v>Carte Bancaire</v>
      </c>
      <c r="C27" s="85"/>
      <c r="D27" s="85"/>
      <c r="E27" s="86">
        <f>+E26</f>
        <v>55</v>
      </c>
    </row>
    <row r="28" spans="2:5" x14ac:dyDescent="0.3">
      <c r="B28" s="87" t="str">
        <f>+IF(FDV!J6="FR","Dont Tva",IF(FDV!J6="UE","Dont Tva","Non soumis à TVA : export H.UE"))</f>
        <v>Dont Tva</v>
      </c>
      <c r="C28" s="88"/>
      <c r="D28" s="89"/>
      <c r="E28" s="90">
        <f>+FDV!J15</f>
        <v>45.833333333333336</v>
      </c>
    </row>
    <row r="29" spans="2:5" x14ac:dyDescent="0.3">
      <c r="B29" s="91" t="str">
        <f>+IF(FDV!J12=BDD!K1,"Retrait magasin","Transporteur : ")</f>
        <v xml:space="preserve">Transporteur : </v>
      </c>
      <c r="C29" s="92"/>
      <c r="D29" s="93" t="str">
        <f>+IF(FDV!J12=BDD!K1,"",FDV!J12)</f>
        <v>Mondial Relay</v>
      </c>
      <c r="E29" s="94"/>
    </row>
    <row r="30" spans="2:5" x14ac:dyDescent="0.3">
      <c r="B30" s="145" t="s">
        <v>91</v>
      </c>
      <c r="C30" s="146"/>
      <c r="D30" s="146"/>
      <c r="E30" s="147"/>
    </row>
    <row r="31" spans="2:5" x14ac:dyDescent="0.3">
      <c r="B31" s="124" t="str">
        <f>+BDD!$A$7&amp;" "&amp;BDD!$B$7</f>
        <v>Siret : A afficher</v>
      </c>
      <c r="C31" s="125"/>
      <c r="D31" s="125"/>
      <c r="E31" s="126"/>
    </row>
  </sheetData>
  <mergeCells count="10">
    <mergeCell ref="B31:E31"/>
    <mergeCell ref="B1:E1"/>
    <mergeCell ref="B2:E2"/>
    <mergeCell ref="B3:E3"/>
    <mergeCell ref="B4:E4"/>
    <mergeCell ref="B5:E5"/>
    <mergeCell ref="B6:E6"/>
    <mergeCell ref="B7:E7"/>
    <mergeCell ref="B8:E8"/>
    <mergeCell ref="B30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5"/>
  <sheetViews>
    <sheetView workbookViewId="0">
      <selection activeCell="C2" sqref="C2"/>
    </sheetView>
  </sheetViews>
  <sheetFormatPr baseColWidth="10" defaultRowHeight="14.4" x14ac:dyDescent="0.3"/>
  <cols>
    <col min="1" max="1" width="11.5546875" style="15"/>
    <col min="6" max="6" width="12.5546875" customWidth="1"/>
    <col min="7" max="7" width="12.33203125" customWidth="1"/>
  </cols>
  <sheetData>
    <row r="1" spans="1:7" x14ac:dyDescent="0.3">
      <c r="A1" s="17" t="s">
        <v>31</v>
      </c>
      <c r="B1" s="18" t="s">
        <v>32</v>
      </c>
      <c r="C1" s="18" t="s">
        <v>33</v>
      </c>
      <c r="D1" s="18" t="s">
        <v>34</v>
      </c>
      <c r="E1" s="18" t="s">
        <v>35</v>
      </c>
      <c r="F1" s="18" t="s">
        <v>36</v>
      </c>
      <c r="G1" s="18" t="s">
        <v>37</v>
      </c>
    </row>
    <row r="2" spans="1:7" x14ac:dyDescent="0.3">
      <c r="A2" s="15">
        <v>44264</v>
      </c>
      <c r="C2">
        <v>3</v>
      </c>
      <c r="D2">
        <v>27</v>
      </c>
      <c r="F2">
        <v>0</v>
      </c>
      <c r="G2">
        <v>0</v>
      </c>
    </row>
    <row r="3" spans="1:7" x14ac:dyDescent="0.3">
      <c r="A3" s="15">
        <v>44264</v>
      </c>
      <c r="C3" t="s">
        <v>57</v>
      </c>
      <c r="D3">
        <v>24</v>
      </c>
      <c r="F3">
        <v>0</v>
      </c>
      <c r="G3">
        <v>0</v>
      </c>
    </row>
    <row r="4" spans="1:7" x14ac:dyDescent="0.3">
      <c r="A4" s="15">
        <v>44264</v>
      </c>
      <c r="C4">
        <v>3</v>
      </c>
      <c r="D4">
        <v>0</v>
      </c>
      <c r="F4">
        <v>27</v>
      </c>
      <c r="G4" t="s">
        <v>95</v>
      </c>
    </row>
    <row r="5" spans="1:7" x14ac:dyDescent="0.3">
      <c r="A5" s="15">
        <v>44264</v>
      </c>
      <c r="C5" t="s">
        <v>54</v>
      </c>
      <c r="D5">
        <v>9</v>
      </c>
      <c r="F5">
        <v>0</v>
      </c>
      <c r="G5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O17"/>
  <sheetViews>
    <sheetView showGridLines="0" workbookViewId="0">
      <selection activeCell="F21" sqref="F21"/>
    </sheetView>
  </sheetViews>
  <sheetFormatPr baseColWidth="10" defaultRowHeight="14.4" x14ac:dyDescent="0.3"/>
  <cols>
    <col min="1" max="1" width="11.21875" bestFit="1" customWidth="1"/>
    <col min="2" max="2" width="15.5546875" bestFit="1" customWidth="1"/>
    <col min="6" max="6" width="12.21875" customWidth="1"/>
    <col min="10" max="10" width="12.5546875" customWidth="1"/>
    <col min="11" max="11" width="11.44140625" bestFit="1" customWidth="1"/>
    <col min="14" max="14" width="12.33203125" customWidth="1"/>
    <col min="15" max="15" width="13.21875" customWidth="1"/>
  </cols>
  <sheetData>
    <row r="1" spans="1:15" x14ac:dyDescent="0.3">
      <c r="A1" s="116" t="s">
        <v>31</v>
      </c>
      <c r="B1" s="117" t="s">
        <v>32</v>
      </c>
      <c r="C1" s="117" t="s">
        <v>33</v>
      </c>
      <c r="D1" s="117" t="s">
        <v>34</v>
      </c>
      <c r="E1" s="117" t="s">
        <v>35</v>
      </c>
      <c r="F1" s="117" t="s">
        <v>36</v>
      </c>
      <c r="G1" s="117" t="s">
        <v>37</v>
      </c>
    </row>
    <row r="2" spans="1:15" x14ac:dyDescent="0.3">
      <c r="A2" s="118">
        <f ca="1">+A3</f>
        <v>44264</v>
      </c>
      <c r="B2" s="119"/>
      <c r="C2" s="119">
        <f>+B4</f>
        <v>0</v>
      </c>
      <c r="D2" s="119">
        <f>+B6</f>
        <v>0</v>
      </c>
      <c r="E2" s="119"/>
      <c r="F2" s="119">
        <f>+B8</f>
        <v>0</v>
      </c>
      <c r="G2" s="119">
        <f>+D8</f>
        <v>0</v>
      </c>
    </row>
    <row r="3" spans="1:15" ht="25.8" customHeight="1" x14ac:dyDescent="0.3">
      <c r="A3" s="14">
        <f ca="1">+TODAY()</f>
        <v>44264</v>
      </c>
      <c r="B3" s="150" t="s">
        <v>39</v>
      </c>
      <c r="C3" s="150"/>
      <c r="D3" s="150"/>
      <c r="E3" s="150"/>
      <c r="F3" s="150"/>
      <c r="I3" s="150" t="s">
        <v>61</v>
      </c>
      <c r="J3" s="150"/>
      <c r="K3" s="150"/>
      <c r="L3" s="150"/>
      <c r="M3" s="150"/>
      <c r="N3" s="150"/>
      <c r="O3" s="150"/>
    </row>
    <row r="4" spans="1:15" x14ac:dyDescent="0.3">
      <c r="A4" s="13" t="s">
        <v>33</v>
      </c>
      <c r="B4" s="104"/>
      <c r="C4" s="19" t="str">
        <f>+IFERROR(VLOOKUP(B4,Stock[[#All],[Produits]:[Nom]],2,FALSE),"")</f>
        <v/>
      </c>
      <c r="D4" s="12"/>
      <c r="E4" s="12"/>
      <c r="F4" s="11"/>
      <c r="I4" s="13" t="s">
        <v>62</v>
      </c>
      <c r="J4" s="105"/>
      <c r="K4" s="11"/>
      <c r="L4" s="11"/>
      <c r="M4" s="11"/>
      <c r="N4" s="11"/>
      <c r="O4" s="11"/>
    </row>
    <row r="5" spans="1:15" x14ac:dyDescent="0.3">
      <c r="A5" s="12"/>
      <c r="B5" s="12"/>
      <c r="C5" s="12"/>
      <c r="D5" s="12"/>
      <c r="E5" s="12"/>
      <c r="F5" s="11"/>
      <c r="I5" s="11"/>
      <c r="J5" s="11"/>
      <c r="K5" s="11"/>
      <c r="L5" s="11"/>
      <c r="M5" s="11"/>
      <c r="N5" s="11"/>
      <c r="O5" s="11"/>
    </row>
    <row r="6" spans="1:15" x14ac:dyDescent="0.3">
      <c r="A6" s="13" t="s">
        <v>38</v>
      </c>
      <c r="B6" s="104"/>
      <c r="C6" s="12"/>
      <c r="D6" s="12"/>
      <c r="E6" s="12"/>
      <c r="F6" s="11"/>
      <c r="I6" s="13" t="s">
        <v>48</v>
      </c>
      <c r="J6" s="20">
        <f>+IFERROR(VLOOKUP(J4,Stock[[#All],[Produits]:[Total V HT]],7,FALSE),SUM(Stock[Stock I]))</f>
        <v>38</v>
      </c>
      <c r="K6" s="13" t="s">
        <v>44</v>
      </c>
      <c r="L6" s="21" t="str">
        <f>+IFERROR(VLOOKUP(J4,Stock[[#All],[Produits]:[Prix U HT]],3,FALSE),"")</f>
        <v/>
      </c>
      <c r="M6" s="13" t="s">
        <v>63</v>
      </c>
      <c r="N6" s="21">
        <f>+IFERROR(VLOOKUP(J4,Stock[[#All],[Produits]:[V S F HT]],13,FALSE),SUM(Stock[V S F HT]))</f>
        <v>235.5</v>
      </c>
      <c r="O6" s="11"/>
    </row>
    <row r="7" spans="1:15" x14ac:dyDescent="0.3">
      <c r="A7" s="12"/>
      <c r="B7" s="12"/>
      <c r="C7" s="12"/>
      <c r="D7" s="12"/>
      <c r="E7" s="12"/>
      <c r="F7" s="11"/>
      <c r="I7" s="11"/>
      <c r="J7" s="11"/>
      <c r="K7" s="11"/>
      <c r="L7" s="11"/>
      <c r="M7" s="11"/>
      <c r="N7" s="11"/>
      <c r="O7" s="11"/>
    </row>
    <row r="8" spans="1:15" ht="15.6" x14ac:dyDescent="0.3">
      <c r="A8" s="13" t="s">
        <v>41</v>
      </c>
      <c r="B8" s="115"/>
      <c r="C8" s="13" t="s">
        <v>40</v>
      </c>
      <c r="D8" s="148"/>
      <c r="E8" s="149"/>
      <c r="F8" s="11"/>
      <c r="I8" s="13" t="s">
        <v>49</v>
      </c>
      <c r="J8" s="20">
        <f>+IFERROR(VLOOKUP(J4,Stock[[#All],[Produits]:[Total V HT]],11,FALSE),SUM(Stock[Stock F]))</f>
        <v>71</v>
      </c>
      <c r="K8" s="13" t="s">
        <v>45</v>
      </c>
      <c r="L8" s="21" t="str">
        <f>+IFERROR(VLOOKUP(J4,Stock[[#All],[Produits]:[Prix U HT]],4,FALSE),"")</f>
        <v/>
      </c>
      <c r="M8" s="13" t="s">
        <v>64</v>
      </c>
      <c r="N8" s="21">
        <f>+IFERROR(VLOOKUP(J4,Stock[[#All],[Produits]:[Total V HT]],14,FALSE),SUM(Stock[Total V HT]))</f>
        <v>1199.8433333333332</v>
      </c>
      <c r="O8" s="11"/>
    </row>
    <row r="9" spans="1:15" x14ac:dyDescent="0.3">
      <c r="A9" s="12"/>
      <c r="B9" s="12"/>
      <c r="C9" s="12"/>
      <c r="D9" s="12"/>
      <c r="E9" s="12"/>
      <c r="F9" s="11"/>
      <c r="I9" s="11"/>
      <c r="J9" s="11"/>
      <c r="K9" s="11"/>
      <c r="L9" s="11"/>
      <c r="M9" s="11"/>
      <c r="N9" s="11"/>
      <c r="O9" s="11"/>
    </row>
    <row r="13" spans="1:15" x14ac:dyDescent="0.3">
      <c r="A13" s="106" t="s">
        <v>42</v>
      </c>
      <c r="B13" s="107" t="s">
        <v>43</v>
      </c>
      <c r="C13" s="108" t="s">
        <v>44</v>
      </c>
      <c r="D13" s="108" t="s">
        <v>45</v>
      </c>
      <c r="E13" s="107" t="s">
        <v>46</v>
      </c>
      <c r="F13" s="108" t="s">
        <v>47</v>
      </c>
      <c r="G13" s="107" t="s">
        <v>48</v>
      </c>
      <c r="H13" s="107" t="s">
        <v>34</v>
      </c>
      <c r="I13" s="107" t="s">
        <v>35</v>
      </c>
      <c r="J13" s="107" t="s">
        <v>36</v>
      </c>
      <c r="K13" s="107" t="s">
        <v>49</v>
      </c>
      <c r="L13" s="108" t="s">
        <v>50</v>
      </c>
      <c r="M13" s="108" t="s">
        <v>51</v>
      </c>
      <c r="N13" s="108" t="s">
        <v>52</v>
      </c>
      <c r="O13" s="109" t="s">
        <v>53</v>
      </c>
    </row>
    <row r="14" spans="1:15" x14ac:dyDescent="0.3">
      <c r="A14" s="110" t="s">
        <v>54</v>
      </c>
      <c r="B14" s="110" t="s">
        <v>55</v>
      </c>
      <c r="C14" s="121">
        <v>4</v>
      </c>
      <c r="D14" s="121">
        <v>23.93</v>
      </c>
      <c r="E14" s="111">
        <v>0.2</v>
      </c>
      <c r="F14" s="112">
        <f>+Stock[[#This Row],[TVA]]*Stock[[#This Row],[Prix U HT]]+Stock[[#This Row],[Prix U HT]]</f>
        <v>28.716000000000001</v>
      </c>
      <c r="G14" s="120">
        <v>23</v>
      </c>
      <c r="H14" s="120">
        <f>+SUMIFS(journal[[#All],[Entrée]],journal[[#All],[Ref]],A14)</f>
        <v>9</v>
      </c>
      <c r="I14" s="120">
        <f>+SUMIFS(journal[[#All],[Sortie]],journal[[#All],[Ref]],A14)</f>
        <v>0</v>
      </c>
      <c r="J14" s="120">
        <f>+SUMIFS(journal[[#All],[Destockage]],journal[[#All],[Ref]],A14)</f>
        <v>0</v>
      </c>
      <c r="K14" s="120">
        <f>+Stock[[#This Row],[Stock I]]+Stock[[#This Row],[Entrée]]-Stock[[#This Row],[Sortie]]-Stock[[#This Row],[Destockage]]</f>
        <v>32</v>
      </c>
      <c r="L14" s="113">
        <f>+Stock[[#This Row],[Stock I]]*Stock[[#This Row],[Prix A HT]]</f>
        <v>92</v>
      </c>
      <c r="M14" s="112">
        <f>+Stock[[#This Row],[Stock F]]*Stock[[#This Row],[Prix A HT]]</f>
        <v>128</v>
      </c>
      <c r="N14" s="112">
        <f>+Stock[[#This Row],[Stock F]]*Stock[[#This Row],[Prix U HT]]</f>
        <v>765.76</v>
      </c>
      <c r="O14" s="112">
        <f>+Stock[[#This Row],[Stock F]]*Stock[[#This Row],[Prix U TTC]]</f>
        <v>918.91200000000003</v>
      </c>
    </row>
    <row r="15" spans="1:15" x14ac:dyDescent="0.3">
      <c r="A15" s="110">
        <v>3</v>
      </c>
      <c r="B15" s="110" t="s">
        <v>56</v>
      </c>
      <c r="C15" s="121">
        <v>7.5</v>
      </c>
      <c r="D15" s="121">
        <v>16.625</v>
      </c>
      <c r="E15" s="111">
        <v>0.2</v>
      </c>
      <c r="F15" s="112">
        <f>+Stock[[#This Row],[TVA]]*Stock[[#This Row],[Prix U HT]]+Stock[[#This Row],[Prix U HT]]</f>
        <v>19.95</v>
      </c>
      <c r="G15" s="120">
        <v>2</v>
      </c>
      <c r="H15" s="120">
        <f>+SUMIFS(journal[[#All],[Entrée]],journal[[#All],[Ref]],A15)</f>
        <v>27</v>
      </c>
      <c r="I15" s="120">
        <f>+SUMIFS(journal[[#All],[Sortie]],journal[[#All],[Ref]],A15)</f>
        <v>0</v>
      </c>
      <c r="J15" s="120">
        <f>+SUMIFS(journal[[#All],[Destockage]],journal[[#All],[Ref]],A15)</f>
        <v>27</v>
      </c>
      <c r="K15" s="120">
        <f>+Stock[[#This Row],[Stock I]]+Stock[[#This Row],[Entrée]]-Stock[[#This Row],[Sortie]]-Stock[[#This Row],[Destockage]]</f>
        <v>2</v>
      </c>
      <c r="L15" s="113">
        <f>+Stock[[#This Row],[Stock I]]*Stock[[#This Row],[Prix A HT]]</f>
        <v>15</v>
      </c>
      <c r="M15" s="112">
        <f>+Stock[[#This Row],[Stock F]]*Stock[[#This Row],[Prix A HT]]</f>
        <v>15</v>
      </c>
      <c r="N15" s="112">
        <f>+Stock[[#This Row],[Stock F]]*Stock[[#This Row],[Prix U HT]]</f>
        <v>33.25</v>
      </c>
      <c r="O15" s="112">
        <f>+Stock[[#This Row],[Stock F]]*Stock[[#This Row],[Prix U TTC]]</f>
        <v>39.9</v>
      </c>
    </row>
    <row r="16" spans="1:15" x14ac:dyDescent="0.3">
      <c r="A16" s="110" t="s">
        <v>57</v>
      </c>
      <c r="B16" s="110" t="s">
        <v>58</v>
      </c>
      <c r="C16" s="121">
        <v>2.5</v>
      </c>
      <c r="D16" s="121">
        <v>10.833333333333334</v>
      </c>
      <c r="E16" s="111">
        <v>0.2</v>
      </c>
      <c r="F16" s="112">
        <f>+Stock[[#This Row],[TVA]]*Stock[[#This Row],[Prix U HT]]+Stock[[#This Row],[Prix U HT]]</f>
        <v>13</v>
      </c>
      <c r="G16" s="120">
        <v>13</v>
      </c>
      <c r="H16" s="120">
        <f>+SUMIFS(journal[[#All],[Entrée]],journal[[#All],[Ref]],A16)</f>
        <v>24</v>
      </c>
      <c r="I16" s="120">
        <f>+SUMIFS(journal[[#All],[Sortie]],journal[[#All],[Ref]],A16)</f>
        <v>0</v>
      </c>
      <c r="J16" s="120">
        <f>+SUMIFS(journal[[#All],[Destockage]],journal[[#All],[Ref]],A16)</f>
        <v>0</v>
      </c>
      <c r="K16" s="120">
        <f>+Stock[[#This Row],[Stock I]]+Stock[[#This Row],[Entrée]]-Stock[[#This Row],[Sortie]]-Stock[[#This Row],[Destockage]]</f>
        <v>37</v>
      </c>
      <c r="L16" s="113">
        <f>+Stock[[#This Row],[Stock I]]*Stock[[#This Row],[Prix A HT]]</f>
        <v>32.5</v>
      </c>
      <c r="M16" s="112">
        <f>+Stock[[#This Row],[Stock F]]*Stock[[#This Row],[Prix A HT]]</f>
        <v>92.5</v>
      </c>
      <c r="N16" s="112">
        <f>+Stock[[#This Row],[Stock F]]*Stock[[#This Row],[Prix U HT]]</f>
        <v>400.83333333333337</v>
      </c>
      <c r="O16" s="112">
        <f>+Stock[[#This Row],[Stock F]]*Stock[[#This Row],[Prix U TTC]]</f>
        <v>481</v>
      </c>
    </row>
    <row r="17" spans="1:15" x14ac:dyDescent="0.3">
      <c r="A17" s="110" t="s">
        <v>59</v>
      </c>
      <c r="B17" s="110" t="s">
        <v>60</v>
      </c>
      <c r="C17" s="121">
        <v>9.5750000000000011</v>
      </c>
      <c r="D17" s="121">
        <v>19.958333333333332</v>
      </c>
      <c r="E17" s="111">
        <v>0.2</v>
      </c>
      <c r="F17" s="112">
        <f>+Stock[[#This Row],[TVA]]*Stock[[#This Row],[Prix U HT]]+Stock[[#This Row],[Prix U HT]]</f>
        <v>23.95</v>
      </c>
      <c r="G17" s="120">
        <v>0</v>
      </c>
      <c r="H17" s="120">
        <f>+SUMIFS(journal[[#All],[Entrée]],journal[[#All],[Ref]],A17)</f>
        <v>0</v>
      </c>
      <c r="I17" s="120">
        <f>+SUMIFS(journal[[#All],[Sortie]],journal[[#All],[Ref]],A17)</f>
        <v>0</v>
      </c>
      <c r="J17" s="120">
        <f>+SUMIFS(journal[[#All],[Destockage]],journal[[#All],[Ref]],A17)</f>
        <v>0</v>
      </c>
      <c r="K17" s="120">
        <f>+Stock[[#This Row],[Stock I]]+Stock[[#This Row],[Entrée]]-Stock[[#This Row],[Sortie]]-Stock[[#This Row],[Destockage]]</f>
        <v>0</v>
      </c>
      <c r="L17" s="113">
        <f>+Stock[[#This Row],[Stock I]]*Stock[[#This Row],[Prix A HT]]</f>
        <v>0</v>
      </c>
      <c r="M17" s="112">
        <f>+Stock[[#This Row],[Stock F]]*Stock[[#This Row],[Prix A HT]]</f>
        <v>0</v>
      </c>
      <c r="N17" s="112">
        <f>+Stock[[#This Row],[Stock F]]*Stock[[#This Row],[Prix U HT]]</f>
        <v>0</v>
      </c>
      <c r="O17" s="112">
        <f>+Stock[[#This Row],[Stock F]]*Stock[[#This Row],[Prix U TTC]]</f>
        <v>0</v>
      </c>
    </row>
  </sheetData>
  <sheetProtection selectLockedCells="1"/>
  <mergeCells count="3">
    <mergeCell ref="D8:E8"/>
    <mergeCell ref="B3:F3"/>
    <mergeCell ref="I3:O3"/>
  </mergeCells>
  <pageMargins left="0.7" right="0.7" top="0.75" bottom="0.75" header="0.3" footer="0.3"/>
  <pageSetup paperSize="9" orientation="portrait" verticalDpi="0" r:id="rId1"/>
  <ignoredErrors>
    <ignoredError sqref="F14:O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4" r:id="rId4" name="Button 8">
              <controlPr defaultSize="0" print="0" autoFill="0" autoPict="0" macro="[0]!rea_destock">
                <anchor moveWithCells="1" sizeWithCells="1">
                  <from>
                    <xdr:col>6</xdr:col>
                    <xdr:colOff>106680</xdr:colOff>
                    <xdr:row>4</xdr:row>
                    <xdr:rowOff>68580</xdr:rowOff>
                  </from>
                  <to>
                    <xdr:col>7</xdr:col>
                    <xdr:colOff>693420</xdr:colOff>
                    <xdr:row>7</xdr:row>
                    <xdr:rowOff>160020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M10"/>
  <sheetViews>
    <sheetView workbookViewId="0">
      <selection activeCell="O8" sqref="O8"/>
    </sheetView>
  </sheetViews>
  <sheetFormatPr baseColWidth="10" defaultRowHeight="14.4" x14ac:dyDescent="0.3"/>
  <cols>
    <col min="1" max="1" width="15.5546875" style="15" bestFit="1" customWidth="1"/>
    <col min="6" max="6" width="10.6640625" bestFit="1" customWidth="1"/>
    <col min="7" max="7" width="16.44140625" bestFit="1" customWidth="1"/>
    <col min="9" max="10" width="11.5546875" style="16"/>
    <col min="13" max="13" width="11.5546875" style="16"/>
  </cols>
  <sheetData>
    <row r="1" spans="1:13" s="100" customFormat="1" ht="13.8" x14ac:dyDescent="0.3">
      <c r="A1" s="114" t="s">
        <v>31</v>
      </c>
      <c r="B1" s="98" t="s">
        <v>92</v>
      </c>
      <c r="C1" s="98" t="s">
        <v>33</v>
      </c>
      <c r="D1" s="99" t="s">
        <v>69</v>
      </c>
      <c r="E1" s="99" t="s">
        <v>47</v>
      </c>
      <c r="F1" s="96" t="s">
        <v>65</v>
      </c>
      <c r="G1" s="97" t="s">
        <v>66</v>
      </c>
      <c r="H1" s="96" t="s">
        <v>74</v>
      </c>
      <c r="I1" s="103" t="s">
        <v>75</v>
      </c>
      <c r="J1" s="103" t="s">
        <v>76</v>
      </c>
      <c r="K1" s="96" t="s">
        <v>77</v>
      </c>
      <c r="L1" s="96" t="s">
        <v>93</v>
      </c>
      <c r="M1" s="102" t="s">
        <v>94</v>
      </c>
    </row>
    <row r="2" spans="1:13" x14ac:dyDescent="0.3">
      <c r="A2" s="15">
        <f ca="1">+Ticket!B8</f>
        <v>44264.766392129626</v>
      </c>
      <c r="B2" t="str">
        <f>+Ticket!B7</f>
        <v>2021-313</v>
      </c>
      <c r="C2" t="str">
        <f>+FDV!A5</f>
        <v>news</v>
      </c>
      <c r="D2">
        <f>+FDV!C5</f>
        <v>1</v>
      </c>
      <c r="E2" s="101">
        <f>+FDV!D5</f>
        <v>13</v>
      </c>
      <c r="F2" t="str">
        <f>+FDV!A2</f>
        <v>Site</v>
      </c>
      <c r="G2" t="str">
        <f>+FDV!B2</f>
        <v>230-258</v>
      </c>
      <c r="H2" t="str">
        <f>+FDV!J6</f>
        <v>UE</v>
      </c>
      <c r="I2" s="16">
        <f>+FDV!J8</f>
        <v>2</v>
      </c>
      <c r="J2" s="16">
        <f>+FDV!J10</f>
        <v>44</v>
      </c>
      <c r="K2" t="str">
        <f>+FDV!J12</f>
        <v>Mondial Relay</v>
      </c>
      <c r="L2" t="str">
        <f>+FDV!I19</f>
        <v>Carte Bancaire</v>
      </c>
      <c r="M2" s="16">
        <f>+Ticket!E26</f>
        <v>55</v>
      </c>
    </row>
    <row r="3" spans="1:13" x14ac:dyDescent="0.3">
      <c r="C3">
        <f>+FDV!A6</f>
        <v>0</v>
      </c>
      <c r="D3">
        <f>+FDV!C6</f>
        <v>0</v>
      </c>
      <c r="E3" s="101" t="str">
        <f>+FDV!D6</f>
        <v/>
      </c>
    </row>
    <row r="4" spans="1:13" x14ac:dyDescent="0.3">
      <c r="C4">
        <f>+FDV!A7</f>
        <v>0</v>
      </c>
      <c r="D4">
        <f>+FDV!C7</f>
        <v>0</v>
      </c>
      <c r="E4" s="101" t="str">
        <f>+FDV!D7</f>
        <v/>
      </c>
    </row>
    <row r="5" spans="1:13" x14ac:dyDescent="0.3">
      <c r="C5">
        <f>+FDV!A8</f>
        <v>0</v>
      </c>
      <c r="D5">
        <f>+FDV!C8</f>
        <v>0</v>
      </c>
      <c r="E5" s="101" t="str">
        <f>+FDV!D8</f>
        <v/>
      </c>
    </row>
    <row r="6" spans="1:13" x14ac:dyDescent="0.3">
      <c r="C6">
        <f>+FDV!A9</f>
        <v>0</v>
      </c>
      <c r="D6">
        <f>+FDV!C9</f>
        <v>0</v>
      </c>
      <c r="E6" s="101" t="str">
        <f>+FDV!D9</f>
        <v/>
      </c>
    </row>
    <row r="7" spans="1:13" x14ac:dyDescent="0.3">
      <c r="C7">
        <f>+FDV!A10</f>
        <v>0</v>
      </c>
      <c r="D7">
        <f>+FDV!C10</f>
        <v>0</v>
      </c>
      <c r="E7" s="101" t="str">
        <f>+FDV!D10</f>
        <v/>
      </c>
    </row>
    <row r="8" spans="1:13" x14ac:dyDescent="0.3">
      <c r="C8">
        <f>+FDV!A11</f>
        <v>0</v>
      </c>
      <c r="D8">
        <f>+FDV!C11</f>
        <v>0</v>
      </c>
      <c r="E8" s="101" t="str">
        <f>+FDV!D11</f>
        <v/>
      </c>
    </row>
    <row r="9" spans="1:13" x14ac:dyDescent="0.3">
      <c r="C9">
        <f>+FDV!A12</f>
        <v>0</v>
      </c>
      <c r="D9">
        <f>+FDV!C12</f>
        <v>0</v>
      </c>
      <c r="E9" s="101" t="str">
        <f>+FDV!D12</f>
        <v/>
      </c>
    </row>
    <row r="10" spans="1:13" x14ac:dyDescent="0.3">
      <c r="C10">
        <f>+FDV!A13</f>
        <v>0</v>
      </c>
      <c r="D10">
        <f>+FDV!C13</f>
        <v>0</v>
      </c>
      <c r="E10" s="101" t="str">
        <f>+FDV!D13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BDD</vt:lpstr>
      <vt:lpstr>FDV</vt:lpstr>
      <vt:lpstr>Ticket</vt:lpstr>
      <vt:lpstr>J</vt:lpstr>
      <vt:lpstr>S</vt:lpstr>
      <vt:lpstr>A</vt:lpstr>
      <vt:lpstr>transporteur</vt:lpstr>
      <vt:lpstr>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MNSA</cp:lastModifiedBy>
  <dcterms:created xsi:type="dcterms:W3CDTF">2015-06-05T18:17:20Z</dcterms:created>
  <dcterms:modified xsi:type="dcterms:W3CDTF">2021-03-09T17:23:42Z</dcterms:modified>
</cp:coreProperties>
</file>