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bl\Downloads\"/>
    </mc:Choice>
  </mc:AlternateContent>
  <bookViews>
    <workbookView xWindow="0" yWindow="0" windowWidth="21600" windowHeight="9030"/>
  </bookViews>
  <sheets>
    <sheet name="Prgr.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inv1">[2]Résultats!$C$33</definedName>
    <definedName name="_IRA1">[3]Programme!$F$20</definedName>
    <definedName name="_IRA2">[3]Programme!$F$21</definedName>
    <definedName name="_IRA3">[3]Programme!$F$22</definedName>
    <definedName name="_IRA4">[3]Programme!$F$23</definedName>
    <definedName name="_IRA5">[3]Programme!$F$24</definedName>
    <definedName name="_PAE1">[2]Saisie!$F$56</definedName>
    <definedName name="_PAE2">[2]Saisie!$F$57</definedName>
    <definedName name="_PAE3">[2]Saisie!$F$59</definedName>
    <definedName name="_Parse_Out" hidden="1">#REF!</definedName>
    <definedName name="_res1">[2]Saisie!$B$109</definedName>
    <definedName name="_res2">[2]Saisie!$B$111</definedName>
    <definedName name="_res3">[2]Saisie!$B$113</definedName>
    <definedName name="_val1">'[4]Bilan Détaillé DDE'!$K$66</definedName>
    <definedName name="A">'[5]Lease Margin'!$B$5</definedName>
    <definedName name="Abatt_géné_annuel">'[6]Hypothèses générales'!$B$41</definedName>
    <definedName name="achatterrain">'[7]Param opération'!$F$39</definedName>
    <definedName name="Acquidate">[8]Modele!$E$10</definedName>
    <definedName name="adr_op">'[9]Donnée d''entrée'!$D$12</definedName>
    <definedName name="adresse">'[1]Donnée d''entrée'!$D$12</definedName>
    <definedName name="adresse_LLS">'[10]Donnée d''entrée'!$D$12</definedName>
    <definedName name="adresse_LLTS">'[10]Donnée d''entrée'!$E$12</definedName>
    <definedName name="adresse_siege">'[1]Donnée d''entrée'!$E$24</definedName>
    <definedName name="Amaxdefisc">'[11]Par. glob.'!$K$14</definedName>
    <definedName name="AMENAGEUR">[12]Listes!$L$4:$L$12</definedName>
    <definedName name="Amort">[13]Modele!$E$35</definedName>
    <definedName name="Andefisc">'[11]Par. Op.'!$F$145</definedName>
    <definedName name="aneffort">[14]Saisie!$C$83</definedName>
    <definedName name="annee">'[15]Liste dép et Terr'!$B$3:$K$3</definedName>
    <definedName name="ANNEE_CDC">[2]Résultats!$CS$9</definedName>
    <definedName name="Année_loyer_SCI">'[16]Loyers SCI'!$H$11:$H$681</definedName>
    <definedName name="Annuites_1er_Prets">[2]Résultats!$FD$9:$FJ$9</definedName>
    <definedName name="anpret">[2]Saisie!$C$82</definedName>
    <definedName name="anscount" hidden="1">1</definedName>
    <definedName name="APP">[2]Saisie!#REF!</definedName>
    <definedName name="AppInv">[17]Data!#REF!</definedName>
    <definedName name="Apport_foncier">'[6]Hypothèses Investisseur'!$G$45</definedName>
    <definedName name="Apport_invest">'[16]Hypothèses Investissement'!$D$50</definedName>
    <definedName name="Apport_travaux">'[6]Hypothèses Investisseur'!$N$45</definedName>
    <definedName name="arrfee">[18]Assumptions!$B$51</definedName>
    <definedName name="ASS">[12]Listes!$C$4:$C$8</definedName>
    <definedName name="asssubv">'[7]Param opération'!$F$52</definedName>
    <definedName name="Ata">[2]Saisie!$F$115:$F$146</definedName>
    <definedName name="AVANCEMENT">[12]Listes!$D$4:$D$17</definedName>
    <definedName name="Avances">[13]Modele!#REF!</definedName>
    <definedName name="BASELOYERMAX">'[1]Loyers Max'!$A$3:$D$8</definedName>
    <definedName name="Bat">[2]Saisie!$E$29:$E$110</definedName>
    <definedName name="BATIMENT">'Prgr. 2020'!$E$11:$E$39</definedName>
    <definedName name="BETbt">'[19]Param opération'!#REF!</definedName>
    <definedName name="BETeau">'[19]Param opération'!#REF!</definedName>
    <definedName name="BETfluid">'[19]Param opération'!#REF!</definedName>
    <definedName name="BETstruc">'[19]Param opération'!#REF!</definedName>
    <definedName name="BETvrd">'[19]Param opération'!#REF!</definedName>
    <definedName name="Boolean_financ_frais_mut">'[6]Hypothèses Investisseur'!$G$12</definedName>
    <definedName name="BPP">[2]Saisie!#REF!</definedName>
    <definedName name="CAF_Tot">'Prgr. 2020'!$AB$71</definedName>
    <definedName name="CapInv">[17]Data!#REF!</definedName>
    <definedName name="CDC_LLS">'Prgr. 2020'!$X$72</definedName>
    <definedName name="CDC_LLS_construction">'Prgr. 2020'!$X$73</definedName>
    <definedName name="CDC_LLS_foncier">[1]Bdgt!$R$160</definedName>
    <definedName name="CDC_LLTS">'Prgr. 2020'!$Y$72</definedName>
    <definedName name="CDC_LLTS_construction">'Prgr. 2020'!$Y$73</definedName>
    <definedName name="CDC_LLTS_foncier">[1]Bdgt!$V$160</definedName>
    <definedName name="CDC_PLS">'Prgr. 2020'!$Z$72</definedName>
    <definedName name="CDC_PLS_construction">'Prgr. 2020'!$Z$73</definedName>
    <definedName name="CDC_PLS_foncier">[1]Bdgt!$Z$160</definedName>
    <definedName name="cefefefefefe">[18]Assumptions!$B$21</definedName>
    <definedName name="CFlls">'[20]Par. glob.'!$K$38</definedName>
    <definedName name="CFllts">'[20]Par. glob.'!$K$37</definedName>
    <definedName name="CFpls">'[20]Par. glob.'!$K$39</definedName>
    <definedName name="chantier">[2]Saisie!$C$79</definedName>
    <definedName name="CHFONC">'[7]Param opération'!$F$38</definedName>
    <definedName name="CHFONCunit">'[21]Tableau financier'!#REF!</definedName>
    <definedName name="Chloccoll">'[19]Param globaux'!#REF!</definedName>
    <definedName name="Chloccollssa">'[19]Param globaux'!#REF!</definedName>
    <definedName name="Chlocind">'[19]Param globaux'!#REF!</definedName>
    <definedName name="Choix_type_loyer">'[16]Loyers SCI'!$B$13</definedName>
    <definedName name="CLoc">'[4]Param opération'!$F$110</definedName>
    <definedName name="CLoc_csas">'[4]Param globaux'!$J$46</definedName>
    <definedName name="CLoc_ind">'[4]Param globaux'!$J$45</definedName>
    <definedName name="codeVEFA">'[22]Suivi décaissement'!$G$11:$G$65</definedName>
    <definedName name="Coef_éros_monét">'[6]Hypothèses générales'!$B$42</definedName>
    <definedName name="Coéf_période">'[16]Loyers SCI'!$C$1</definedName>
    <definedName name="Com_prêt">[23]HYP!#REF!</definedName>
    <definedName name="commune">'[1]Donnée d''entrée'!$D$16</definedName>
    <definedName name="Commune_LLS">'[10]Donnée d''entrée'!$D$16</definedName>
    <definedName name="Commune_LLTS">'[10]Donnée d''entrée'!$E$16</definedName>
    <definedName name="COMMUNES">[12]Listes!$E$4:$E$28</definedName>
    <definedName name="COP">[12]Listes!$A$4:$A$12</definedName>
    <definedName name="Couru_foncier">'[6]Echéancier d''emprunt foncier'!$B$17</definedName>
    <definedName name="Couru_travaux">'[6]Echéancier d''emprunt travaux'!$B$17</definedName>
    <definedName name="Créd_Imp">'[9]Prgr. 2019'!$AC$68</definedName>
    <definedName name="Crédit_Impot">'[1]SF previsio LLS-LLTS'!$N$14</definedName>
    <definedName name="Credit_Impot_LLS">'Prgr. 2020'!$X$78</definedName>
    <definedName name="Credit_Impot_LLTS">'Prgr. 2020'!$Y$78</definedName>
    <definedName name="Credit_Impot_PLS">'Prgr. 2020'!$Z$78</definedName>
    <definedName name="CSPS">'[19]Param opération'!#REF!</definedName>
    <definedName name="CT">'[19]Param opération'!#REF!</definedName>
    <definedName name="CTX">[12]Listes!$B$4:$B$12</definedName>
    <definedName name="DatAch">[17]Data!#REF!</definedName>
    <definedName name="DATACQ">[24]Modèle!$A$34</definedName>
    <definedName name="datcap1">[2]Résultats!$O$13</definedName>
    <definedName name="datcap2">[2]Résultats!$O$14</definedName>
    <definedName name="datcap3">[2]Résultats!$O$18</definedName>
    <definedName name="datcap4">[2]Résultats!$O$19</definedName>
    <definedName name="DatDep">'[16]Hypothèses Investissement'!$I$29</definedName>
    <definedName name="Date">'[10]Donnée d''entrée'!#REF!</definedName>
    <definedName name="Date_acquisition">'[6]Hypothèses Investisseur'!$G$9</definedName>
    <definedName name="Date_départ_bail">[25]Hypothèses!$C$44</definedName>
    <definedName name="Date_fin_loc">'[16]Loyers SCI'!$G$1</definedName>
    <definedName name="Date_Livraison">[26]Hypothèses!$C$10</definedName>
    <definedName name="Date_location">'[6]Hypothèses Investisseur'!$G$22</definedName>
    <definedName name="Date_revente">'[6]Hypothèses Investisseur'!$N$12</definedName>
    <definedName name="DATEACHEVEMENT">'[27]Suivi décaissement'!$BG$11:$BG$65</definedName>
    <definedName name="DATEcomp">'[19]Param opération'!#REF!</definedName>
    <definedName name="DateLivraison">[28]Informations!#REF!</definedName>
    <definedName name="DATEOS">'[27]Suivi décaissement'!$T$11:$T$65</definedName>
    <definedName name="dateos1">[2]Saisie!$C$78</definedName>
    <definedName name="Dates_échéances_foncier">'[6]Echéancier d''emprunt foncier'!$I$2:$I$254</definedName>
    <definedName name="Dates_échéances_travaux">'[6]Echéancier d''emprunt travaux'!$I$2:$I$254</definedName>
    <definedName name="Dates_loyers">'[16]Loyers SCI'!$G$11:$G$681</definedName>
    <definedName name="Dates_Tirages">'[16]Rém Compte séquestre CPI'!$A$11:$A$35</definedName>
    <definedName name="Datesaisie">[2]Résultats!$R$1</definedName>
    <definedName name="DATEvent">'[19]Param opération'!#REF!</definedName>
    <definedName name="DatFin">'[16]Hypothèses Investissement'!$I$34</definedName>
    <definedName name="DatMep">[17]Data!#REF!</definedName>
    <definedName name="datmes1">[2]Résultats!$C$39</definedName>
    <definedName name="Dcdc">[2]Saisie!$C$86</definedName>
    <definedName name="dd">'[29]Par. Op.'!$F$28</definedName>
    <definedName name="Débours">'[6]Hypothèses générales'!#REF!</definedName>
    <definedName name="Deffort">[2]Saisie!$D$66</definedName>
    <definedName name="Defisc">'[16]Hypothèses Investissement'!$D$47</definedName>
    <definedName name="Defisc_Tot">'Prgr. 2020'!$AB$78</definedName>
    <definedName name="Defiscalisateur">[12]Listes!$Q$4:$Q$8</definedName>
    <definedName name="DepLoy">'[16]Hypothèses Investissement'!$I$31</definedName>
    <definedName name="DepLT">[17]Data!#REF!</definedName>
    <definedName name="Dépréciation">[26]Hypothèses!$C$15</definedName>
    <definedName name="DepReev">'[16]Hypothèses Investissement'!$I$35</definedName>
    <definedName name="DepTF">[30]Data!#REF!</definedName>
    <definedName name="Détail_LLS">'Prgr. 2020'!$V$11:$V$21</definedName>
    <definedName name="Détail_LLTS">'Prgr. 2020'!$V$25:$V$30</definedName>
    <definedName name="Détail_PLS">'Prgr. 2020'!$V$34:$V$39</definedName>
    <definedName name="dFIN">[31]DATA!$C$3</definedName>
    <definedName name="Dfp">[2]Saisie!$D$72</definedName>
    <definedName name="dhdh" hidden="1">{#N/A,#N/A,FALSE,"Gain Fiscal";#N/A,#N/A,FALSE,"CR";#N/A,#N/A,FALSE,"Bilan";#N/A,#N/A,FALSE,"Trésorerie";#N/A,#N/A,FALSE,"Prêt-Emprunt";#N/A,#N/A,FALSE,"Swap"}</definedName>
    <definedName name="dhh">[13]Modele!#REF!</definedName>
    <definedName name="Diff_secteurs">'[16]Loyers SCI'!$D$1:$E$2</definedName>
    <definedName name="diffpgr">[2]Saisie!$D$89</definedName>
    <definedName name="directeur_g">'[1]Donnée d''entrée'!$D$26</definedName>
    <definedName name="docurba">'[32]Param opération'!$F$81</definedName>
    <definedName name="données">'[12]Données habitat social'!$A$11:$EX$255</definedName>
    <definedName name="Dpcomp">[2]Saisie!$D$64</definedName>
    <definedName name="DPL">[3]Paramètres!$C$8</definedName>
    <definedName name="Durée_Amt">[26]Hypothèses!$C$14</definedName>
    <definedName name="Durée_location">'[16]Loyers SCI'!$F$1</definedName>
    <definedName name="DURfonclls">'[19]Param globaux'!#REF!</definedName>
    <definedName name="DURfoncllts">'[19]Param globaux'!#REF!</definedName>
    <definedName name="DURfoncpls">'[19]Param globaux'!#REF!</definedName>
    <definedName name="DURpretlls">'[19]Param globaux'!#REF!</definedName>
    <definedName name="DURpretllts">'[19]Param globaux'!#REF!</definedName>
    <definedName name="DURpretpls">'[19]Param globaux'!#REF!</definedName>
    <definedName name="ecamargin">[18]Assumptions!$B$21</definedName>
    <definedName name="Echéancier_appels">'[6]Hypothèses générales'!$B$53:$B$58</definedName>
    <definedName name="Echéancier_appels_foncier">'[6]Hypothèses générales'!$B$44:$B$49</definedName>
    <definedName name="ECS">'[32]Param opération'!$F$12</definedName>
    <definedName name="eftfpb1">[2]Résultats!$BV$61</definedName>
    <definedName name="eftpgr1">[2]Résultats!$BW$61</definedName>
    <definedName name="efzefz">[33]HYP!#REF!</definedName>
    <definedName name="entc">[2]Résultats!$H$30</definedName>
    <definedName name="entcour">[2]Saisie!$D$88</definedName>
    <definedName name="entete1">[2]Saisie!$E$29:$E$33</definedName>
    <definedName name="equityamount">[18]Assumptions!$B$14</definedName>
    <definedName name="EXCH_RATE">[13]Modele!$E$6</definedName>
    <definedName name="exotfpb">[2]Saisie!$C$92</definedName>
    <definedName name="fef">[33]HYP!#REF!</definedName>
    <definedName name="fezfzef" hidden="1">{"Hyp&amp;Res",#N/A,TRUE,"Modele";"LO CF USD",#N/A,TRUE,"Modele";"LO CF EUR",#N/A,TRUE,"Modele";"LO P&amp;L",#N/A,TRUE,"Modele";"BNPP Tax Situation",#N/A,TRUE,"Modele";"BNPP ATR",#N/A,TRUE,"Modele";"Schedule",#N/A,TRUE,"Modele";"BNP Paribas CF",#N/A,TRUE,"Modele";"FeeSharing",#N/A,TRUE,"Modele";"Equity Use",#N/A,TRUE,"IRR Exim";"Balance Sheet",#N/A,TRUE,"IRR Exim";"TVs",#N/A,TRUE,"IRR Exim";"IRR SIA",#N/A,TRUE,"IRR Exim";"IRR SAI EXIM",#N/A,TRUE,"IRR Exim";"TV calc 2",#N/A,TRUE,"IRR Exim";"TVcalc1",#N/A,TRUE,"IRR Exim"}</definedName>
    <definedName name="ff" hidden="1">{#N/A,#N/A,FALSE,"Gain Fiscal";#N/A,#N/A,FALSE,"CR";#N/A,#N/A,FALSE,"Bilan";#N/A,#N/A,FALSE,"Trésorerie";#N/A,#N/A,FALSE,"Prêt-Emprunt";#N/A,#N/A,FALSE,"Swap"}</definedName>
    <definedName name="fff" hidden="1">{#N/A,#N/A,FALSE,"Gain Fiscal";#N/A,#N/A,FALSE,"CR";#N/A,#N/A,FALSE,"Bilan";#N/A,#N/A,FALSE,"Trésorerie";#N/A,#N/A,FALSE,"Prêt-Emprunt";#N/A,#N/A,FALSE,"Swap"}</definedName>
    <definedName name="FG">[3]Paramètres!$C$10</definedName>
    <definedName name="fgest">[2]Résultats!$H$31</definedName>
    <definedName name="fiche">'[12]fiche opé'!$A$1:$Q$65</definedName>
    <definedName name="FINANCT">[12]Listes!$J$4:$J$15</definedName>
    <definedName name="FITO">[2]Saisie!$F$49</definedName>
    <definedName name="Flux_gestion">'[16]Loyers SCI'!$L$11:$L$681</definedName>
    <definedName name="Flux_loyers">'[16]Loyers SCI'!$J$11:$J$681</definedName>
    <definedName name="Flux_mandat">'[16]Loyers SCI'!$M$11:$M$681</definedName>
    <definedName name="Flux_travaux">'[17]Loyers SCI'!#REF!</definedName>
    <definedName name="FONCIER">[12]Listes!$K$4:$K$41</definedName>
    <definedName name="FP_LLS">'Prgr. 2020'!$X$77</definedName>
    <definedName name="FP_LLTS">'Prgr. 2020'!$Y$77</definedName>
    <definedName name="FP_PLS">'[9]Prgr. 2019'!$AA$67</definedName>
    <definedName name="FPO">[2]Saisie!$F$60</definedName>
    <definedName name="FPRO">[3]Programme!$B$19</definedName>
    <definedName name="FPsf">'[34]Prix rev.CE'!#REF!</definedName>
    <definedName name="FPsolaire">[2]Saisie!$D$70</definedName>
    <definedName name="FRAFU_LLS">'[10]5.5 plafond aides'!$C$8</definedName>
    <definedName name="FRAFU_LLTS">'[10]5.5 plafond aides'!$E$8</definedName>
    <definedName name="Frais_commercialisation">'[6]Hypothèses générales'!#REF!</definedName>
    <definedName name="Frais_notaire">[6]Infos!$C$40</definedName>
    <definedName name="FSbat">'[21]Tableau financier'!$A$55</definedName>
    <definedName name="Garantie">[8]Modele!#REF!</definedName>
    <definedName name="GARANTIEcglls">'[7]Param opération'!$F$70</definedName>
    <definedName name="garanties_emprunts">[12]Listes!$M$4:$M$7</definedName>
    <definedName name="GEOMETRE">'[19]Param opération'!#REF!</definedName>
    <definedName name="GEOTECH">'[19]Param opération'!#REF!</definedName>
    <definedName name="gestadm">[2]Saisie!$D$87</definedName>
    <definedName name="hhd">[13]Modele!#REF!</definedName>
    <definedName name="Honoraires">'[6]Hypothèses générales'!#REF!</definedName>
    <definedName name="Hypothése_inflation">'[6]Hypothèses générales'!$F$42</definedName>
    <definedName name="ICC">[3]Paramètres!$C$5</definedName>
    <definedName name="Image">[2]Saisie!$D$141:$D$143</definedName>
    <definedName name="impfonc">[2]Résultats!$H$32</definedName>
    <definedName name="indchge">[2]Résultats!$J$30</definedName>
    <definedName name="indchge2">[2]Résultats!$K$30</definedName>
    <definedName name="indinv">[2]Résultats!$J$34</definedName>
    <definedName name="indloy">[2]Résultats!$J$26</definedName>
    <definedName name="IndtaxPCcom">'[7]Param opération'!$F$42</definedName>
    <definedName name="IndtaxPClgt">'[7]Param opération'!$F$41</definedName>
    <definedName name="indtfpb">[2]Résultats!$J$32</definedName>
    <definedName name="indtfpb2">[2]Résultats!$K$32</definedName>
    <definedName name="InseeO">[2]Saisie!$C$29</definedName>
    <definedName name="INTERETS">[2]Saisie!$F$11:$F$35</definedName>
    <definedName name="Intérêts_foncier">'[6]Echéancier d''emprunt foncier'!$M$2:$M$254</definedName>
    <definedName name="Intérêts_travaux">'[6]Echéancier d''emprunt travaux'!$M$2:$M$254</definedName>
    <definedName name="intinte">[2]Saisie!$E$48</definedName>
    <definedName name="INV">[23]HYP!#REF!</definedName>
    <definedName name="IR">'[16]Hypothèses Investissement'!$J$38</definedName>
    <definedName name="IS">[26]Hypothèses!$M$4</definedName>
    <definedName name="klp">[2]Saisie!$F$101</definedName>
    <definedName name="LBU_FRAFU">'[9]FRAFU AVS + LESG'!$D$105</definedName>
    <definedName name="LBU_SF">'Prgr. 2020'!$AB$67</definedName>
    <definedName name="LBU_Tot">'Prgr. 2020'!$AB$66</definedName>
    <definedName name="LBUacqui">'[19]Param opération'!#REF!</definedName>
    <definedName name="LIBELLE">'[27]Suivi décaissement'!$H$11:$H$65</definedName>
    <definedName name="Libor">[26]Hypothèses!#REF!</definedName>
    <definedName name="limcount" hidden="1">1</definedName>
    <definedName name="Liste_périodicité">'[16]Loyers SCI'!$A$1:$B$4</definedName>
    <definedName name="llp">[2]Saisie!$F$99</definedName>
    <definedName name="LMDom" localSheetId="0">'Prgr. 2020'!$F$86</definedName>
    <definedName name="LMDOM_LLS">'[9]Prgr. 2019'!$D$49</definedName>
    <definedName name="LMDOMPLS">'Prgr. 2020'!$F$102</definedName>
    <definedName name="LMDomTS" localSheetId="0">'Prgr. 2020'!$F$93</definedName>
    <definedName name="Loyer">[13]Modele!#REF!</definedName>
    <definedName name="loyer_annéeMES">[2]Résultats!$H$43</definedName>
    <definedName name="Loyer_Pratiqué_LLS">'Prgr. 2020'!$F$92</definedName>
    <definedName name="Loyer_Pratiqué_LLTS">'Prgr. 2020'!$F$101</definedName>
    <definedName name="Loyer_Pratiqué_PLS">'Prgr. 2020'!$F$110</definedName>
    <definedName name="Loyer_retenu_CC">'Prgr. 2020'!$AF$94:$AF$99</definedName>
    <definedName name="loyerequil">[2]Saisie!$F$104</definedName>
    <definedName name="loyerplaf">[2]Saisie!$F$102</definedName>
    <definedName name="loyerplan">[2]Saisie!$F$100</definedName>
    <definedName name="Loyers">'[16]Loyers SCI'!$G$11:$S$681</definedName>
    <definedName name="Loyers_SCI">'[16]Loyers SCI'!$J$11:$J$301</definedName>
    <definedName name="LP_LLS">'Prgr. 2020'!$F$91</definedName>
    <definedName name="LP_LLTS">'Prgr. 2020'!$F$100</definedName>
    <definedName name="LP_PLS">'Prgr. 2020'!$F$109</definedName>
    <definedName name="LPRAT">'[34]Par. Op.'!$F$206</definedName>
    <definedName name="Macro10">[35]!Macro3</definedName>
    <definedName name="Macro3">[36]!Macro3</definedName>
    <definedName name="Macro4">[36]!Macro4</definedName>
    <definedName name="maitrise_foncier">[12]Listes!$D$32:$D$41</definedName>
    <definedName name="MAJecs">'[7]Param globaux'!$J$7</definedName>
    <definedName name="MES">#REF!</definedName>
    <definedName name="million">'[37]Compta - RBT'!$B$9</definedName>
    <definedName name="mmax">[2]Saisie!$D$26</definedName>
    <definedName name="mmaxi">[2]Saisie!$F$26</definedName>
    <definedName name="MntLT">'[16]Hypothèses Investissement'!$E$58</definedName>
    <definedName name="Montant_pen_foncier">'[6]Echéancier d''emprunt foncier'!$B$18</definedName>
    <definedName name="Montant_pen_travaux">'[6]Echéancier d''emprunt travaux'!$B$18</definedName>
    <definedName name="Montant_travaux">'[6]Hypothèses Investisseur'!$G$18</definedName>
    <definedName name="MontantDefiscalisation">'[27]Suivi décaissement'!$R$11:$R$65</definedName>
    <definedName name="MontantPret">'[27]Suivi décaissement'!$O$11:$O$65</definedName>
    <definedName name="nac">[18]Assumptions!$B$5</definedName>
    <definedName name="NB">'[16]Loyers SCI'!$F$12:$F$681</definedName>
    <definedName name="NBLA">[38]compar.!$E$6</definedName>
    <definedName name="NBLOGT">'[27]Suivi décaissement'!$L$11:$L$65</definedName>
    <definedName name="nbpertes">[2]Résultats!$AX$51</definedName>
    <definedName name="nbpertespf">[2]Résultats!$BA$51</definedName>
    <definedName name="Nbre" localSheetId="0">'Prgr. 2020'!$V$49</definedName>
    <definedName name="Nbre">'[1]SF previsio PLS'!$E$20</definedName>
    <definedName name="Nbre_LLS_LLTS">'[1]SF previsio LLS-LLTS'!$E$20</definedName>
    <definedName name="Nbre_Total" localSheetId="0">'Prgr. 2020'!$V$49</definedName>
    <definedName name="NbreCOMM" localSheetId="0">'Prgr. 2020'!$V$47</definedName>
    <definedName name="NbreCOMM">'[39]Prgr. 2010 Avant'!$U$36</definedName>
    <definedName name="NbreLLS">'Prgr. 2020'!$V$22</definedName>
    <definedName name="NbreLLTS">'Prgr. 2020'!$V$31</definedName>
    <definedName name="NbrePLS">'Prgr. 2020'!$V$40</definedName>
    <definedName name="NCOM">[7]Surfaces!$X$53</definedName>
    <definedName name="niveaux">'[32]Param opération'!$F$9</definedName>
    <definedName name="nlgt">'[19]Param opération'!$F$5</definedName>
    <definedName name="nom">'Prgr. 2020'!$D$1</definedName>
    <definedName name="Nombre_lgt">'[1]1'!$D$65</definedName>
    <definedName name="nombreLLS">'[1]Donnée d''entrée'!$D$8</definedName>
    <definedName name="nombreLLTS">'[1]Donnée d''entrée'!$E$8</definedName>
    <definedName name="NOMcompllts">'[7]Param opération'!$F$54</definedName>
    <definedName name="nomzac">'[19]Param opération'!$F$32</definedName>
    <definedName name="Npark">'[32]Param opération'!$F$13</definedName>
    <definedName name="numop">'[7]Param opération'!$F$6</definedName>
    <definedName name="Objectif_revente">'[6]Hypothèses Investisseur'!$N$11</definedName>
    <definedName name="OPC">'[19]Param opération'!#REF!</definedName>
    <definedName name="OPERATION">'[40]LLS-LLTS  BDG'!$A:$IV</definedName>
    <definedName name="opération">'[12]Données habitat social'!$A$11:$A$253</definedName>
    <definedName name="OS_Tvx">'Prgr. 2020'!$D$72</definedName>
    <definedName name="OUI_NON">[12]Listes!$A$32:$A$34</definedName>
    <definedName name="p">_L16C2</definedName>
    <definedName name="PA_SAS_HT_LLS">'[1]DPR LLS'!$E$69</definedName>
    <definedName name="PA_SAS_HT_LLTS">'[1]DPR LLTS'!$E$69</definedName>
    <definedName name="PA_SAS_HT_PLS">'[1]DPR PLS'!$E$69</definedName>
    <definedName name="PAE">[2]Saisie!$F$61</definedName>
    <definedName name="Per">'[16]Hypothèses Investissement'!$I$26</definedName>
    <definedName name="Périodicité">'[16]Loyers SCI'!$A$1:$A$4</definedName>
    <definedName name="PerLT">'[16]Hypothèses Investissement'!$I$58</definedName>
    <definedName name="pertes">[2]Résultats!$AV$51</definedName>
    <definedName name="pertespf">[2]Résultats!$AY$51</definedName>
    <definedName name="PL_SAS">'[26]Compta - RBT'!$B$48:$Q$67</definedName>
    <definedName name="po_price">[18]Assumptions!$B$8</definedName>
    <definedName name="ppfonc">[2]Saisie!$D$31</definedName>
    <definedName name="ppi">[2]Saisie!#REF!</definedName>
    <definedName name="ppl">[2]Saisie!#REF!</definedName>
    <definedName name="pplaf">[2]Saisie!#REF!</definedName>
    <definedName name="PRETcomp">'[7]Param opération'!$F$78</definedName>
    <definedName name="PRETcomp_nom">'[7]Param opération'!$F$77</definedName>
    <definedName name="PRETemp">'[7]Param opération'!$F$72</definedName>
    <definedName name="PRETemp_nom">'[7]Param opération'!$F$73</definedName>
    <definedName name="PRETemp_unit">'[7]Param opération'!$F$75</definedName>
    <definedName name="PRETfon">'[7]Param opération'!$F$71</definedName>
    <definedName name="PRETOT">[3]Programme!$B$25</definedName>
    <definedName name="prêts">[12]Listes!$N$4:$N$9</definedName>
    <definedName name="prevt">[2]Saisie!$F$48</definedName>
    <definedName name="PrixTTC">'[21]Tableau financier'!$A$26</definedName>
    <definedName name="probabilité">[12]Listes!$O$4:$O$9</definedName>
    <definedName name="probabilité_finct_LBU">[12]Listes!$O$4:$O$9</definedName>
    <definedName name="PRODUIT">[12]Listes!$I$4:$I$7</definedName>
    <definedName name="prog">[41]Général!$D$5</definedName>
    <definedName name="PRP_HT_LLS">'[9]DPR LLS'!$E$58</definedName>
    <definedName name="PRP_HT_LLTS">'[9]DPR LLTS'!$E$56</definedName>
    <definedName name="PRP_HT_PLS">'[9]DPR PLS'!$E$56</definedName>
    <definedName name="PRP_TTC">'[1]SF previsio LLS-LLTS'!$N$13</definedName>
    <definedName name="PRP_TTC_LLS">'[1]Donnée d''entrée'!$D$30</definedName>
    <definedName name="PRP_TTC_LLTS">'[1]Donnée d''entrée'!$E$30</definedName>
    <definedName name="PRP_TTC_PLS">'[1]Donnée d''entrée'!$F$30</definedName>
    <definedName name="Px_Terrain">'[1]SF previsio LLS-LLTS'!$N$12</definedName>
    <definedName name="Px_Terrain_PLS">'[1]SF previsio PLS'!$N$12</definedName>
    <definedName name="raccEDF">'[7]Param opération'!$F$47</definedName>
    <definedName name="raccEU">'[7]Param opération'!$F$46</definedName>
    <definedName name="Ratio_annuité">[2]Résultats!$ET$9:$ET$13</definedName>
    <definedName name="raz">#REF!,#REF!,#REF!,#REF!,#REF!,#REF!,#REF!,#REF!,#REF!,#REF!,#REF!,#REF!,#REF!,#REF!,#REF!,#REF!,#REF!,#REF!,#REF!,#REF!,#REF!,#REF!,#REF!,#REF!,#REF!</definedName>
    <definedName name="refcad">'[32]Param opération'!$F$77</definedName>
    <definedName name="Régl_copro">'[6]Hypothèses générales'!#REF!</definedName>
    <definedName name="Repartition_LLTS">'Prgr. 2020'!$B$94:$B$99</definedName>
    <definedName name="reset">#REF!,#REF!,#REF!,#REF!,#REF!,#REF!,#REF!,#REF!,#REF!,#REF!,#REF!,#REF!,#REF!,#REF!,#REF!,#REF!,#REF!</definedName>
    <definedName name="resfc">[2]Résultats!$AT$50</definedName>
    <definedName name="RPA">[3]Ménage!$B$19</definedName>
    <definedName name="RPL">[3]Ménage!$B$15</definedName>
    <definedName name="rst">#REF!,#REF!,#REF!,#REF!,#REF!,#REF!,#REF!,#REF!,#REF!,#REF!,#REF!,#REF!,#REF!,#REF!,#REF!,#REF!,#REF!,#REF!,#REF!,#REF!,#REF!,#REF!,#REF!,#REF!,#REF!,#REF!,#REF!</definedName>
    <definedName name="S.LCR" localSheetId="0">'Prgr. 2020'!$AA$50</definedName>
    <definedName name="S_terrain">'Prgr. 2020'!$B$71</definedName>
    <definedName name="Salaire_conservateur">'[6]Hypothèses générales'!#REF!</definedName>
    <definedName name="scom">[7]Surfaces!$AA$53</definedName>
    <definedName name="Secteur">'[16]Loyers SCI'!$D$1:$D$2</definedName>
    <definedName name="semp">'[16]Surfaces Corossol'!$E$65</definedName>
    <definedName name="sencount" hidden="1">1</definedName>
    <definedName name="SF.COMM" localSheetId="0">'Prgr. 2020'!$AC$47</definedName>
    <definedName name="SF.LLS">'Prgr. 2020'!$AC$22</definedName>
    <definedName name="SF.LLTS">'Prgr. 2020'!$AC$31</definedName>
    <definedName name="SF.PLS">'Prgr. 2020'!$AC$40</definedName>
    <definedName name="SF.T" localSheetId="0">'Prgr. 2020'!$AC$49</definedName>
    <definedName name="SF_LLS">'[1]Donnée d''entrée'!$D$32</definedName>
    <definedName name="SF_LLTS">'[1]Donnée d''entrée'!$E$32</definedName>
    <definedName name="SF_PLS">'[1]Donnée d''entrée'!$F$32</definedName>
    <definedName name="SFdepmax">'[7]Param opération'!$F$83</definedName>
    <definedName name="SFmax">'[19]Param opération'!#REF!</definedName>
    <definedName name="SFsub">'[7]Param opération'!$F$91</definedName>
    <definedName name="SFsubcom">'[7]Param opération'!$F$86</definedName>
    <definedName name="SFsubcr">'[19]Param opération'!#REF!</definedName>
    <definedName name="SFsubepci">'[7]Param opération'!$F$84</definedName>
    <definedName name="SFtx_com">'[7]Param opération'!$F$87</definedName>
    <definedName name="SFtx_epci">'[7]Param opération'!$F$85</definedName>
    <definedName name="SFtx_op">'[7]Param opération'!$F$90</definedName>
    <definedName name="SH.COMM" localSheetId="0">'Prgr. 2020'!$X$47</definedName>
    <definedName name="SH.LLS">'Prgr. 2020'!$X$22</definedName>
    <definedName name="SH.LLTS">'Prgr. 2020'!$X$31</definedName>
    <definedName name="SH.PLS">'Prgr. 2020'!$X$40</definedName>
    <definedName name="SH.T" localSheetId="0">'Prgr. 2020'!$X$49</definedName>
    <definedName name="shab">'[16]Surfaces Corossol'!$D$85</definedName>
    <definedName name="SHFU.T">#REF!</definedName>
    <definedName name="SHOB" localSheetId="0">'Prgr. 2020'!$AC$50</definedName>
    <definedName name="shob">'[16]Surfaces Corossol'!$E$63</definedName>
    <definedName name="SHON" localSheetId="0">'Prgr. 2020'!$AC$51</definedName>
    <definedName name="Simul">[20]Sommaire!$C$10</definedName>
    <definedName name="SRP">[2]Saisie!$D$57</definedName>
    <definedName name="Sterrain">'[4]Param opération'!$F$36</definedName>
    <definedName name="SU.COMM" localSheetId="0">'Prgr. 2020'!$Z$47</definedName>
    <definedName name="SU.COMM">'[39]Prgr. 2010 Avant'!$Y$36</definedName>
    <definedName name="SU.LLS" localSheetId="0">'Prgr. 2020'!$Z$22</definedName>
    <definedName name="SU.LLTS" localSheetId="0">'Prgr. 2020'!$Z$31</definedName>
    <definedName name="SU.PLS">'Prgr. 2020'!$Z$40</definedName>
    <definedName name="SU.T" localSheetId="0">'Prgr. 2020'!$Z$49</definedName>
    <definedName name="Sub_LLS">'Prgr. 2020'!$X$66</definedName>
    <definedName name="Sub_LLTS">'Prgr. 2020'!$Y$66</definedName>
    <definedName name="Sub_PLS">'Prgr. 2020'!$Z$66</definedName>
    <definedName name="Sub_Totale_LLS">'Prgr. 2020'!$X$65</definedName>
    <definedName name="Sub_Totale_LLTS">'Prgr. 2020'!$Y$65</definedName>
    <definedName name="Sub_Totale_PLS">'Prgr. 2020'!$Z$65</definedName>
    <definedName name="SUBautre">'[7]Param opération'!$F$61</definedName>
    <definedName name="SUBautre_com">'[7]Param opération'!$F$63</definedName>
    <definedName name="SUBautre_comnom">'[7]Param opération'!$F$64</definedName>
    <definedName name="SUBautrenom">'[7]Param opération'!$F$62</definedName>
    <definedName name="subc1">[2]Saisie!$F$62</definedName>
    <definedName name="subc2">[2]Saisie!$F$63</definedName>
    <definedName name="SUBcl_etat">'[7]Param opération'!$F$60</definedName>
    <definedName name="SUBcom">'[7]Param opération'!$F$56</definedName>
    <definedName name="SUBcompllts">'[7]Param globaux'!$J$9</definedName>
    <definedName name="SUBcompllts_tot">'[7]Param opération'!$F$55</definedName>
    <definedName name="subCRsol_op">'[7]Param opération'!$F$67</definedName>
    <definedName name="SUBecs">'[7]Param opération'!$F$65</definedName>
    <definedName name="SUBepci">'[7]Param opération'!$F$58</definedName>
    <definedName name="subFEDERsol_op">'[7]Param opération'!$F$66</definedName>
    <definedName name="SUBlbu_acqui">'[7]Param opération'!$F$53</definedName>
    <definedName name="Subventions">'[1]SF previsio LLS-LLTS'!$P$14</definedName>
    <definedName name="surffin">[2]Saisie!$C$41</definedName>
    <definedName name="surfhab">[2]Saisie!$C$40</definedName>
    <definedName name="T1_2009">'[22]Suivi décaissement'!$CO$11:$CO$65</definedName>
    <definedName name="T1_2009R">'[22]Suivi décaissement'!$ED$11:$ED$65</definedName>
    <definedName name="T1_2010">'[22]Suivi décaissement'!$CU$11:$CU$65</definedName>
    <definedName name="T1_2010R">'[22]Suivi décaissement'!$EJ$11:$EJ$65</definedName>
    <definedName name="T1_LLS">'Prgr. 2020'!$AE$2</definedName>
    <definedName name="T1_LLTS">'Prgr. 2020'!$AG$2</definedName>
    <definedName name="T1_PLS">'Prgr. 2020'!$AI$2</definedName>
    <definedName name="T2_2009">'[22]Suivi décaissement'!$CP$11:$CP$65</definedName>
    <definedName name="T2_2009R">'[22]Suivi décaissement'!$EE$11:$EE$65</definedName>
    <definedName name="T2_2010">'[22]Suivi décaissement'!$CV$11:$CV$65</definedName>
    <definedName name="T2_2010R">'[22]Suivi décaissement'!$EK$11:$EK$65</definedName>
    <definedName name="T2_LLS">'Prgr. 2020'!$AE$3</definedName>
    <definedName name="T2_LLTS">'Prgr. 2020'!$AG$3</definedName>
    <definedName name="T2_PLS">'Prgr. 2020'!$AI$3</definedName>
    <definedName name="T3_2009">'[22]Suivi décaissement'!$CQ$11:$CQ$65</definedName>
    <definedName name="T3_2009R">'[22]Suivi décaissement'!$EF$11:$EF$65</definedName>
    <definedName name="T3_2010">'[22]Suivi décaissement'!$CW$11:$CW$65</definedName>
    <definedName name="T3_2010R">'[22]Suivi décaissement'!$EL$11:$EL$65</definedName>
    <definedName name="T3_LLS">'Prgr. 2020'!$AE$4</definedName>
    <definedName name="T3_LLTS">'Prgr. 2020'!$AG$4</definedName>
    <definedName name="T3_PLS">'Prgr. 2020'!$AI$4</definedName>
    <definedName name="T4_2009">'[22]Suivi décaissement'!$CR$11:$CR$65</definedName>
    <definedName name="T4_2009R">'[22]Suivi décaissement'!$EG$11:$EG$65</definedName>
    <definedName name="T4_2010">'[22]Suivi décaissement'!$CX$11:$CX$65</definedName>
    <definedName name="T4_2010R">'[22]Suivi décaissement'!$EM$11:$EM$65</definedName>
    <definedName name="T4_LLS">'Prgr. 2020'!$AE$5</definedName>
    <definedName name="T4_LLTS">'Prgr. 2020'!$AG$5</definedName>
    <definedName name="T4_PLS">'Prgr. 2020'!$AI$5</definedName>
    <definedName name="T5_LLS">'Prgr. 2020'!$AE$6</definedName>
    <definedName name="T5_LLTS">'Prgr. 2020'!$AG$6</definedName>
    <definedName name="T5_PLS">'Prgr. 2020'!$AI$6</definedName>
    <definedName name="TA">[3]Paramètres!$C$9</definedName>
    <definedName name="Taux_appels">'[6]Hypothèses générales'!$C$53:$C$58</definedName>
    <definedName name="Taux_appels_foncier">'[6]Hypothèses générales'!$C$44:$C$49</definedName>
    <definedName name="Taux_révision">[25]Hypothèses!$C$47</definedName>
    <definedName name="tauxcdc">[2]Saisie!$C$84</definedName>
    <definedName name="Tauxeffort">[2]Saisie!$C$66</definedName>
    <definedName name="tauxevolcharges">[2]Saisie!$C$93</definedName>
    <definedName name="tauxevoloyer">[2]Saisie!$C$95</definedName>
    <definedName name="tauxevolPGR">[2]Saisie!$C$94</definedName>
    <definedName name="tauxgegr">[2]Saisie!$C$89</definedName>
    <definedName name="tauximpayes">[2]Saisie!$C$91</definedName>
    <definedName name="Tauxpcomp">[2]Saisie!$C$64</definedName>
    <definedName name="tauxrem">[42]data!#REF!</definedName>
    <definedName name="tauxvacance">[2]Saisie!$C$90</definedName>
    <definedName name="TAX_autres">'[7]Param opération'!$F$48</definedName>
    <definedName name="Taxes_diverses">'[6]Hypothèses générales'!#REF!</definedName>
    <definedName name="tbat">'[20]Prix rev.CE'!$D$24</definedName>
    <definedName name="tbat_com">'[20]Prix rev.CE'!$E$24</definedName>
    <definedName name="TD">[24]Hyp_Res!$D$17</definedName>
    <definedName name="terrain">'[19]Param opération'!$F$27</definedName>
    <definedName name="tfin">'[19]Param opération'!$F$7</definedName>
    <definedName name="TFNA">[3]Paramètres!$C$16</definedName>
    <definedName name="TFNN">[3]Paramètres!$C$15</definedName>
    <definedName name="tfpb">[2]Saisie!$D$92</definedName>
    <definedName name="TI">[3]Paramètres!$C$4</definedName>
    <definedName name="Total_taxe_fonc_XPF">'[25]Détail des surfaces'!$K$5</definedName>
    <definedName name="TOTAL2008">'[22]Suivi décaissement'!$CM$11:$CM$65</definedName>
    <definedName name="TOTAL2008R">'[22]Suivi décaissement'!$EB$11:$EB$65</definedName>
    <definedName name="TOTAL2011">'[22]Suivi décaissement'!$DE$11:$DE$65</definedName>
    <definedName name="TOTAL2011R">'[22]Suivi décaissement'!$ET$11:$ET$65</definedName>
    <definedName name="TOTAL2012">'[22]Suivi décaissement'!$DK$11:$DK$65</definedName>
    <definedName name="TOTAL2012R">'[22]Suivi décaissement'!$EZ$11:$EZ$65</definedName>
    <definedName name="TotinvestUSD">[23]HYP!#REF!</definedName>
    <definedName name="TOTLOGT">[2]Saisie!$C$38</definedName>
    <definedName name="tpgr">[2]Résultats!$H$34</definedName>
    <definedName name="tprogcdc">[2]Saisie!$C$85</definedName>
    <definedName name="TRI">[8]Modele!#REF!</definedName>
    <definedName name="tsol">'[20]Prix rev.CE'!$D$25</definedName>
    <definedName name="tt">'[29]Par. Op.'!$F$5</definedName>
    <definedName name="TVAdefisc">'[11]Par. Op.'!$F$147</definedName>
    <definedName name="TVAdue">'[7]Param globaux'!$J$36</definedName>
    <definedName name="TVAN">'[40]76 Budget'!$H$4</definedName>
    <definedName name="TVArec">'[7]Param globaux'!$J$37</definedName>
    <definedName name="TVAS">'[40]76 Budget'!$H$3</definedName>
    <definedName name="tvrd">'[20]Prix rev.CE'!$D$23</definedName>
    <definedName name="tvrd_com">'[20]Prix rev.CE'!$E$23</definedName>
    <definedName name="txAL">'[20]Prix rev.CE'!$J$22</definedName>
    <definedName name="TXbatHT">'[20]Prix rev.CE'!$E$56</definedName>
    <definedName name="txCAUE">'[7]Param opération'!$F$44</definedName>
    <definedName name="Txfonlls">'[19]Param globaux'!#REF!</definedName>
    <definedName name="Txfonllts">'[19]Param globaux'!#REF!</definedName>
    <definedName name="Txfonpls">'[19]Param globaux'!#REF!</definedName>
    <definedName name="txFS">'[20]Prix rev.CE'!$J$24</definedName>
    <definedName name="TxInt1">[2]Résultats!$G$13</definedName>
    <definedName name="TxInt2">[2]Résultats!$G$14</definedName>
    <definedName name="TxInt3">[2]Résultats!$G$18</definedName>
    <definedName name="Txint4">[2]Résultats!$G$19</definedName>
    <definedName name="Txintlls">'[19]Param globaux'!#REF!</definedName>
    <definedName name="Txintllts">'[19]Param globaux'!#REF!</definedName>
    <definedName name="Txintpls">'[19]Param globaux'!#REF!</definedName>
    <definedName name="TxLT">'[16]Hypothèses Investissement'!$C$58</definedName>
    <definedName name="Txremsidr">'[7]Param globaux'!$J$35</definedName>
    <definedName name="txrév">'[7]Param globaux'!$J$34</definedName>
    <definedName name="TXsolHT">'[21]Tableau financier'!#REF!</definedName>
    <definedName name="txSUB">'[7]Param opération'!$F$51</definedName>
    <definedName name="txTDENS">'[7]Param opération'!$F$45</definedName>
    <definedName name="TxTLE">'[7]Param opération'!$F$43</definedName>
    <definedName name="TXvrdHT">'[20]Prix rev.CE'!$E$37</definedName>
    <definedName name="Type">[2]Saisie!$C$39</definedName>
    <definedName name="type_hab">'[4]Param opération'!$F$9</definedName>
    <definedName name="TYPE1">'Prgr. 2020'!$A$86</definedName>
    <definedName name="TYPE2">'Prgr. 2020'!$A$93</definedName>
    <definedName name="TYPE3">'Prgr. 2020'!$A$102</definedName>
    <definedName name="Typedefisc">'[11]Par. Op.'!$F$146</definedName>
    <definedName name="Typesurf">'[16]Surfaces Corossol'!$BC$15:$BM$32</definedName>
    <definedName name="Typo">'Prgr. 2020'!$A$11:$A$39</definedName>
    <definedName name="V_choix_apparts">'[6]Hypothèses Investisseur'!#REF!</definedName>
    <definedName name="Valeur_bien">'[6]Hypothèses Investisseur'!$N$21</definedName>
    <definedName name="Valeur_immobilier">'[6]Hypothèses générales'!$B$13</definedName>
    <definedName name="VALEURACQUISITION">'[27]Suivi décaissement'!$N$11:$N$65</definedName>
    <definedName name="wrn.Comité." hidden="1">{"Option 4",#N/A,FALSE,"GIE-GNi-2002+ 0 an";"Option 4 + 1",#N/A,FALSE,"GIE-GNi-2002+ 0 an";"Option 4 + 2",#N/A,FALSE,"GIE-GNi-2002+ 0 an"}</definedName>
    <definedName name="wrn.Imprime." hidden="1">{"Hyp&amp;Res",#N/A,TRUE,"Modele";"LO CF USD",#N/A,TRUE,"Modele";"LO CF EUR",#N/A,TRUE,"Modele";"LO P&amp;L",#N/A,TRUE,"Modele";"BNPP Tax Situation",#N/A,TRUE,"Modele";"BNPP ATR",#N/A,TRUE,"Modele";"Schedule",#N/A,TRUE,"Modele";"BNP Paribas CF",#N/A,TRUE,"Modele";"FeeSharing",#N/A,TRUE,"Modele";"Equity Use",#N/A,TRUE,"IRR Exim";"Balance Sheet",#N/A,TRUE,"IRR Exim";"TVs",#N/A,TRUE,"IRR Exim";"IRR SIA",#N/A,TRUE,"IRR Exim";"IRR SAI EXIM",#N/A,TRUE,"IRR Exim";"TV calc 2",#N/A,TRUE,"IRR Exim";"TVcalc1",#N/A,TRUE,"IRR Exim"}</definedName>
    <definedName name="wrn.Tranche._.1." hidden="1">{"Hypothèses - T1",#N/A,FALSE,"GIE- Tranche 1 seule";"Prêt - T1",#N/A,FALSE,"GIE- Tranche 1 seule";"Trésorerie - T1",#N/A,FALSE,"GIE- Tranche 1 seule";"Amort - T1",#N/A,FALSE,"GIE- Tranche 1 seule";"CR - T1",#N/A,FALSE,"GIE- Tranche 1 seule";"VAN - T1",#N/A,FALSE,"GIE- Tranche 1 seule";"Bilan - T1",#N/A,FALSE,"GIE- Tranche 1 seule";"Loyer C - T1",#N/A,FALSE,"ADF&amp;TV - T1";"Loyer - T1",#N/A,FALSE,"GIE- Tranche 1 seule";"5 Hypothèse - T1",#N/A,FALSE,"GIE- Tranche 1 seule";"5 Ec. Fiscale - T1",#N/A,FALSE,"GIE- Tranche 1 seule";"5 Tréso - T1",#N/A,FALSE,"GIE- Tranche 1 seule";"5 RF - T1",#N/A,FALSE,"GIE- Tranche 1 seule";"4 VR - T1",#N/A,FALSE,"GIE- Tranche 1 seule";"TEG 1",#N/A,FALSE,"TEG 1";"DGI SYNTH",#N/A,FALSE,"Décomposition"}</definedName>
    <definedName name="wrn.Tranche._.1._.et._.Tranche._.2." hidden="1">{"Hypothèse T1 + T2",#N/A,FALSE,"GIE- Centrale en totalité";"Prêt T1 + T2",#N/A,FALSE,"GIE- Centrale en totalité";"Trésorerie - T1 + T2",#N/A,FALSE,"GIE- Centrale en totalité";"Amort - T1 + T2",#N/A,FALSE,"GIE- Centrale en totalité";"CR - T1 + T2",#N/A,FALSE,"GIE- Centrale en totalité";"VAN - T1 + T2",#N/A,FALSE,"GIE- Centrale en totalité";"Bilan - T1 + T2",#N/A,FALSE,"GIE- Centrale en totalité";"Loyer - T1 + T2",#N/A,FALSE,"GIE- Centrale en totalité";"Loyer C - T1 + T2",#N/A,FALSE,"GIE- Centrale en totalité";"5 Hypothèse - T1 + T2",#N/A,FALSE,"GIE- Centrale en totalité";"5 Ec. Fiscale - T1 + T2",#N/A,FALSE,"GIE- Centrale en totalité";"5 Tréso - T1 + T2",#N/A,FALSE,"GIE- Centrale en totalité";"5 RF - T1 + T2",#N/A,FALSE,"GIE- Centrale en totalité";"4 VR - T1 + T2",#N/A,FALSE,"GIE- Centrale en totalité";"TEG 2",#N/A,FALSE,"TEG 1&amp;2"}</definedName>
    <definedName name="yyy">_L17C2</definedName>
    <definedName name="Z_7260F990_129C_11D3_AE5E_0090274E55AC_.wvu.PrintArea" localSheetId="0" hidden="1">'Prgr. 2020'!$A$1:$AB$121</definedName>
    <definedName name="Z_7260F990_129C_11D3_AE5E_0090274E55AC_.wvu.Rows" localSheetId="0" hidden="1">'Prgr. 2020'!#REF!,'Prgr. 2020'!#REF!,'Prgr. 2020'!#REF!,'Prgr. 2020'!#REF!</definedName>
    <definedName name="_xlnm.Print_Area" localSheetId="0">'Prgr. 2020'!$A$1:$AN$118</definedName>
    <definedName name="zone400m">'[32]Param opération'!$F$17</definedName>
    <definedName name="zoneurba">'[32]Param opération'!$F$82</definedName>
    <definedName name="zz">'[29]Par. Op.'!$F$7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4" i="1" l="1"/>
  <c r="B116" i="1"/>
  <c r="B115" i="1"/>
  <c r="A115" i="1"/>
  <c r="B114" i="1"/>
  <c r="A114" i="1"/>
  <c r="B113" i="1"/>
  <c r="A113" i="1"/>
  <c r="B112" i="1"/>
  <c r="A112" i="1"/>
  <c r="AF108" i="1"/>
  <c r="B108" i="1"/>
  <c r="A108" i="1"/>
  <c r="AI108" i="1" s="1"/>
  <c r="AI107" i="1"/>
  <c r="AF107" i="1"/>
  <c r="B107" i="1"/>
  <c r="A107" i="1"/>
  <c r="B106" i="1"/>
  <c r="A106" i="1"/>
  <c r="AF105" i="1"/>
  <c r="B105" i="1"/>
  <c r="A105" i="1"/>
  <c r="AI105" i="1" s="1"/>
  <c r="AF104" i="1"/>
  <c r="B104" i="1"/>
  <c r="A104" i="1"/>
  <c r="AI104" i="1" s="1"/>
  <c r="AI103" i="1"/>
  <c r="B103" i="1"/>
  <c r="A103" i="1"/>
  <c r="AI102" i="1"/>
  <c r="F102" i="1"/>
  <c r="AI99" i="1"/>
  <c r="AF99" i="1"/>
  <c r="B99" i="1"/>
  <c r="A99" i="1"/>
  <c r="B98" i="1"/>
  <c r="A98" i="1"/>
  <c r="AI97" i="1"/>
  <c r="AF97" i="1"/>
  <c r="O97" i="1"/>
  <c r="B97" i="1"/>
  <c r="A97" i="1"/>
  <c r="AI96" i="1"/>
  <c r="B96" i="1"/>
  <c r="A96" i="1"/>
  <c r="AF96" i="1" s="1"/>
  <c r="B95" i="1"/>
  <c r="A95" i="1"/>
  <c r="AF95" i="1" s="1"/>
  <c r="B94" i="1"/>
  <c r="A94" i="1"/>
  <c r="AI93" i="1"/>
  <c r="AF90" i="1"/>
  <c r="B90" i="1"/>
  <c r="A90" i="1"/>
  <c r="AI90" i="1" s="1"/>
  <c r="B89" i="1"/>
  <c r="A89" i="1"/>
  <c r="AF89" i="1" s="1"/>
  <c r="B88" i="1"/>
  <c r="A88" i="1"/>
  <c r="AF87" i="1"/>
  <c r="K87" i="1"/>
  <c r="Z87" i="1" s="1"/>
  <c r="O87" i="1" s="1"/>
  <c r="B87" i="1"/>
  <c r="A87" i="1"/>
  <c r="AI87" i="1" s="1"/>
  <c r="AI86" i="1"/>
  <c r="F86" i="1"/>
  <c r="A84" i="1"/>
  <c r="Q83" i="1"/>
  <c r="I83" i="1"/>
  <c r="G83" i="1"/>
  <c r="F83" i="1"/>
  <c r="Z78" i="1"/>
  <c r="Y78" i="1"/>
  <c r="X78" i="1"/>
  <c r="AB78" i="1" s="1"/>
  <c r="J78" i="1"/>
  <c r="H78" i="1"/>
  <c r="G78" i="1"/>
  <c r="F78" i="1"/>
  <c r="AB77" i="1"/>
  <c r="AB75" i="1" s="1"/>
  <c r="Z77" i="1"/>
  <c r="Y77" i="1"/>
  <c r="X77" i="1"/>
  <c r="H77" i="1"/>
  <c r="AB76" i="1"/>
  <c r="H76" i="1"/>
  <c r="G76" i="1"/>
  <c r="F76" i="1"/>
  <c r="J76" i="1" s="1"/>
  <c r="D76" i="1"/>
  <c r="AA75" i="1"/>
  <c r="Z75" i="1"/>
  <c r="Y75" i="1"/>
  <c r="X75" i="1"/>
  <c r="J75" i="1"/>
  <c r="D75" i="1"/>
  <c r="I74" i="1"/>
  <c r="I77" i="1" s="1"/>
  <c r="H74" i="1"/>
  <c r="G74" i="1"/>
  <c r="F74" i="1"/>
  <c r="F77" i="1" s="1"/>
  <c r="D74" i="1"/>
  <c r="B74" i="1"/>
  <c r="Z73" i="1"/>
  <c r="Y73" i="1"/>
  <c r="X73" i="1"/>
  <c r="I73" i="1"/>
  <c r="B73" i="1"/>
  <c r="AA72" i="1"/>
  <c r="I72" i="1"/>
  <c r="H72" i="1"/>
  <c r="G72" i="1"/>
  <c r="F72" i="1"/>
  <c r="J72" i="1" s="1"/>
  <c r="B72" i="1"/>
  <c r="AB71" i="1"/>
  <c r="I71" i="1"/>
  <c r="H71" i="1"/>
  <c r="G71" i="1"/>
  <c r="F71" i="1"/>
  <c r="J71" i="1" s="1"/>
  <c r="AB70" i="1"/>
  <c r="I70" i="1"/>
  <c r="H70" i="1"/>
  <c r="G70" i="1"/>
  <c r="F70" i="1"/>
  <c r="J70" i="1" s="1"/>
  <c r="AB69" i="1"/>
  <c r="U69" i="1"/>
  <c r="I69" i="1"/>
  <c r="H69" i="1"/>
  <c r="H73" i="1" s="1"/>
  <c r="G69" i="1"/>
  <c r="F69" i="1"/>
  <c r="F73" i="1" s="1"/>
  <c r="AB68" i="1"/>
  <c r="U68" i="1"/>
  <c r="I68" i="1"/>
  <c r="I79" i="1" s="1"/>
  <c r="F68" i="1"/>
  <c r="AB67" i="1"/>
  <c r="J67" i="1"/>
  <c r="Z66" i="1"/>
  <c r="AB66" i="1" s="1"/>
  <c r="AB65" i="1" s="1"/>
  <c r="Y66" i="1"/>
  <c r="X66" i="1"/>
  <c r="I66" i="1"/>
  <c r="H66" i="1"/>
  <c r="G66" i="1"/>
  <c r="F66" i="1"/>
  <c r="J66" i="1" s="1"/>
  <c r="AA65" i="1"/>
  <c r="AA79" i="1" s="1"/>
  <c r="Z65" i="1"/>
  <c r="Y65" i="1"/>
  <c r="X65" i="1"/>
  <c r="I65" i="1"/>
  <c r="H65" i="1"/>
  <c r="H68" i="1" s="1"/>
  <c r="G65" i="1"/>
  <c r="G68" i="1" s="1"/>
  <c r="F65" i="1"/>
  <c r="J65" i="1" s="1"/>
  <c r="C63" i="1"/>
  <c r="C60" i="1"/>
  <c r="AA57" i="1"/>
  <c r="Y56" i="1"/>
  <c r="AA56" i="1" s="1"/>
  <c r="X56" i="1"/>
  <c r="C56" i="1"/>
  <c r="W47" i="1"/>
  <c r="V47" i="1"/>
  <c r="AB46" i="1"/>
  <c r="Q46" i="1"/>
  <c r="Y46" i="1" s="1"/>
  <c r="P46" i="1"/>
  <c r="S46" i="1" s="1"/>
  <c r="M46" i="1"/>
  <c r="J46" i="1"/>
  <c r="R46" i="1" s="1"/>
  <c r="Z46" i="1" s="1"/>
  <c r="AB45" i="1"/>
  <c r="AB47" i="1" s="1"/>
  <c r="X45" i="1"/>
  <c r="S45" i="1"/>
  <c r="AA45" i="1" s="1"/>
  <c r="Q45" i="1"/>
  <c r="Y45" i="1" s="1"/>
  <c r="P45" i="1"/>
  <c r="M45" i="1"/>
  <c r="J45" i="1"/>
  <c r="U45" i="1" s="1"/>
  <c r="AC45" i="1" s="1"/>
  <c r="C114" i="1" s="1"/>
  <c r="AB44" i="1"/>
  <c r="S44" i="1"/>
  <c r="AA44" i="1" s="1"/>
  <c r="P44" i="1"/>
  <c r="M44" i="1"/>
  <c r="Q44" i="1" s="1"/>
  <c r="Y44" i="1" s="1"/>
  <c r="J44" i="1"/>
  <c r="X44" i="1" s="1"/>
  <c r="AB43" i="1"/>
  <c r="X43" i="1"/>
  <c r="S43" i="1"/>
  <c r="AA43" i="1" s="1"/>
  <c r="P43" i="1"/>
  <c r="M43" i="1"/>
  <c r="Q43" i="1" s="1"/>
  <c r="J43" i="1"/>
  <c r="V40" i="1"/>
  <c r="AB39" i="1"/>
  <c r="W39" i="1"/>
  <c r="T39" i="1"/>
  <c r="S39" i="1"/>
  <c r="AA39" i="1" s="1"/>
  <c r="Q39" i="1"/>
  <c r="Y39" i="1" s="1"/>
  <c r="P39" i="1"/>
  <c r="M39" i="1"/>
  <c r="J39" i="1"/>
  <c r="K108" i="1" s="1"/>
  <c r="Z108" i="1" s="1"/>
  <c r="O108" i="1" s="1"/>
  <c r="Y38" i="1"/>
  <c r="W38" i="1"/>
  <c r="T38" i="1"/>
  <c r="AB38" i="1" s="1"/>
  <c r="Q38" i="1"/>
  <c r="P38" i="1"/>
  <c r="S38" i="1" s="1"/>
  <c r="AA38" i="1" s="1"/>
  <c r="M38" i="1"/>
  <c r="J38" i="1"/>
  <c r="K107" i="1" s="1"/>
  <c r="Z107" i="1" s="1"/>
  <c r="O107" i="1" s="1"/>
  <c r="AB37" i="1"/>
  <c r="X37" i="1"/>
  <c r="W37" i="1"/>
  <c r="T37" i="1"/>
  <c r="S37" i="1"/>
  <c r="AA37" i="1" s="1"/>
  <c r="P37" i="1"/>
  <c r="M37" i="1"/>
  <c r="Q37" i="1" s="1"/>
  <c r="J37" i="1"/>
  <c r="K106" i="1" s="1"/>
  <c r="Z106" i="1" s="1"/>
  <c r="O106" i="1" s="1"/>
  <c r="W36" i="1"/>
  <c r="AI4" i="1" s="1"/>
  <c r="T36" i="1"/>
  <c r="AB36" i="1" s="1"/>
  <c r="P36" i="1"/>
  <c r="S36" i="1" s="1"/>
  <c r="AA36" i="1" s="1"/>
  <c r="M36" i="1"/>
  <c r="Q36" i="1" s="1"/>
  <c r="Y36" i="1" s="1"/>
  <c r="J36" i="1"/>
  <c r="K105" i="1" s="1"/>
  <c r="Z105" i="1" s="1"/>
  <c r="O105" i="1" s="1"/>
  <c r="AB35" i="1"/>
  <c r="X35" i="1"/>
  <c r="W35" i="1"/>
  <c r="T35" i="1"/>
  <c r="S35" i="1"/>
  <c r="AA35" i="1" s="1"/>
  <c r="Q35" i="1"/>
  <c r="Y35" i="1" s="1"/>
  <c r="P35" i="1"/>
  <c r="M35" i="1"/>
  <c r="J35" i="1"/>
  <c r="K104" i="1" s="1"/>
  <c r="Z104" i="1" s="1"/>
  <c r="O104" i="1" s="1"/>
  <c r="Y34" i="1"/>
  <c r="W34" i="1"/>
  <c r="T34" i="1"/>
  <c r="AB34" i="1" s="1"/>
  <c r="Q34" i="1"/>
  <c r="P34" i="1"/>
  <c r="S34" i="1" s="1"/>
  <c r="AA34" i="1" s="1"/>
  <c r="M34" i="1"/>
  <c r="J34" i="1"/>
  <c r="X34" i="1" s="1"/>
  <c r="V31" i="1"/>
  <c r="AB30" i="1"/>
  <c r="X30" i="1"/>
  <c r="W30" i="1"/>
  <c r="T30" i="1"/>
  <c r="S30" i="1"/>
  <c r="AA30" i="1" s="1"/>
  <c r="P30" i="1"/>
  <c r="M30" i="1"/>
  <c r="Q30" i="1" s="1"/>
  <c r="J30" i="1"/>
  <c r="K99" i="1" s="1"/>
  <c r="Z99" i="1" s="1"/>
  <c r="O99" i="1" s="1"/>
  <c r="W29" i="1"/>
  <c r="T29" i="1"/>
  <c r="AB29" i="1" s="1"/>
  <c r="P29" i="1"/>
  <c r="S29" i="1" s="1"/>
  <c r="AA29" i="1" s="1"/>
  <c r="M29" i="1"/>
  <c r="Q29" i="1" s="1"/>
  <c r="Y29" i="1" s="1"/>
  <c r="J29" i="1"/>
  <c r="AB28" i="1"/>
  <c r="X28" i="1"/>
  <c r="W28" i="1"/>
  <c r="T28" i="1"/>
  <c r="S28" i="1"/>
  <c r="AA28" i="1" s="1"/>
  <c r="Q28" i="1"/>
  <c r="Y28" i="1" s="1"/>
  <c r="P28" i="1"/>
  <c r="M28" i="1"/>
  <c r="J28" i="1"/>
  <c r="K97" i="1" s="1"/>
  <c r="Z97" i="1" s="1"/>
  <c r="Y27" i="1"/>
  <c r="W27" i="1"/>
  <c r="T27" i="1"/>
  <c r="AB27" i="1" s="1"/>
  <c r="Q27" i="1"/>
  <c r="P27" i="1"/>
  <c r="S27" i="1" s="1"/>
  <c r="AA27" i="1" s="1"/>
  <c r="M27" i="1"/>
  <c r="J27" i="1"/>
  <c r="K96" i="1" s="1"/>
  <c r="Z96" i="1" s="1"/>
  <c r="O96" i="1" s="1"/>
  <c r="AB26" i="1"/>
  <c r="X26" i="1"/>
  <c r="W26" i="1"/>
  <c r="T26" i="1"/>
  <c r="S26" i="1"/>
  <c r="AA26" i="1" s="1"/>
  <c r="P26" i="1"/>
  <c r="M26" i="1"/>
  <c r="Q26" i="1" s="1"/>
  <c r="J26" i="1"/>
  <c r="K95" i="1" s="1"/>
  <c r="Z95" i="1" s="1"/>
  <c r="O95" i="1" s="1"/>
  <c r="W25" i="1"/>
  <c r="W31" i="1" s="1"/>
  <c r="W51" i="1" s="1"/>
  <c r="Y55" i="1" s="1"/>
  <c r="T25" i="1"/>
  <c r="AB25" i="1" s="1"/>
  <c r="AB31" i="1" s="1"/>
  <c r="P25" i="1"/>
  <c r="S25" i="1" s="1"/>
  <c r="AA25" i="1" s="1"/>
  <c r="AA31" i="1" s="1"/>
  <c r="M25" i="1"/>
  <c r="Q25" i="1" s="1"/>
  <c r="Y25" i="1" s="1"/>
  <c r="J25" i="1"/>
  <c r="K94" i="1" s="1"/>
  <c r="Z94" i="1" s="1"/>
  <c r="O94" i="1" s="1"/>
  <c r="V22" i="1"/>
  <c r="V49" i="1" s="1"/>
  <c r="AB21" i="1"/>
  <c r="X21" i="1"/>
  <c r="W21" i="1"/>
  <c r="T21" i="1"/>
  <c r="S21" i="1"/>
  <c r="AA21" i="1" s="1"/>
  <c r="Q21" i="1"/>
  <c r="Y21" i="1" s="1"/>
  <c r="P21" i="1"/>
  <c r="M21" i="1"/>
  <c r="J21" i="1"/>
  <c r="K90" i="1" s="1"/>
  <c r="Z90" i="1" s="1"/>
  <c r="O90" i="1" s="1"/>
  <c r="Y20" i="1"/>
  <c r="W20" i="1"/>
  <c r="T20" i="1"/>
  <c r="AB20" i="1" s="1"/>
  <c r="Q20" i="1"/>
  <c r="P20" i="1"/>
  <c r="S20" i="1" s="1"/>
  <c r="AA20" i="1" s="1"/>
  <c r="M20" i="1"/>
  <c r="J20" i="1"/>
  <c r="X20" i="1" s="1"/>
  <c r="AB19" i="1"/>
  <c r="X19" i="1"/>
  <c r="W19" i="1"/>
  <c r="T19" i="1"/>
  <c r="S19" i="1"/>
  <c r="AA19" i="1" s="1"/>
  <c r="P19" i="1"/>
  <c r="M19" i="1"/>
  <c r="Q19" i="1" s="1"/>
  <c r="J19" i="1"/>
  <c r="R19" i="1" s="1"/>
  <c r="Z19" i="1" s="1"/>
  <c r="W18" i="1"/>
  <c r="T18" i="1"/>
  <c r="AB18" i="1" s="1"/>
  <c r="P18" i="1"/>
  <c r="S18" i="1" s="1"/>
  <c r="AA18" i="1" s="1"/>
  <c r="M18" i="1"/>
  <c r="Q18" i="1" s="1"/>
  <c r="Y18" i="1" s="1"/>
  <c r="J18" i="1"/>
  <c r="U18" i="1" s="1"/>
  <c r="AC18" i="1" s="1"/>
  <c r="AB17" i="1"/>
  <c r="X17" i="1"/>
  <c r="W17" i="1"/>
  <c r="T17" i="1"/>
  <c r="S17" i="1"/>
  <c r="AA17" i="1" s="1"/>
  <c r="Q17" i="1"/>
  <c r="Y17" i="1" s="1"/>
  <c r="P17" i="1"/>
  <c r="M17" i="1"/>
  <c r="J17" i="1"/>
  <c r="K89" i="1" s="1"/>
  <c r="Z89" i="1" s="1"/>
  <c r="O89" i="1" s="1"/>
  <c r="Y16" i="1"/>
  <c r="W16" i="1"/>
  <c r="T16" i="1"/>
  <c r="AB16" i="1" s="1"/>
  <c r="Q16" i="1"/>
  <c r="P16" i="1"/>
  <c r="S16" i="1" s="1"/>
  <c r="AA16" i="1" s="1"/>
  <c r="M16" i="1"/>
  <c r="J16" i="1"/>
  <c r="X16" i="1" s="1"/>
  <c r="AB15" i="1"/>
  <c r="X15" i="1"/>
  <c r="W15" i="1"/>
  <c r="T15" i="1"/>
  <c r="S15" i="1"/>
  <c r="AA15" i="1" s="1"/>
  <c r="P15" i="1"/>
  <c r="M15" i="1"/>
  <c r="Q15" i="1" s="1"/>
  <c r="J15" i="1"/>
  <c r="R15" i="1" s="1"/>
  <c r="Z15" i="1" s="1"/>
  <c r="AB14" i="1"/>
  <c r="X14" i="1"/>
  <c r="W14" i="1"/>
  <c r="T14" i="1"/>
  <c r="S14" i="1"/>
  <c r="AA14" i="1" s="1"/>
  <c r="P14" i="1"/>
  <c r="M14" i="1"/>
  <c r="Q14" i="1" s="1"/>
  <c r="J14" i="1"/>
  <c r="W13" i="1"/>
  <c r="W22" i="1" s="1"/>
  <c r="T13" i="1"/>
  <c r="AB13" i="1" s="1"/>
  <c r="P13" i="1"/>
  <c r="S13" i="1" s="1"/>
  <c r="AA13" i="1" s="1"/>
  <c r="M13" i="1"/>
  <c r="Q13" i="1" s="1"/>
  <c r="Y13" i="1" s="1"/>
  <c r="J13" i="1"/>
  <c r="AB12" i="1"/>
  <c r="X12" i="1"/>
  <c r="W12" i="1"/>
  <c r="T12" i="1"/>
  <c r="S12" i="1"/>
  <c r="AA12" i="1" s="1"/>
  <c r="Q12" i="1"/>
  <c r="Y12" i="1" s="1"/>
  <c r="P12" i="1"/>
  <c r="M12" i="1"/>
  <c r="J12" i="1"/>
  <c r="K88" i="1" s="1"/>
  <c r="Z88" i="1" s="1"/>
  <c r="O88" i="1" s="1"/>
  <c r="W11" i="1"/>
  <c r="T11" i="1"/>
  <c r="AB11" i="1" s="1"/>
  <c r="P11" i="1"/>
  <c r="S11" i="1" s="1"/>
  <c r="AA11" i="1" s="1"/>
  <c r="M11" i="1"/>
  <c r="Q11" i="1" s="1"/>
  <c r="Y11" i="1" s="1"/>
  <c r="J11" i="1"/>
  <c r="X11" i="1" s="1"/>
  <c r="AG7" i="1"/>
  <c r="AI6" i="1"/>
  <c r="AH6" i="1"/>
  <c r="AG6" i="1"/>
  <c r="AE6" i="1"/>
  <c r="AI5" i="1"/>
  <c r="AG5" i="1"/>
  <c r="AH5" i="1" s="1"/>
  <c r="AE5" i="1"/>
  <c r="AH4" i="1"/>
  <c r="AG4" i="1"/>
  <c r="AE4" i="1"/>
  <c r="AF4" i="1" s="1"/>
  <c r="AI3" i="1"/>
  <c r="AG3" i="1"/>
  <c r="AH3" i="1" s="1"/>
  <c r="AE3" i="1"/>
  <c r="AI2" i="1"/>
  <c r="AI7" i="1" s="1"/>
  <c r="AG2" i="1"/>
  <c r="AH2" i="1" s="1"/>
  <c r="AE2" i="1"/>
  <c r="AE7" i="1" s="1"/>
  <c r="U14" i="1" l="1"/>
  <c r="AC14" i="1" s="1"/>
  <c r="Y14" i="1"/>
  <c r="AJ5" i="1"/>
  <c r="AJ3" i="1"/>
  <c r="AJ2" i="1"/>
  <c r="U15" i="1"/>
  <c r="AC15" i="1" s="1"/>
  <c r="Y15" i="1"/>
  <c r="AJ4" i="1"/>
  <c r="U38" i="1"/>
  <c r="J68" i="1"/>
  <c r="R65" i="1"/>
  <c r="R66" i="1"/>
  <c r="R71" i="1"/>
  <c r="U26" i="1"/>
  <c r="Y26" i="1"/>
  <c r="U30" i="1"/>
  <c r="Y30" i="1"/>
  <c r="AB40" i="1"/>
  <c r="AJ6" i="1"/>
  <c r="AA22" i="1"/>
  <c r="U13" i="1"/>
  <c r="AC13" i="1" s="1"/>
  <c r="W50" i="1"/>
  <c r="X55" i="1" s="1"/>
  <c r="AA55" i="1" s="1"/>
  <c r="U19" i="1"/>
  <c r="AC19" i="1" s="1"/>
  <c r="Y19" i="1"/>
  <c r="R43" i="1"/>
  <c r="Z43" i="1" s="1"/>
  <c r="Z47" i="1" s="1"/>
  <c r="R47" i="1" s="1"/>
  <c r="AA46" i="1"/>
  <c r="AA47" i="1" s="1"/>
  <c r="U46" i="1"/>
  <c r="AC46" i="1" s="1"/>
  <c r="C115" i="1" s="1"/>
  <c r="R70" i="1"/>
  <c r="Y22" i="1"/>
  <c r="R75" i="1"/>
  <c r="AF5" i="1"/>
  <c r="AF3" i="1"/>
  <c r="AF2" i="1"/>
  <c r="AF6" i="1"/>
  <c r="AB22" i="1"/>
  <c r="AB49" i="1" s="1"/>
  <c r="AA51" i="1" s="1"/>
  <c r="R14" i="1"/>
  <c r="Z14" i="1" s="1"/>
  <c r="Y31" i="1"/>
  <c r="U29" i="1"/>
  <c r="AA40" i="1"/>
  <c r="Y40" i="1"/>
  <c r="U37" i="1"/>
  <c r="Y37" i="1"/>
  <c r="Y43" i="1"/>
  <c r="Y47" i="1" s="1"/>
  <c r="U43" i="1"/>
  <c r="AC43" i="1" s="1"/>
  <c r="H79" i="1"/>
  <c r="R72" i="1"/>
  <c r="O91" i="1"/>
  <c r="U11" i="1"/>
  <c r="R12" i="1"/>
  <c r="X13" i="1"/>
  <c r="X22" i="1" s="1"/>
  <c r="U16" i="1"/>
  <c r="AC16" i="1" s="1"/>
  <c r="R17" i="1"/>
  <c r="X18" i="1"/>
  <c r="U20" i="1"/>
  <c r="AC20" i="1" s="1"/>
  <c r="R21" i="1"/>
  <c r="X25" i="1"/>
  <c r="U27" i="1"/>
  <c r="R28" i="1"/>
  <c r="X29" i="1"/>
  <c r="U34" i="1"/>
  <c r="R35" i="1"/>
  <c r="X36" i="1"/>
  <c r="X40" i="1" s="1"/>
  <c r="R39" i="1"/>
  <c r="R45" i="1"/>
  <c r="Z45" i="1" s="1"/>
  <c r="X46" i="1"/>
  <c r="X47" i="1" s="1"/>
  <c r="J47" i="1" s="1"/>
  <c r="AA80" i="1"/>
  <c r="F79" i="1"/>
  <c r="U12" i="1"/>
  <c r="R13" i="1"/>
  <c r="Z13" i="1" s="1"/>
  <c r="U17" i="1"/>
  <c r="U21" i="1"/>
  <c r="U35" i="1"/>
  <c r="R36" i="1"/>
  <c r="W40" i="1"/>
  <c r="W49" i="1" s="1"/>
  <c r="AK2" i="1"/>
  <c r="R11" i="1"/>
  <c r="R16" i="1"/>
  <c r="Z16" i="1" s="1"/>
  <c r="R20" i="1"/>
  <c r="Z20" i="1" s="1"/>
  <c r="R27" i="1"/>
  <c r="R34" i="1"/>
  <c r="R38" i="1"/>
  <c r="X39" i="1"/>
  <c r="U44" i="1"/>
  <c r="AC44" i="1" s="1"/>
  <c r="C113" i="1" s="1"/>
  <c r="J69" i="1"/>
  <c r="G77" i="1"/>
  <c r="R83" i="1"/>
  <c r="W83" i="1" s="1"/>
  <c r="B91" i="1"/>
  <c r="AI88" i="1"/>
  <c r="AF88" i="1"/>
  <c r="K98" i="1"/>
  <c r="Z98" i="1" s="1"/>
  <c r="O98" i="1" s="1"/>
  <c r="O100" i="1" s="1"/>
  <c r="K103" i="1"/>
  <c r="Z103" i="1" s="1"/>
  <c r="O103" i="1" s="1"/>
  <c r="O109" i="1" s="1"/>
  <c r="R18" i="1"/>
  <c r="Z18" i="1" s="1"/>
  <c r="R25" i="1"/>
  <c r="U28" i="1"/>
  <c r="R29" i="1"/>
  <c r="U39" i="1"/>
  <c r="R44" i="1"/>
  <c r="Z44" i="1" s="1"/>
  <c r="AB73" i="1"/>
  <c r="U25" i="1"/>
  <c r="R26" i="1"/>
  <c r="X27" i="1"/>
  <c r="R30" i="1"/>
  <c r="U36" i="1"/>
  <c r="R37" i="1"/>
  <c r="X38" i="1"/>
  <c r="G73" i="1"/>
  <c r="R76" i="1"/>
  <c r="R78" i="1"/>
  <c r="F93" i="1"/>
  <c r="R86" i="1"/>
  <c r="R93" i="1" s="1"/>
  <c r="AI94" i="1"/>
  <c r="AF94" i="1"/>
  <c r="AL2" i="1" s="1"/>
  <c r="B100" i="1"/>
  <c r="AI95" i="1"/>
  <c r="J74" i="1"/>
  <c r="B109" i="1"/>
  <c r="AI89" i="1"/>
  <c r="AF98" i="1"/>
  <c r="AI98" i="1"/>
  <c r="R102" i="1"/>
  <c r="AI106" i="1"/>
  <c r="AF106" i="1"/>
  <c r="K91" i="1" l="1"/>
  <c r="J22" i="1"/>
  <c r="K109" i="1"/>
  <c r="J40" i="1"/>
  <c r="L99" i="1"/>
  <c r="Z30" i="1"/>
  <c r="M108" i="1"/>
  <c r="AC39" i="1"/>
  <c r="C108" i="1" s="1"/>
  <c r="D108" i="1" s="1"/>
  <c r="L108" i="1"/>
  <c r="Z39" i="1"/>
  <c r="L90" i="1"/>
  <c r="Z21" i="1"/>
  <c r="O118" i="1"/>
  <c r="Z118" i="1" s="1"/>
  <c r="M95" i="1"/>
  <c r="E95" i="1" s="1"/>
  <c r="AC26" i="1"/>
  <c r="C95" i="1" s="1"/>
  <c r="D95" i="1" s="1"/>
  <c r="R68" i="1"/>
  <c r="L98" i="1"/>
  <c r="Z29" i="1"/>
  <c r="F96" i="1"/>
  <c r="F95" i="1"/>
  <c r="F98" i="1"/>
  <c r="F97" i="1"/>
  <c r="L106" i="1"/>
  <c r="Z37" i="1"/>
  <c r="L95" i="1"/>
  <c r="Z26" i="1"/>
  <c r="M97" i="1"/>
  <c r="AC28" i="1"/>
  <c r="C97" i="1" s="1"/>
  <c r="D97" i="1" s="1"/>
  <c r="E97" i="1" s="1"/>
  <c r="L107" i="1"/>
  <c r="Z38" i="1"/>
  <c r="M104" i="1"/>
  <c r="AC35" i="1"/>
  <c r="C104" i="1" s="1"/>
  <c r="D104" i="1" s="1"/>
  <c r="M88" i="1"/>
  <c r="AC12" i="1"/>
  <c r="C88" i="1" s="1"/>
  <c r="D88" i="1" s="1"/>
  <c r="J77" i="1"/>
  <c r="L104" i="1"/>
  <c r="Z35" i="1"/>
  <c r="M96" i="1"/>
  <c r="E96" i="1" s="1"/>
  <c r="AC27" i="1"/>
  <c r="C96" i="1" s="1"/>
  <c r="D96" i="1" s="1"/>
  <c r="L88" i="1"/>
  <c r="Z12" i="1"/>
  <c r="M98" i="1"/>
  <c r="AC29" i="1"/>
  <c r="C98" i="1" s="1"/>
  <c r="D98" i="1" s="1"/>
  <c r="E98" i="1" s="1"/>
  <c r="G79" i="1"/>
  <c r="M105" i="1"/>
  <c r="AC36" i="1"/>
  <c r="C105" i="1" s="1"/>
  <c r="D105" i="1" s="1"/>
  <c r="M94" i="1"/>
  <c r="AC25" i="1"/>
  <c r="L94" i="1"/>
  <c r="Z25" i="1"/>
  <c r="B118" i="1"/>
  <c r="L103" i="1"/>
  <c r="Z34" i="1"/>
  <c r="L87" i="1"/>
  <c r="Z11" i="1"/>
  <c r="Z22" i="1" s="1"/>
  <c r="M90" i="1"/>
  <c r="AC21" i="1"/>
  <c r="C90" i="1" s="1"/>
  <c r="D90" i="1" s="1"/>
  <c r="F80" i="1"/>
  <c r="X74" i="1"/>
  <c r="M103" i="1"/>
  <c r="AC34" i="1"/>
  <c r="X31" i="1"/>
  <c r="L89" i="1"/>
  <c r="Z17" i="1"/>
  <c r="M87" i="1"/>
  <c r="AC11" i="1"/>
  <c r="Z74" i="1"/>
  <c r="Z72" i="1" s="1"/>
  <c r="Z79" i="1" s="1"/>
  <c r="Z80" i="1" s="1"/>
  <c r="H80" i="1"/>
  <c r="M106" i="1"/>
  <c r="AC37" i="1"/>
  <c r="C106" i="1" s="1"/>
  <c r="D106" i="1" s="1"/>
  <c r="AA49" i="1"/>
  <c r="M107" i="1"/>
  <c r="AC38" i="1"/>
  <c r="C107" i="1" s="1"/>
  <c r="D107" i="1" s="1"/>
  <c r="R69" i="1"/>
  <c r="J73" i="1"/>
  <c r="L96" i="1"/>
  <c r="Z27" i="1"/>
  <c r="AC17" i="1"/>
  <c r="C89" i="1" s="1"/>
  <c r="D89" i="1" s="1"/>
  <c r="M89" i="1"/>
  <c r="C112" i="1"/>
  <c r="C116" i="1" s="1"/>
  <c r="AC47" i="1"/>
  <c r="Y49" i="1"/>
  <c r="M99" i="1"/>
  <c r="AC30" i="1"/>
  <c r="C99" i="1" s="1"/>
  <c r="D99" i="1" s="1"/>
  <c r="F99" i="1" s="1"/>
  <c r="R74" i="1"/>
  <c r="L105" i="1"/>
  <c r="Z36" i="1"/>
  <c r="L97" i="1"/>
  <c r="Z28" i="1"/>
  <c r="H98" i="1" l="1"/>
  <c r="Q98" i="1"/>
  <c r="G98" i="1"/>
  <c r="I98" i="1"/>
  <c r="G95" i="1"/>
  <c r="I95" i="1"/>
  <c r="Q95" i="1"/>
  <c r="H95" i="1"/>
  <c r="I97" i="1"/>
  <c r="Q97" i="1"/>
  <c r="H97" i="1"/>
  <c r="G97" i="1"/>
  <c r="I96" i="1"/>
  <c r="G96" i="1"/>
  <c r="Q96" i="1"/>
  <c r="H96" i="1"/>
  <c r="X72" i="1"/>
  <c r="X79" i="1" s="1"/>
  <c r="C103" i="1"/>
  <c r="AC40" i="1"/>
  <c r="F107" i="1"/>
  <c r="E107" i="1"/>
  <c r="K100" i="1"/>
  <c r="J31" i="1"/>
  <c r="R73" i="1"/>
  <c r="C94" i="1"/>
  <c r="AC31" i="1"/>
  <c r="F104" i="1"/>
  <c r="E104" i="1"/>
  <c r="J79" i="1"/>
  <c r="E108" i="1"/>
  <c r="F108" i="1"/>
  <c r="X49" i="1"/>
  <c r="C87" i="1"/>
  <c r="AC22" i="1"/>
  <c r="E88" i="1"/>
  <c r="F88" i="1"/>
  <c r="E99" i="1"/>
  <c r="L91" i="1"/>
  <c r="Z91" i="1" s="1"/>
  <c r="R22" i="1"/>
  <c r="F89" i="1"/>
  <c r="E89" i="1"/>
  <c r="B119" i="1"/>
  <c r="Y74" i="1"/>
  <c r="Y72" i="1" s="1"/>
  <c r="Y79" i="1" s="1"/>
  <c r="Y80" i="1" s="1"/>
  <c r="G80" i="1"/>
  <c r="N73" i="1"/>
  <c r="N69" i="1"/>
  <c r="N72" i="1"/>
  <c r="N68" i="1"/>
  <c r="U47" i="1"/>
  <c r="N70" i="1"/>
  <c r="N66" i="1"/>
  <c r="N65" i="1"/>
  <c r="N71" i="1"/>
  <c r="N77" i="1"/>
  <c r="N79" i="1"/>
  <c r="E106" i="1"/>
  <c r="F106" i="1"/>
  <c r="E90" i="1"/>
  <c r="F90" i="1"/>
  <c r="Z40" i="1"/>
  <c r="Z31" i="1"/>
  <c r="F105" i="1"/>
  <c r="E105" i="1"/>
  <c r="R77" i="1"/>
  <c r="R79" i="1" s="1"/>
  <c r="I90" i="1" l="1"/>
  <c r="Q90" i="1"/>
  <c r="H90" i="1"/>
  <c r="G90" i="1"/>
  <c r="I108" i="1"/>
  <c r="Q108" i="1"/>
  <c r="H108" i="1"/>
  <c r="G108" i="1"/>
  <c r="M109" i="1"/>
  <c r="U40" i="1"/>
  <c r="M71" i="1"/>
  <c r="M65" i="1"/>
  <c r="M73" i="1"/>
  <c r="M70" i="1"/>
  <c r="M68" i="1"/>
  <c r="M69" i="1"/>
  <c r="M66" i="1"/>
  <c r="M72" i="1"/>
  <c r="M77" i="1"/>
  <c r="M79" i="1"/>
  <c r="L100" i="1"/>
  <c r="Z100" i="1" s="1"/>
  <c r="R31" i="1"/>
  <c r="I99" i="1"/>
  <c r="H99" i="1"/>
  <c r="Q99" i="1"/>
  <c r="G99" i="1"/>
  <c r="C91" i="1"/>
  <c r="D87" i="1"/>
  <c r="E67" i="1"/>
  <c r="J80" i="1"/>
  <c r="C100" i="1"/>
  <c r="D100" i="1" s="1"/>
  <c r="D94" i="1"/>
  <c r="C109" i="1"/>
  <c r="D109" i="1" s="1"/>
  <c r="D103" i="1"/>
  <c r="X96" i="1"/>
  <c r="S96" i="1"/>
  <c r="W96" i="1"/>
  <c r="R96" i="1"/>
  <c r="Y96" i="1"/>
  <c r="V96" i="1"/>
  <c r="T96" i="1"/>
  <c r="Y95" i="1"/>
  <c r="T95" i="1"/>
  <c r="X95" i="1"/>
  <c r="S95" i="1"/>
  <c r="V95" i="1"/>
  <c r="R95" i="1"/>
  <c r="W95" i="1"/>
  <c r="M100" i="1"/>
  <c r="L69" i="1"/>
  <c r="U31" i="1"/>
  <c r="AC32" i="1"/>
  <c r="L68" i="1"/>
  <c r="L71" i="1"/>
  <c r="L65" i="1"/>
  <c r="L70" i="1"/>
  <c r="L72" i="1"/>
  <c r="L66" i="1"/>
  <c r="Y54" i="1"/>
  <c r="Y58" i="1" s="1"/>
  <c r="Y60" i="1" s="1"/>
  <c r="L77" i="1"/>
  <c r="L73" i="1"/>
  <c r="L109" i="1"/>
  <c r="Z109" i="1" s="1"/>
  <c r="R40" i="1"/>
  <c r="Q106" i="1"/>
  <c r="H106" i="1"/>
  <c r="G106" i="1"/>
  <c r="I106" i="1"/>
  <c r="L79" i="1"/>
  <c r="K118" i="1"/>
  <c r="J49" i="1"/>
  <c r="I104" i="1"/>
  <c r="Q104" i="1"/>
  <c r="H104" i="1"/>
  <c r="G104" i="1"/>
  <c r="G107" i="1"/>
  <c r="I107" i="1"/>
  <c r="Q107" i="1"/>
  <c r="H107" i="1"/>
  <c r="AB79" i="1"/>
  <c r="X80" i="1"/>
  <c r="W97" i="1"/>
  <c r="R97" i="1"/>
  <c r="V97" i="1"/>
  <c r="T97" i="1"/>
  <c r="S97" i="1"/>
  <c r="Y97" i="1"/>
  <c r="X97" i="1"/>
  <c r="X98" i="1"/>
  <c r="S98" i="1"/>
  <c r="Y98" i="1"/>
  <c r="R98" i="1"/>
  <c r="W98" i="1"/>
  <c r="T98" i="1"/>
  <c r="V98" i="1"/>
  <c r="M91" i="1"/>
  <c r="AC23" i="1"/>
  <c r="K72" i="1"/>
  <c r="K71" i="1"/>
  <c r="K70" i="1"/>
  <c r="K66" i="1"/>
  <c r="X54" i="1"/>
  <c r="U22" i="1"/>
  <c r="K65" i="1"/>
  <c r="AC49" i="1"/>
  <c r="K68" i="1"/>
  <c r="K73" i="1"/>
  <c r="K77" i="1"/>
  <c r="K69" i="1"/>
  <c r="K79" i="1"/>
  <c r="I105" i="1"/>
  <c r="Q105" i="1"/>
  <c r="H105" i="1"/>
  <c r="G105" i="1"/>
  <c r="G89" i="1"/>
  <c r="I89" i="1"/>
  <c r="H89" i="1"/>
  <c r="Q89" i="1"/>
  <c r="Z49" i="1"/>
  <c r="Q88" i="1"/>
  <c r="H88" i="1"/>
  <c r="G88" i="1"/>
  <c r="I88" i="1"/>
  <c r="AB74" i="1"/>
  <c r="AB72" i="1" s="1"/>
  <c r="X58" i="1" l="1"/>
  <c r="AA54" i="1"/>
  <c r="AA98" i="1"/>
  <c r="N98" i="1"/>
  <c r="P98" i="1" s="1"/>
  <c r="F100" i="1"/>
  <c r="E100" i="1"/>
  <c r="C118" i="1"/>
  <c r="D118" i="1" s="1"/>
  <c r="D91" i="1"/>
  <c r="Y107" i="1"/>
  <c r="T107" i="1"/>
  <c r="X107" i="1"/>
  <c r="S107" i="1"/>
  <c r="W107" i="1"/>
  <c r="R107" i="1"/>
  <c r="V107" i="1"/>
  <c r="E103" i="1"/>
  <c r="F103" i="1"/>
  <c r="W105" i="1"/>
  <c r="R105" i="1"/>
  <c r="V105" i="1"/>
  <c r="Y105" i="1"/>
  <c r="T105" i="1"/>
  <c r="S105" i="1"/>
  <c r="X105" i="1"/>
  <c r="C92" i="1"/>
  <c r="W104" i="1"/>
  <c r="R104" i="1"/>
  <c r="V104" i="1"/>
  <c r="T104" i="1"/>
  <c r="S104" i="1"/>
  <c r="Y104" i="1"/>
  <c r="X104" i="1"/>
  <c r="V106" i="1"/>
  <c r="Y106" i="1"/>
  <c r="T106" i="1"/>
  <c r="X106" i="1"/>
  <c r="S106" i="1"/>
  <c r="W106" i="1"/>
  <c r="R106" i="1"/>
  <c r="C101" i="1"/>
  <c r="E109" i="1"/>
  <c r="F109" i="1"/>
  <c r="W99" i="1"/>
  <c r="R99" i="1"/>
  <c r="V99" i="1"/>
  <c r="T99" i="1"/>
  <c r="Y99" i="1"/>
  <c r="X99" i="1"/>
  <c r="S99" i="1"/>
  <c r="X108" i="1"/>
  <c r="S108" i="1"/>
  <c r="W108" i="1"/>
  <c r="R108" i="1"/>
  <c r="V108" i="1"/>
  <c r="Y108" i="1"/>
  <c r="T108" i="1"/>
  <c r="W90" i="1"/>
  <c r="R90" i="1"/>
  <c r="V90" i="1"/>
  <c r="X90" i="1"/>
  <c r="T90" i="1"/>
  <c r="S90" i="1"/>
  <c r="Y90" i="1"/>
  <c r="Y89" i="1"/>
  <c r="T89" i="1"/>
  <c r="X89" i="1"/>
  <c r="S89" i="1"/>
  <c r="W89" i="1"/>
  <c r="R89" i="1"/>
  <c r="V89" i="1"/>
  <c r="C119" i="1"/>
  <c r="M118" i="1"/>
  <c r="U49" i="1"/>
  <c r="Q65" i="1"/>
  <c r="Q75" i="1"/>
  <c r="Q76" i="1"/>
  <c r="Q71" i="1"/>
  <c r="Q78" i="1"/>
  <c r="Q66" i="1"/>
  <c r="Q70" i="1"/>
  <c r="Q72" i="1"/>
  <c r="Q69" i="1"/>
  <c r="Q74" i="1"/>
  <c r="Q68" i="1"/>
  <c r="Q77" i="1"/>
  <c r="Q73" i="1"/>
  <c r="AA95" i="1"/>
  <c r="N95" i="1"/>
  <c r="P95" i="1" s="1"/>
  <c r="V88" i="1"/>
  <c r="Y88" i="1"/>
  <c r="T88" i="1"/>
  <c r="X88" i="1"/>
  <c r="S88" i="1"/>
  <c r="R88" i="1"/>
  <c r="W88" i="1"/>
  <c r="L118" i="1"/>
  <c r="R49" i="1"/>
  <c r="AA97" i="1"/>
  <c r="N97" i="1"/>
  <c r="P97" i="1" s="1"/>
  <c r="AC79" i="1"/>
  <c r="AB80" i="1"/>
  <c r="AA96" i="1"/>
  <c r="N96" i="1"/>
  <c r="P96" i="1" s="1"/>
  <c r="F94" i="1"/>
  <c r="E94" i="1"/>
  <c r="F87" i="1"/>
  <c r="E87" i="1"/>
  <c r="C110" i="1"/>
  <c r="AA107" i="1" l="1"/>
  <c r="N107" i="1"/>
  <c r="P107" i="1" s="1"/>
  <c r="AJ97" i="1"/>
  <c r="AC97" i="1"/>
  <c r="I87" i="1"/>
  <c r="I91" i="1" s="1"/>
  <c r="Q87" i="1"/>
  <c r="H87" i="1"/>
  <c r="G87" i="1"/>
  <c r="AA89" i="1"/>
  <c r="N89" i="1"/>
  <c r="P89" i="1" s="1"/>
  <c r="O110" i="1"/>
  <c r="I110" i="1"/>
  <c r="AA90" i="1"/>
  <c r="N90" i="1"/>
  <c r="P90" i="1" s="1"/>
  <c r="AJ98" i="1"/>
  <c r="AC98" i="1"/>
  <c r="N88" i="1"/>
  <c r="P88" i="1" s="1"/>
  <c r="AA88" i="1"/>
  <c r="AA108" i="1"/>
  <c r="N108" i="1"/>
  <c r="P108" i="1" s="1"/>
  <c r="G100" i="1"/>
  <c r="Q100" i="1"/>
  <c r="H100" i="1"/>
  <c r="AA99" i="1"/>
  <c r="N99" i="1"/>
  <c r="P99" i="1" s="1"/>
  <c r="Q109" i="1"/>
  <c r="H109" i="1"/>
  <c r="G109" i="1"/>
  <c r="N106" i="1"/>
  <c r="P106" i="1" s="1"/>
  <c r="AA106" i="1"/>
  <c r="O101" i="1"/>
  <c r="I101" i="1"/>
  <c r="Q94" i="1"/>
  <c r="H94" i="1"/>
  <c r="G94" i="1"/>
  <c r="I94" i="1"/>
  <c r="I100" i="1" s="1"/>
  <c r="T101" i="1" s="1"/>
  <c r="AJ96" i="1"/>
  <c r="AC96" i="1"/>
  <c r="AC95" i="1"/>
  <c r="AJ95" i="1"/>
  <c r="Q79" i="1"/>
  <c r="AA104" i="1"/>
  <c r="N104" i="1"/>
  <c r="P104" i="1" s="1"/>
  <c r="AA105" i="1"/>
  <c r="N105" i="1"/>
  <c r="P105" i="1" s="1"/>
  <c r="I103" i="1"/>
  <c r="I109" i="1" s="1"/>
  <c r="T110" i="1" s="1"/>
  <c r="Q103" i="1"/>
  <c r="H103" i="1"/>
  <c r="G103" i="1"/>
  <c r="F91" i="1"/>
  <c r="E91" i="1"/>
  <c r="X60" i="1"/>
  <c r="AA60" i="1" s="1"/>
  <c r="AA58" i="1"/>
  <c r="AH95" i="1" l="1"/>
  <c r="AB95" i="1"/>
  <c r="AJ108" i="1"/>
  <c r="AC108" i="1"/>
  <c r="AJ104" i="1"/>
  <c r="AC104" i="1"/>
  <c r="AB96" i="1"/>
  <c r="AH96" i="1"/>
  <c r="AC88" i="1"/>
  <c r="AJ88" i="1"/>
  <c r="W87" i="1"/>
  <c r="R87" i="1"/>
  <c r="V87" i="1"/>
  <c r="Y87" i="1"/>
  <c r="T87" i="1"/>
  <c r="X87" i="1"/>
  <c r="S87" i="1"/>
  <c r="Q91" i="1"/>
  <c r="H91" i="1"/>
  <c r="G91" i="1"/>
  <c r="W103" i="1"/>
  <c r="R103" i="1"/>
  <c r="V103" i="1"/>
  <c r="X103" i="1"/>
  <c r="T103" i="1"/>
  <c r="Y103" i="1"/>
  <c r="S103" i="1"/>
  <c r="AJ105" i="1"/>
  <c r="AC105" i="1"/>
  <c r="V94" i="1"/>
  <c r="Y94" i="1"/>
  <c r="T94" i="1"/>
  <c r="X94" i="1"/>
  <c r="W94" i="1"/>
  <c r="S94" i="1"/>
  <c r="R94" i="1"/>
  <c r="AC106" i="1"/>
  <c r="AJ106" i="1"/>
  <c r="AJ99" i="1"/>
  <c r="AC99" i="1"/>
  <c r="AC89" i="1"/>
  <c r="AJ89" i="1"/>
  <c r="I118" i="1"/>
  <c r="T92" i="1"/>
  <c r="T119" i="1" s="1"/>
  <c r="X100" i="1"/>
  <c r="S100" i="1"/>
  <c r="W100" i="1"/>
  <c r="R100" i="1"/>
  <c r="Y100" i="1"/>
  <c r="T100" i="1"/>
  <c r="AB98" i="1"/>
  <c r="AH98" i="1"/>
  <c r="AJ90" i="1"/>
  <c r="AC90" i="1"/>
  <c r="O92" i="1"/>
  <c r="I92" i="1"/>
  <c r="X109" i="1"/>
  <c r="S109" i="1"/>
  <c r="W109" i="1"/>
  <c r="R109" i="1"/>
  <c r="T109" i="1"/>
  <c r="Y109" i="1"/>
  <c r="AB97" i="1"/>
  <c r="AH97" i="1"/>
  <c r="AC107" i="1"/>
  <c r="AJ107" i="1"/>
  <c r="AE97" i="1" l="1"/>
  <c r="AD97" i="1"/>
  <c r="AE98" i="1"/>
  <c r="AD98" i="1"/>
  <c r="AA103" i="1"/>
  <c r="N103" i="1"/>
  <c r="AE96" i="1"/>
  <c r="AD96" i="1"/>
  <c r="AB90" i="1"/>
  <c r="AH90" i="1"/>
  <c r="N94" i="1"/>
  <c r="AA94" i="1"/>
  <c r="W91" i="1"/>
  <c r="R91" i="1"/>
  <c r="X91" i="1"/>
  <c r="T91" i="1"/>
  <c r="S91" i="1"/>
  <c r="Y91" i="1"/>
  <c r="AB104" i="1"/>
  <c r="AH104" i="1"/>
  <c r="AE95" i="1"/>
  <c r="AD95" i="1"/>
  <c r="AH99" i="1"/>
  <c r="AB99" i="1"/>
  <c r="AB108" i="1"/>
  <c r="AH108" i="1"/>
  <c r="F118" i="1"/>
  <c r="I119" i="1" s="1"/>
  <c r="T120" i="1" s="1"/>
  <c r="E118" i="1"/>
  <c r="AH107" i="1"/>
  <c r="AB107" i="1"/>
  <c r="AH89" i="1"/>
  <c r="AB89" i="1"/>
  <c r="AH106" i="1"/>
  <c r="AB106" i="1"/>
  <c r="AH105" i="1"/>
  <c r="AB105" i="1"/>
  <c r="AA87" i="1"/>
  <c r="N87" i="1"/>
  <c r="AH88" i="1"/>
  <c r="AB88" i="1"/>
  <c r="AE106" i="1" l="1"/>
  <c r="AD106" i="1"/>
  <c r="AE88" i="1"/>
  <c r="AD88" i="1"/>
  <c r="AE89" i="1"/>
  <c r="AD89" i="1"/>
  <c r="AE99" i="1"/>
  <c r="AD99" i="1"/>
  <c r="AC94" i="1"/>
  <c r="AJ94" i="1"/>
  <c r="N109" i="1"/>
  <c r="Y110" i="1" s="1"/>
  <c r="V109" i="1" s="1"/>
  <c r="AA109" i="1" s="1"/>
  <c r="P103" i="1"/>
  <c r="P109" i="1" s="1"/>
  <c r="N91" i="1"/>
  <c r="P87" i="1"/>
  <c r="P91" i="1" s="1"/>
  <c r="AE107" i="1"/>
  <c r="AD107" i="1"/>
  <c r="AJ87" i="1"/>
  <c r="AC87" i="1"/>
  <c r="AE108" i="1"/>
  <c r="AD108" i="1"/>
  <c r="AE105" i="1"/>
  <c r="AD105" i="1"/>
  <c r="G118" i="1"/>
  <c r="H118" i="1"/>
  <c r="Q118" i="1"/>
  <c r="AE90" i="1"/>
  <c r="AD90" i="1"/>
  <c r="AE104" i="1"/>
  <c r="AD104" i="1"/>
  <c r="N100" i="1"/>
  <c r="Y101" i="1" s="1"/>
  <c r="V100" i="1" s="1"/>
  <c r="AA100" i="1" s="1"/>
  <c r="P94" i="1"/>
  <c r="P100" i="1" s="1"/>
  <c r="AJ103" i="1"/>
  <c r="AC103" i="1"/>
  <c r="AH87" i="1" l="1"/>
  <c r="AB87" i="1"/>
  <c r="P118" i="1"/>
  <c r="AA118" i="1" s="1"/>
  <c r="AA91" i="1"/>
  <c r="AH103" i="1"/>
  <c r="AB103" i="1"/>
  <c r="Y118" i="1"/>
  <c r="T118" i="1"/>
  <c r="X118" i="1"/>
  <c r="S118" i="1"/>
  <c r="W118" i="1"/>
  <c r="R118" i="1"/>
  <c r="N118" i="1"/>
  <c r="Y92" i="1"/>
  <c r="AH94" i="1"/>
  <c r="AB94" i="1"/>
  <c r="AE94" i="1" l="1"/>
  <c r="AD94" i="1"/>
  <c r="AD101" i="1" s="1"/>
  <c r="Y119" i="1"/>
  <c r="V118" i="1" s="1"/>
  <c r="V91" i="1"/>
  <c r="AE103" i="1"/>
  <c r="AD103" i="1"/>
  <c r="AD110" i="1" s="1"/>
  <c r="AE87" i="1"/>
  <c r="AD87" i="1"/>
  <c r="AD92" i="1" s="1"/>
  <c r="AH101" i="1" l="1"/>
  <c r="AE101" i="1"/>
  <c r="F101" i="1" s="1"/>
  <c r="AE92" i="1"/>
  <c r="F92" i="1" s="1"/>
  <c r="AH92" i="1"/>
  <c r="AH110" i="1"/>
  <c r="AE110" i="1"/>
  <c r="F110" i="1" s="1"/>
</calcChain>
</file>

<file path=xl/comments1.xml><?xml version="1.0" encoding="utf-8"?>
<comments xmlns="http://schemas.openxmlformats.org/spreadsheetml/2006/main">
  <authors>
    <author>DJA</author>
    <author>JACAMON</author>
    <author>lmai</author>
    <author>NBL</author>
    <author>Dominique Jacamon</author>
    <author>Nathalie BLANDINO</author>
  </authors>
  <commentList>
    <comment ref="U8" authorId="0" shapeId="0">
      <text>
        <r>
          <rPr>
            <b/>
            <sz val="8"/>
            <color indexed="81"/>
            <rFont val="Tahoma"/>
            <family val="2"/>
          </rPr>
          <t>S+Sa/2+Sg/2+Slcr/2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9" authorId="1" shapeId="0">
      <text>
        <r>
          <rPr>
            <sz val="8"/>
            <color indexed="81"/>
            <rFont val="Tahoma"/>
            <family val="2"/>
          </rPr>
          <t xml:space="preserve">annexes privatives couvertes: balcons,loggia,var&gt;14...
</t>
        </r>
      </text>
    </comment>
    <comment ref="L9" authorId="1" shapeId="0">
      <text>
        <r>
          <rPr>
            <sz val="8"/>
            <color indexed="81"/>
            <rFont val="Tahoma"/>
            <family val="2"/>
          </rPr>
          <t xml:space="preserve">autres annexes privatives
</t>
        </r>
      </text>
    </comment>
    <comment ref="M9" authorId="0" shapeId="0">
      <text>
        <r>
          <rPr>
            <b/>
            <sz val="8"/>
            <color indexed="81"/>
            <rFont val="Tahoma"/>
            <family val="2"/>
          </rPr>
          <t>surfaces réelles non pondérées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9" authorId="2" shapeId="0">
      <text>
        <r>
          <rPr>
            <sz val="8"/>
            <color indexed="81"/>
            <rFont val="Tahoma"/>
            <family val="2"/>
          </rPr>
          <t xml:space="preserve">garages, boxes ou caves?  en sous sol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9" authorId="1" shapeId="0">
      <text>
        <r>
          <rPr>
            <sz val="8"/>
            <color indexed="81"/>
            <rFont val="Tahoma"/>
            <family val="2"/>
          </rPr>
          <t>Garages, boxes en superstructure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9" authorId="0" shapeId="0">
      <text>
        <r>
          <rPr>
            <b/>
            <sz val="8"/>
            <color indexed="81"/>
            <rFont val="Tahoma"/>
            <family val="2"/>
          </rPr>
          <t>surfaces réelles non pondérées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2" authorId="0" shapeId="0">
      <text>
        <r>
          <rPr>
            <sz val="8"/>
            <color indexed="81"/>
            <rFont val="Tahoma"/>
            <family val="2"/>
          </rPr>
          <t>année de programmation LBU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6" authorId="0" shapeId="0">
      <text>
        <r>
          <rPr>
            <b/>
            <sz val="8"/>
            <color indexed="81"/>
            <rFont val="Tahoma"/>
            <family val="2"/>
          </rPr>
          <t>indice de révision 2014/2013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56" authorId="3" shapeId="0">
      <text>
        <r>
          <rPr>
            <b/>
            <sz val="9"/>
            <color indexed="81"/>
            <rFont val="Tahoma"/>
            <family val="2"/>
          </rPr>
          <t>NBL:</t>
        </r>
        <r>
          <rPr>
            <sz val="9"/>
            <color indexed="81"/>
            <rFont val="Tahoma"/>
            <family val="2"/>
          </rPr>
          <t xml:space="preserve">
coût réel ascenseur plafonné à 5 % de Travaux Bâtiment ==&gt; mettre la part du coût réel ascenseur</t>
        </r>
      </text>
    </comment>
    <comment ref="C63" authorId="0" shapeId="0">
      <text>
        <r>
          <rPr>
            <b/>
            <sz val="8"/>
            <color indexed="81"/>
            <rFont val="Tahoma"/>
            <family val="2"/>
          </rPr>
          <t>date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3" authorId="0" shapeId="0">
      <text>
        <r>
          <rPr>
            <b/>
            <sz val="8"/>
            <color indexed="81"/>
            <rFont val="Tahoma"/>
            <family val="2"/>
          </rPr>
          <t>stade d'avancement (ex. PC, PRO, DAT…)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65" authorId="4" shapeId="0">
      <text>
        <r>
          <rPr>
            <sz val="8"/>
            <color indexed="81"/>
            <rFont val="Tahoma"/>
            <family val="2"/>
          </rPr>
          <t>n° décision de subvention</t>
        </r>
      </text>
    </comment>
    <comment ref="U65" authorId="4" shapeId="0">
      <text>
        <r>
          <rPr>
            <sz val="8"/>
            <color indexed="81"/>
            <rFont val="Tahoma"/>
            <family val="2"/>
          </rPr>
          <t xml:space="preserve">date décision de subvention
</t>
        </r>
      </text>
    </comment>
    <comment ref="Q83" authorId="0" shapeId="0">
      <text>
        <r>
          <rPr>
            <sz val="8"/>
            <color indexed="81"/>
            <rFont val="Tahoma"/>
            <family val="2"/>
          </rPr>
          <t>hypothèse d'actualisation IRL, entre DF et DAT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83" authorId="0" shapeId="0">
      <text>
        <r>
          <rPr>
            <sz val="8"/>
            <color indexed="81"/>
            <rFont val="Tahoma"/>
            <family val="2"/>
          </rPr>
          <t>IRL publié à la livraison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4" authorId="0" shapeId="0">
      <text>
        <r>
          <rPr>
            <sz val="8"/>
            <color indexed="81"/>
            <rFont val="Tahoma"/>
            <family val="2"/>
          </rPr>
          <t>égal ou inférieur à L.max actualisé à la DAT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6" authorId="0" shapeId="0">
      <text>
        <r>
          <rPr>
            <sz val="8"/>
            <color indexed="81"/>
            <rFont val="Tahoma"/>
            <family val="2"/>
          </rPr>
          <t>taux de loyer LLS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86" authorId="0" shapeId="0">
      <text>
        <r>
          <rPr>
            <sz val="8"/>
            <color indexed="81"/>
            <rFont val="Tahoma"/>
            <family val="2"/>
          </rPr>
          <t xml:space="preserve">au m2 / SU
+ 0,25 € si ascenseur
</t>
        </r>
      </text>
    </comment>
    <comment ref="V87" authorId="0" shapeId="0">
      <text>
        <r>
          <rPr>
            <sz val="8"/>
            <color indexed="81"/>
            <rFont val="Tahoma"/>
            <family val="2"/>
          </rPr>
          <t>entrée en valeur : égal ou inférieur à L.max actualisé à la DAT.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91" authorId="0" shapeId="0">
      <text>
        <r>
          <rPr>
            <b/>
            <sz val="8"/>
            <color indexed="81"/>
            <rFont val="Tahoma"/>
            <family val="2"/>
          </rPr>
          <t>Sf moyenne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3" authorId="0" shapeId="0">
      <text>
        <r>
          <rPr>
            <sz val="8"/>
            <color indexed="81"/>
            <rFont val="Tahoma"/>
            <family val="2"/>
          </rPr>
          <t>taux de loyer LLTS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93" authorId="5" shapeId="0">
      <text>
        <r>
          <rPr>
            <b/>
            <sz val="9"/>
            <color indexed="81"/>
            <rFont val="Tahoma"/>
            <family val="2"/>
          </rPr>
          <t>Nathalie BLANDINO:</t>
        </r>
        <r>
          <rPr>
            <sz val="9"/>
            <color indexed="81"/>
            <rFont val="Tahoma"/>
            <family val="2"/>
          </rPr>
          <t xml:space="preserve">
au m2 / SU
+ 0,25 € si ascenseur</t>
        </r>
      </text>
    </comment>
    <comment ref="V94" authorId="0" shapeId="0">
      <text>
        <r>
          <rPr>
            <sz val="8"/>
            <color indexed="81"/>
            <rFont val="Tahoma"/>
            <family val="2"/>
          </rPr>
          <t>entrée en valeur : égal ou inférieur à L.max actualisé à la DAT.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00" authorId="0" shapeId="0">
      <text>
        <r>
          <rPr>
            <b/>
            <sz val="8"/>
            <color indexed="81"/>
            <rFont val="Tahoma"/>
            <family val="2"/>
          </rPr>
          <t>Sf moyenne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2" authorId="0" shapeId="0">
      <text>
        <r>
          <rPr>
            <sz val="8"/>
            <color indexed="81"/>
            <rFont val="Tahoma"/>
            <family val="2"/>
          </rPr>
          <t>taux de loyer LLTS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02" authorId="5" shapeId="0">
      <text>
        <r>
          <rPr>
            <b/>
            <sz val="9"/>
            <color indexed="81"/>
            <rFont val="Tahoma"/>
            <family val="2"/>
          </rPr>
          <t>Nathalie BLANDINO:</t>
        </r>
        <r>
          <rPr>
            <sz val="9"/>
            <color indexed="81"/>
            <rFont val="Tahoma"/>
            <family val="2"/>
          </rPr>
          <t xml:space="preserve">
au m2 / SU
+ 0,25 € si ascenseur</t>
        </r>
      </text>
    </comment>
    <comment ref="V103" authorId="0" shapeId="0">
      <text>
        <r>
          <rPr>
            <sz val="8"/>
            <color indexed="81"/>
            <rFont val="Tahoma"/>
            <family val="2"/>
          </rPr>
          <t>entrée en valeur : égal ou inférieur à L.max actualisé à la DAT.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09" authorId="0" shapeId="0">
      <text>
        <r>
          <rPr>
            <b/>
            <sz val="8"/>
            <color indexed="81"/>
            <rFont val="Tahoma"/>
            <family val="2"/>
          </rPr>
          <t>Sf moyenne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<sst xmlns="http://schemas.openxmlformats.org/spreadsheetml/2006/main" count="439" uniqueCount="229">
  <si>
    <t>Groupe</t>
  </si>
  <si>
    <t>PRLC</t>
  </si>
  <si>
    <t>JARDINS PARTAGES TRANCHE 1</t>
  </si>
  <si>
    <t>LLS</t>
  </si>
  <si>
    <t>LLTS</t>
  </si>
  <si>
    <t>PLS</t>
  </si>
  <si>
    <t>Conformité LLTS (min 30 % T1/2)</t>
  </si>
  <si>
    <t>Conformité Loyers T1/2
10 % LLTS loyer &lt; 370 € CC</t>
  </si>
  <si>
    <t>T I Bis a + V</t>
  </si>
  <si>
    <t>T II +V a</t>
  </si>
  <si>
    <t>Autorisation CA</t>
  </si>
  <si>
    <t>T III +V a</t>
  </si>
  <si>
    <t>T IV + V a</t>
  </si>
  <si>
    <t>T V +V a</t>
  </si>
  <si>
    <t>PROGRAMME</t>
  </si>
  <si>
    <t>Shi</t>
  </si>
  <si>
    <t>Sv</t>
  </si>
  <si>
    <t>S</t>
  </si>
  <si>
    <t>annexes privatives</t>
  </si>
  <si>
    <t>garages et boxes</t>
  </si>
  <si>
    <t>Sa/2</t>
  </si>
  <si>
    <t>SU</t>
  </si>
  <si>
    <t>Sg/2</t>
  </si>
  <si>
    <t>Slcr/2</t>
  </si>
  <si>
    <t>SF</t>
  </si>
  <si>
    <t>Nombre</t>
  </si>
  <si>
    <t>ECS</t>
  </si>
  <si>
    <t>Surfaces totales</t>
  </si>
  <si>
    <t>Type</t>
  </si>
  <si>
    <r>
      <t xml:space="preserve">SHmini  / </t>
    </r>
    <r>
      <rPr>
        <sz val="9"/>
        <color indexed="10"/>
        <rFont val="Arial"/>
        <family val="2"/>
      </rPr>
      <t>SF maxi
DEAL</t>
    </r>
  </si>
  <si>
    <r>
      <t xml:space="preserve">SHmini  / </t>
    </r>
    <r>
      <rPr>
        <sz val="9"/>
        <color indexed="10"/>
        <rFont val="Arial"/>
        <family val="2"/>
      </rPr>
      <t>SF maxi
CRATE</t>
    </r>
  </si>
  <si>
    <t>Cat.Fin.</t>
  </si>
  <si>
    <t>Localisation / BATIMENT</t>
  </si>
  <si>
    <t>N°</t>
  </si>
  <si>
    <t>h (handicapable)
H (équipé de barres d'appui)</t>
  </si>
  <si>
    <t>S.habitable intérieure</t>
  </si>
  <si>
    <t>S.Varangue</t>
  </si>
  <si>
    <t>Surface habitable</t>
  </si>
  <si>
    <t xml:space="preserve"> Sa1 </t>
  </si>
  <si>
    <t xml:space="preserve">Sa2 </t>
  </si>
  <si>
    <t>Sa</t>
  </si>
  <si>
    <t>Sg1</t>
  </si>
  <si>
    <t>Sg2</t>
  </si>
  <si>
    <t>Sg</t>
  </si>
  <si>
    <t>Surface utile</t>
  </si>
  <si>
    <t>LCR</t>
  </si>
  <si>
    <t>Surface finançable</t>
  </si>
  <si>
    <t>Chauffe eau solaire</t>
  </si>
  <si>
    <t>S.T</t>
  </si>
  <si>
    <t>Sa/2.T</t>
  </si>
  <si>
    <t>SU.T</t>
  </si>
  <si>
    <t>SF.T</t>
  </si>
  <si>
    <t>moyenne</t>
  </si>
  <si>
    <t>9&lt;&gt;14</t>
  </si>
  <si>
    <t>total</t>
  </si>
  <si>
    <t>56 / 100</t>
  </si>
  <si>
    <t>66 / 70</t>
  </si>
  <si>
    <t>IV</t>
  </si>
  <si>
    <t>B</t>
  </si>
  <si>
    <t>T3A+V</t>
  </si>
  <si>
    <t>T3B+V</t>
  </si>
  <si>
    <t>TRANCHE 1</t>
  </si>
  <si>
    <t>C</t>
  </si>
  <si>
    <t>BATIMENT</t>
  </si>
  <si>
    <t xml:space="preserve">B </t>
  </si>
  <si>
    <t>F</t>
  </si>
  <si>
    <t>66 / 115</t>
  </si>
  <si>
    <t>76 / 80</t>
  </si>
  <si>
    <t>V</t>
  </si>
  <si>
    <t>T4A+V</t>
  </si>
  <si>
    <t>G</t>
  </si>
  <si>
    <t>H</t>
  </si>
  <si>
    <t>T4B+V</t>
  </si>
  <si>
    <t>76 / 130</t>
  </si>
  <si>
    <t>86 / 90</t>
  </si>
  <si>
    <t>VI</t>
  </si>
  <si>
    <t>T5d+V</t>
  </si>
  <si>
    <r>
      <t xml:space="preserve">total </t>
    </r>
    <r>
      <rPr>
        <sz val="10"/>
        <rFont val="Arial"/>
        <family val="2"/>
      </rPr>
      <t>/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moyenne  </t>
    </r>
    <r>
      <rPr>
        <b/>
        <sz val="10"/>
        <rFont val="Arial"/>
        <family val="2"/>
      </rPr>
      <t>LLS</t>
    </r>
  </si>
  <si>
    <t>30 / 50</t>
  </si>
  <si>
    <t>30 / 30</t>
  </si>
  <si>
    <t>I Bis</t>
  </si>
  <si>
    <t>T1A</t>
  </si>
  <si>
    <t>46 / 85</t>
  </si>
  <si>
    <t>46 / 46</t>
  </si>
  <si>
    <t>III</t>
  </si>
  <si>
    <t>T2A + V</t>
  </si>
  <si>
    <t>T2A</t>
  </si>
  <si>
    <t>T2B</t>
  </si>
  <si>
    <r>
      <t xml:space="preserve">total </t>
    </r>
    <r>
      <rPr>
        <sz val="10"/>
        <rFont val="Arial"/>
        <family val="2"/>
      </rPr>
      <t>/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moyenne  </t>
    </r>
    <r>
      <rPr>
        <b/>
        <sz val="10"/>
        <rFont val="Arial"/>
        <family val="2"/>
      </rPr>
      <t>LLTS</t>
    </r>
  </si>
  <si>
    <t>T2A+V</t>
  </si>
  <si>
    <t>T3C+V</t>
  </si>
  <si>
    <r>
      <t xml:space="preserve">total </t>
    </r>
    <r>
      <rPr>
        <sz val="10"/>
        <rFont val="Arial"/>
        <family val="2"/>
      </rPr>
      <t>/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moyenne  </t>
    </r>
    <r>
      <rPr>
        <b/>
        <sz val="10"/>
        <rFont val="Arial"/>
        <family val="2"/>
      </rPr>
      <t>PLS</t>
    </r>
  </si>
  <si>
    <t>COMMERCES</t>
  </si>
  <si>
    <t>COMMERCE 1</t>
  </si>
  <si>
    <t>COMMERCE 2</t>
  </si>
  <si>
    <t>COMMERCE 3</t>
  </si>
  <si>
    <t>COMMERCE 4</t>
  </si>
  <si>
    <r>
      <t xml:space="preserve">total </t>
    </r>
    <r>
      <rPr>
        <sz val="10"/>
        <rFont val="Arial"/>
        <family val="2"/>
      </rPr>
      <t>/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moyenne  </t>
    </r>
    <r>
      <rPr>
        <b/>
        <sz val="10"/>
        <rFont val="Arial"/>
        <family val="2"/>
      </rPr>
      <t>COMMERCES</t>
    </r>
  </si>
  <si>
    <r>
      <t xml:space="preserve">total </t>
    </r>
    <r>
      <rPr>
        <sz val="10"/>
        <color indexed="12"/>
        <rFont val="Arial"/>
        <family val="2"/>
      </rPr>
      <t>/</t>
    </r>
    <r>
      <rPr>
        <b/>
        <sz val="10"/>
        <color indexed="12"/>
        <rFont val="Arial"/>
        <family val="2"/>
      </rPr>
      <t xml:space="preserve"> </t>
    </r>
    <r>
      <rPr>
        <b/>
        <i/>
        <sz val="10"/>
        <color indexed="12"/>
        <rFont val="Arial"/>
        <family val="2"/>
      </rPr>
      <t xml:space="preserve">moyenne  </t>
    </r>
    <r>
      <rPr>
        <b/>
        <sz val="10"/>
        <color indexed="12"/>
        <rFont val="Arial"/>
        <family val="2"/>
      </rPr>
      <t>Groupe</t>
    </r>
  </si>
  <si>
    <t>surface réelle</t>
  </si>
  <si>
    <t>SHOB</t>
  </si>
  <si>
    <t>cr.</t>
  </si>
  <si>
    <t>S plancher</t>
  </si>
  <si>
    <t>PARAMETRES</t>
  </si>
  <si>
    <t>LLS/TS</t>
  </si>
  <si>
    <t>PRG</t>
  </si>
  <si>
    <t>Financement</t>
  </si>
  <si>
    <t>valeur au</t>
  </si>
  <si>
    <r>
      <t xml:space="preserve">ICC </t>
    </r>
    <r>
      <rPr>
        <sz val="9"/>
        <rFont val="Arial"/>
        <family val="2"/>
      </rPr>
      <t>(moyenne)</t>
    </r>
  </si>
  <si>
    <t>LBU</t>
  </si>
  <si>
    <t>Nbre</t>
  </si>
  <si>
    <t>Total</t>
  </si>
  <si>
    <t>2 TR 2017</t>
  </si>
  <si>
    <t>2 TR 2018</t>
  </si>
  <si>
    <t>coef. 2019/2018</t>
  </si>
  <si>
    <t>ASC</t>
  </si>
  <si>
    <t>&lt; 5%</t>
  </si>
  <si>
    <t>IRL</t>
  </si>
  <si>
    <t>LM  Dom</t>
  </si>
  <si>
    <t>REV</t>
  </si>
  <si>
    <t>LBU - TS</t>
  </si>
  <si>
    <t>A max</t>
  </si>
  <si>
    <t>Taux de subvention</t>
  </si>
  <si>
    <t>Subvention LBU</t>
  </si>
  <si>
    <t>LMDOM LLTS</t>
  </si>
  <si>
    <t>LMDOM PLS</t>
  </si>
  <si>
    <t>REALISATION</t>
  </si>
  <si>
    <t>AU</t>
  </si>
  <si>
    <t>ESQ</t>
  </si>
  <si>
    <t>Prix de Revient</t>
  </si>
  <si>
    <t>Com</t>
  </si>
  <si>
    <t>Au m2/SF</t>
  </si>
  <si>
    <t>par log./équiv.</t>
  </si>
  <si>
    <t>au m2</t>
  </si>
  <si>
    <t>Terrain</t>
  </si>
  <si>
    <t>Calendrier travaux</t>
  </si>
  <si>
    <t>DF LLS</t>
  </si>
  <si>
    <t>Subventions</t>
  </si>
  <si>
    <t>VRD/Aménag.</t>
  </si>
  <si>
    <t>DF LLTS</t>
  </si>
  <si>
    <t>Surcharge foncière</t>
  </si>
  <si>
    <t xml:space="preserve"> Charge Foncière</t>
  </si>
  <si>
    <t>LBU compl.</t>
  </si>
  <si>
    <t xml:space="preserve">PC    n°  </t>
  </si>
  <si>
    <t>Travaux Bâtiment</t>
  </si>
  <si>
    <t>Collectivité</t>
  </si>
  <si>
    <t>Achat</t>
  </si>
  <si>
    <t>Date</t>
  </si>
  <si>
    <t>Honoraires Techniques</t>
  </si>
  <si>
    <t xml:space="preserve">Autres </t>
  </si>
  <si>
    <t>Surface</t>
  </si>
  <si>
    <t>DROC</t>
  </si>
  <si>
    <t xml:space="preserve">Assurance </t>
  </si>
  <si>
    <t>CAF</t>
  </si>
  <si>
    <t>Prix</t>
  </si>
  <si>
    <t>OS n°1</t>
  </si>
  <si>
    <t>Frais annexes techniques</t>
  </si>
  <si>
    <t>Prêt CDC</t>
  </si>
  <si>
    <t>Au m2/terrain</t>
  </si>
  <si>
    <t>Durée prév./mois</t>
  </si>
  <si>
    <t xml:space="preserve"> Coût Technique</t>
  </si>
  <si>
    <t>Construction</t>
  </si>
  <si>
    <t>Au m2/SHON</t>
  </si>
  <si>
    <t>Réception</t>
  </si>
  <si>
    <t>Rém</t>
  </si>
  <si>
    <t>Foncier</t>
  </si>
  <si>
    <t>COS</t>
  </si>
  <si>
    <t>NR</t>
  </si>
  <si>
    <t>Mise en service</t>
  </si>
  <si>
    <t>IC immobilisés</t>
  </si>
  <si>
    <t>Autres Prêts</t>
  </si>
  <si>
    <t>DAT</t>
  </si>
  <si>
    <t>Autres</t>
  </si>
  <si>
    <t>1%</t>
  </si>
  <si>
    <t>Conformité</t>
  </si>
  <si>
    <t xml:space="preserve"> Frais généraux</t>
  </si>
  <si>
    <t>Fonds Propres</t>
  </si>
  <si>
    <t>Frais notaire défisc</t>
  </si>
  <si>
    <t>Crédit d'impôt</t>
  </si>
  <si>
    <t xml:space="preserve">PRP </t>
  </si>
  <si>
    <t>Total Financement</t>
  </si>
  <si>
    <t>LOYERS</t>
  </si>
  <si>
    <t>Loyer plafond à la convention de financement</t>
  </si>
  <si>
    <t>Loyer plafond actualisé à la DAT</t>
  </si>
  <si>
    <t>Loyer retenu à la livraison</t>
  </si>
  <si>
    <t>Approche AL</t>
  </si>
  <si>
    <t>à compter du</t>
  </si>
  <si>
    <t>quittancement à la mise en service</t>
  </si>
  <si>
    <t>4 TR 2018</t>
  </si>
  <si>
    <t xml:space="preserve">  xx TR xxxx</t>
  </si>
  <si>
    <t>date</t>
  </si>
  <si>
    <t>CS</t>
  </si>
  <si>
    <t>L.max /mois</t>
  </si>
  <si>
    <t>L.max /an</t>
  </si>
  <si>
    <t>Surface par type</t>
  </si>
  <si>
    <t>loyer annuel</t>
  </si>
  <si>
    <t>charges</t>
  </si>
  <si>
    <t>Loyer mensuel  (par type)</t>
  </si>
  <si>
    <t>provision</t>
  </si>
  <si>
    <t>loyer pratiqué</t>
  </si>
  <si>
    <t>Calcul loyer pratiqué</t>
  </si>
  <si>
    <t>Perte de loyer pratiqué / lgt</t>
  </si>
  <si>
    <t>LOYER OBJECTIF GL</t>
  </si>
  <si>
    <t>Baisse de loyer à appliquer %</t>
  </si>
  <si>
    <t>Ecart loyer pratiqué / loyer objectif GL</t>
  </si>
  <si>
    <t>BAISSE MAX 10 %</t>
  </si>
  <si>
    <t>CALCUL BAISSE</t>
  </si>
  <si>
    <t>par type</t>
  </si>
  <si>
    <t>m2/SF</t>
  </si>
  <si>
    <t>m2/SU</t>
  </si>
  <si>
    <t>m2/S</t>
  </si>
  <si>
    <t>OPR</t>
  </si>
  <si>
    <t>an</t>
  </si>
  <si>
    <t xml:space="preserve"> m2/SF</t>
  </si>
  <si>
    <t xml:space="preserve"> m2/SU</t>
  </si>
  <si>
    <t>pour charges</t>
  </si>
  <si>
    <t>quittance</t>
  </si>
  <si>
    <t xml:space="preserve"> hors charges</t>
  </si>
  <si>
    <t xml:space="preserve"> y/c charges</t>
  </si>
  <si>
    <t>hors charges annuel</t>
  </si>
  <si>
    <t>y/c charges</t>
  </si>
  <si>
    <r>
      <t xml:space="preserve">total </t>
    </r>
    <r>
      <rPr>
        <sz val="9"/>
        <rFont val="Arial"/>
        <family val="2"/>
      </rPr>
      <t>/</t>
    </r>
    <r>
      <rPr>
        <b/>
        <sz val="9"/>
        <rFont val="Arial"/>
        <family val="2"/>
      </rPr>
      <t xml:space="preserve"> </t>
    </r>
    <r>
      <rPr>
        <b/>
        <i/>
        <sz val="9"/>
        <rFont val="Arial"/>
        <family val="2"/>
      </rPr>
      <t>moyenne</t>
    </r>
  </si>
  <si>
    <t>L pratiqué</t>
  </si>
  <si>
    <t>annuel</t>
  </si>
  <si>
    <t>LP à la DAT</t>
  </si>
  <si>
    <t>à pratiquer</t>
  </si>
  <si>
    <t>LPr LIVRAISON</t>
  </si>
  <si>
    <t>Contrôle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</si>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</sst>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#,##0&quot; €&quot;"/>
    <numFmt numFmtId="165" formatCode="#,###,##0.00&quot; €&quot;"/>
    <numFmt numFmtId="166" formatCode="0.0000"/>
    <numFmt numFmtId="167" formatCode="#,##0.00\ &quot;€&quot;"/>
    <numFmt numFmtId="168" formatCode="0.000"/>
    <numFmt numFmtId="169" formatCode="#,##0.0000"/>
    <numFmt numFmtId="170" formatCode="[$-40C]d\-mmm\-yy;@"/>
    <numFmt numFmtId="171" formatCode="#,##0\ &quot;F&quot;"/>
    <numFmt numFmtId="172" formatCode="dd/mm/yy;@"/>
    <numFmt numFmtId="173" formatCode="#,##0\ &quot;€&quot;"/>
    <numFmt numFmtId="174" formatCode="#,##0.000"/>
    <numFmt numFmtId="175" formatCode="0.0%"/>
  </numFmts>
  <fonts count="43">
    <font>
      <sz val="10"/>
      <name val="Arial"/>
      <family val="2"/>
    </font>
    <font>
      <sz val="10"/>
      <name val="Geneva"/>
    </font>
    <font>
      <b/>
      <sz val="16"/>
      <name val="Arial"/>
      <family val="2"/>
    </font>
    <font>
      <b/>
      <sz val="16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10"/>
      <name val="Geneva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b/>
      <sz val="9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9"/>
      <color indexed="39"/>
      <name val="Arial"/>
      <family val="2"/>
    </font>
    <font>
      <b/>
      <i/>
      <sz val="9"/>
      <color indexed="12"/>
      <name val="Arial"/>
      <family val="2"/>
    </font>
    <font>
      <b/>
      <sz val="9"/>
      <color indexed="3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sz val="10"/>
      <color indexed="12"/>
      <name val="Arial Narrow"/>
      <family val="2"/>
    </font>
    <font>
      <b/>
      <sz val="10"/>
      <color indexed="12"/>
      <name val="Arial Narrow"/>
      <family val="2"/>
    </font>
    <font>
      <b/>
      <sz val="10"/>
      <name val="Arial Narrow"/>
      <family val="2"/>
    </font>
    <font>
      <b/>
      <i/>
      <sz val="9"/>
      <color indexed="10"/>
      <name val="Arial"/>
      <family val="2"/>
    </font>
    <font>
      <i/>
      <sz val="9"/>
      <color indexed="39"/>
      <name val="Arial"/>
      <family val="2"/>
    </font>
    <font>
      <i/>
      <sz val="9"/>
      <color indexed="10"/>
      <name val="Arial"/>
      <family val="2"/>
    </font>
    <font>
      <b/>
      <i/>
      <sz val="9"/>
      <color indexed="39"/>
      <name val="Arial"/>
      <family val="2"/>
    </font>
    <font>
      <i/>
      <sz val="8"/>
      <color indexed="10"/>
      <name val="Arial"/>
      <family val="2"/>
    </font>
    <font>
      <sz val="9"/>
      <color indexed="62"/>
      <name val="Arial"/>
      <family val="2"/>
    </font>
    <font>
      <b/>
      <sz val="10"/>
      <color rgb="FFFF0000"/>
      <name val="Arial"/>
      <family val="2"/>
    </font>
    <font>
      <b/>
      <sz val="9"/>
      <color indexed="41"/>
      <name val="Arial"/>
      <family val="2"/>
    </font>
    <font>
      <b/>
      <i/>
      <sz val="9"/>
      <color indexed="41"/>
      <name val="Arial"/>
      <family val="2"/>
    </font>
    <font>
      <b/>
      <sz val="9"/>
      <color rgb="FFFF0000"/>
      <name val="Arial"/>
      <family val="2"/>
    </font>
    <font>
      <sz val="9"/>
      <color indexed="41"/>
      <name val="Arial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gray0625"/>
    </fill>
    <fill>
      <patternFill patternType="solid">
        <fgColor theme="1" tint="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bgColor rgb="FF92D050"/>
      </patternFill>
    </fill>
    <fill>
      <patternFill patternType="solid">
        <fgColor rgb="FF00B0F0"/>
        <bgColor indexed="64"/>
      </patternFill>
    </fill>
    <fill>
      <patternFill patternType="gray0625">
        <bgColor rgb="FF00B0F0"/>
      </patternFill>
    </fill>
    <fill>
      <patternFill patternType="solid">
        <fgColor rgb="FFFFC000"/>
        <bgColor indexed="64"/>
      </patternFill>
    </fill>
    <fill>
      <patternFill patternType="gray0625">
        <bgColor rgb="FFFFC000"/>
      </patternFill>
    </fill>
    <fill>
      <patternFill patternType="solid">
        <fgColor theme="3" tint="0.79998168889431442"/>
        <bgColor indexed="64"/>
      </patternFill>
    </fill>
    <fill>
      <patternFill patternType="gray0625">
        <bgColor theme="3" tint="0.79998168889431442"/>
      </patternFill>
    </fill>
    <fill>
      <patternFill patternType="solid">
        <fgColor theme="5" tint="0.39997558519241921"/>
        <bgColor indexed="64"/>
      </patternFill>
    </fill>
    <fill>
      <patternFill patternType="gray0625">
        <bgColor theme="5" tint="0.39997558519241921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8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10" fillId="0" borderId="0"/>
  </cellStyleXfs>
  <cellXfs count="769">
    <xf numFmtId="0" fontId="0" fillId="0" borderId="0" xfId="0"/>
    <xf numFmtId="3" fontId="2" fillId="0" borderId="0" xfId="2" applyNumberFormat="1" applyFont="1" applyFill="1" applyBorder="1" applyAlignment="1" applyProtection="1">
      <alignment horizontal="center" vertical="center"/>
    </xf>
    <xf numFmtId="3" fontId="3" fillId="0" borderId="1" xfId="2" applyNumberFormat="1" applyFont="1" applyBorder="1" applyAlignment="1" applyProtection="1">
      <alignment horizontal="center" vertical="center"/>
    </xf>
    <xf numFmtId="2" fontId="2" fillId="2" borderId="2" xfId="2" applyNumberFormat="1" applyFont="1" applyFill="1" applyBorder="1" applyAlignment="1" applyProtection="1">
      <alignment horizontal="center" vertical="center"/>
      <protection locked="0"/>
    </xf>
    <xf numFmtId="3" fontId="2" fillId="3" borderId="3" xfId="2" applyNumberFormat="1" applyFont="1" applyFill="1" applyBorder="1" applyAlignment="1" applyProtection="1">
      <alignment horizontal="center" vertical="center"/>
    </xf>
    <xf numFmtId="3" fontId="2" fillId="3" borderId="0" xfId="2" applyNumberFormat="1" applyFont="1" applyFill="1" applyBorder="1" applyAlignment="1" applyProtection="1">
      <alignment horizontal="center" vertical="center"/>
    </xf>
    <xf numFmtId="3" fontId="4" fillId="0" borderId="0" xfId="2" applyNumberFormat="1" applyFont="1" applyFill="1" applyBorder="1" applyAlignment="1" applyProtection="1">
      <alignment horizontal="center" vertical="center"/>
      <protection locked="0"/>
    </xf>
    <xf numFmtId="3" fontId="5" fillId="0" borderId="1" xfId="2" applyNumberFormat="1" applyFont="1" applyFill="1" applyBorder="1" applyAlignment="1" applyProtection="1"/>
    <xf numFmtId="3" fontId="5" fillId="0" borderId="1" xfId="2" applyNumberFormat="1" applyFont="1" applyBorder="1" applyAlignment="1" applyProtection="1">
      <alignment horizontal="centerContinuous"/>
    </xf>
    <xf numFmtId="3" fontId="5" fillId="0" borderId="1" xfId="2" applyNumberFormat="1" applyFont="1" applyFill="1" applyBorder="1" applyAlignment="1" applyProtection="1">
      <alignment horizontal="centerContinuous"/>
    </xf>
    <xf numFmtId="0" fontId="5" fillId="0" borderId="1" xfId="2" applyFont="1" applyBorder="1" applyAlignment="1" applyProtection="1">
      <protection locked="0"/>
    </xf>
    <xf numFmtId="0" fontId="5" fillId="0" borderId="0" xfId="2" applyFont="1" applyAlignment="1" applyProtection="1">
      <protection locked="0"/>
    </xf>
    <xf numFmtId="0" fontId="5" fillId="0" borderId="4" xfId="2" applyFont="1" applyBorder="1" applyAlignment="1" applyProtection="1">
      <protection locked="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3" fontId="5" fillId="0" borderId="8" xfId="2" applyNumberFormat="1" applyFont="1" applyBorder="1" applyAlignment="1" applyProtection="1">
      <alignment vertical="center"/>
    </xf>
    <xf numFmtId="3" fontId="5" fillId="0" borderId="0" xfId="2" applyNumberFormat="1" applyFont="1" applyBorder="1" applyAlignment="1" applyProtection="1">
      <alignment horizontal="center" vertical="center"/>
    </xf>
    <xf numFmtId="3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3" fontId="4" fillId="0" borderId="0" xfId="2" applyNumberFormat="1" applyFont="1" applyBorder="1" applyAlignment="1" applyProtection="1">
      <alignment horizontal="center" vertical="center"/>
    </xf>
    <xf numFmtId="3" fontId="5" fillId="0" borderId="0" xfId="2" applyNumberFormat="1" applyFont="1" applyFill="1" applyBorder="1" applyAlignment="1" applyProtection="1">
      <alignment vertical="center"/>
    </xf>
    <xf numFmtId="3" fontId="5" fillId="0" borderId="0" xfId="2" applyNumberFormat="1" applyFont="1" applyFill="1" applyBorder="1" applyAlignment="1" applyProtection="1">
      <alignment horizontal="center" vertical="justify"/>
    </xf>
    <xf numFmtId="3" fontId="5" fillId="0" borderId="0" xfId="2" applyNumberFormat="1" applyFont="1" applyFill="1" applyBorder="1" applyAlignment="1" applyProtection="1">
      <alignment horizontal="centerContinuous" vertical="center"/>
    </xf>
    <xf numFmtId="3" fontId="5" fillId="0" borderId="0" xfId="2" applyNumberFormat="1" applyFont="1" applyBorder="1" applyAlignment="1" applyProtection="1">
      <alignment vertical="center"/>
    </xf>
    <xf numFmtId="0" fontId="7" fillId="0" borderId="9" xfId="0" applyFont="1" applyBorder="1"/>
    <xf numFmtId="0" fontId="5" fillId="0" borderId="8" xfId="0" applyFont="1" applyBorder="1" applyAlignment="1" applyProtection="1">
      <alignment horizontal="center" vertical="center"/>
      <protection locked="0"/>
    </xf>
    <xf numFmtId="9" fontId="5" fillId="0" borderId="10" xfId="1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/>
    </xf>
    <xf numFmtId="9" fontId="5" fillId="0" borderId="12" xfId="1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/>
    </xf>
    <xf numFmtId="9" fontId="5" fillId="0" borderId="14" xfId="1" applyFont="1" applyBorder="1" applyAlignment="1" applyProtection="1">
      <alignment vertical="center"/>
      <protection locked="0"/>
    </xf>
    <xf numFmtId="9" fontId="0" fillId="0" borderId="15" xfId="1" applyFont="1" applyBorder="1" applyAlignment="1">
      <alignment horizontal="center"/>
    </xf>
    <xf numFmtId="9" fontId="0" fillId="0" borderId="14" xfId="1" applyFont="1" applyBorder="1" applyAlignment="1">
      <alignment horizontal="center" vertical="center"/>
    </xf>
    <xf numFmtId="3" fontId="5" fillId="0" borderId="8" xfId="2" applyNumberFormat="1" applyFont="1" applyBorder="1" applyAlignment="1" applyProtection="1"/>
    <xf numFmtId="3" fontId="5" fillId="0" borderId="0" xfId="2" applyNumberFormat="1" applyFont="1" applyBorder="1" applyAlignment="1" applyProtection="1">
      <alignment horizontal="center"/>
    </xf>
    <xf numFmtId="3" fontId="5" fillId="0" borderId="0" xfId="2" applyNumberFormat="1" applyFont="1" applyBorder="1" applyAlignment="1" applyProtection="1"/>
    <xf numFmtId="3" fontId="5" fillId="0" borderId="0" xfId="2" applyNumberFormat="1" applyFont="1" applyFill="1" applyBorder="1" applyAlignment="1" applyProtection="1"/>
    <xf numFmtId="0" fontId="7" fillId="0" borderId="15" xfId="0" applyFont="1" applyBorder="1"/>
    <xf numFmtId="9" fontId="5" fillId="0" borderId="16" xfId="1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9" fontId="5" fillId="0" borderId="3" xfId="1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9" fontId="0" fillId="0" borderId="14" xfId="1" applyFont="1" applyBorder="1"/>
    <xf numFmtId="0" fontId="5" fillId="4" borderId="15" xfId="0" applyFont="1" applyFill="1" applyBorder="1" applyAlignment="1" applyProtection="1">
      <alignment vertical="center"/>
      <protection locked="0"/>
    </xf>
    <xf numFmtId="0" fontId="5" fillId="4" borderId="14" xfId="0" applyFont="1" applyFill="1" applyBorder="1" applyAlignment="1" applyProtection="1">
      <alignment vertical="center"/>
      <protection locked="0"/>
    </xf>
    <xf numFmtId="17" fontId="8" fillId="5" borderId="2" xfId="2" applyNumberFormat="1" applyFont="1" applyFill="1" applyBorder="1" applyAlignment="1" applyProtection="1">
      <alignment horizontal="center"/>
      <protection locked="0"/>
    </xf>
    <xf numFmtId="17" fontId="8" fillId="5" borderId="2" xfId="2" applyNumberFormat="1" applyFont="1" applyFill="1" applyBorder="1" applyAlignment="1" applyProtection="1">
      <protection locked="0"/>
    </xf>
    <xf numFmtId="0" fontId="7" fillId="0" borderId="19" xfId="0" applyFont="1" applyBorder="1"/>
    <xf numFmtId="0" fontId="5" fillId="0" borderId="20" xfId="0" applyFont="1" applyBorder="1" applyAlignment="1" applyProtection="1">
      <alignment horizontal="center" vertical="center"/>
      <protection locked="0"/>
    </xf>
    <xf numFmtId="9" fontId="5" fillId="0" borderId="21" xfId="1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/>
    </xf>
    <xf numFmtId="9" fontId="5" fillId="0" borderId="23" xfId="1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9" fontId="0" fillId="0" borderId="25" xfId="1" applyFont="1" applyBorder="1"/>
    <xf numFmtId="0" fontId="5" fillId="4" borderId="19" xfId="0" applyFont="1" applyFill="1" applyBorder="1" applyProtection="1">
      <protection locked="0"/>
    </xf>
    <xf numFmtId="0" fontId="5" fillId="4" borderId="25" xfId="0" applyFont="1" applyFill="1" applyBorder="1" applyProtection="1">
      <protection locked="0"/>
    </xf>
    <xf numFmtId="0" fontId="7" fillId="0" borderId="0" xfId="0" applyFont="1" applyAlignment="1">
      <alignment horizontal="center"/>
    </xf>
    <xf numFmtId="3" fontId="4" fillId="6" borderId="8" xfId="2" applyNumberFormat="1" applyFont="1" applyFill="1" applyBorder="1" applyAlignment="1" applyProtection="1">
      <alignment vertical="center"/>
    </xf>
    <xf numFmtId="3" fontId="4" fillId="6" borderId="0" xfId="2" applyNumberFormat="1" applyFont="1" applyFill="1" applyBorder="1" applyAlignment="1" applyProtection="1">
      <alignment horizontal="center" vertical="center"/>
    </xf>
    <xf numFmtId="3" fontId="4" fillId="6" borderId="0" xfId="2" applyNumberFormat="1" applyFont="1" applyFill="1" applyBorder="1" applyAlignment="1" applyProtection="1">
      <alignment vertical="center"/>
    </xf>
    <xf numFmtId="3" fontId="4" fillId="6" borderId="26" xfId="2" applyNumberFormat="1" applyFont="1" applyFill="1" applyBorder="1" applyAlignment="1" applyProtection="1">
      <alignment horizontal="center" vertical="center"/>
    </xf>
    <xf numFmtId="3" fontId="4" fillId="0" borderId="26" xfId="2" applyNumberFormat="1" applyFont="1" applyFill="1" applyBorder="1" applyAlignment="1" applyProtection="1">
      <alignment horizontal="center" vertical="center"/>
    </xf>
    <xf numFmtId="3" fontId="4" fillId="0" borderId="0" xfId="2" applyNumberFormat="1" applyFont="1" applyFill="1" applyBorder="1" applyAlignment="1" applyProtection="1">
      <alignment horizontal="centerContinuous" vertical="center"/>
    </xf>
    <xf numFmtId="3" fontId="4" fillId="7" borderId="0" xfId="2" applyNumberFormat="1" applyFont="1" applyFill="1" applyBorder="1" applyAlignment="1" applyProtection="1">
      <alignment horizontal="center" vertical="center"/>
    </xf>
    <xf numFmtId="3" fontId="4" fillId="8" borderId="0" xfId="2" applyNumberFormat="1" applyFont="1" applyFill="1" applyBorder="1" applyAlignment="1" applyProtection="1">
      <alignment horizontal="center" vertical="center"/>
    </xf>
    <xf numFmtId="3" fontId="4" fillId="6" borderId="26" xfId="2" applyNumberFormat="1" applyFont="1" applyFill="1" applyBorder="1" applyAlignment="1" applyProtection="1">
      <alignment horizontal="center" vertical="center"/>
    </xf>
    <xf numFmtId="3" fontId="4" fillId="6" borderId="27" xfId="2" applyNumberFormat="1" applyFont="1" applyFill="1" applyBorder="1" applyAlignment="1" applyProtection="1">
      <alignment horizontal="center" vertical="center"/>
    </xf>
    <xf numFmtId="3" fontId="4" fillId="0" borderId="28" xfId="2" applyNumberFormat="1" applyFont="1" applyBorder="1" applyAlignment="1" applyProtection="1">
      <alignment horizontal="center" vertical="justify"/>
    </xf>
    <xf numFmtId="3" fontId="5" fillId="0" borderId="29" xfId="2" applyNumberFormat="1" applyFont="1" applyBorder="1" applyAlignment="1" applyProtection="1">
      <alignment horizontal="center" vertical="justify" wrapText="1"/>
    </xf>
    <xf numFmtId="3" fontId="5" fillId="0" borderId="2" xfId="2" applyNumberFormat="1" applyFont="1" applyBorder="1" applyAlignment="1" applyProtection="1">
      <alignment horizontal="center" vertical="justify"/>
    </xf>
    <xf numFmtId="3" fontId="5" fillId="0" borderId="30" xfId="2" applyNumberFormat="1" applyFont="1" applyBorder="1" applyAlignment="1" applyProtection="1">
      <alignment horizontal="center" vertical="justify"/>
    </xf>
    <xf numFmtId="3" fontId="5" fillId="0" borderId="28" xfId="2" applyNumberFormat="1" applyFont="1" applyFill="1" applyBorder="1" applyAlignment="1" applyProtection="1">
      <alignment horizontal="center" vertical="justify"/>
    </xf>
    <xf numFmtId="3" fontId="5" fillId="0" borderId="2" xfId="2" applyNumberFormat="1" applyFont="1" applyFill="1" applyBorder="1" applyAlignment="1" applyProtection="1">
      <alignment horizontal="center" vertical="justify"/>
    </xf>
    <xf numFmtId="3" fontId="4" fillId="0" borderId="29" xfId="2" applyNumberFormat="1" applyFont="1" applyFill="1" applyBorder="1" applyAlignment="1" applyProtection="1">
      <alignment horizontal="center" vertical="justify"/>
    </xf>
    <xf numFmtId="3" fontId="5" fillId="5" borderId="2" xfId="2" applyNumberFormat="1" applyFont="1" applyFill="1" applyBorder="1" applyAlignment="1" applyProtection="1">
      <alignment horizontal="center" vertical="justify"/>
    </xf>
    <xf numFmtId="3" fontId="4" fillId="5" borderId="31" xfId="2" applyNumberFormat="1" applyFont="1" applyFill="1" applyBorder="1" applyAlignment="1" applyProtection="1">
      <alignment horizontal="center" vertical="justify"/>
    </xf>
    <xf numFmtId="3" fontId="5" fillId="5" borderId="29" xfId="2" applyNumberFormat="1" applyFont="1" applyFill="1" applyBorder="1" applyAlignment="1" applyProtection="1">
      <alignment horizontal="center" vertical="justify"/>
    </xf>
    <xf numFmtId="3" fontId="5" fillId="0" borderId="29" xfId="2" applyNumberFormat="1" applyFont="1" applyFill="1" applyBorder="1" applyAlignment="1" applyProtection="1">
      <alignment horizontal="center" vertical="justify"/>
    </xf>
    <xf numFmtId="3" fontId="4" fillId="0" borderId="32" xfId="2" applyNumberFormat="1" applyFont="1" applyBorder="1" applyAlignment="1" applyProtection="1">
      <alignment horizontal="center" vertical="justify"/>
    </xf>
    <xf numFmtId="3" fontId="5" fillId="0" borderId="28" xfId="2" applyNumberFormat="1" applyFont="1" applyBorder="1" applyAlignment="1" applyProtection="1">
      <alignment horizontal="center" vertical="justify"/>
    </xf>
    <xf numFmtId="3" fontId="5" fillId="0" borderId="33" xfId="2" applyNumberFormat="1" applyFont="1" applyBorder="1" applyAlignment="1" applyProtection="1">
      <alignment horizontal="center" vertical="justify"/>
    </xf>
    <xf numFmtId="3" fontId="4" fillId="0" borderId="34" xfId="2" applyNumberFormat="1" applyFont="1" applyBorder="1" applyAlignment="1" applyProtection="1">
      <alignment horizontal="center" vertical="justify"/>
    </xf>
    <xf numFmtId="3" fontId="5" fillId="0" borderId="33" xfId="2" applyNumberFormat="1" applyFont="1" applyFill="1" applyBorder="1" applyAlignment="1" applyProtection="1">
      <alignment horizontal="center" vertical="justify"/>
    </xf>
    <xf numFmtId="3" fontId="4" fillId="0" borderId="29" xfId="2" applyNumberFormat="1" applyFont="1" applyBorder="1" applyAlignment="1" applyProtection="1">
      <alignment horizontal="center" vertical="justify"/>
    </xf>
    <xf numFmtId="0" fontId="5" fillId="0" borderId="0" xfId="0" applyFont="1" applyAlignment="1" applyProtection="1">
      <alignment vertical="justify"/>
      <protection locked="0"/>
    </xf>
    <xf numFmtId="3" fontId="4" fillId="0" borderId="18" xfId="2" applyNumberFormat="1" applyFont="1" applyBorder="1" applyAlignment="1" applyProtection="1"/>
    <xf numFmtId="3" fontId="4" fillId="0" borderId="35" xfId="2" applyNumberFormat="1" applyFont="1" applyBorder="1" applyAlignment="1" applyProtection="1">
      <alignment horizontal="center"/>
    </xf>
    <xf numFmtId="3" fontId="5" fillId="0" borderId="0" xfId="2" applyNumberFormat="1" applyFont="1" applyFill="1" applyBorder="1" applyAlignment="1" applyProtection="1">
      <alignment horizontal="center"/>
    </xf>
    <xf numFmtId="3" fontId="4" fillId="0" borderId="36" xfId="2" applyNumberFormat="1" applyFont="1" applyBorder="1" applyAlignment="1" applyProtection="1">
      <alignment horizontal="center"/>
    </xf>
    <xf numFmtId="3" fontId="5" fillId="0" borderId="36" xfId="2" applyNumberFormat="1" applyFont="1" applyBorder="1" applyAlignment="1" applyProtection="1">
      <alignment horizontal="center"/>
    </xf>
    <xf numFmtId="3" fontId="5" fillId="0" borderId="17" xfId="2" applyNumberFormat="1" applyFont="1" applyBorder="1" applyAlignment="1" applyProtection="1">
      <alignment horizontal="center"/>
    </xf>
    <xf numFmtId="3" fontId="8" fillId="0" borderId="18" xfId="2" applyNumberFormat="1" applyFont="1" applyFill="1" applyBorder="1" applyAlignment="1" applyProtection="1">
      <alignment horizontal="center"/>
    </xf>
    <xf numFmtId="3" fontId="5" fillId="0" borderId="36" xfId="2" applyNumberFormat="1" applyFont="1" applyFill="1" applyBorder="1" applyAlignment="1" applyProtection="1">
      <alignment horizontal="center"/>
    </xf>
    <xf numFmtId="3" fontId="5" fillId="0" borderId="17" xfId="2" applyNumberFormat="1" applyFont="1" applyFill="1" applyBorder="1" applyAlignment="1" applyProtection="1">
      <alignment horizontal="center"/>
    </xf>
    <xf numFmtId="2" fontId="5" fillId="9" borderId="0" xfId="2" applyNumberFormat="1" applyFont="1" applyFill="1" applyAlignment="1" applyProtection="1">
      <alignment horizontal="center"/>
      <protection locked="0"/>
    </xf>
    <xf numFmtId="0" fontId="5" fillId="9" borderId="37" xfId="2" applyFont="1" applyFill="1" applyBorder="1" applyAlignment="1" applyProtection="1">
      <alignment horizontal="center"/>
      <protection locked="0"/>
    </xf>
    <xf numFmtId="4" fontId="5" fillId="9" borderId="17" xfId="2" applyNumberFormat="1" applyFont="1" applyFill="1" applyBorder="1" applyAlignment="1" applyProtection="1">
      <alignment horizontal="center"/>
    </xf>
    <xf numFmtId="3" fontId="4" fillId="0" borderId="15" xfId="2" applyNumberFormat="1" applyFont="1" applyBorder="1" applyAlignment="1" applyProtection="1">
      <alignment horizontal="center"/>
    </xf>
    <xf numFmtId="4" fontId="5" fillId="9" borderId="16" xfId="2" applyNumberFormat="1" applyFont="1" applyFill="1" applyBorder="1" applyAlignment="1" applyProtection="1">
      <alignment horizontal="center"/>
    </xf>
    <xf numFmtId="3" fontId="4" fillId="0" borderId="14" xfId="2" applyNumberFormat="1" applyFont="1" applyBorder="1" applyAlignment="1" applyProtection="1">
      <alignment horizontal="center"/>
    </xf>
    <xf numFmtId="3" fontId="5" fillId="0" borderId="18" xfId="2" applyNumberFormat="1" applyFont="1" applyBorder="1" applyAlignment="1" applyProtection="1">
      <alignment horizontal="center"/>
    </xf>
    <xf numFmtId="3" fontId="5" fillId="0" borderId="16" xfId="2" applyNumberFormat="1" applyFont="1" applyFill="1" applyBorder="1" applyAlignment="1" applyProtection="1">
      <alignment horizontal="center"/>
    </xf>
    <xf numFmtId="3" fontId="4" fillId="10" borderId="18" xfId="3" applyNumberFormat="1" applyFont="1" applyFill="1" applyBorder="1" applyAlignment="1" applyProtection="1">
      <protection locked="0"/>
    </xf>
    <xf numFmtId="3" fontId="5" fillId="10" borderId="36" xfId="3" applyNumberFormat="1" applyFont="1" applyFill="1" applyBorder="1" applyAlignment="1" applyProtection="1">
      <alignment horizontal="center"/>
      <protection locked="0"/>
    </xf>
    <xf numFmtId="3" fontId="5" fillId="10" borderId="17" xfId="3" applyNumberFormat="1" applyFont="1" applyFill="1" applyBorder="1" applyAlignment="1" applyProtection="1">
      <alignment horizontal="center"/>
      <protection locked="0"/>
    </xf>
    <xf numFmtId="3" fontId="5" fillId="10" borderId="36" xfId="2" applyNumberFormat="1" applyFont="1" applyFill="1" applyBorder="1" applyAlignment="1" applyProtection="1">
      <protection locked="0"/>
    </xf>
    <xf numFmtId="4" fontId="5" fillId="10" borderId="36" xfId="2" applyNumberFormat="1" applyFont="1" applyFill="1" applyBorder="1" applyAlignment="1" applyProtection="1">
      <protection locked="0"/>
    </xf>
    <xf numFmtId="4" fontId="5" fillId="10" borderId="0" xfId="2" applyNumberFormat="1" applyFont="1" applyFill="1" applyBorder="1" applyAlignment="1" applyProtection="1">
      <protection locked="0"/>
    </xf>
    <xf numFmtId="4" fontId="5" fillId="10" borderId="8" xfId="2" applyNumberFormat="1" applyFont="1" applyFill="1" applyBorder="1" applyAlignment="1" applyProtection="1">
      <protection locked="0"/>
    </xf>
    <xf numFmtId="4" fontId="4" fillId="10" borderId="17" xfId="2" applyNumberFormat="1" applyFont="1" applyFill="1" applyBorder="1" applyAlignment="1" applyProtection="1"/>
    <xf numFmtId="4" fontId="5" fillId="10" borderId="17" xfId="2" applyNumberFormat="1" applyFont="1" applyFill="1" applyBorder="1" applyAlignment="1" applyProtection="1">
      <protection locked="0"/>
    </xf>
    <xf numFmtId="4" fontId="5" fillId="10" borderId="37" xfId="2" applyNumberFormat="1" applyFont="1" applyFill="1" applyBorder="1" applyAlignment="1" applyProtection="1">
      <protection locked="0"/>
    </xf>
    <xf numFmtId="4" fontId="5" fillId="11" borderId="36" xfId="2" applyNumberFormat="1" applyFont="1" applyFill="1" applyBorder="1" applyAlignment="1" applyProtection="1">
      <protection locked="0"/>
    </xf>
    <xf numFmtId="4" fontId="5" fillId="11" borderId="0" xfId="2" applyNumberFormat="1" applyFont="1" applyFill="1" applyBorder="1" applyAlignment="1" applyProtection="1">
      <protection locked="0"/>
    </xf>
    <xf numFmtId="4" fontId="5" fillId="10" borderId="17" xfId="2" applyNumberFormat="1" applyFont="1" applyFill="1" applyBorder="1" applyAlignment="1" applyProtection="1"/>
    <xf numFmtId="4" fontId="4" fillId="10" borderId="15" xfId="2" applyNumberFormat="1" applyFont="1" applyFill="1" applyBorder="1" applyAlignment="1" applyProtection="1"/>
    <xf numFmtId="4" fontId="5" fillId="10" borderId="18" xfId="2" applyNumberFormat="1" applyFont="1" applyFill="1" applyBorder="1" applyAlignment="1" applyProtection="1"/>
    <xf numFmtId="4" fontId="5" fillId="10" borderId="16" xfId="2" applyNumberFormat="1" applyFont="1" applyFill="1" applyBorder="1" applyAlignment="1" applyProtection="1"/>
    <xf numFmtId="4" fontId="4" fillId="10" borderId="14" xfId="2" applyNumberFormat="1" applyFont="1" applyFill="1" applyBorder="1" applyAlignment="1" applyProtection="1"/>
    <xf numFmtId="3" fontId="4" fillId="10" borderId="18" xfId="2" applyNumberFormat="1" applyFont="1" applyFill="1" applyBorder="1" applyAlignment="1" applyProtection="1">
      <protection locked="0"/>
    </xf>
    <xf numFmtId="3" fontId="5" fillId="10" borderId="16" xfId="2" applyNumberFormat="1" applyFont="1" applyFill="1" applyBorder="1" applyAlignment="1" applyProtection="1"/>
    <xf numFmtId="3" fontId="5" fillId="10" borderId="17" xfId="2" applyNumberFormat="1" applyFont="1" applyFill="1" applyBorder="1" applyAlignment="1" applyProtection="1"/>
    <xf numFmtId="3" fontId="4" fillId="10" borderId="14" xfId="2" applyNumberFormat="1" applyFont="1" applyFill="1" applyBorder="1" applyAlignment="1" applyProtection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3" fontId="4" fillId="12" borderId="18" xfId="3" applyNumberFormat="1" applyFont="1" applyFill="1" applyBorder="1" applyAlignment="1" applyProtection="1">
      <protection locked="0"/>
    </xf>
    <xf numFmtId="3" fontId="5" fillId="12" borderId="36" xfId="3" applyNumberFormat="1" applyFont="1" applyFill="1" applyBorder="1" applyAlignment="1" applyProtection="1">
      <alignment horizontal="center"/>
      <protection locked="0"/>
    </xf>
    <xf numFmtId="3" fontId="5" fillId="12" borderId="17" xfId="3" applyNumberFormat="1" applyFont="1" applyFill="1" applyBorder="1" applyAlignment="1" applyProtection="1">
      <alignment horizontal="center"/>
      <protection locked="0"/>
    </xf>
    <xf numFmtId="3" fontId="5" fillId="12" borderId="36" xfId="2" applyNumberFormat="1" applyFont="1" applyFill="1" applyBorder="1" applyAlignment="1" applyProtection="1">
      <protection locked="0"/>
    </xf>
    <xf numFmtId="4" fontId="5" fillId="12" borderId="36" xfId="2" applyNumberFormat="1" applyFont="1" applyFill="1" applyBorder="1" applyAlignment="1" applyProtection="1">
      <protection locked="0"/>
    </xf>
    <xf numFmtId="4" fontId="5" fillId="12" borderId="0" xfId="2" applyNumberFormat="1" applyFont="1" applyFill="1" applyBorder="1" applyAlignment="1" applyProtection="1">
      <protection locked="0"/>
    </xf>
    <xf numFmtId="4" fontId="5" fillId="12" borderId="8" xfId="2" applyNumberFormat="1" applyFont="1" applyFill="1" applyBorder="1" applyAlignment="1" applyProtection="1">
      <protection locked="0"/>
    </xf>
    <xf numFmtId="4" fontId="4" fillId="12" borderId="17" xfId="2" applyNumberFormat="1" applyFont="1" applyFill="1" applyBorder="1" applyAlignment="1" applyProtection="1"/>
    <xf numFmtId="4" fontId="5" fillId="12" borderId="17" xfId="2" applyNumberFormat="1" applyFont="1" applyFill="1" applyBorder="1" applyAlignment="1" applyProtection="1">
      <protection locked="0"/>
    </xf>
    <xf numFmtId="4" fontId="5" fillId="12" borderId="37" xfId="2" applyNumberFormat="1" applyFont="1" applyFill="1" applyBorder="1" applyAlignment="1" applyProtection="1">
      <protection locked="0"/>
    </xf>
    <xf numFmtId="4" fontId="5" fillId="13" borderId="36" xfId="2" applyNumberFormat="1" applyFont="1" applyFill="1" applyBorder="1" applyAlignment="1" applyProtection="1">
      <protection locked="0"/>
    </xf>
    <xf numFmtId="4" fontId="5" fillId="13" borderId="0" xfId="2" applyNumberFormat="1" applyFont="1" applyFill="1" applyBorder="1" applyAlignment="1" applyProtection="1">
      <protection locked="0"/>
    </xf>
    <xf numFmtId="4" fontId="5" fillId="12" borderId="17" xfId="2" applyNumberFormat="1" applyFont="1" applyFill="1" applyBorder="1" applyAlignment="1" applyProtection="1"/>
    <xf numFmtId="4" fontId="4" fillId="12" borderId="15" xfId="2" applyNumberFormat="1" applyFont="1" applyFill="1" applyBorder="1" applyAlignment="1" applyProtection="1"/>
    <xf numFmtId="4" fontId="5" fillId="12" borderId="18" xfId="2" applyNumberFormat="1" applyFont="1" applyFill="1" applyBorder="1" applyAlignment="1" applyProtection="1"/>
    <xf numFmtId="4" fontId="5" fillId="12" borderId="16" xfId="2" applyNumberFormat="1" applyFont="1" applyFill="1" applyBorder="1" applyAlignment="1" applyProtection="1"/>
    <xf numFmtId="4" fontId="4" fillId="12" borderId="14" xfId="2" applyNumberFormat="1" applyFont="1" applyFill="1" applyBorder="1" applyAlignment="1" applyProtection="1"/>
    <xf numFmtId="3" fontId="4" fillId="12" borderId="18" xfId="2" applyNumberFormat="1" applyFont="1" applyFill="1" applyBorder="1" applyAlignment="1" applyProtection="1">
      <protection locked="0"/>
    </xf>
    <xf numFmtId="3" fontId="5" fillId="12" borderId="16" xfId="2" applyNumberFormat="1" applyFont="1" applyFill="1" applyBorder="1" applyAlignment="1" applyProtection="1"/>
    <xf numFmtId="3" fontId="5" fillId="12" borderId="17" xfId="2" applyNumberFormat="1" applyFont="1" applyFill="1" applyBorder="1" applyAlignment="1" applyProtection="1"/>
    <xf numFmtId="3" fontId="4" fillId="12" borderId="14" xfId="2" applyNumberFormat="1" applyFont="1" applyFill="1" applyBorder="1" applyAlignment="1" applyProtection="1"/>
    <xf numFmtId="3" fontId="4" fillId="14" borderId="18" xfId="3" applyNumberFormat="1" applyFont="1" applyFill="1" applyBorder="1" applyAlignment="1" applyProtection="1">
      <protection locked="0"/>
    </xf>
    <xf numFmtId="3" fontId="5" fillId="14" borderId="36" xfId="3" applyNumberFormat="1" applyFont="1" applyFill="1" applyBorder="1" applyAlignment="1" applyProtection="1">
      <alignment horizontal="center"/>
      <protection locked="0"/>
    </xf>
    <xf numFmtId="3" fontId="5" fillId="14" borderId="17" xfId="3" applyNumberFormat="1" applyFont="1" applyFill="1" applyBorder="1" applyAlignment="1" applyProtection="1">
      <alignment horizontal="center"/>
      <protection locked="0"/>
    </xf>
    <xf numFmtId="3" fontId="5" fillId="14" borderId="36" xfId="2" applyNumberFormat="1" applyFont="1" applyFill="1" applyBorder="1" applyAlignment="1" applyProtection="1">
      <protection locked="0"/>
    </xf>
    <xf numFmtId="4" fontId="5" fillId="14" borderId="36" xfId="2" applyNumberFormat="1" applyFont="1" applyFill="1" applyBorder="1" applyAlignment="1" applyProtection="1">
      <protection locked="0"/>
    </xf>
    <xf numFmtId="4" fontId="4" fillId="14" borderId="0" xfId="2" applyNumberFormat="1" applyFont="1" applyFill="1" applyBorder="1" applyAlignment="1" applyProtection="1">
      <protection locked="0"/>
    </xf>
    <xf numFmtId="4" fontId="5" fillId="14" borderId="8" xfId="2" applyNumberFormat="1" applyFont="1" applyFill="1" applyBorder="1" applyAlignment="1" applyProtection="1">
      <protection locked="0"/>
    </xf>
    <xf numFmtId="4" fontId="4" fillId="14" borderId="17" xfId="2" applyNumberFormat="1" applyFont="1" applyFill="1" applyBorder="1" applyAlignment="1" applyProtection="1"/>
    <xf numFmtId="4" fontId="5" fillId="14" borderId="17" xfId="2" applyNumberFormat="1" applyFont="1" applyFill="1" applyBorder="1" applyAlignment="1" applyProtection="1">
      <protection locked="0"/>
    </xf>
    <xf numFmtId="4" fontId="5" fillId="14" borderId="37" xfId="2" applyNumberFormat="1" applyFont="1" applyFill="1" applyBorder="1" applyAlignment="1" applyProtection="1">
      <protection locked="0"/>
    </xf>
    <xf numFmtId="4" fontId="5" fillId="15" borderId="36" xfId="2" applyNumberFormat="1" applyFont="1" applyFill="1" applyBorder="1" applyAlignment="1" applyProtection="1">
      <protection locked="0"/>
    </xf>
    <xf numFmtId="4" fontId="5" fillId="15" borderId="0" xfId="2" applyNumberFormat="1" applyFont="1" applyFill="1" applyBorder="1" applyAlignment="1" applyProtection="1">
      <protection locked="0"/>
    </xf>
    <xf numFmtId="4" fontId="5" fillId="14" borderId="17" xfId="2" applyNumberFormat="1" applyFont="1" applyFill="1" applyBorder="1" applyAlignment="1" applyProtection="1"/>
    <xf numFmtId="4" fontId="4" fillId="14" borderId="15" xfId="2" applyNumberFormat="1" applyFont="1" applyFill="1" applyBorder="1" applyAlignment="1" applyProtection="1"/>
    <xf numFmtId="4" fontId="5" fillId="14" borderId="18" xfId="2" applyNumberFormat="1" applyFont="1" applyFill="1" applyBorder="1" applyAlignment="1" applyProtection="1"/>
    <xf numFmtId="4" fontId="5" fillId="14" borderId="16" xfId="2" applyNumberFormat="1" applyFont="1" applyFill="1" applyBorder="1" applyAlignment="1" applyProtection="1"/>
    <xf numFmtId="4" fontId="4" fillId="14" borderId="14" xfId="2" applyNumberFormat="1" applyFont="1" applyFill="1" applyBorder="1" applyAlignment="1" applyProtection="1"/>
    <xf numFmtId="3" fontId="4" fillId="14" borderId="18" xfId="2" applyNumberFormat="1" applyFont="1" applyFill="1" applyBorder="1" applyAlignment="1" applyProtection="1">
      <protection locked="0"/>
    </xf>
    <xf numFmtId="3" fontId="5" fillId="14" borderId="16" xfId="2" applyNumberFormat="1" applyFont="1" applyFill="1" applyBorder="1" applyAlignment="1" applyProtection="1"/>
    <xf numFmtId="3" fontId="5" fillId="14" borderId="17" xfId="2" applyNumberFormat="1" applyFont="1" applyFill="1" applyBorder="1" applyAlignment="1" applyProtection="1"/>
    <xf numFmtId="3" fontId="4" fillId="14" borderId="14" xfId="2" applyNumberFormat="1" applyFont="1" applyFill="1" applyBorder="1" applyAlignment="1" applyProtection="1"/>
    <xf numFmtId="0" fontId="4" fillId="0" borderId="0" xfId="0" applyFont="1" applyProtection="1">
      <protection locked="0"/>
    </xf>
    <xf numFmtId="3" fontId="7" fillId="0" borderId="38" xfId="2" applyNumberFormat="1" applyFont="1" applyBorder="1" applyAlignment="1" applyProtection="1"/>
    <xf numFmtId="3" fontId="7" fillId="0" borderId="39" xfId="2" applyNumberFormat="1" applyFont="1" applyBorder="1" applyAlignment="1" applyProtection="1"/>
    <xf numFmtId="3" fontId="5" fillId="0" borderId="39" xfId="2" applyNumberFormat="1" applyFont="1" applyFill="1" applyBorder="1" applyAlignment="1" applyProtection="1">
      <alignment horizontal="center"/>
    </xf>
    <xf numFmtId="3" fontId="5" fillId="0" borderId="39" xfId="2" applyNumberFormat="1" applyFont="1" applyBorder="1" applyAlignment="1" applyProtection="1">
      <alignment horizontal="center"/>
    </xf>
    <xf numFmtId="3" fontId="5" fillId="0" borderId="39" xfId="2" applyNumberFormat="1" applyFont="1" applyBorder="1" applyAlignment="1" applyProtection="1"/>
    <xf numFmtId="3" fontId="5" fillId="0" borderId="39" xfId="2" applyNumberFormat="1" applyFont="1" applyFill="1" applyBorder="1" applyAlignment="1" applyProtection="1"/>
    <xf numFmtId="4" fontId="12" fillId="0" borderId="39" xfId="2" applyNumberFormat="1" applyFont="1" applyFill="1" applyBorder="1" applyAlignment="1" applyProtection="1">
      <alignment horizontal="right"/>
    </xf>
    <xf numFmtId="4" fontId="5" fillId="5" borderId="39" xfId="2" applyNumberFormat="1" applyFont="1" applyFill="1" applyBorder="1" applyAlignment="1" applyProtection="1">
      <protection locked="0"/>
    </xf>
    <xf numFmtId="4" fontId="12" fillId="0" borderId="39" xfId="2" applyNumberFormat="1" applyFont="1" applyFill="1" applyBorder="1" applyAlignment="1" applyProtection="1"/>
    <xf numFmtId="3" fontId="4" fillId="0" borderId="39" xfId="2" applyNumberFormat="1" applyFont="1" applyFill="1" applyBorder="1" applyAlignment="1" applyProtection="1">
      <alignment horizontal="centerContinuous"/>
    </xf>
    <xf numFmtId="3" fontId="4" fillId="0" borderId="40" xfId="2" applyNumberFormat="1" applyFont="1" applyFill="1" applyBorder="1" applyAlignment="1" applyProtection="1"/>
    <xf numFmtId="3" fontId="4" fillId="0" borderId="41" xfId="2" applyNumberFormat="1" applyFont="1" applyFill="1" applyBorder="1" applyAlignment="1" applyProtection="1"/>
    <xf numFmtId="4" fontId="5" fillId="0" borderId="42" xfId="2" applyNumberFormat="1" applyFont="1" applyFill="1" applyBorder="1" applyAlignment="1" applyProtection="1"/>
    <xf numFmtId="4" fontId="5" fillId="0" borderId="43" xfId="2" applyNumberFormat="1" applyFont="1" applyFill="1" applyBorder="1" applyAlignment="1" applyProtection="1"/>
    <xf numFmtId="4" fontId="4" fillId="0" borderId="41" xfId="2" applyNumberFormat="1" applyFont="1" applyFill="1" applyBorder="1" applyAlignment="1" applyProtection="1"/>
    <xf numFmtId="0" fontId="5" fillId="0" borderId="0" xfId="0" applyFont="1" applyBorder="1" applyProtection="1">
      <protection locked="0"/>
    </xf>
    <xf numFmtId="3" fontId="4" fillId="8" borderId="20" xfId="2" applyNumberFormat="1" applyFont="1" applyFill="1" applyBorder="1" applyAlignment="1" applyProtection="1"/>
    <xf numFmtId="3" fontId="4" fillId="8" borderId="44" xfId="2" applyNumberFormat="1" applyFont="1" applyFill="1" applyBorder="1" applyAlignment="1" applyProtection="1">
      <alignment horizontal="center"/>
    </xf>
    <xf numFmtId="3" fontId="5" fillId="8" borderId="45" xfId="2" applyNumberFormat="1" applyFont="1" applyFill="1" applyBorder="1" applyAlignment="1" applyProtection="1">
      <alignment horizontal="center"/>
    </xf>
    <xf numFmtId="3" fontId="5" fillId="8" borderId="45" xfId="2" applyNumberFormat="1" applyFont="1" applyFill="1" applyBorder="1" applyAlignment="1" applyProtection="1"/>
    <xf numFmtId="3" fontId="5" fillId="5" borderId="44" xfId="2" applyNumberFormat="1" applyFont="1" applyFill="1" applyBorder="1" applyAlignment="1" applyProtection="1"/>
    <xf numFmtId="3" fontId="4" fillId="8" borderId="45" xfId="2" applyNumberFormat="1" applyFont="1" applyFill="1" applyBorder="1" applyAlignment="1" applyProtection="1"/>
    <xf numFmtId="3" fontId="5" fillId="8" borderId="22" xfId="2" applyNumberFormat="1" applyFont="1" applyFill="1" applyBorder="1" applyAlignment="1" applyProtection="1"/>
    <xf numFmtId="3" fontId="5" fillId="8" borderId="21" xfId="2" applyNumberFormat="1" applyFont="1" applyFill="1" applyBorder="1" applyAlignment="1" applyProtection="1"/>
    <xf numFmtId="4" fontId="5" fillId="8" borderId="45" xfId="2" applyNumberFormat="1" applyFont="1" applyFill="1" applyBorder="1" applyAlignment="1" applyProtection="1"/>
    <xf numFmtId="4" fontId="13" fillId="8" borderId="25" xfId="2" applyNumberFormat="1" applyFont="1" applyFill="1" applyBorder="1" applyAlignment="1" applyProtection="1"/>
    <xf numFmtId="3" fontId="4" fillId="0" borderId="46" xfId="2" applyNumberFormat="1" applyFont="1" applyBorder="1" applyAlignment="1" applyProtection="1">
      <alignment horizontal="center"/>
    </xf>
    <xf numFmtId="0" fontId="5" fillId="9" borderId="47" xfId="2" applyFont="1" applyFill="1" applyBorder="1" applyAlignment="1" applyProtection="1">
      <alignment horizontal="center"/>
      <protection locked="0"/>
    </xf>
    <xf numFmtId="3" fontId="4" fillId="0" borderId="9" xfId="2" applyNumberFormat="1" applyFont="1" applyBorder="1" applyAlignment="1" applyProtection="1">
      <alignment horizontal="center"/>
    </xf>
    <xf numFmtId="3" fontId="5" fillId="0" borderId="13" xfId="2" applyNumberFormat="1" applyFont="1" applyBorder="1" applyAlignment="1" applyProtection="1">
      <alignment horizontal="center"/>
    </xf>
    <xf numFmtId="3" fontId="5" fillId="0" borderId="16" xfId="2" applyNumberFormat="1" applyFont="1" applyBorder="1" applyAlignment="1" applyProtection="1">
      <alignment horizontal="center"/>
    </xf>
    <xf numFmtId="3" fontId="4" fillId="16" borderId="18" xfId="3" applyNumberFormat="1" applyFont="1" applyFill="1" applyBorder="1" applyAlignment="1" applyProtection="1">
      <protection locked="0"/>
    </xf>
    <xf numFmtId="3" fontId="5" fillId="16" borderId="36" xfId="3" applyNumberFormat="1" applyFont="1" applyFill="1" applyBorder="1" applyAlignment="1" applyProtection="1">
      <alignment horizontal="center"/>
      <protection locked="0"/>
    </xf>
    <xf numFmtId="3" fontId="5" fillId="16" borderId="17" xfId="3" applyNumberFormat="1" applyFont="1" applyFill="1" applyBorder="1" applyAlignment="1" applyProtection="1">
      <alignment horizontal="center"/>
      <protection locked="0"/>
    </xf>
    <xf numFmtId="3" fontId="5" fillId="16" borderId="36" xfId="2" applyNumberFormat="1" applyFont="1" applyFill="1" applyBorder="1" applyAlignment="1" applyProtection="1">
      <protection locked="0"/>
    </xf>
    <xf numFmtId="4" fontId="5" fillId="16" borderId="36" xfId="2" applyNumberFormat="1" applyFont="1" applyFill="1" applyBorder="1" applyAlignment="1" applyProtection="1">
      <protection locked="0"/>
    </xf>
    <xf numFmtId="4" fontId="5" fillId="16" borderId="0" xfId="2" applyNumberFormat="1" applyFont="1" applyFill="1" applyBorder="1" applyAlignment="1" applyProtection="1">
      <protection locked="0"/>
    </xf>
    <xf numFmtId="4" fontId="5" fillId="16" borderId="8" xfId="2" applyNumberFormat="1" applyFont="1" applyFill="1" applyBorder="1" applyAlignment="1" applyProtection="1">
      <protection locked="0"/>
    </xf>
    <xf numFmtId="4" fontId="4" fillId="16" borderId="17" xfId="2" applyNumberFormat="1" applyFont="1" applyFill="1" applyBorder="1" applyAlignment="1" applyProtection="1"/>
    <xf numFmtId="4" fontId="5" fillId="16" borderId="17" xfId="2" applyNumberFormat="1" applyFont="1" applyFill="1" applyBorder="1" applyAlignment="1" applyProtection="1">
      <protection locked="0"/>
    </xf>
    <xf numFmtId="4" fontId="5" fillId="16" borderId="37" xfId="2" applyNumberFormat="1" applyFont="1" applyFill="1" applyBorder="1" applyAlignment="1" applyProtection="1">
      <protection locked="0"/>
    </xf>
    <xf numFmtId="4" fontId="5" fillId="17" borderId="36" xfId="2" applyNumberFormat="1" applyFont="1" applyFill="1" applyBorder="1" applyAlignment="1" applyProtection="1">
      <protection locked="0"/>
    </xf>
    <xf numFmtId="4" fontId="5" fillId="17" borderId="0" xfId="2" applyNumberFormat="1" applyFont="1" applyFill="1" applyBorder="1" applyAlignment="1" applyProtection="1">
      <protection locked="0"/>
    </xf>
    <xf numFmtId="4" fontId="5" fillId="16" borderId="17" xfId="2" applyNumberFormat="1" applyFont="1" applyFill="1" applyBorder="1" applyAlignment="1" applyProtection="1"/>
    <xf numFmtId="4" fontId="4" fillId="16" borderId="15" xfId="2" applyNumberFormat="1" applyFont="1" applyFill="1" applyBorder="1" applyAlignment="1" applyProtection="1"/>
    <xf numFmtId="4" fontId="5" fillId="16" borderId="18" xfId="2" applyNumberFormat="1" applyFont="1" applyFill="1" applyBorder="1" applyAlignment="1" applyProtection="1"/>
    <xf numFmtId="4" fontId="5" fillId="16" borderId="16" xfId="2" applyNumberFormat="1" applyFont="1" applyFill="1" applyBorder="1" applyAlignment="1" applyProtection="1"/>
    <xf numFmtId="4" fontId="4" fillId="16" borderId="14" xfId="2" applyNumberFormat="1" applyFont="1" applyFill="1" applyBorder="1" applyAlignment="1" applyProtection="1"/>
    <xf numFmtId="3" fontId="4" fillId="16" borderId="18" xfId="2" applyNumberFormat="1" applyFont="1" applyFill="1" applyBorder="1" applyAlignment="1" applyProtection="1">
      <protection locked="0"/>
    </xf>
    <xf numFmtId="3" fontId="5" fillId="16" borderId="16" xfId="2" applyNumberFormat="1" applyFont="1" applyFill="1" applyBorder="1" applyAlignment="1" applyProtection="1"/>
    <xf numFmtId="3" fontId="5" fillId="16" borderId="17" xfId="2" applyNumberFormat="1" applyFont="1" applyFill="1" applyBorder="1" applyAlignment="1" applyProtection="1"/>
    <xf numFmtId="3" fontId="4" fillId="16" borderId="14" xfId="2" applyNumberFormat="1" applyFont="1" applyFill="1" applyBorder="1" applyAlignment="1" applyProtection="1"/>
    <xf numFmtId="3" fontId="4" fillId="18" borderId="18" xfId="3" applyNumberFormat="1" applyFont="1" applyFill="1" applyBorder="1" applyAlignment="1" applyProtection="1">
      <protection locked="0"/>
    </xf>
    <xf numFmtId="3" fontId="5" fillId="18" borderId="36" xfId="3" applyNumberFormat="1" applyFont="1" applyFill="1" applyBorder="1" applyAlignment="1" applyProtection="1">
      <alignment horizontal="center"/>
      <protection locked="0"/>
    </xf>
    <xf numFmtId="3" fontId="5" fillId="18" borderId="17" xfId="3" applyNumberFormat="1" applyFont="1" applyFill="1" applyBorder="1" applyAlignment="1" applyProtection="1">
      <alignment horizontal="center"/>
      <protection locked="0"/>
    </xf>
    <xf numFmtId="3" fontId="5" fillId="18" borderId="36" xfId="2" applyNumberFormat="1" applyFont="1" applyFill="1" applyBorder="1" applyAlignment="1" applyProtection="1">
      <protection locked="0"/>
    </xf>
    <xf numFmtId="4" fontId="5" fillId="18" borderId="36" xfId="2" applyNumberFormat="1" applyFont="1" applyFill="1" applyBorder="1" applyAlignment="1" applyProtection="1">
      <protection locked="0"/>
    </xf>
    <xf numFmtId="4" fontId="5" fillId="18" borderId="0" xfId="2" applyNumberFormat="1" applyFont="1" applyFill="1" applyBorder="1" applyAlignment="1" applyProtection="1">
      <protection locked="0"/>
    </xf>
    <xf numFmtId="4" fontId="5" fillId="18" borderId="8" xfId="2" applyNumberFormat="1" applyFont="1" applyFill="1" applyBorder="1" applyAlignment="1" applyProtection="1">
      <protection locked="0"/>
    </xf>
    <xf numFmtId="4" fontId="4" fillId="18" borderId="17" xfId="2" applyNumberFormat="1" applyFont="1" applyFill="1" applyBorder="1" applyAlignment="1" applyProtection="1"/>
    <xf numFmtId="4" fontId="5" fillId="18" borderId="17" xfId="2" applyNumberFormat="1" applyFont="1" applyFill="1" applyBorder="1" applyAlignment="1" applyProtection="1">
      <protection locked="0"/>
    </xf>
    <xf numFmtId="4" fontId="5" fillId="18" borderId="37" xfId="2" applyNumberFormat="1" applyFont="1" applyFill="1" applyBorder="1" applyAlignment="1" applyProtection="1">
      <protection locked="0"/>
    </xf>
    <xf numFmtId="4" fontId="5" fillId="19" borderId="36" xfId="2" applyNumberFormat="1" applyFont="1" applyFill="1" applyBorder="1" applyAlignment="1" applyProtection="1">
      <protection locked="0"/>
    </xf>
    <xf numFmtId="4" fontId="5" fillId="19" borderId="0" xfId="2" applyNumberFormat="1" applyFont="1" applyFill="1" applyBorder="1" applyAlignment="1" applyProtection="1">
      <protection locked="0"/>
    </xf>
    <xf numFmtId="4" fontId="5" fillId="18" borderId="17" xfId="2" applyNumberFormat="1" applyFont="1" applyFill="1" applyBorder="1" applyAlignment="1" applyProtection="1"/>
    <xf numFmtId="4" fontId="4" fillId="18" borderId="15" xfId="2" applyNumberFormat="1" applyFont="1" applyFill="1" applyBorder="1" applyAlignment="1" applyProtection="1"/>
    <xf numFmtId="4" fontId="5" fillId="18" borderId="18" xfId="2" applyNumberFormat="1" applyFont="1" applyFill="1" applyBorder="1" applyAlignment="1" applyProtection="1"/>
    <xf numFmtId="4" fontId="5" fillId="18" borderId="16" xfId="2" applyNumberFormat="1" applyFont="1" applyFill="1" applyBorder="1" applyAlignment="1" applyProtection="1"/>
    <xf numFmtId="4" fontId="4" fillId="18" borderId="14" xfId="2" applyNumberFormat="1" applyFont="1" applyFill="1" applyBorder="1" applyAlignment="1" applyProtection="1"/>
    <xf numFmtId="3" fontId="4" fillId="18" borderId="18" xfId="2" applyNumberFormat="1" applyFont="1" applyFill="1" applyBorder="1" applyAlignment="1" applyProtection="1">
      <protection locked="0"/>
    </xf>
    <xf numFmtId="3" fontId="5" fillId="18" borderId="16" xfId="2" applyNumberFormat="1" applyFont="1" applyFill="1" applyBorder="1" applyAlignment="1" applyProtection="1"/>
    <xf numFmtId="3" fontId="5" fillId="18" borderId="17" xfId="2" applyNumberFormat="1" applyFont="1" applyFill="1" applyBorder="1" applyAlignment="1" applyProtection="1"/>
    <xf numFmtId="3" fontId="4" fillId="18" borderId="14" xfId="2" applyNumberFormat="1" applyFont="1" applyFill="1" applyBorder="1" applyAlignment="1" applyProtection="1"/>
    <xf numFmtId="3" fontId="5" fillId="5" borderId="45" xfId="2" applyNumberFormat="1" applyFont="1" applyFill="1" applyBorder="1" applyAlignment="1" applyProtection="1"/>
    <xf numFmtId="3" fontId="8" fillId="20" borderId="18" xfId="2" applyNumberFormat="1" applyFont="1" applyFill="1" applyBorder="1" applyAlignment="1" applyProtection="1">
      <alignment horizontal="center"/>
    </xf>
    <xf numFmtId="3" fontId="5" fillId="20" borderId="36" xfId="2" applyNumberFormat="1" applyFont="1" applyFill="1" applyBorder="1" applyAlignment="1" applyProtection="1">
      <alignment horizontal="center"/>
    </xf>
    <xf numFmtId="3" fontId="5" fillId="20" borderId="18" xfId="2" applyNumberFormat="1" applyFont="1" applyFill="1" applyBorder="1" applyAlignment="1" applyProtection="1">
      <alignment horizontal="center"/>
    </xf>
    <xf numFmtId="3" fontId="5" fillId="20" borderId="16" xfId="2" applyNumberFormat="1" applyFont="1" applyFill="1" applyBorder="1" applyAlignment="1" applyProtection="1">
      <alignment horizontal="center"/>
    </xf>
    <xf numFmtId="3" fontId="7" fillId="0" borderId="38" xfId="2" applyNumberFormat="1" applyFont="1" applyBorder="1" applyAlignment="1" applyProtection="1">
      <alignment horizontal="center"/>
    </xf>
    <xf numFmtId="3" fontId="7" fillId="0" borderId="39" xfId="2" applyNumberFormat="1" applyFont="1" applyBorder="1" applyAlignment="1" applyProtection="1">
      <alignment horizontal="center"/>
    </xf>
    <xf numFmtId="3" fontId="5" fillId="8" borderId="44" xfId="2" applyNumberFormat="1" applyFont="1" applyFill="1" applyBorder="1" applyAlignment="1" applyProtection="1">
      <alignment horizontal="center"/>
    </xf>
    <xf numFmtId="3" fontId="5" fillId="8" borderId="44" xfId="2" applyNumberFormat="1" applyFont="1" applyFill="1" applyBorder="1" applyAlignment="1" applyProtection="1"/>
    <xf numFmtId="3" fontId="4" fillId="8" borderId="44" xfId="2" applyNumberFormat="1" applyFont="1" applyFill="1" applyBorder="1" applyAlignment="1" applyProtection="1"/>
    <xf numFmtId="3" fontId="5" fillId="8" borderId="42" xfId="2" applyNumberFormat="1" applyFont="1" applyFill="1" applyBorder="1" applyAlignment="1" applyProtection="1"/>
    <xf numFmtId="3" fontId="5" fillId="8" borderId="41" xfId="2" applyNumberFormat="1" applyFont="1" applyFill="1" applyBorder="1" applyAlignment="1" applyProtection="1"/>
    <xf numFmtId="4" fontId="5" fillId="21" borderId="8" xfId="2" applyNumberFormat="1" applyFont="1" applyFill="1" applyBorder="1" applyAlignment="1" applyProtection="1">
      <protection locked="0"/>
    </xf>
    <xf numFmtId="3" fontId="4" fillId="0" borderId="18" xfId="2" applyNumberFormat="1" applyFont="1" applyBorder="1" applyAlignment="1" applyProtection="1">
      <protection locked="0"/>
    </xf>
    <xf numFmtId="3" fontId="5" fillId="0" borderId="36" xfId="2" applyNumberFormat="1" applyFont="1" applyFill="1" applyBorder="1" applyAlignment="1" applyProtection="1">
      <alignment horizontal="center"/>
      <protection locked="0"/>
    </xf>
    <xf numFmtId="3" fontId="5" fillId="0" borderId="17" xfId="2" applyNumberFormat="1" applyFont="1" applyFill="1" applyBorder="1" applyAlignment="1" applyProtection="1">
      <alignment horizontal="center"/>
      <protection locked="0"/>
    </xf>
    <xf numFmtId="3" fontId="5" fillId="0" borderId="36" xfId="2" applyNumberFormat="1" applyFont="1" applyBorder="1" applyAlignment="1" applyProtection="1">
      <alignment horizontal="center"/>
      <protection locked="0"/>
    </xf>
    <xf numFmtId="3" fontId="5" fillId="0" borderId="36" xfId="2" applyNumberFormat="1" applyFont="1" applyBorder="1" applyAlignment="1" applyProtection="1">
      <protection locked="0"/>
    </xf>
    <xf numFmtId="4" fontId="5" fillId="0" borderId="36" xfId="2" applyNumberFormat="1" applyFont="1" applyBorder="1" applyAlignment="1" applyProtection="1">
      <protection locked="0"/>
    </xf>
    <xf numFmtId="4" fontId="5" fillId="0" borderId="0" xfId="2" applyNumberFormat="1" applyFont="1" applyBorder="1" applyAlignment="1" applyProtection="1">
      <protection locked="0"/>
    </xf>
    <xf numFmtId="4" fontId="5" fillId="3" borderId="8" xfId="2" applyNumberFormat="1" applyFont="1" applyFill="1" applyBorder="1" applyAlignment="1" applyProtection="1">
      <protection locked="0"/>
    </xf>
    <xf numFmtId="4" fontId="5" fillId="3" borderId="36" xfId="2" applyNumberFormat="1" applyFont="1" applyFill="1" applyBorder="1" applyAlignment="1" applyProtection="1">
      <protection locked="0"/>
    </xf>
    <xf numFmtId="4" fontId="4" fillId="0" borderId="17" xfId="2" applyNumberFormat="1" applyFont="1" applyFill="1" applyBorder="1" applyAlignment="1" applyProtection="1"/>
    <xf numFmtId="4" fontId="5" fillId="5" borderId="17" xfId="2" applyNumberFormat="1" applyFont="1" applyFill="1" applyBorder="1" applyAlignment="1" applyProtection="1">
      <protection locked="0"/>
    </xf>
    <xf numFmtId="4" fontId="5" fillId="5" borderId="37" xfId="2" applyNumberFormat="1" applyFont="1" applyFill="1" applyBorder="1" applyAlignment="1" applyProtection="1">
      <protection locked="0"/>
    </xf>
    <xf numFmtId="4" fontId="5" fillId="5" borderId="36" xfId="2" applyNumberFormat="1" applyFont="1" applyFill="1" applyBorder="1" applyAlignment="1" applyProtection="1">
      <protection locked="0"/>
    </xf>
    <xf numFmtId="4" fontId="5" fillId="5" borderId="0" xfId="2" applyNumberFormat="1" applyFont="1" applyFill="1" applyBorder="1" applyAlignment="1" applyProtection="1">
      <protection locked="0"/>
    </xf>
    <xf numFmtId="4" fontId="5" fillId="0" borderId="17" xfId="2" applyNumberFormat="1" applyFont="1" applyFill="1" applyBorder="1" applyAlignment="1" applyProtection="1"/>
    <xf numFmtId="4" fontId="4" fillId="0" borderId="15" xfId="2" applyNumberFormat="1" applyFont="1" applyBorder="1" applyAlignment="1" applyProtection="1"/>
    <xf numFmtId="4" fontId="5" fillId="0" borderId="18" xfId="2" applyNumberFormat="1" applyFont="1" applyBorder="1" applyAlignment="1" applyProtection="1"/>
    <xf numFmtId="4" fontId="5" fillId="0" borderId="16" xfId="2" applyNumberFormat="1" applyFont="1" applyBorder="1" applyAlignment="1" applyProtection="1"/>
    <xf numFmtId="4" fontId="4" fillId="0" borderId="14" xfId="2" applyNumberFormat="1" applyFont="1" applyBorder="1" applyAlignment="1" applyProtection="1"/>
    <xf numFmtId="3" fontId="14" fillId="3" borderId="18" xfId="2" applyNumberFormat="1" applyFont="1" applyFill="1" applyBorder="1" applyAlignment="1" applyProtection="1">
      <protection locked="0"/>
    </xf>
    <xf numFmtId="3" fontId="5" fillId="3" borderId="16" xfId="2" applyNumberFormat="1" applyFont="1" applyFill="1" applyBorder="1" applyAlignment="1" applyProtection="1"/>
    <xf numFmtId="3" fontId="5" fillId="0" borderId="17" xfId="2" applyNumberFormat="1" applyFont="1" applyFill="1" applyBorder="1" applyAlignment="1" applyProtection="1"/>
    <xf numFmtId="3" fontId="4" fillId="0" borderId="14" xfId="2" applyNumberFormat="1" applyFont="1" applyBorder="1" applyAlignment="1" applyProtection="1"/>
    <xf numFmtId="3" fontId="15" fillId="0" borderId="5" xfId="2" applyNumberFormat="1" applyFont="1" applyBorder="1" applyAlignment="1" applyProtection="1">
      <alignment horizontal="center"/>
    </xf>
    <xf numFmtId="3" fontId="15" fillId="0" borderId="48" xfId="2" applyNumberFormat="1" applyFont="1" applyBorder="1" applyAlignment="1" applyProtection="1">
      <alignment horizontal="center"/>
    </xf>
    <xf numFmtId="3" fontId="18" fillId="0" borderId="48" xfId="2" applyNumberFormat="1" applyFont="1" applyFill="1" applyBorder="1" applyAlignment="1" applyProtection="1">
      <alignment horizontal="center"/>
    </xf>
    <xf numFmtId="3" fontId="18" fillId="0" borderId="48" xfId="2" applyNumberFormat="1" applyFont="1" applyBorder="1" applyAlignment="1" applyProtection="1">
      <alignment horizontal="center"/>
    </xf>
    <xf numFmtId="3" fontId="18" fillId="0" borderId="48" xfId="2" applyNumberFormat="1" applyFont="1" applyBorder="1" applyAlignment="1" applyProtection="1"/>
    <xf numFmtId="3" fontId="18" fillId="0" borderId="48" xfId="2" applyNumberFormat="1" applyFont="1" applyFill="1" applyBorder="1" applyAlignment="1" applyProtection="1"/>
    <xf numFmtId="4" fontId="19" fillId="0" borderId="48" xfId="2" applyNumberFormat="1" applyFont="1" applyFill="1" applyBorder="1" applyAlignment="1" applyProtection="1">
      <alignment horizontal="right"/>
    </xf>
    <xf numFmtId="4" fontId="19" fillId="5" borderId="48" xfId="2" applyNumberFormat="1" applyFont="1" applyFill="1" applyBorder="1" applyAlignment="1" applyProtection="1">
      <alignment horizontal="right"/>
    </xf>
    <xf numFmtId="4" fontId="19" fillId="0" borderId="6" xfId="2" applyNumberFormat="1" applyFont="1" applyFill="1" applyBorder="1" applyAlignment="1" applyProtection="1">
      <alignment horizontal="right"/>
    </xf>
    <xf numFmtId="3" fontId="20" fillId="0" borderId="49" xfId="2" applyNumberFormat="1" applyFont="1" applyFill="1" applyBorder="1" applyAlignment="1" applyProtection="1"/>
    <xf numFmtId="4" fontId="20" fillId="0" borderId="50" xfId="2" applyNumberFormat="1" applyFont="1" applyFill="1" applyBorder="1" applyAlignment="1" applyProtection="1"/>
    <xf numFmtId="3" fontId="4" fillId="0" borderId="8" xfId="2" applyNumberFormat="1" applyFont="1" applyBorder="1" applyAlignment="1" applyProtection="1">
      <protection locked="0"/>
    </xf>
    <xf numFmtId="3" fontId="4" fillId="0" borderId="0" xfId="2" applyNumberFormat="1" applyFont="1" applyBorder="1" applyAlignment="1" applyProtection="1">
      <alignment horizontal="center"/>
      <protection locked="0"/>
    </xf>
    <xf numFmtId="3" fontId="5" fillId="0" borderId="0" xfId="2" applyNumberFormat="1" applyFont="1" applyFill="1" applyBorder="1" applyAlignment="1" applyProtection="1">
      <alignment horizontal="center"/>
      <protection locked="0"/>
    </xf>
    <xf numFmtId="3" fontId="5" fillId="0" borderId="0" xfId="2" applyNumberFormat="1" applyFont="1" applyBorder="1" applyAlignment="1" applyProtection="1">
      <alignment horizontal="center"/>
      <protection locked="0"/>
    </xf>
    <xf numFmtId="3" fontId="5" fillId="0" borderId="0" xfId="2" applyNumberFormat="1" applyFont="1" applyBorder="1" applyAlignment="1" applyProtection="1">
      <protection locked="0"/>
    </xf>
    <xf numFmtId="3" fontId="5" fillId="0" borderId="0" xfId="2" applyNumberFormat="1" applyFont="1" applyFill="1" applyBorder="1" applyAlignment="1" applyProtection="1">
      <protection locked="0"/>
    </xf>
    <xf numFmtId="3" fontId="5" fillId="5" borderId="0" xfId="2" applyNumberFormat="1" applyFont="1" applyFill="1" applyBorder="1" applyAlignment="1" applyProtection="1">
      <protection locked="0"/>
    </xf>
    <xf numFmtId="3" fontId="4" fillId="0" borderId="0" xfId="2" applyNumberFormat="1" applyFont="1" applyFill="1" applyBorder="1" applyAlignment="1" applyProtection="1">
      <protection locked="0"/>
    </xf>
    <xf numFmtId="3" fontId="5" fillId="0" borderId="0" xfId="2" applyNumberFormat="1" applyFont="1" applyFill="1" applyBorder="1" applyAlignment="1" applyProtection="1">
      <alignment horizontal="center" vertical="center"/>
      <protection locked="0"/>
    </xf>
    <xf numFmtId="3" fontId="5" fillId="8" borderId="1" xfId="2" applyNumberFormat="1" applyFont="1" applyFill="1" applyBorder="1" applyAlignment="1" applyProtection="1">
      <alignment horizontal="center" vertical="center"/>
      <protection locked="0"/>
    </xf>
    <xf numFmtId="3" fontId="5" fillId="0" borderId="51" xfId="2" applyNumberFormat="1" applyFont="1" applyFill="1" applyBorder="1" applyAlignment="1" applyProtection="1">
      <protection locked="0"/>
    </xf>
    <xf numFmtId="3" fontId="21" fillId="0" borderId="1" xfId="2" applyNumberFormat="1" applyFont="1" applyFill="1" applyBorder="1" applyAlignment="1" applyProtection="1">
      <alignment horizontal="center" vertical="center"/>
      <protection locked="0"/>
    </xf>
    <xf numFmtId="3" fontId="22" fillId="0" borderId="0" xfId="2" applyNumberFormat="1" applyFont="1" applyFill="1" applyBorder="1" applyAlignment="1" applyProtection="1">
      <alignment horizontal="center"/>
      <protection locked="0"/>
    </xf>
    <xf numFmtId="0" fontId="4" fillId="3" borderId="52" xfId="2" applyFont="1" applyFill="1" applyBorder="1" applyAlignment="1" applyProtection="1">
      <protection locked="0"/>
    </xf>
    <xf numFmtId="3" fontId="21" fillId="0" borderId="0" xfId="2" applyNumberFormat="1" applyFont="1" applyFill="1" applyBorder="1" applyAlignment="1" applyProtection="1">
      <alignment horizontal="center"/>
    </xf>
    <xf numFmtId="0" fontId="5" fillId="3" borderId="53" xfId="2" applyFont="1" applyFill="1" applyBorder="1" applyAlignment="1" applyProtection="1">
      <protection locked="0"/>
    </xf>
    <xf numFmtId="3" fontId="5" fillId="8" borderId="0" xfId="2" applyNumberFormat="1" applyFont="1" applyFill="1" applyBorder="1" applyAlignment="1" applyProtection="1">
      <alignment horizontal="center" vertical="center"/>
      <protection locked="0"/>
    </xf>
    <xf numFmtId="3" fontId="5" fillId="0" borderId="2" xfId="2" applyNumberFormat="1" applyFont="1" applyFill="1" applyBorder="1" applyAlignment="1" applyProtection="1">
      <protection locked="0"/>
    </xf>
    <xf numFmtId="3" fontId="21" fillId="0" borderId="0" xfId="2" applyNumberFormat="1" applyFont="1" applyFill="1" applyBorder="1" applyAlignment="1" applyProtection="1">
      <alignment vertical="center"/>
      <protection locked="0"/>
    </xf>
    <xf numFmtId="0" fontId="22" fillId="0" borderId="0" xfId="2" applyFont="1" applyAlignment="1" applyProtection="1">
      <alignment horizontal="center"/>
      <protection locked="0"/>
    </xf>
    <xf numFmtId="3" fontId="23" fillId="0" borderId="54" xfId="2" applyNumberFormat="1" applyFont="1" applyFill="1" applyBorder="1" applyAlignment="1" applyProtection="1">
      <protection locked="0"/>
    </xf>
    <xf numFmtId="3" fontId="21" fillId="0" borderId="0" xfId="2" applyNumberFormat="1" applyFont="1" applyBorder="1" applyAlignment="1" applyProtection="1">
      <alignment horizontal="center"/>
    </xf>
    <xf numFmtId="3" fontId="5" fillId="3" borderId="55" xfId="2" applyNumberFormat="1" applyFont="1" applyFill="1" applyBorder="1" applyAlignment="1" applyProtection="1">
      <protection locked="0"/>
    </xf>
    <xf numFmtId="3" fontId="4" fillId="6" borderId="0" xfId="2" applyNumberFormat="1" applyFont="1" applyFill="1" applyBorder="1" applyAlignment="1" applyProtection="1">
      <alignment horizontal="centerContinuous" vertical="center"/>
    </xf>
    <xf numFmtId="3" fontId="5" fillId="6" borderId="0" xfId="2" applyNumberFormat="1" applyFont="1" applyFill="1" applyBorder="1" applyAlignment="1" applyProtection="1">
      <alignment horizontal="centerContinuous" vertical="center"/>
    </xf>
    <xf numFmtId="3" fontId="4" fillId="6" borderId="14" xfId="2" applyNumberFormat="1" applyFont="1" applyFill="1" applyBorder="1" applyAlignment="1" applyProtection="1">
      <alignment vertical="center"/>
    </xf>
    <xf numFmtId="0" fontId="4" fillId="0" borderId="0" xfId="2" applyFont="1" applyAlignment="1" applyProtection="1">
      <alignment horizontal="center"/>
      <protection locked="0"/>
    </xf>
    <xf numFmtId="0" fontId="4" fillId="0" borderId="26" xfId="2" applyFont="1" applyFill="1" applyBorder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  <xf numFmtId="3" fontId="4" fillId="0" borderId="35" xfId="0" applyNumberFormat="1" applyFont="1" applyBorder="1" applyAlignment="1" applyProtection="1">
      <alignment horizontal="center" vertical="center"/>
    </xf>
    <xf numFmtId="0" fontId="5" fillId="0" borderId="26" xfId="2" applyFont="1" applyFill="1" applyBorder="1" applyAlignment="1" applyProtection="1">
      <alignment horizontal="center"/>
      <protection locked="0"/>
    </xf>
    <xf numFmtId="0" fontId="5" fillId="0" borderId="26" xfId="2" applyFont="1" applyBorder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</xf>
    <xf numFmtId="0" fontId="5" fillId="0" borderId="0" xfId="2" applyFont="1" applyFill="1" applyAlignment="1" applyProtection="1">
      <protection locked="0"/>
    </xf>
    <xf numFmtId="0" fontId="4" fillId="0" borderId="0" xfId="2" applyFont="1" applyFill="1" applyAlignment="1" applyProtection="1">
      <alignment horizontal="center"/>
      <protection locked="0"/>
    </xf>
    <xf numFmtId="3" fontId="4" fillId="0" borderId="0" xfId="2" applyNumberFormat="1" applyFont="1" applyBorder="1" applyAlignment="1" applyProtection="1">
      <alignment horizontal="center"/>
    </xf>
    <xf numFmtId="3" fontId="5" fillId="0" borderId="14" xfId="2" applyNumberFormat="1" applyFont="1" applyBorder="1" applyAlignment="1" applyProtection="1"/>
    <xf numFmtId="14" fontId="7" fillId="0" borderId="2" xfId="0" applyNumberFormat="1" applyFont="1" applyBorder="1" applyAlignment="1">
      <alignment horizontal="center"/>
    </xf>
    <xf numFmtId="0" fontId="5" fillId="0" borderId="2" xfId="3" applyFont="1" applyBorder="1" applyAlignment="1" applyProtection="1">
      <alignment horizontal="center"/>
      <protection locked="0"/>
    </xf>
    <xf numFmtId="4" fontId="4" fillId="0" borderId="2" xfId="3" applyNumberFormat="1" applyFont="1" applyFill="1" applyBorder="1" applyAlignment="1" applyProtection="1">
      <alignment horizontal="center"/>
    </xf>
    <xf numFmtId="0" fontId="4" fillId="0" borderId="0" xfId="3" applyFont="1" applyAlignment="1" applyProtection="1">
      <alignment horizontal="center"/>
      <protection locked="0"/>
    </xf>
    <xf numFmtId="3" fontId="5" fillId="5" borderId="0" xfId="2" applyNumberFormat="1" applyFont="1" applyFill="1" applyBorder="1" applyAlignment="1" applyProtection="1">
      <alignment horizontal="center"/>
    </xf>
    <xf numFmtId="3" fontId="4" fillId="0" borderId="36" xfId="0" applyNumberFormat="1" applyFont="1" applyBorder="1" applyAlignment="1" applyProtection="1">
      <alignment horizontal="center" vertical="center"/>
    </xf>
    <xf numFmtId="164" fontId="24" fillId="20" borderId="2" xfId="3" applyNumberFormat="1" applyFont="1" applyFill="1" applyBorder="1" applyAlignment="1" applyProtection="1">
      <alignment horizontal="center"/>
    </xf>
    <xf numFmtId="0" fontId="5" fillId="0" borderId="0" xfId="2" applyFont="1" applyFill="1" applyAlignment="1" applyProtection="1">
      <alignment horizontal="left"/>
      <protection locked="0"/>
    </xf>
    <xf numFmtId="165" fontId="8" fillId="0" borderId="2" xfId="2" applyNumberFormat="1" applyFont="1" applyBorder="1" applyAlignment="1" applyProtection="1">
      <alignment horizontal="right"/>
    </xf>
    <xf numFmtId="3" fontId="5" fillId="0" borderId="8" xfId="2" applyNumberFormat="1" applyFont="1" applyFill="1" applyBorder="1" applyAlignment="1" applyProtection="1"/>
    <xf numFmtId="0" fontId="5" fillId="0" borderId="14" xfId="2" applyNumberFormat="1" applyFont="1" applyFill="1" applyBorder="1" applyAlignment="1" applyProtection="1">
      <alignment horizontal="center"/>
      <protection locked="0"/>
    </xf>
    <xf numFmtId="164" fontId="25" fillId="20" borderId="2" xfId="3" applyNumberFormat="1" applyFont="1" applyFill="1" applyBorder="1" applyAlignment="1" applyProtection="1">
      <alignment horizontal="center"/>
    </xf>
    <xf numFmtId="3" fontId="4" fillId="0" borderId="51" xfId="0" applyNumberFormat="1" applyFont="1" applyBorder="1" applyAlignment="1" applyProtection="1">
      <alignment horizontal="center" vertical="center"/>
    </xf>
    <xf numFmtId="3" fontId="5" fillId="0" borderId="0" xfId="2" applyNumberFormat="1" applyFont="1" applyFill="1" applyBorder="1" applyAlignment="1" applyProtection="1">
      <alignment horizontal="left"/>
    </xf>
    <xf numFmtId="165" fontId="5" fillId="0" borderId="14" xfId="2" applyNumberFormat="1" applyFont="1" applyFill="1" applyBorder="1" applyAlignment="1" applyProtection="1">
      <alignment horizontal="center"/>
      <protection locked="0"/>
    </xf>
    <xf numFmtId="0" fontId="4" fillId="0" borderId="0" xfId="2" applyFont="1" applyAlignment="1" applyProtection="1">
      <protection locked="0"/>
    </xf>
    <xf numFmtId="0" fontId="5" fillId="0" borderId="0" xfId="3" applyFont="1" applyAlignment="1" applyProtection="1">
      <alignment horizontal="center"/>
      <protection locked="0"/>
    </xf>
    <xf numFmtId="166" fontId="4" fillId="9" borderId="0" xfId="2" applyNumberFormat="1" applyFont="1" applyFill="1" applyAlignment="1" applyProtection="1">
      <alignment horizontal="center"/>
      <protection locked="0"/>
    </xf>
    <xf numFmtId="0" fontId="4" fillId="0" borderId="2" xfId="2" applyFont="1" applyBorder="1" applyAlignment="1" applyProtection="1">
      <alignment horizontal="center"/>
      <protection locked="0"/>
    </xf>
    <xf numFmtId="9" fontId="26" fillId="22" borderId="2" xfId="1" applyFont="1" applyFill="1" applyBorder="1" applyAlignment="1" applyProtection="1">
      <alignment horizontal="center"/>
    </xf>
    <xf numFmtId="9" fontId="5" fillId="0" borderId="0" xfId="1" applyFont="1" applyFill="1" applyBorder="1" applyAlignment="1" applyProtection="1">
      <alignment horizontal="left" vertical="center"/>
    </xf>
    <xf numFmtId="3" fontId="5" fillId="0" borderId="0" xfId="2" applyNumberFormat="1" applyFont="1" applyFill="1" applyBorder="1" applyAlignment="1" applyProtection="1">
      <alignment horizontal="left" vertical="center"/>
    </xf>
    <xf numFmtId="3" fontId="5" fillId="0" borderId="0" xfId="0" applyNumberFormat="1" applyFont="1" applyBorder="1" applyAlignment="1" applyProtection="1"/>
    <xf numFmtId="0" fontId="5" fillId="0" borderId="0" xfId="0" applyFont="1" applyAlignment="1" applyProtection="1">
      <alignment horizontal="left"/>
      <protection locked="0"/>
    </xf>
    <xf numFmtId="0" fontId="5" fillId="0" borderId="2" xfId="0" applyFont="1" applyBorder="1" applyProtection="1">
      <protection locked="0"/>
    </xf>
    <xf numFmtId="14" fontId="6" fillId="0" borderId="2" xfId="0" applyNumberFormat="1" applyFont="1" applyBorder="1" applyAlignment="1">
      <alignment horizontal="center"/>
    </xf>
    <xf numFmtId="4" fontId="4" fillId="0" borderId="2" xfId="3" applyNumberFormat="1" applyFont="1" applyBorder="1" applyAlignment="1" applyProtection="1">
      <alignment horizontal="center"/>
    </xf>
    <xf numFmtId="167" fontId="4" fillId="23" borderId="2" xfId="3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165" fontId="4" fillId="0" borderId="2" xfId="0" applyNumberFormat="1" applyFont="1" applyBorder="1" applyProtection="1">
      <protection locked="0"/>
    </xf>
    <xf numFmtId="3" fontId="5" fillId="5" borderId="0" xfId="2" applyNumberFormat="1" applyFont="1" applyFill="1" applyBorder="1" applyAlignment="1" applyProtection="1"/>
    <xf numFmtId="0" fontId="5" fillId="0" borderId="0" xfId="0" applyFont="1" applyBorder="1" applyAlignment="1" applyProtection="1"/>
    <xf numFmtId="3" fontId="5" fillId="0" borderId="0" xfId="0" applyNumberFormat="1" applyFont="1" applyBorder="1" applyAlignment="1" applyProtection="1">
      <alignment horizontal="center"/>
    </xf>
    <xf numFmtId="3" fontId="5" fillId="0" borderId="17" xfId="0" applyNumberFormat="1" applyFont="1" applyBorder="1" applyAlignment="1" applyProtection="1">
      <alignment horizontal="center"/>
    </xf>
    <xf numFmtId="9" fontId="4" fillId="24" borderId="51" xfId="1" applyNumberFormat="1" applyFont="1" applyFill="1" applyBorder="1" applyAlignment="1" applyProtection="1">
      <alignment horizontal="center"/>
    </xf>
    <xf numFmtId="10" fontId="4" fillId="24" borderId="51" xfId="1" applyNumberFormat="1" applyFont="1" applyFill="1" applyBorder="1" applyAlignment="1" applyProtection="1">
      <alignment horizontal="center"/>
    </xf>
    <xf numFmtId="10" fontId="4" fillId="24" borderId="0" xfId="1" applyNumberFormat="1" applyFont="1" applyFill="1" applyBorder="1" applyAlignment="1" applyProtection="1">
      <alignment horizontal="center"/>
    </xf>
    <xf numFmtId="0" fontId="0" fillId="0" borderId="14" xfId="0" applyBorder="1"/>
    <xf numFmtId="3" fontId="5" fillId="0" borderId="8" xfId="0" applyNumberFormat="1" applyFont="1" applyBorder="1" applyAlignment="1" applyProtection="1"/>
    <xf numFmtId="168" fontId="12" fillId="9" borderId="0" xfId="2" applyNumberFormat="1" applyFont="1" applyFill="1" applyAlignment="1" applyProtection="1">
      <alignment horizontal="center"/>
      <protection locked="0"/>
    </xf>
    <xf numFmtId="164" fontId="5" fillId="5" borderId="0" xfId="2" applyNumberFormat="1" applyFont="1" applyFill="1" applyBorder="1" applyAlignment="1" applyProtection="1"/>
    <xf numFmtId="169" fontId="5" fillId="0" borderId="0" xfId="2" applyNumberFormat="1" applyFont="1" applyBorder="1" applyAlignment="1" applyProtection="1"/>
    <xf numFmtId="3" fontId="4" fillId="0" borderId="0" xfId="2" applyNumberFormat="1" applyFont="1" applyFill="1" applyBorder="1" applyAlignment="1" applyProtection="1">
      <alignment horizontal="centerContinuous"/>
    </xf>
    <xf numFmtId="165" fontId="20" fillId="0" borderId="2" xfId="2" applyNumberFormat="1" applyFont="1" applyFill="1" applyBorder="1" applyAlignment="1" applyProtection="1">
      <alignment horizontal="right"/>
    </xf>
    <xf numFmtId="164" fontId="20" fillId="0" borderId="2" xfId="2" applyNumberFormat="1" applyFont="1" applyFill="1" applyBorder="1" applyAlignment="1" applyProtection="1">
      <alignment horizontal="center"/>
    </xf>
    <xf numFmtId="0" fontId="4" fillId="0" borderId="2" xfId="3" applyFont="1" applyBorder="1" applyAlignment="1" applyProtection="1">
      <alignment horizontal="center"/>
      <protection locked="0"/>
    </xf>
    <xf numFmtId="2" fontId="4" fillId="0" borderId="2" xfId="3" applyNumberFormat="1" applyFont="1" applyBorder="1" applyAlignment="1" applyProtection="1">
      <alignment horizontal="center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17" xfId="2" applyNumberFormat="1" applyFont="1" applyFill="1" applyBorder="1" applyAlignment="1" applyProtection="1">
      <alignment horizontal="right"/>
    </xf>
    <xf numFmtId="164" fontId="20" fillId="0" borderId="17" xfId="2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3" fontId="5" fillId="5" borderId="0" xfId="0" applyNumberFormat="1" applyFont="1" applyFill="1" applyBorder="1" applyAlignment="1" applyProtection="1"/>
    <xf numFmtId="0" fontId="5" fillId="0" borderId="3" xfId="2" applyFont="1" applyFill="1" applyBorder="1" applyAlignment="1" applyProtection="1">
      <protection locked="0"/>
    </xf>
    <xf numFmtId="0" fontId="5" fillId="0" borderId="17" xfId="2" applyFont="1" applyFill="1" applyBorder="1" applyAlignment="1" applyProtection="1">
      <protection locked="0"/>
    </xf>
    <xf numFmtId="0" fontId="5" fillId="0" borderId="17" xfId="2" applyFont="1" applyBorder="1" applyAlignment="1" applyProtection="1">
      <protection locked="0"/>
    </xf>
    <xf numFmtId="3" fontId="12" fillId="0" borderId="14" xfId="0" applyNumberFormat="1" applyFont="1" applyFill="1" applyBorder="1" applyAlignment="1" applyProtection="1">
      <alignment horizontal="center"/>
    </xf>
    <xf numFmtId="3" fontId="4" fillId="6" borderId="8" xfId="2" applyNumberFormat="1" applyFont="1" applyFill="1" applyBorder="1" applyAlignment="1" applyProtection="1">
      <alignment horizontal="center" vertical="center"/>
    </xf>
    <xf numFmtId="170" fontId="4" fillId="6" borderId="2" xfId="2" applyNumberFormat="1" applyFont="1" applyFill="1" applyBorder="1" applyAlignment="1" applyProtection="1">
      <alignment vertical="center"/>
    </xf>
    <xf numFmtId="3" fontId="4" fillId="6" borderId="2" xfId="2" applyNumberFormat="1" applyFont="1" applyFill="1" applyBorder="1" applyAlignment="1" applyProtection="1">
      <alignment horizontal="center" vertical="center"/>
    </xf>
    <xf numFmtId="3" fontId="4" fillId="6" borderId="3" xfId="2" applyNumberFormat="1" applyFont="1" applyFill="1" applyBorder="1" applyAlignment="1" applyProtection="1">
      <alignment horizontal="center" vertical="center"/>
    </xf>
    <xf numFmtId="3" fontId="4" fillId="5" borderId="3" xfId="2" applyNumberFormat="1" applyFont="1" applyFill="1" applyBorder="1" applyAlignment="1" applyProtection="1">
      <alignment horizontal="center" vertical="center"/>
    </xf>
    <xf numFmtId="3" fontId="4" fillId="5" borderId="36" xfId="2" applyNumberFormat="1" applyFont="1" applyFill="1" applyBorder="1" applyAlignment="1" applyProtection="1">
      <alignment horizontal="center" vertical="center"/>
    </xf>
    <xf numFmtId="0" fontId="5" fillId="5" borderId="0" xfId="0" applyFont="1" applyFill="1"/>
    <xf numFmtId="3" fontId="5" fillId="6" borderId="0" xfId="2" applyNumberFormat="1" applyFont="1" applyFill="1" applyBorder="1" applyAlignment="1" applyProtection="1">
      <alignment horizontal="center" vertical="center"/>
    </xf>
    <xf numFmtId="3" fontId="4" fillId="6" borderId="3" xfId="2" applyNumberFormat="1" applyFont="1" applyFill="1" applyBorder="1" applyAlignment="1" applyProtection="1">
      <alignment horizontal="centerContinuous" vertical="center"/>
    </xf>
    <xf numFmtId="3" fontId="4" fillId="6" borderId="17" xfId="2" applyNumberFormat="1" applyFont="1" applyFill="1" applyBorder="1" applyAlignment="1" applyProtection="1">
      <alignment horizontal="center" vertical="center"/>
    </xf>
    <xf numFmtId="3" fontId="12" fillId="0" borderId="14" xfId="2" applyNumberFormat="1" applyFont="1" applyFill="1" applyBorder="1" applyAlignment="1" applyProtection="1">
      <alignment horizontal="center" vertical="center"/>
    </xf>
    <xf numFmtId="3" fontId="5" fillId="0" borderId="51" xfId="2" applyNumberFormat="1" applyFont="1" applyBorder="1" applyAlignment="1" applyProtection="1"/>
    <xf numFmtId="3" fontId="5" fillId="5" borderId="51" xfId="2" applyNumberFormat="1" applyFont="1" applyFill="1" applyBorder="1" applyAlignment="1" applyProtection="1">
      <alignment horizontal="center"/>
    </xf>
    <xf numFmtId="3" fontId="5" fillId="0" borderId="51" xfId="0" applyNumberFormat="1" applyFont="1" applyBorder="1" applyAlignment="1" applyProtection="1"/>
    <xf numFmtId="0" fontId="5" fillId="0" borderId="3" xfId="2" applyFont="1" applyBorder="1" applyAlignment="1" applyProtection="1">
      <protection locked="0"/>
    </xf>
    <xf numFmtId="0" fontId="5" fillId="0" borderId="0" xfId="2" applyFont="1" applyFill="1" applyBorder="1" applyAlignment="1" applyProtection="1">
      <protection locked="0"/>
    </xf>
    <xf numFmtId="0" fontId="5" fillId="0" borderId="0" xfId="2" applyFont="1" applyBorder="1" applyAlignment="1" applyProtection="1">
      <protection locked="0"/>
    </xf>
    <xf numFmtId="3" fontId="5" fillId="0" borderId="14" xfId="2" applyNumberFormat="1" applyFont="1" applyFill="1" applyBorder="1" applyAlignment="1" applyProtection="1"/>
    <xf numFmtId="3" fontId="4" fillId="0" borderId="8" xfId="2" applyNumberFormat="1" applyFont="1" applyBorder="1" applyAlignment="1" applyProtection="1">
      <alignment horizontal="center"/>
    </xf>
    <xf numFmtId="3" fontId="4" fillId="0" borderId="0" xfId="2" applyNumberFormat="1" applyFont="1" applyBorder="1" applyAlignment="1" applyProtection="1">
      <alignment horizontal="center"/>
    </xf>
    <xf numFmtId="167" fontId="5" fillId="0" borderId="36" xfId="2" applyNumberFormat="1" applyFont="1" applyFill="1" applyBorder="1" applyAlignment="1" applyProtection="1"/>
    <xf numFmtId="167" fontId="5" fillId="0" borderId="35" xfId="2" applyNumberFormat="1" applyFont="1" applyFill="1" applyBorder="1" applyAlignment="1" applyProtection="1"/>
    <xf numFmtId="165" fontId="5" fillId="0" borderId="36" xfId="2" applyNumberFormat="1" applyFont="1" applyBorder="1" applyAlignment="1" applyProtection="1"/>
    <xf numFmtId="165" fontId="5" fillId="5" borderId="0" xfId="2" applyNumberFormat="1" applyFont="1" applyFill="1" applyBorder="1" applyAlignment="1" applyProtection="1"/>
    <xf numFmtId="165" fontId="8" fillId="0" borderId="17" xfId="0" applyNumberFormat="1" applyFont="1" applyBorder="1" applyAlignment="1" applyProtection="1"/>
    <xf numFmtId="165" fontId="8" fillId="0" borderId="0" xfId="0" applyNumberFormat="1" applyFont="1" applyBorder="1" applyAlignment="1" applyProtection="1"/>
    <xf numFmtId="3" fontId="5" fillId="0" borderId="3" xfId="2" applyNumberFormat="1" applyFont="1" applyBorder="1" applyAlignment="1" applyProtection="1"/>
    <xf numFmtId="0" fontId="5" fillId="3" borderId="0" xfId="2" applyNumberFormat="1" applyFont="1" applyFill="1" applyBorder="1" applyAlignment="1" applyProtection="1">
      <alignment horizontal="center"/>
      <protection locked="0"/>
    </xf>
    <xf numFmtId="14" fontId="5" fillId="0" borderId="0" xfId="2" applyNumberFormat="1" applyFont="1" applyFill="1" applyBorder="1" applyAlignment="1" applyProtection="1">
      <alignment horizontal="center"/>
      <protection locked="0"/>
    </xf>
    <xf numFmtId="3" fontId="4" fillId="0" borderId="0" xfId="2" applyNumberFormat="1" applyFont="1" applyBorder="1" applyAlignment="1" applyProtection="1">
      <alignment horizontal="centerContinuous"/>
    </xf>
    <xf numFmtId="3" fontId="5" fillId="0" borderId="0" xfId="2" applyNumberFormat="1" applyFont="1" applyBorder="1" applyAlignment="1" applyProtection="1">
      <alignment horizontal="centerContinuous"/>
    </xf>
    <xf numFmtId="165" fontId="20" fillId="0" borderId="36" xfId="2" applyNumberFormat="1" applyFont="1" applyFill="1" applyBorder="1" applyAlignment="1" applyProtection="1"/>
    <xf numFmtId="3" fontId="5" fillId="0" borderId="14" xfId="2" applyNumberFormat="1" applyFont="1" applyFill="1" applyBorder="1" applyAlignment="1" applyProtection="1">
      <alignment horizontal="center"/>
    </xf>
    <xf numFmtId="3" fontId="5" fillId="0" borderId="8" xfId="2" applyNumberFormat="1" applyFont="1" applyBorder="1" applyAlignment="1" applyProtection="1">
      <protection locked="0"/>
    </xf>
    <xf numFmtId="171" fontId="5" fillId="5" borderId="0" xfId="2" applyNumberFormat="1" applyFont="1" applyFill="1" applyBorder="1" applyAlignment="1" applyProtection="1">
      <alignment horizontal="center"/>
      <protection locked="0"/>
    </xf>
    <xf numFmtId="3" fontId="4" fillId="0" borderId="0" xfId="2" applyNumberFormat="1" applyFont="1" applyBorder="1" applyAlignment="1" applyProtection="1"/>
    <xf numFmtId="3" fontId="8" fillId="0" borderId="0" xfId="2" applyNumberFormat="1" applyFont="1" applyBorder="1" applyAlignment="1" applyProtection="1"/>
    <xf numFmtId="165" fontId="5" fillId="0" borderId="36" xfId="2" applyNumberFormat="1" applyFont="1" applyFill="1" applyBorder="1" applyAlignment="1" applyProtection="1"/>
    <xf numFmtId="10" fontId="27" fillId="0" borderId="14" xfId="1" applyNumberFormat="1" applyFont="1" applyFill="1" applyBorder="1" applyAlignment="1" applyProtection="1"/>
    <xf numFmtId="0" fontId="5" fillId="0" borderId="0" xfId="2" applyFont="1" applyFill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right"/>
      <protection locked="0"/>
    </xf>
    <xf numFmtId="9" fontId="5" fillId="9" borderId="0" xfId="1" applyFont="1" applyFill="1" applyBorder="1" applyAlignment="1" applyProtection="1"/>
    <xf numFmtId="167" fontId="5" fillId="0" borderId="36" xfId="2" applyNumberFormat="1" applyFont="1" applyFill="1" applyBorder="1" applyAlignment="1" applyProtection="1">
      <protection locked="0"/>
    </xf>
    <xf numFmtId="171" fontId="5" fillId="5" borderId="0" xfId="2" applyNumberFormat="1" applyFont="1" applyFill="1" applyBorder="1" applyAlignment="1" applyProtection="1">
      <protection locked="0"/>
    </xf>
    <xf numFmtId="171" fontId="8" fillId="0" borderId="17" xfId="0" applyNumberFormat="1" applyFont="1" applyBorder="1" applyAlignment="1" applyProtection="1"/>
    <xf numFmtId="171" fontId="8" fillId="0" borderId="0" xfId="0" applyNumberFormat="1" applyFont="1" applyBorder="1" applyAlignment="1" applyProtection="1"/>
    <xf numFmtId="14" fontId="5" fillId="0" borderId="0" xfId="2" applyNumberFormat="1" applyFont="1" applyBorder="1" applyAlignment="1" applyProtection="1">
      <protection locked="0"/>
    </xf>
    <xf numFmtId="165" fontId="20" fillId="0" borderId="36" xfId="2" applyNumberFormat="1" applyFont="1" applyBorder="1" applyAlignment="1" applyProtection="1"/>
    <xf numFmtId="165" fontId="5" fillId="5" borderId="0" xfId="2" applyNumberFormat="1" applyFont="1" applyFill="1" applyBorder="1" applyAlignment="1" applyProtection="1">
      <alignment horizontal="right"/>
    </xf>
    <xf numFmtId="165" fontId="28" fillId="0" borderId="17" xfId="0" applyNumberFormat="1" applyFont="1" applyBorder="1" applyAlignment="1" applyProtection="1"/>
    <xf numFmtId="164" fontId="19" fillId="0" borderId="0" xfId="2" applyNumberFormat="1" applyFont="1" applyBorder="1" applyAlignment="1" applyProtection="1">
      <alignment horizontal="center"/>
    </xf>
    <xf numFmtId="3" fontId="29" fillId="25" borderId="0" xfId="0" applyNumberFormat="1" applyFont="1" applyFill="1" applyBorder="1" applyAlignment="1" applyProtection="1">
      <alignment horizontal="right"/>
      <protection locked="0"/>
    </xf>
    <xf numFmtId="9" fontId="5" fillId="0" borderId="0" xfId="2" applyNumberFormat="1" applyFont="1" applyBorder="1" applyAlignment="1" applyProtection="1">
      <alignment horizontal="left"/>
    </xf>
    <xf numFmtId="49" fontId="5" fillId="0" borderId="0" xfId="2" applyNumberFormat="1" applyFont="1" applyBorder="1" applyAlignment="1" applyProtection="1">
      <protection locked="0"/>
    </xf>
    <xf numFmtId="172" fontId="5" fillId="25" borderId="0" xfId="2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/>
    <xf numFmtId="165" fontId="28" fillId="0" borderId="0" xfId="0" applyNumberFormat="1" applyFont="1" applyBorder="1" applyAlignment="1" applyProtection="1"/>
    <xf numFmtId="164" fontId="23" fillId="9" borderId="0" xfId="2" applyNumberFormat="1" applyFont="1" applyFill="1" applyBorder="1" applyAlignment="1" applyProtection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3" fontId="5" fillId="25" borderId="0" xfId="2" applyNumberFormat="1" applyFont="1" applyFill="1" applyBorder="1" applyAlignment="1" applyProtection="1">
      <alignment horizontal="center"/>
      <protection locked="0"/>
    </xf>
    <xf numFmtId="172" fontId="4" fillId="25" borderId="0" xfId="2" applyNumberFormat="1" applyFont="1" applyFill="1" applyBorder="1" applyAlignment="1" applyProtection="1">
      <alignment horizontal="center"/>
      <protection locked="0"/>
    </xf>
    <xf numFmtId="3" fontId="5" fillId="0" borderId="14" xfId="2" applyNumberFormat="1" applyFont="1" applyFill="1" applyBorder="1" applyAlignment="1" applyProtection="1">
      <alignment horizontal="center"/>
      <protection locked="0"/>
    </xf>
    <xf numFmtId="173" fontId="5" fillId="0" borderId="0" xfId="2" applyNumberFormat="1" applyFont="1" applyFill="1" applyBorder="1" applyAlignment="1" applyProtection="1">
      <alignment horizontal="center"/>
      <protection locked="0"/>
    </xf>
    <xf numFmtId="165" fontId="20" fillId="0" borderId="17" xfId="2" applyNumberFormat="1" applyFont="1" applyFill="1" applyBorder="1" applyAlignment="1" applyProtection="1"/>
    <xf numFmtId="3" fontId="5" fillId="0" borderId="14" xfId="2" applyNumberFormat="1" applyFont="1" applyFill="1" applyBorder="1" applyAlignment="1" applyProtection="1">
      <protection locked="0"/>
    </xf>
    <xf numFmtId="3" fontId="4" fillId="25" borderId="0" xfId="2" applyNumberFormat="1" applyFont="1" applyFill="1" applyBorder="1" applyAlignment="1" applyProtection="1">
      <alignment horizontal="center"/>
      <protection locked="0"/>
    </xf>
    <xf numFmtId="3" fontId="8" fillId="0" borderId="0" xfId="2" applyNumberFormat="1" applyFont="1" applyBorder="1" applyAlignment="1" applyProtection="1">
      <protection locked="0"/>
    </xf>
    <xf numFmtId="172" fontId="8" fillId="0" borderId="0" xfId="2" applyNumberFormat="1" applyFont="1" applyFill="1" applyBorder="1" applyAlignment="1" applyProtection="1">
      <alignment horizontal="center"/>
    </xf>
    <xf numFmtId="10" fontId="5" fillId="0" borderId="14" xfId="1" applyNumberFormat="1" applyFont="1" applyFill="1" applyBorder="1" applyAlignment="1" applyProtection="1">
      <alignment horizontal="center"/>
    </xf>
    <xf numFmtId="0" fontId="5" fillId="0" borderId="14" xfId="2" applyFont="1" applyFill="1" applyBorder="1" applyAlignment="1" applyProtection="1">
      <protection locked="0"/>
    </xf>
    <xf numFmtId="49" fontId="5" fillId="0" borderId="0" xfId="2" applyNumberFormat="1" applyFont="1" applyBorder="1" applyAlignment="1" applyProtection="1">
      <alignment horizontal="center"/>
      <protection locked="0"/>
    </xf>
    <xf numFmtId="14" fontId="5" fillId="0" borderId="0" xfId="2" applyNumberFormat="1" applyFont="1" applyBorder="1" applyAlignment="1" applyProtection="1"/>
    <xf numFmtId="3" fontId="4" fillId="0" borderId="17" xfId="2" applyNumberFormat="1" applyFont="1" applyBorder="1" applyAlignment="1" applyProtection="1">
      <alignment horizontal="center"/>
    </xf>
    <xf numFmtId="167" fontId="20" fillId="0" borderId="51" xfId="2" applyNumberFormat="1" applyFont="1" applyBorder="1" applyAlignment="1" applyProtection="1"/>
    <xf numFmtId="172" fontId="5" fillId="0" borderId="0" xfId="2" applyNumberFormat="1" applyFont="1" applyFill="1" applyBorder="1" applyAlignment="1" applyProtection="1">
      <alignment horizontal="center"/>
      <protection locked="0"/>
    </xf>
    <xf numFmtId="165" fontId="20" fillId="0" borderId="2" xfId="2" applyNumberFormat="1" applyFont="1" applyBorder="1" applyAlignment="1" applyProtection="1"/>
    <xf numFmtId="165" fontId="30" fillId="0" borderId="29" xfId="0" applyNumberFormat="1" applyFont="1" applyBorder="1" applyAlignment="1" applyProtection="1"/>
    <xf numFmtId="165" fontId="30" fillId="0" borderId="0" xfId="0" applyNumberFormat="1" applyFont="1" applyBorder="1" applyAlignment="1" applyProtection="1"/>
    <xf numFmtId="2" fontId="31" fillId="0" borderId="3" xfId="2" applyNumberFormat="1" applyFont="1" applyFill="1" applyBorder="1" applyAlignment="1" applyProtection="1">
      <alignment horizontal="left"/>
    </xf>
    <xf numFmtId="4" fontId="5" fillId="0" borderId="0" xfId="2" applyNumberFormat="1" applyFont="1" applyBorder="1" applyAlignment="1" applyProtection="1">
      <alignment horizontal="center"/>
    </xf>
    <xf numFmtId="171" fontId="5" fillId="5" borderId="0" xfId="2" applyNumberFormat="1" applyFont="1" applyFill="1" applyBorder="1" applyAlignment="1" applyProtection="1">
      <alignment horizontal="centerContinuous"/>
    </xf>
    <xf numFmtId="171" fontId="5" fillId="5" borderId="0" xfId="2" applyNumberFormat="1" applyFont="1" applyFill="1" applyBorder="1" applyAlignment="1" applyProtection="1">
      <alignment horizontal="center"/>
    </xf>
    <xf numFmtId="0" fontId="5" fillId="5" borderId="0" xfId="2" applyFont="1" applyFill="1" applyAlignment="1" applyProtection="1">
      <protection locked="0"/>
    </xf>
    <xf numFmtId="171" fontId="5" fillId="0" borderId="0" xfId="0" applyNumberFormat="1" applyFont="1" applyBorder="1" applyAlignment="1" applyProtection="1"/>
    <xf numFmtId="171" fontId="20" fillId="0" borderId="0" xfId="2" applyNumberFormat="1" applyFont="1" applyBorder="1" applyAlignment="1" applyProtection="1"/>
    <xf numFmtId="165" fontId="32" fillId="0" borderId="0" xfId="2" applyNumberFormat="1" applyFont="1" applyBorder="1" applyAlignment="1" applyProtection="1"/>
    <xf numFmtId="165" fontId="32" fillId="0" borderId="0" xfId="0" applyNumberFormat="1" applyFont="1" applyProtection="1">
      <protection locked="0"/>
    </xf>
    <xf numFmtId="165" fontId="8" fillId="0" borderId="0" xfId="2" applyNumberFormat="1" applyFont="1" applyBorder="1" applyAlignment="1" applyProtection="1"/>
    <xf numFmtId="171" fontId="5" fillId="5" borderId="0" xfId="2" applyNumberFormat="1" applyFont="1" applyFill="1" applyBorder="1" applyAlignment="1" applyProtection="1"/>
    <xf numFmtId="171" fontId="5" fillId="0" borderId="0" xfId="2" applyNumberFormat="1" applyFont="1" applyBorder="1" applyAlignment="1" applyProtection="1"/>
    <xf numFmtId="3" fontId="7" fillId="6" borderId="8" xfId="2" applyNumberFormat="1" applyFont="1" applyFill="1" applyBorder="1" applyAlignment="1" applyProtection="1">
      <alignment horizontal="center" vertical="center"/>
    </xf>
    <xf numFmtId="3" fontId="7" fillId="6" borderId="56" xfId="2" applyNumberFormat="1" applyFont="1" applyFill="1" applyBorder="1" applyAlignment="1" applyProtection="1">
      <alignment horizontal="center" vertical="center"/>
    </xf>
    <xf numFmtId="3" fontId="7" fillId="6" borderId="0" xfId="2" applyNumberFormat="1" applyFont="1" applyFill="1" applyBorder="1" applyAlignment="1" applyProtection="1">
      <alignment horizontal="center" vertical="center"/>
    </xf>
    <xf numFmtId="3" fontId="7" fillId="6" borderId="57" xfId="2" applyNumberFormat="1" applyFont="1" applyFill="1" applyBorder="1" applyAlignment="1" applyProtection="1">
      <alignment vertical="center"/>
    </xf>
    <xf numFmtId="3" fontId="7" fillId="6" borderId="56" xfId="2" applyNumberFormat="1" applyFont="1" applyFill="1" applyBorder="1" applyAlignment="1" applyProtection="1">
      <alignment horizontal="center" vertical="center"/>
    </xf>
    <xf numFmtId="3" fontId="7" fillId="6" borderId="0" xfId="2" applyNumberFormat="1" applyFont="1" applyFill="1" applyBorder="1" applyAlignment="1" applyProtection="1">
      <alignment horizontal="center" vertical="center"/>
    </xf>
    <xf numFmtId="3" fontId="7" fillId="6" borderId="57" xfId="2" applyNumberFormat="1" applyFont="1" applyFill="1" applyBorder="1" applyAlignment="1" applyProtection="1">
      <alignment horizontal="center" vertical="center"/>
    </xf>
    <xf numFmtId="3" fontId="7" fillId="6" borderId="0" xfId="2" applyNumberFormat="1" applyFont="1" applyFill="1" applyBorder="1" applyAlignment="1" applyProtection="1">
      <alignment horizontal="centerContinuous" vertical="center"/>
    </xf>
    <xf numFmtId="3" fontId="7" fillId="6" borderId="56" xfId="2" applyNumberFormat="1" applyFont="1" applyFill="1" applyBorder="1" applyAlignment="1" applyProtection="1">
      <alignment horizontal="centerContinuous" vertical="center"/>
    </xf>
    <xf numFmtId="3" fontId="7" fillId="6" borderId="57" xfId="2" applyNumberFormat="1" applyFont="1" applyFill="1" applyBorder="1" applyAlignment="1" applyProtection="1">
      <alignment horizontal="centerContinuous" vertical="center"/>
    </xf>
    <xf numFmtId="14" fontId="7" fillId="6" borderId="56" xfId="2" applyNumberFormat="1" applyFont="1" applyFill="1" applyBorder="1" applyAlignment="1" applyProtection="1">
      <alignment horizontal="center" vertical="center"/>
    </xf>
    <xf numFmtId="3" fontId="7" fillId="6" borderId="14" xfId="2" applyNumberFormat="1" applyFont="1" applyFill="1" applyBorder="1" applyAlignment="1" applyProtection="1">
      <alignment horizontal="center" vertical="center"/>
    </xf>
    <xf numFmtId="0" fontId="6" fillId="0" borderId="0" xfId="0" applyFont="1" applyBorder="1" applyProtection="1">
      <protection locked="0"/>
    </xf>
    <xf numFmtId="3" fontId="4" fillId="0" borderId="8" xfId="2" applyNumberFormat="1" applyFont="1" applyBorder="1" applyAlignment="1" applyProtection="1"/>
    <xf numFmtId="0" fontId="4" fillId="0" borderId="0" xfId="0" applyFont="1" applyBorder="1" applyAlignment="1" applyProtection="1">
      <alignment horizontal="center"/>
      <protection locked="0"/>
    </xf>
    <xf numFmtId="4" fontId="4" fillId="3" borderId="45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3" fontId="4" fillId="5" borderId="45" xfId="2" applyNumberFormat="1" applyFont="1" applyFill="1" applyBorder="1" applyAlignment="1" applyProtection="1">
      <alignment horizontal="center"/>
    </xf>
    <xf numFmtId="174" fontId="5" fillId="5" borderId="0" xfId="2" applyNumberFormat="1" applyFont="1" applyFill="1" applyBorder="1" applyAlignment="1" applyProtection="1">
      <alignment horizontal="center"/>
      <protection locked="0"/>
    </xf>
    <xf numFmtId="172" fontId="5" fillId="0" borderId="0" xfId="2" applyNumberFormat="1" applyFont="1" applyBorder="1" applyAlignment="1" applyProtection="1">
      <alignment horizontal="center"/>
      <protection locked="0"/>
    </xf>
    <xf numFmtId="14" fontId="5" fillId="0" borderId="0" xfId="0" applyNumberFormat="1" applyFont="1"/>
    <xf numFmtId="4" fontId="4" fillId="3" borderId="0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4" fontId="12" fillId="0" borderId="0" xfId="2" applyNumberFormat="1" applyFont="1" applyFill="1" applyBorder="1" applyAlignment="1" applyProtection="1">
      <alignment horizontal="center"/>
      <protection locked="0"/>
    </xf>
    <xf numFmtId="3" fontId="4" fillId="0" borderId="58" xfId="2" applyNumberFormat="1" applyFont="1" applyBorder="1" applyAlignment="1" applyProtection="1">
      <alignment horizontal="center" vertical="center"/>
    </xf>
    <xf numFmtId="3" fontId="4" fillId="0" borderId="13" xfId="2" applyNumberFormat="1" applyFont="1" applyBorder="1" applyAlignment="1" applyProtection="1">
      <alignment horizontal="center" vertical="center"/>
    </xf>
    <xf numFmtId="3" fontId="4" fillId="0" borderId="11" xfId="2" applyNumberFormat="1" applyFont="1" applyBorder="1" applyAlignment="1" applyProtection="1">
      <alignment horizontal="center" vertical="center"/>
    </xf>
    <xf numFmtId="3" fontId="4" fillId="0" borderId="1" xfId="2" applyNumberFormat="1" applyFont="1" applyBorder="1" applyAlignment="1" applyProtection="1">
      <alignment horizontal="center" vertical="center"/>
    </xf>
    <xf numFmtId="3" fontId="4" fillId="0" borderId="59" xfId="2" applyNumberFormat="1" applyFont="1" applyFill="1" applyBorder="1" applyAlignment="1" applyProtection="1">
      <alignment horizontal="center" vertical="center"/>
    </xf>
    <xf numFmtId="3" fontId="4" fillId="0" borderId="1" xfId="2" applyNumberFormat="1" applyFont="1" applyFill="1" applyBorder="1" applyAlignment="1" applyProtection="1">
      <alignment horizontal="center" vertical="center"/>
    </xf>
    <xf numFmtId="3" fontId="4" fillId="0" borderId="11" xfId="2" applyNumberFormat="1" applyFont="1" applyFill="1" applyBorder="1" applyAlignment="1" applyProtection="1">
      <alignment horizontal="center" vertical="center"/>
    </xf>
    <xf numFmtId="3" fontId="4" fillId="0" borderId="10" xfId="2" applyNumberFormat="1" applyFont="1" applyFill="1" applyBorder="1" applyAlignment="1" applyProtection="1">
      <alignment horizontal="center" vertical="center"/>
    </xf>
    <xf numFmtId="3" fontId="4" fillId="0" borderId="1" xfId="2" applyNumberFormat="1" applyFont="1" applyFill="1" applyBorder="1" applyAlignment="1" applyProtection="1">
      <alignment horizontal="center" vertical="center"/>
    </xf>
    <xf numFmtId="3" fontId="12" fillId="5" borderId="58" xfId="2" applyNumberFormat="1" applyFont="1" applyFill="1" applyBorder="1" applyAlignment="1" applyProtection="1">
      <alignment horizontal="center" vertical="center"/>
    </xf>
    <xf numFmtId="3" fontId="12" fillId="5" borderId="1" xfId="2" applyNumberFormat="1" applyFont="1" applyFill="1" applyBorder="1" applyAlignment="1" applyProtection="1">
      <alignment horizontal="center" vertical="center"/>
    </xf>
    <xf numFmtId="3" fontId="12" fillId="5" borderId="4" xfId="2" applyNumberFormat="1" applyFont="1" applyFill="1" applyBorder="1" applyAlignment="1" applyProtection="1">
      <alignment horizontal="center" vertical="center"/>
    </xf>
    <xf numFmtId="3" fontId="5" fillId="5" borderId="13" xfId="2" applyNumberFormat="1" applyFont="1" applyFill="1" applyBorder="1" applyAlignment="1" applyProtection="1">
      <alignment horizontal="left" vertical="center"/>
    </xf>
    <xf numFmtId="3" fontId="5" fillId="5" borderId="46" xfId="2" applyNumberFormat="1" applyFont="1" applyFill="1" applyBorder="1" applyAlignment="1" applyProtection="1">
      <alignment horizontal="centerContinuous" vertical="center"/>
    </xf>
    <xf numFmtId="3" fontId="5" fillId="5" borderId="10" xfId="2" applyNumberFormat="1" applyFont="1" applyFill="1" applyBorder="1" applyAlignment="1" applyProtection="1">
      <alignment horizontal="centerContinuous" vertical="center"/>
    </xf>
    <xf numFmtId="3" fontId="4" fillId="0" borderId="58" xfId="2" applyNumberFormat="1" applyFont="1" applyFill="1" applyBorder="1" applyAlignment="1" applyProtection="1">
      <alignment horizontal="center" vertical="center"/>
    </xf>
    <xf numFmtId="3" fontId="4" fillId="0" borderId="60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13" xfId="2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>
      <alignment horizontal="center" vertical="center"/>
    </xf>
    <xf numFmtId="0" fontId="6" fillId="26" borderId="61" xfId="0" applyFont="1" applyFill="1" applyBorder="1" applyAlignment="1">
      <alignment horizontal="center" vertical="center"/>
    </xf>
    <xf numFmtId="0" fontId="6" fillId="26" borderId="10" xfId="0" applyFont="1" applyFill="1" applyBorder="1" applyAlignment="1">
      <alignment horizontal="center" vertical="center"/>
    </xf>
    <xf numFmtId="0" fontId="6" fillId="26" borderId="10" xfId="0" applyFont="1" applyFill="1" applyBorder="1" applyAlignment="1">
      <alignment horizontal="center" vertical="center" wrapText="1"/>
    </xf>
    <xf numFmtId="0" fontId="6" fillId="23" borderId="58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4" fillId="0" borderId="20" xfId="2" applyNumberFormat="1" applyFont="1" applyBorder="1" applyAlignment="1" applyProtection="1">
      <alignment horizontal="center" vertical="center"/>
    </xf>
    <xf numFmtId="3" fontId="4" fillId="0" borderId="24" xfId="2" applyNumberFormat="1" applyFont="1" applyBorder="1" applyAlignment="1" applyProtection="1">
      <alignment horizontal="center" vertical="center"/>
    </xf>
    <xf numFmtId="3" fontId="4" fillId="0" borderId="22" xfId="2" applyNumberFormat="1" applyFont="1" applyBorder="1" applyAlignment="1" applyProtection="1">
      <alignment horizontal="center" vertical="center"/>
    </xf>
    <xf numFmtId="3" fontId="4" fillId="0" borderId="45" xfId="2" applyNumberFormat="1" applyFont="1" applyBorder="1" applyAlignment="1" applyProtection="1">
      <alignment horizontal="center" vertical="center"/>
    </xf>
    <xf numFmtId="3" fontId="4" fillId="0" borderId="62" xfId="2" applyNumberFormat="1" applyFont="1" applyFill="1" applyBorder="1" applyAlignment="1" applyProtection="1">
      <alignment horizontal="center" vertical="center"/>
    </xf>
    <xf numFmtId="0" fontId="5" fillId="0" borderId="17" xfId="2" applyFont="1" applyBorder="1" applyAlignment="1" applyProtection="1">
      <alignment horizontal="center" vertical="center"/>
      <protection locked="0"/>
    </xf>
    <xf numFmtId="0" fontId="5" fillId="0" borderId="36" xfId="2" applyFont="1" applyBorder="1" applyAlignment="1" applyProtection="1">
      <alignment horizontal="center" vertical="center"/>
      <protection locked="0"/>
    </xf>
    <xf numFmtId="3" fontId="5" fillId="0" borderId="21" xfId="2" applyNumberFormat="1" applyFont="1" applyBorder="1" applyAlignment="1" applyProtection="1">
      <alignment horizontal="center" vertical="center"/>
    </xf>
    <xf numFmtId="3" fontId="5" fillId="0" borderId="45" xfId="2" applyNumberFormat="1" applyFont="1" applyBorder="1" applyAlignment="1" applyProtection="1">
      <alignment horizontal="center" vertical="center"/>
    </xf>
    <xf numFmtId="3" fontId="12" fillId="5" borderId="24" xfId="2" applyNumberFormat="1" applyFont="1" applyFill="1" applyBorder="1" applyAlignment="1" applyProtection="1">
      <alignment horizontal="center" vertical="center"/>
    </xf>
    <xf numFmtId="3" fontId="12" fillId="5" borderId="63" xfId="2" applyNumberFormat="1" applyFont="1" applyFill="1" applyBorder="1" applyAlignment="1" applyProtection="1">
      <alignment horizontal="center" vertical="center"/>
    </xf>
    <xf numFmtId="3" fontId="5" fillId="5" borderId="24" xfId="2" applyNumberFormat="1" applyFont="1" applyFill="1" applyBorder="1" applyAlignment="1" applyProtection="1">
      <alignment horizontal="center" vertical="center"/>
    </xf>
    <xf numFmtId="3" fontId="5" fillId="5" borderId="63" xfId="2" applyNumberFormat="1" applyFont="1" applyFill="1" applyBorder="1" applyAlignment="1" applyProtection="1">
      <alignment horizontal="center" vertical="center"/>
    </xf>
    <xf numFmtId="3" fontId="5" fillId="5" borderId="21" xfId="2" applyNumberFormat="1" applyFont="1" applyFill="1" applyBorder="1" applyAlignment="1" applyProtection="1">
      <alignment horizontal="center" vertical="center"/>
    </xf>
    <xf numFmtId="3" fontId="4" fillId="0" borderId="24" xfId="2" applyNumberFormat="1" applyFont="1" applyFill="1" applyBorder="1" applyAlignment="1" applyProtection="1">
      <alignment horizontal="center" vertical="center"/>
    </xf>
    <xf numFmtId="0" fontId="5" fillId="0" borderId="64" xfId="2" applyFont="1" applyBorder="1" applyAlignment="1" applyProtection="1">
      <alignment horizontal="center" vertical="center"/>
      <protection locked="0"/>
    </xf>
    <xf numFmtId="3" fontId="4" fillId="0" borderId="65" xfId="2" applyNumberFormat="1" applyFont="1" applyFill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  <protection locked="0"/>
    </xf>
    <xf numFmtId="0" fontId="4" fillId="0" borderId="24" xfId="2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>
      <alignment horizontal="center" vertical="center"/>
    </xf>
    <xf numFmtId="0" fontId="6" fillId="26" borderId="62" xfId="0" applyFont="1" applyFill="1" applyBorder="1" applyAlignment="1">
      <alignment horizontal="center" vertical="center"/>
    </xf>
    <xf numFmtId="0" fontId="6" fillId="26" borderId="21" xfId="0" applyFont="1" applyFill="1" applyBorder="1" applyAlignment="1">
      <alignment horizontal="center" vertical="center"/>
    </xf>
    <xf numFmtId="0" fontId="6" fillId="23" borderId="20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3" fontId="4" fillId="27" borderId="8" xfId="2" applyNumberFormat="1" applyFont="1" applyFill="1" applyBorder="1" applyAlignment="1" applyProtection="1">
      <alignment horizontal="center"/>
    </xf>
    <xf numFmtId="3" fontId="34" fillId="0" borderId="18" xfId="2" applyNumberFormat="1" applyFont="1" applyBorder="1" applyAlignment="1" applyProtection="1">
      <alignment horizontal="center"/>
    </xf>
    <xf numFmtId="0" fontId="4" fillId="0" borderId="17" xfId="2" applyFont="1" applyFill="1" applyBorder="1" applyAlignment="1" applyProtection="1">
      <alignment horizontal="center"/>
      <protection locked="0"/>
    </xf>
    <xf numFmtId="3" fontId="34" fillId="0" borderId="1" xfId="2" applyNumberFormat="1" applyFont="1" applyBorder="1" applyAlignment="1" applyProtection="1">
      <alignment horizontal="center"/>
    </xf>
    <xf numFmtId="0" fontId="4" fillId="0" borderId="67" xfId="2" applyFont="1" applyBorder="1" applyAlignment="1" applyProtection="1">
      <protection locked="0"/>
    </xf>
    <xf numFmtId="167" fontId="4" fillId="9" borderId="11" xfId="0" applyNumberFormat="1" applyFont="1" applyFill="1" applyBorder="1" applyAlignment="1" applyProtection="1">
      <alignment horizontal="center"/>
      <protection locked="0"/>
    </xf>
    <xf numFmtId="0" fontId="4" fillId="0" borderId="46" xfId="2" applyFont="1" applyFill="1" applyBorder="1" applyAlignment="1" applyProtection="1">
      <protection locked="0"/>
    </xf>
    <xf numFmtId="0" fontId="4" fillId="0" borderId="11" xfId="2" applyFont="1" applyBorder="1" applyAlignment="1" applyProtection="1">
      <protection locked="0"/>
    </xf>
    <xf numFmtId="9" fontId="7" fillId="27" borderId="10" xfId="1" applyFont="1" applyFill="1" applyBorder="1" applyAlignment="1" applyProtection="1">
      <alignment horizontal="center"/>
    </xf>
    <xf numFmtId="9" fontId="7" fillId="27" borderId="0" xfId="1" applyFont="1" applyFill="1" applyBorder="1" applyAlignment="1" applyProtection="1">
      <alignment horizontal="center"/>
    </xf>
    <xf numFmtId="3" fontId="35" fillId="5" borderId="18" xfId="2" applyNumberFormat="1" applyFont="1" applyFill="1" applyBorder="1" applyAlignment="1" applyProtection="1">
      <alignment horizontal="center"/>
    </xf>
    <xf numFmtId="3" fontId="35" fillId="5" borderId="36" xfId="2" applyNumberFormat="1" applyFont="1" applyFill="1" applyBorder="1" applyAlignment="1" applyProtection="1">
      <alignment horizontal="center"/>
    </xf>
    <xf numFmtId="3" fontId="34" fillId="5" borderId="18" xfId="2" applyNumberFormat="1" applyFont="1" applyFill="1" applyBorder="1" applyAlignment="1" applyProtection="1"/>
    <xf numFmtId="3" fontId="34" fillId="5" borderId="36" xfId="2" applyNumberFormat="1" applyFont="1" applyFill="1" applyBorder="1" applyAlignment="1" applyProtection="1"/>
    <xf numFmtId="3" fontId="34" fillId="5" borderId="16" xfId="2" applyNumberFormat="1" applyFont="1" applyFill="1" applyBorder="1" applyAlignment="1" applyProtection="1"/>
    <xf numFmtId="0" fontId="4" fillId="0" borderId="18" xfId="2" applyFont="1" applyBorder="1" applyAlignment="1" applyProtection="1">
      <protection locked="0"/>
    </xf>
    <xf numFmtId="0" fontId="4" fillId="0" borderId="1" xfId="2" applyFont="1" applyBorder="1" applyAlignment="1" applyProtection="1">
      <protection locked="0"/>
    </xf>
    <xf numFmtId="0" fontId="7" fillId="0" borderId="68" xfId="0" applyFont="1" applyBorder="1"/>
    <xf numFmtId="0" fontId="4" fillId="0" borderId="69" xfId="2" applyFont="1" applyBorder="1" applyAlignment="1" applyProtection="1">
      <protection locked="0"/>
    </xf>
    <xf numFmtId="2" fontId="4" fillId="0" borderId="11" xfId="0" applyNumberFormat="1" applyFont="1" applyFill="1" applyBorder="1" applyAlignment="1" applyProtection="1">
      <alignment horizontal="center"/>
      <protection locked="0"/>
    </xf>
    <xf numFmtId="167" fontId="4" fillId="9" borderId="18" xfId="2" applyNumberFormat="1" applyFont="1" applyFill="1" applyBorder="1" applyAlignment="1" applyProtection="1">
      <alignment horizontal="center"/>
      <protection locked="0"/>
    </xf>
    <xf numFmtId="0" fontId="7" fillId="0" borderId="64" xfId="0" applyFont="1" applyBorder="1"/>
    <xf numFmtId="0" fontId="7" fillId="26" borderId="0" xfId="0" applyFont="1" applyFill="1" applyBorder="1"/>
    <xf numFmtId="0" fontId="7" fillId="23" borderId="0" xfId="0" applyFont="1" applyFill="1" applyBorder="1"/>
    <xf numFmtId="0" fontId="7" fillId="0" borderId="61" xfId="0" applyFont="1" applyBorder="1"/>
    <xf numFmtId="0" fontId="7" fillId="0" borderId="10" xfId="0" applyFont="1" applyBorder="1"/>
    <xf numFmtId="0" fontId="7" fillId="0" borderId="0" xfId="0" applyFont="1"/>
    <xf numFmtId="3" fontId="4" fillId="0" borderId="18" xfId="2" applyNumberFormat="1" applyFont="1" applyBorder="1" applyAlignment="1" applyProtection="1">
      <alignment horizontal="center"/>
    </xf>
    <xf numFmtId="3" fontId="4" fillId="0" borderId="17" xfId="2" applyNumberFormat="1" applyFont="1" applyBorder="1" applyAlignment="1" applyProtection="1"/>
    <xf numFmtId="2" fontId="5" fillId="0" borderId="0" xfId="0" applyNumberFormat="1" applyFont="1" applyBorder="1" applyAlignment="1" applyProtection="1">
      <alignment horizontal="center"/>
      <protection locked="0"/>
    </xf>
    <xf numFmtId="165" fontId="4" fillId="0" borderId="67" xfId="2" applyNumberFormat="1" applyFont="1" applyBorder="1" applyAlignment="1" applyProtection="1"/>
    <xf numFmtId="2" fontId="5" fillId="0" borderId="17" xfId="2" applyNumberFormat="1" applyFont="1" applyBorder="1" applyAlignment="1" applyProtection="1">
      <alignment horizontal="center"/>
      <protection locked="0"/>
    </xf>
    <xf numFmtId="2" fontId="5" fillId="0" borderId="36" xfId="2" applyNumberFormat="1" applyFont="1" applyBorder="1" applyAlignment="1" applyProtection="1">
      <protection locked="0"/>
    </xf>
    <xf numFmtId="2" fontId="5" fillId="0" borderId="17" xfId="2" applyNumberFormat="1" applyFont="1" applyBorder="1" applyAlignment="1" applyProtection="1">
      <protection locked="0"/>
    </xf>
    <xf numFmtId="164" fontId="5" fillId="0" borderId="16" xfId="2" applyNumberFormat="1" applyFont="1" applyBorder="1" applyAlignment="1" applyProtection="1"/>
    <xf numFmtId="164" fontId="5" fillId="0" borderId="0" xfId="2" applyNumberFormat="1" applyFont="1" applyBorder="1" applyAlignment="1" applyProtection="1"/>
    <xf numFmtId="3" fontId="12" fillId="5" borderId="18" xfId="2" applyNumberFormat="1" applyFont="1" applyFill="1" applyBorder="1" applyAlignment="1" applyProtection="1"/>
    <xf numFmtId="3" fontId="12" fillId="5" borderId="36" xfId="2" applyNumberFormat="1" applyFont="1" applyFill="1" applyBorder="1" applyAlignment="1" applyProtection="1"/>
    <xf numFmtId="164" fontId="5" fillId="5" borderId="18" xfId="2" applyNumberFormat="1" applyFont="1" applyFill="1" applyBorder="1" applyAlignment="1" applyProtection="1"/>
    <xf numFmtId="164" fontId="5" fillId="5" borderId="36" xfId="2" applyNumberFormat="1" applyFont="1" applyFill="1" applyBorder="1" applyAlignment="1" applyProtection="1"/>
    <xf numFmtId="164" fontId="5" fillId="5" borderId="16" xfId="2" applyNumberFormat="1" applyFont="1" applyFill="1" applyBorder="1" applyAlignment="1" applyProtection="1"/>
    <xf numFmtId="165" fontId="4" fillId="0" borderId="18" xfId="2" applyNumberFormat="1" applyFont="1" applyBorder="1" applyAlignment="1" applyProtection="1"/>
    <xf numFmtId="2" fontId="5" fillId="0" borderId="0" xfId="2" applyNumberFormat="1" applyFont="1" applyBorder="1" applyAlignment="1" applyProtection="1">
      <alignment horizontal="center"/>
      <protection locked="0"/>
    </xf>
    <xf numFmtId="0" fontId="0" fillId="0" borderId="68" xfId="0" applyBorder="1"/>
    <xf numFmtId="165" fontId="4" fillId="8" borderId="69" xfId="2" applyNumberFormat="1" applyFont="1" applyFill="1" applyBorder="1" applyAlignment="1" applyProtection="1"/>
    <xf numFmtId="167" fontId="5" fillId="0" borderId="18" xfId="2" applyNumberFormat="1" applyFont="1" applyBorder="1" applyAlignment="1" applyProtection="1">
      <alignment horizontal="center"/>
      <protection locked="0"/>
    </xf>
    <xf numFmtId="165" fontId="4" fillId="0" borderId="64" xfId="0" applyNumberFormat="1" applyFont="1" applyBorder="1" applyAlignment="1">
      <alignment horizontal="center"/>
    </xf>
    <xf numFmtId="165" fontId="4" fillId="26" borderId="0" xfId="0" applyNumberFormat="1" applyFont="1" applyFill="1" applyBorder="1" applyAlignment="1">
      <alignment horizontal="center"/>
    </xf>
    <xf numFmtId="167" fontId="4" fillId="26" borderId="64" xfId="0" applyNumberFormat="1" applyFont="1" applyFill="1" applyBorder="1" applyAlignment="1">
      <alignment horizontal="center"/>
    </xf>
    <xf numFmtId="167" fontId="4" fillId="23" borderId="0" xfId="0" applyNumberFormat="1" applyFont="1" applyFill="1" applyBorder="1" applyAlignment="1">
      <alignment horizontal="center"/>
    </xf>
    <xf numFmtId="9" fontId="0" fillId="0" borderId="67" xfId="1" applyFont="1" applyBorder="1"/>
    <xf numFmtId="167" fontId="0" fillId="0" borderId="16" xfId="0" applyNumberFormat="1" applyBorder="1"/>
    <xf numFmtId="3" fontId="0" fillId="0" borderId="0" xfId="0" applyNumberFormat="1"/>
    <xf numFmtId="9" fontId="0" fillId="0" borderId="0" xfId="1" applyFont="1"/>
    <xf numFmtId="3" fontId="4" fillId="0" borderId="38" xfId="2" applyNumberFormat="1" applyFont="1" applyBorder="1" applyAlignment="1" applyProtection="1">
      <alignment horizontal="center"/>
    </xf>
    <xf numFmtId="3" fontId="4" fillId="0" borderId="28" xfId="2" applyNumberFormat="1" applyFont="1" applyBorder="1" applyAlignment="1" applyProtection="1">
      <alignment horizontal="center"/>
    </xf>
    <xf numFmtId="3" fontId="4" fillId="0" borderId="29" xfId="2" applyNumberFormat="1" applyFont="1" applyBorder="1" applyAlignment="1" applyProtection="1"/>
    <xf numFmtId="2" fontId="5" fillId="0" borderId="70" xfId="0" applyNumberFormat="1" applyFont="1" applyBorder="1" applyAlignment="1" applyProtection="1">
      <alignment horizontal="center"/>
      <protection locked="0"/>
    </xf>
    <xf numFmtId="165" fontId="12" fillId="0" borderId="71" xfId="2" applyNumberFormat="1" applyFont="1" applyBorder="1" applyAlignment="1" applyProtection="1"/>
    <xf numFmtId="167" fontId="12" fillId="12" borderId="29" xfId="2" applyNumberFormat="1" applyFont="1" applyFill="1" applyBorder="1" applyAlignment="1" applyProtection="1">
      <alignment horizontal="center"/>
      <protection locked="0"/>
    </xf>
    <xf numFmtId="167" fontId="8" fillId="0" borderId="2" xfId="2" applyNumberFormat="1" applyFont="1" applyBorder="1" applyAlignment="1" applyProtection="1">
      <alignment horizontal="center"/>
      <protection locked="0"/>
    </xf>
    <xf numFmtId="167" fontId="8" fillId="0" borderId="29" xfId="2" applyNumberFormat="1" applyFont="1" applyBorder="1" applyAlignment="1" applyProtection="1">
      <alignment horizontal="center"/>
      <protection locked="0"/>
    </xf>
    <xf numFmtId="164" fontId="5" fillId="0" borderId="33" xfId="2" applyNumberFormat="1" applyFont="1" applyBorder="1" applyAlignment="1" applyProtection="1"/>
    <xf numFmtId="164" fontId="5" fillId="0" borderId="39" xfId="2" applyNumberFormat="1" applyFont="1" applyBorder="1" applyAlignment="1" applyProtection="1"/>
    <xf numFmtId="3" fontId="12" fillId="5" borderId="28" xfId="2" applyNumberFormat="1" applyFont="1" applyFill="1" applyBorder="1" applyAlignment="1" applyProtection="1">
      <alignment horizontal="right"/>
    </xf>
    <xf numFmtId="3" fontId="12" fillId="5" borderId="2" xfId="2" applyNumberFormat="1" applyFont="1" applyFill="1" applyBorder="1" applyAlignment="1" applyProtection="1">
      <alignment horizontal="right"/>
    </xf>
    <xf numFmtId="3" fontId="12" fillId="5" borderId="2" xfId="2" applyNumberFormat="1" applyFont="1" applyFill="1" applyBorder="1" applyAlignment="1" applyProtection="1"/>
    <xf numFmtId="164" fontId="5" fillId="5" borderId="28" xfId="2" applyNumberFormat="1" applyFont="1" applyFill="1" applyBorder="1" applyAlignment="1" applyProtection="1"/>
    <xf numFmtId="164" fontId="5" fillId="5" borderId="2" xfId="2" applyNumberFormat="1" applyFont="1" applyFill="1" applyBorder="1" applyAlignment="1" applyProtection="1"/>
    <xf numFmtId="164" fontId="5" fillId="5" borderId="33" xfId="2" applyNumberFormat="1" applyFont="1" applyFill="1" applyBorder="1" applyAlignment="1" applyProtection="1"/>
    <xf numFmtId="165" fontId="12" fillId="0" borderId="28" xfId="2" applyNumberFormat="1" applyFont="1" applyBorder="1" applyAlignment="1" applyProtection="1"/>
    <xf numFmtId="167" fontId="12" fillId="0" borderId="29" xfId="2" applyNumberFormat="1" applyFont="1" applyBorder="1" applyAlignment="1" applyProtection="1">
      <alignment horizontal="center"/>
      <protection locked="0"/>
    </xf>
    <xf numFmtId="167" fontId="8" fillId="0" borderId="39" xfId="2" applyNumberFormat="1" applyFont="1" applyBorder="1" applyAlignment="1" applyProtection="1">
      <alignment horizontal="center"/>
      <protection locked="0"/>
    </xf>
    <xf numFmtId="165" fontId="12" fillId="0" borderId="72" xfId="2" applyNumberFormat="1" applyFont="1" applyBorder="1" applyAlignment="1" applyProtection="1"/>
    <xf numFmtId="167" fontId="8" fillId="0" borderId="28" xfId="2" applyNumberFormat="1" applyFont="1" applyBorder="1" applyAlignment="1" applyProtection="1">
      <alignment horizontal="center"/>
      <protection locked="0"/>
    </xf>
    <xf numFmtId="165" fontId="12" fillId="0" borderId="73" xfId="0" applyNumberFormat="1" applyFont="1" applyBorder="1" applyAlignment="1">
      <alignment horizontal="center"/>
    </xf>
    <xf numFmtId="165" fontId="12" fillId="26" borderId="39" xfId="0" applyNumberFormat="1" applyFont="1" applyFill="1" applyBorder="1" applyAlignment="1">
      <alignment horizontal="center"/>
    </xf>
    <xf numFmtId="165" fontId="12" fillId="23" borderId="39" xfId="0" applyNumberFormat="1" applyFont="1" applyFill="1" applyBorder="1" applyAlignment="1">
      <alignment horizontal="center"/>
    </xf>
    <xf numFmtId="0" fontId="0" fillId="0" borderId="71" xfId="0" applyBorder="1"/>
    <xf numFmtId="0" fontId="0" fillId="0" borderId="33" xfId="0" applyBorder="1"/>
    <xf numFmtId="3" fontId="4" fillId="8" borderId="74" xfId="2" applyNumberFormat="1" applyFont="1" applyFill="1" applyBorder="1" applyAlignment="1" applyProtection="1">
      <alignment horizontal="center"/>
    </xf>
    <xf numFmtId="2" fontId="31" fillId="8" borderId="0" xfId="2" applyNumberFormat="1" applyFont="1" applyFill="1" applyBorder="1" applyAlignment="1" applyProtection="1">
      <alignment horizontal="right"/>
    </xf>
    <xf numFmtId="3" fontId="4" fillId="8" borderId="75" xfId="2" applyNumberFormat="1" applyFont="1" applyFill="1" applyBorder="1" applyAlignment="1" applyProtection="1"/>
    <xf numFmtId="164" fontId="36" fillId="8" borderId="75" xfId="2" applyNumberFormat="1" applyFont="1" applyFill="1" applyBorder="1" applyAlignment="1" applyProtection="1">
      <alignment horizontal="right"/>
    </xf>
    <xf numFmtId="4" fontId="36" fillId="8" borderId="75" xfId="2" applyNumberFormat="1" applyFont="1" applyFill="1" applyBorder="1" applyAlignment="1" applyProtection="1">
      <alignment horizontal="center"/>
    </xf>
    <xf numFmtId="3" fontId="4" fillId="8" borderId="75" xfId="2" applyNumberFormat="1" applyFont="1" applyFill="1" applyBorder="1" applyAlignment="1" applyProtection="1">
      <alignment horizontal="center"/>
    </xf>
    <xf numFmtId="164" fontId="4" fillId="8" borderId="75" xfId="2" applyNumberFormat="1" applyFont="1" applyFill="1" applyBorder="1" applyAlignment="1" applyProtection="1">
      <alignment horizontal="right"/>
    </xf>
    <xf numFmtId="3" fontId="4" fillId="5" borderId="75" xfId="2" applyNumberFormat="1" applyFont="1" applyFill="1" applyBorder="1" applyAlignment="1" applyProtection="1">
      <alignment horizontal="center"/>
    </xf>
    <xf numFmtId="171" fontId="4" fillId="12" borderId="44" xfId="2" applyNumberFormat="1" applyFont="1" applyFill="1" applyBorder="1" applyAlignment="1" applyProtection="1"/>
    <xf numFmtId="4" fontId="4" fillId="12" borderId="44" xfId="2" applyNumberFormat="1" applyFont="1" applyFill="1" applyBorder="1" applyAlignment="1" applyProtection="1"/>
    <xf numFmtId="171" fontId="4" fillId="5" borderId="44" xfId="2" applyNumberFormat="1" applyFont="1" applyFill="1" applyBorder="1" applyAlignment="1" applyProtection="1"/>
    <xf numFmtId="0" fontId="0" fillId="8" borderId="0" xfId="0" applyFill="1"/>
    <xf numFmtId="0" fontId="5" fillId="8" borderId="0" xfId="2" applyFont="1" applyFill="1" applyAlignment="1" applyProtection="1">
      <protection locked="0"/>
    </xf>
    <xf numFmtId="0" fontId="0" fillId="26" borderId="0" xfId="0" applyFill="1"/>
    <xf numFmtId="0" fontId="7" fillId="26" borderId="0" xfId="0" applyFont="1" applyFill="1"/>
    <xf numFmtId="164" fontId="4" fillId="26" borderId="75" xfId="2" applyNumberFormat="1" applyFont="1" applyFill="1" applyBorder="1" applyAlignment="1" applyProtection="1">
      <alignment horizontal="right"/>
    </xf>
    <xf numFmtId="10" fontId="7" fillId="26" borderId="76" xfId="1" applyNumberFormat="1" applyFont="1" applyFill="1" applyBorder="1"/>
    <xf numFmtId="10" fontId="7" fillId="23" borderId="0" xfId="1" applyNumberFormat="1" applyFont="1" applyFill="1" applyBorder="1"/>
    <xf numFmtId="0" fontId="33" fillId="8" borderId="0" xfId="0" applyFont="1" applyFill="1"/>
    <xf numFmtId="2" fontId="33" fillId="8" borderId="14" xfId="0" applyNumberFormat="1" applyFont="1" applyFill="1" applyBorder="1" applyAlignment="1">
      <alignment horizontal="left"/>
    </xf>
    <xf numFmtId="3" fontId="4" fillId="27" borderId="58" xfId="2" applyNumberFormat="1" applyFont="1" applyFill="1" applyBorder="1" applyAlignment="1" applyProtection="1">
      <alignment horizontal="center"/>
    </xf>
    <xf numFmtId="3" fontId="4" fillId="0" borderId="13" xfId="2" applyNumberFormat="1" applyFont="1" applyBorder="1" applyAlignment="1" applyProtection="1">
      <alignment horizontal="center"/>
    </xf>
    <xf numFmtId="0" fontId="4" fillId="0" borderId="46" xfId="2" applyFont="1" applyFill="1" applyBorder="1" applyAlignment="1" applyProtection="1">
      <alignment horizontal="center"/>
      <protection locked="0"/>
    </xf>
    <xf numFmtId="3" fontId="34" fillId="0" borderId="77" xfId="2" applyNumberFormat="1" applyFont="1" applyBorder="1" applyAlignment="1" applyProtection="1">
      <alignment horizontal="center"/>
    </xf>
    <xf numFmtId="0" fontId="4" fillId="0" borderId="61" xfId="2" applyFont="1" applyBorder="1" applyAlignment="1" applyProtection="1">
      <protection locked="0"/>
    </xf>
    <xf numFmtId="9" fontId="7" fillId="27" borderId="1" xfId="1" applyFont="1" applyFill="1" applyBorder="1" applyAlignment="1" applyProtection="1">
      <alignment horizontal="center"/>
    </xf>
    <xf numFmtId="3" fontId="35" fillId="5" borderId="13" xfId="2" applyNumberFormat="1" applyFont="1" applyFill="1" applyBorder="1" applyAlignment="1" applyProtection="1">
      <alignment horizontal="center"/>
    </xf>
    <xf numFmtId="3" fontId="35" fillId="5" borderId="46" xfId="2" applyNumberFormat="1" applyFont="1" applyFill="1" applyBorder="1" applyAlignment="1" applyProtection="1">
      <alignment horizontal="center"/>
    </xf>
    <xf numFmtId="0" fontId="4" fillId="0" borderId="13" xfId="2" applyFont="1" applyBorder="1" applyAlignment="1" applyProtection="1">
      <protection locked="0"/>
    </xf>
    <xf numFmtId="0" fontId="4" fillId="0" borderId="77" xfId="2" applyFont="1" applyBorder="1" applyAlignment="1" applyProtection="1">
      <protection locked="0"/>
    </xf>
    <xf numFmtId="0" fontId="4" fillId="0" borderId="78" xfId="2" applyFont="1" applyBorder="1" applyAlignment="1" applyProtection="1">
      <protection locked="0"/>
    </xf>
    <xf numFmtId="167" fontId="4" fillId="9" borderId="13" xfId="2" applyNumberFormat="1" applyFont="1" applyFill="1" applyBorder="1" applyAlignment="1" applyProtection="1">
      <alignment horizontal="center"/>
      <protection locked="0"/>
    </xf>
    <xf numFmtId="0" fontId="7" fillId="0" borderId="60" xfId="0" applyFont="1" applyBorder="1"/>
    <xf numFmtId="0" fontId="7" fillId="26" borderId="59" xfId="0" applyFont="1" applyFill="1" applyBorder="1"/>
    <xf numFmtId="0" fontId="7" fillId="26" borderId="1" xfId="0" applyFont="1" applyFill="1" applyBorder="1"/>
    <xf numFmtId="0" fontId="7" fillId="26" borderId="60" xfId="0" applyFont="1" applyFill="1" applyBorder="1"/>
    <xf numFmtId="0" fontId="7" fillId="23" borderId="1" xfId="0" applyFont="1" applyFill="1" applyBorder="1"/>
    <xf numFmtId="3" fontId="7" fillId="0" borderId="0" xfId="0" applyNumberFormat="1" applyFont="1"/>
    <xf numFmtId="9" fontId="7" fillId="0" borderId="0" xfId="1" applyFont="1"/>
    <xf numFmtId="3" fontId="4" fillId="0" borderId="36" xfId="2" applyNumberFormat="1" applyFont="1" applyBorder="1" applyAlignment="1" applyProtection="1"/>
    <xf numFmtId="2" fontId="5" fillId="0" borderId="79" xfId="0" applyNumberFormat="1" applyFont="1" applyBorder="1" applyAlignment="1" applyProtection="1">
      <alignment horizontal="center"/>
      <protection locked="0"/>
    </xf>
    <xf numFmtId="4" fontId="12" fillId="5" borderId="18" xfId="2" applyNumberFormat="1" applyFont="1" applyFill="1" applyBorder="1" applyAlignment="1" applyProtection="1"/>
    <xf numFmtId="4" fontId="12" fillId="5" borderId="36" xfId="2" applyNumberFormat="1" applyFont="1" applyFill="1" applyBorder="1" applyAlignment="1" applyProtection="1"/>
    <xf numFmtId="2" fontId="5" fillId="0" borderId="36" xfId="2" applyNumberFormat="1" applyFont="1" applyBorder="1" applyAlignment="1" applyProtection="1">
      <alignment horizontal="center"/>
      <protection locked="0"/>
    </xf>
    <xf numFmtId="2" fontId="5" fillId="0" borderId="79" xfId="2" applyNumberFormat="1" applyFont="1" applyBorder="1" applyAlignment="1" applyProtection="1">
      <alignment horizontal="center"/>
      <protection locked="0"/>
    </xf>
    <xf numFmtId="3" fontId="4" fillId="0" borderId="2" xfId="2" applyNumberFormat="1" applyFont="1" applyBorder="1" applyAlignment="1" applyProtection="1"/>
    <xf numFmtId="4" fontId="12" fillId="5" borderId="28" xfId="2" applyNumberFormat="1" applyFont="1" applyFill="1" applyBorder="1" applyAlignment="1" applyProtection="1">
      <alignment horizontal="right"/>
    </xf>
    <xf numFmtId="4" fontId="12" fillId="5" borderId="2" xfId="2" applyNumberFormat="1" applyFont="1" applyFill="1" applyBorder="1" applyAlignment="1" applyProtection="1">
      <alignment horizontal="right"/>
    </xf>
    <xf numFmtId="4" fontId="12" fillId="5" borderId="2" xfId="2" applyNumberFormat="1" applyFont="1" applyFill="1" applyBorder="1" applyAlignment="1" applyProtection="1"/>
    <xf numFmtId="0" fontId="0" fillId="0" borderId="68" xfId="0" applyFill="1" applyBorder="1"/>
    <xf numFmtId="164" fontId="4" fillId="8" borderId="44" xfId="2" applyNumberFormat="1" applyFont="1" applyFill="1" applyBorder="1" applyAlignment="1" applyProtection="1">
      <alignment horizontal="right"/>
    </xf>
    <xf numFmtId="3" fontId="4" fillId="5" borderId="44" xfId="2" applyNumberFormat="1" applyFont="1" applyFill="1" applyBorder="1" applyAlignment="1" applyProtection="1">
      <alignment horizontal="center"/>
    </xf>
    <xf numFmtId="0" fontId="7" fillId="26" borderId="44" xfId="0" applyFont="1" applyFill="1" applyBorder="1"/>
    <xf numFmtId="164" fontId="4" fillId="26" borderId="44" xfId="2" applyNumberFormat="1" applyFont="1" applyFill="1" applyBorder="1" applyAlignment="1" applyProtection="1">
      <alignment horizontal="right"/>
    </xf>
    <xf numFmtId="10" fontId="7" fillId="26" borderId="80" xfId="1" applyNumberFormat="1" applyFont="1" applyFill="1" applyBorder="1"/>
    <xf numFmtId="0" fontId="5" fillId="0" borderId="46" xfId="2" applyFont="1" applyFill="1" applyBorder="1" applyAlignment="1" applyProtection="1">
      <alignment horizontal="center"/>
      <protection locked="0"/>
    </xf>
    <xf numFmtId="0" fontId="5" fillId="0" borderId="61" xfId="2" applyFont="1" applyBorder="1" applyAlignment="1" applyProtection="1">
      <protection locked="0"/>
    </xf>
    <xf numFmtId="0" fontId="5" fillId="0" borderId="46" xfId="2" applyFont="1" applyFill="1" applyBorder="1" applyAlignment="1" applyProtection="1">
      <protection locked="0"/>
    </xf>
    <xf numFmtId="0" fontId="5" fillId="0" borderId="11" xfId="2" applyFont="1" applyBorder="1" applyAlignment="1" applyProtection="1">
      <protection locked="0"/>
    </xf>
    <xf numFmtId="3" fontId="37" fillId="5" borderId="18" xfId="2" applyNumberFormat="1" applyFont="1" applyFill="1" applyBorder="1" applyAlignment="1" applyProtection="1"/>
    <xf numFmtId="3" fontId="37" fillId="5" borderId="36" xfId="2" applyNumberFormat="1" applyFont="1" applyFill="1" applyBorder="1" applyAlignment="1" applyProtection="1"/>
    <xf numFmtId="3" fontId="37" fillId="5" borderId="16" xfId="2" applyNumberFormat="1" applyFont="1" applyFill="1" applyBorder="1" applyAlignment="1" applyProtection="1"/>
    <xf numFmtId="0" fontId="5" fillId="0" borderId="13" xfId="2" applyFont="1" applyBorder="1" applyAlignment="1" applyProtection="1">
      <protection locked="0"/>
    </xf>
    <xf numFmtId="0" fontId="5" fillId="0" borderId="77" xfId="2" applyFont="1" applyBorder="1" applyAlignment="1" applyProtection="1">
      <protection locked="0"/>
    </xf>
    <xf numFmtId="0" fontId="5" fillId="0" borderId="78" xfId="2" applyFont="1" applyBorder="1" applyAlignment="1" applyProtection="1">
      <protection locked="0"/>
    </xf>
    <xf numFmtId="0" fontId="0" fillId="0" borderId="60" xfId="0" applyBorder="1"/>
    <xf numFmtId="0" fontId="0" fillId="0" borderId="61" xfId="0" applyBorder="1"/>
    <xf numFmtId="0" fontId="0" fillId="0" borderId="10" xfId="0" applyBorder="1"/>
    <xf numFmtId="0" fontId="0" fillId="0" borderId="67" xfId="0" applyBorder="1"/>
    <xf numFmtId="0" fontId="0" fillId="0" borderId="16" xfId="0" applyBorder="1"/>
    <xf numFmtId="2" fontId="5" fillId="0" borderId="81" xfId="2" applyNumberFormat="1" applyFont="1" applyBorder="1" applyAlignment="1" applyProtection="1">
      <alignment horizontal="center"/>
      <protection locked="0"/>
    </xf>
    <xf numFmtId="2" fontId="5" fillId="0" borderId="81" xfId="0" applyNumberFormat="1" applyFont="1" applyBorder="1" applyAlignment="1" applyProtection="1">
      <alignment horizontal="center"/>
      <protection locked="0"/>
    </xf>
    <xf numFmtId="3" fontId="4" fillId="8" borderId="20" xfId="2" applyNumberFormat="1" applyFont="1" applyFill="1" applyBorder="1" applyAlignment="1" applyProtection="1">
      <alignment horizontal="center"/>
    </xf>
    <xf numFmtId="3" fontId="4" fillId="8" borderId="45" xfId="2" applyNumberFormat="1" applyFont="1" applyFill="1" applyBorder="1" applyAlignment="1" applyProtection="1">
      <alignment horizontal="center"/>
    </xf>
    <xf numFmtId="164" fontId="4" fillId="8" borderId="45" xfId="2" applyNumberFormat="1" applyFont="1" applyFill="1" applyBorder="1" applyAlignment="1" applyProtection="1">
      <alignment horizontal="right"/>
    </xf>
    <xf numFmtId="164" fontId="4" fillId="8" borderId="0" xfId="2" applyNumberFormat="1" applyFont="1" applyFill="1" applyBorder="1" applyAlignment="1" applyProtection="1">
      <alignment horizontal="right"/>
    </xf>
    <xf numFmtId="3" fontId="4" fillId="5" borderId="45" xfId="2" applyNumberFormat="1" applyFont="1" applyFill="1" applyBorder="1" applyAlignment="1" applyProtection="1">
      <alignment horizontal="center"/>
    </xf>
    <xf numFmtId="3" fontId="4" fillId="5" borderId="0" xfId="2" applyNumberFormat="1" applyFont="1" applyFill="1" applyBorder="1" applyAlignment="1" applyProtection="1">
      <alignment horizontal="center"/>
    </xf>
    <xf numFmtId="171" fontId="4" fillId="5" borderId="45" xfId="2" applyNumberFormat="1" applyFont="1" applyFill="1" applyBorder="1" applyAlignment="1" applyProtection="1"/>
    <xf numFmtId="164" fontId="4" fillId="8" borderId="25" xfId="2" applyNumberFormat="1" applyFont="1" applyFill="1" applyBorder="1" applyAlignment="1" applyProtection="1">
      <alignment horizontal="right"/>
    </xf>
    <xf numFmtId="3" fontId="21" fillId="0" borderId="5" xfId="2" applyNumberFormat="1" applyFont="1" applyBorder="1" applyAlignment="1" applyProtection="1">
      <alignment horizontal="center"/>
    </xf>
    <xf numFmtId="3" fontId="21" fillId="0" borderId="82" xfId="2" applyNumberFormat="1" applyFont="1" applyBorder="1" applyAlignment="1" applyProtection="1">
      <alignment horizontal="center"/>
    </xf>
    <xf numFmtId="3" fontId="4" fillId="0" borderId="83" xfId="2" applyNumberFormat="1" applyFont="1" applyFill="1" applyBorder="1" applyAlignment="1" applyProtection="1">
      <alignment horizontal="right"/>
      <protection locked="0"/>
    </xf>
    <xf numFmtId="4" fontId="22" fillId="0" borderId="84" xfId="2" applyNumberFormat="1" applyFont="1" applyBorder="1" applyAlignment="1" applyProtection="1">
      <alignment horizontal="center"/>
    </xf>
    <xf numFmtId="165" fontId="19" fillId="0" borderId="85" xfId="2" applyNumberFormat="1" applyFont="1" applyBorder="1" applyAlignment="1" applyProtection="1"/>
    <xf numFmtId="165" fontId="19" fillId="0" borderId="83" xfId="2" applyNumberFormat="1" applyFont="1" applyFill="1" applyBorder="1" applyAlignment="1" applyProtection="1">
      <alignment horizontal="center"/>
    </xf>
    <xf numFmtId="165" fontId="23" fillId="0" borderId="49" xfId="2" applyNumberFormat="1" applyFont="1" applyFill="1" applyBorder="1" applyAlignment="1" applyProtection="1">
      <alignment horizontal="center"/>
    </xf>
    <xf numFmtId="165" fontId="23" fillId="0" borderId="83" xfId="2" applyNumberFormat="1" applyFont="1" applyFill="1" applyBorder="1" applyAlignment="1" applyProtection="1">
      <alignment horizontal="center"/>
    </xf>
    <xf numFmtId="164" fontId="21" fillId="0" borderId="6" xfId="2" applyNumberFormat="1" applyFont="1" applyBorder="1" applyAlignment="1" applyProtection="1">
      <alignment horizontal="right"/>
    </xf>
    <xf numFmtId="164" fontId="21" fillId="0" borderId="48" xfId="2" applyNumberFormat="1" applyFont="1" applyBorder="1" applyAlignment="1" applyProtection="1">
      <alignment horizontal="right"/>
    </xf>
    <xf numFmtId="3" fontId="19" fillId="5" borderId="82" xfId="2" applyNumberFormat="1" applyFont="1" applyFill="1" applyBorder="1" applyAlignment="1" applyProtection="1"/>
    <xf numFmtId="3" fontId="19" fillId="5" borderId="83" xfId="2" applyNumberFormat="1" applyFont="1" applyFill="1" applyBorder="1" applyAlignment="1" applyProtection="1"/>
    <xf numFmtId="173" fontId="21" fillId="5" borderId="5" xfId="2" applyNumberFormat="1" applyFont="1" applyFill="1" applyBorder="1" applyAlignment="1" applyProtection="1">
      <alignment horizontal="right"/>
    </xf>
    <xf numFmtId="173" fontId="21" fillId="5" borderId="83" xfId="2" applyNumberFormat="1" applyFont="1" applyFill="1" applyBorder="1" applyAlignment="1" applyProtection="1">
      <alignment horizontal="right"/>
    </xf>
    <xf numFmtId="173" fontId="21" fillId="5" borderId="49" xfId="2" applyNumberFormat="1" applyFont="1" applyFill="1" applyBorder="1" applyAlignment="1" applyProtection="1">
      <alignment horizontal="right"/>
    </xf>
    <xf numFmtId="165" fontId="19" fillId="0" borderId="82" xfId="2" applyNumberFormat="1" applyFont="1" applyBorder="1" applyAlignment="1" applyProtection="1"/>
    <xf numFmtId="165" fontId="19" fillId="0" borderId="49" xfId="2" applyNumberFormat="1" applyFont="1" applyFill="1" applyBorder="1" applyAlignment="1" applyProtection="1">
      <alignment horizontal="center"/>
    </xf>
    <xf numFmtId="165" fontId="19" fillId="0" borderId="84" xfId="2" applyNumberFormat="1" applyFont="1" applyFill="1" applyBorder="1" applyAlignment="1" applyProtection="1">
      <alignment horizontal="center"/>
    </xf>
    <xf numFmtId="165" fontId="19" fillId="0" borderId="86" xfId="2" applyNumberFormat="1" applyFont="1" applyBorder="1" applyAlignment="1" applyProtection="1"/>
    <xf numFmtId="165" fontId="19" fillId="0" borderId="82" xfId="2" applyNumberFormat="1" applyFont="1" applyFill="1" applyBorder="1" applyAlignment="1" applyProtection="1">
      <alignment horizontal="center"/>
    </xf>
    <xf numFmtId="165" fontId="23" fillId="0" borderId="50" xfId="2" applyNumberFormat="1" applyFont="1" applyFill="1" applyBorder="1" applyAlignment="1" applyProtection="1">
      <alignment horizontal="center"/>
    </xf>
    <xf numFmtId="165" fontId="19" fillId="0" borderId="48" xfId="2" applyNumberFormat="1" applyFont="1" applyFill="1" applyBorder="1" applyAlignment="1" applyProtection="1">
      <alignment horizontal="center"/>
    </xf>
    <xf numFmtId="165" fontId="19" fillId="0" borderId="86" xfId="2" applyNumberFormat="1" applyFont="1" applyFill="1" applyBorder="1" applyAlignment="1" applyProtection="1">
      <alignment horizontal="center"/>
    </xf>
    <xf numFmtId="165" fontId="19" fillId="0" borderId="6" xfId="2" applyNumberFormat="1" applyFont="1" applyFill="1" applyBorder="1" applyAlignment="1" applyProtection="1">
      <alignment horizontal="center"/>
    </xf>
    <xf numFmtId="3" fontId="8" fillId="0" borderId="8" xfId="2" applyNumberFormat="1" applyFont="1" applyBorder="1" applyAlignment="1" applyProtection="1"/>
    <xf numFmtId="2" fontId="31" fillId="0" borderId="1" xfId="2" applyNumberFormat="1" applyFont="1" applyFill="1" applyBorder="1" applyAlignment="1" applyProtection="1">
      <alignment horizontal="center"/>
    </xf>
    <xf numFmtId="2" fontId="31" fillId="0" borderId="1" xfId="2" applyNumberFormat="1" applyFont="1" applyFill="1" applyBorder="1" applyAlignment="1" applyProtection="1">
      <alignment horizontal="right"/>
    </xf>
    <xf numFmtId="4" fontId="31" fillId="0" borderId="1" xfId="2" applyNumberFormat="1" applyFont="1" applyFill="1" applyBorder="1" applyAlignment="1" applyProtection="1">
      <alignment horizontal="right"/>
    </xf>
    <xf numFmtId="2" fontId="8" fillId="0" borderId="1" xfId="2" applyNumberFormat="1" applyFont="1" applyFill="1" applyBorder="1" applyAlignment="1" applyProtection="1"/>
    <xf numFmtId="2" fontId="4" fillId="0" borderId="1" xfId="2" applyNumberFormat="1" applyFont="1" applyFill="1" applyBorder="1" applyAlignment="1" applyProtection="1">
      <alignment horizontal="right"/>
    </xf>
    <xf numFmtId="164" fontId="4" fillId="0" borderId="0" xfId="2" applyNumberFormat="1" applyFont="1" applyFill="1" applyBorder="1" applyAlignment="1" applyProtection="1"/>
    <xf numFmtId="0" fontId="0" fillId="5" borderId="0" xfId="0" applyFill="1"/>
    <xf numFmtId="164" fontId="38" fillId="0" borderId="1" xfId="2" applyNumberFormat="1" applyFont="1" applyFill="1" applyBorder="1" applyAlignment="1" applyProtection="1">
      <alignment horizontal="right"/>
    </xf>
    <xf numFmtId="171" fontId="5" fillId="0" borderId="0" xfId="2" applyNumberFormat="1" applyFont="1" applyFill="1" applyBorder="1" applyAlignment="1" applyProtection="1">
      <protection locked="0"/>
    </xf>
    <xf numFmtId="171" fontId="5" fillId="0" borderId="0" xfId="2" applyNumberFormat="1" applyFont="1" applyBorder="1" applyAlignment="1" applyProtection="1">
      <protection locked="0"/>
    </xf>
    <xf numFmtId="171" fontId="4" fillId="0" borderId="0" xfId="2" applyNumberFormat="1" applyFont="1" applyFill="1" applyBorder="1" applyAlignment="1" applyProtection="1">
      <protection locked="0"/>
    </xf>
    <xf numFmtId="164" fontId="5" fillId="0" borderId="0" xfId="2" applyNumberFormat="1" applyFont="1" applyBorder="1" applyAlignment="1" applyProtection="1">
      <protection locked="0"/>
    </xf>
    <xf numFmtId="165" fontId="31" fillId="0" borderId="0" xfId="2" applyNumberFormat="1" applyFont="1" applyFill="1" applyBorder="1" applyAlignment="1" applyProtection="1">
      <alignment horizontal="right"/>
    </xf>
    <xf numFmtId="171" fontId="8" fillId="0" borderId="0" xfId="2" applyNumberFormat="1" applyFont="1" applyFill="1" applyBorder="1" applyAlignment="1" applyProtection="1">
      <protection locked="0"/>
    </xf>
    <xf numFmtId="175" fontId="8" fillId="0" borderId="0" xfId="1" applyNumberFormat="1" applyFont="1" applyBorder="1" applyAlignment="1" applyProtection="1">
      <protection locked="0"/>
    </xf>
    <xf numFmtId="171" fontId="8" fillId="0" borderId="0" xfId="2" applyNumberFormat="1" applyFont="1" applyBorder="1" applyAlignment="1" applyProtection="1">
      <protection locked="0"/>
    </xf>
    <xf numFmtId="171" fontId="8" fillId="0" borderId="14" xfId="2" applyNumberFormat="1" applyFont="1" applyBorder="1" applyAlignment="1" applyProtection="1">
      <protection locked="0"/>
    </xf>
    <xf numFmtId="3" fontId="4" fillId="6" borderId="20" xfId="2" applyNumberFormat="1" applyFont="1" applyFill="1" applyBorder="1" applyAlignment="1" applyProtection="1">
      <alignment vertical="center"/>
    </xf>
    <xf numFmtId="3" fontId="4" fillId="6" borderId="45" xfId="2" applyNumberFormat="1" applyFont="1" applyFill="1" applyBorder="1" applyAlignment="1" applyProtection="1">
      <alignment horizontal="center" vertical="center"/>
    </xf>
    <xf numFmtId="3" fontId="4" fillId="6" borderId="45" xfId="2" applyNumberFormat="1" applyFont="1" applyFill="1" applyBorder="1" applyAlignment="1" applyProtection="1">
      <alignment vertical="center"/>
    </xf>
    <xf numFmtId="3" fontId="4" fillId="6" borderId="45" xfId="2" applyNumberFormat="1" applyFont="1" applyFill="1" applyBorder="1" applyAlignment="1" applyProtection="1">
      <alignment horizontal="centerContinuous" vertical="center"/>
    </xf>
    <xf numFmtId="3" fontId="4" fillId="6" borderId="25" xfId="2" applyNumberFormat="1" applyFont="1" applyFill="1" applyBorder="1" applyAlignment="1" applyProtection="1">
      <alignment horizontal="centerContinuous" vertical="center"/>
    </xf>
    <xf numFmtId="0" fontId="6" fillId="0" borderId="15" xfId="0" applyFont="1" applyBorder="1"/>
    <xf numFmtId="0" fontId="0" fillId="0" borderId="15" xfId="0" applyBorder="1"/>
    <xf numFmtId="0" fontId="6" fillId="0" borderId="19" xfId="0" applyFont="1" applyBorder="1"/>
    <xf numFmtId="0" fontId="0" fillId="0" borderId="19" xfId="0" applyBorder="1"/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</cellXfs>
  <cellStyles count="4">
    <cellStyle name="Normal" xfId="0" builtinId="0"/>
    <cellStyle name="Normal_58 Fiche programme" xfId="3"/>
    <cellStyle name="Normal_58 Fiche programme_Pgr PRLC 0110 APD" xfId="2"/>
    <cellStyle name="Pourcentage" xfId="1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bl/Desktop/JARDINS%20PARTAGES/NBL/Budget%20TRANCHE%2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4%20-%20DOP\42%20-%20P&#244;le%20Construction%20Immobili&#232;re\P&#244;le%20Immobilier\PRLC\Programmation%202015\0166-LACAUSSADE%203\3.%20Budget\Budget%20Lacaussade%203%20fin%20tx%2029112018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Habitat\OPERATIONNEL%20HABITAT\02-%20Operations\VEFA\Programmation%202010\SAPOTILLES%20-%2014%20LLS\E%20-%20Financement\DDE\SAPOTILLES%201&#8364;%20de%20LBU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Habitat\OPERATIONNEL%20HABITAT\01%20-%20Pilotage\TDB%20habitat\TABLEAU%20DE%20BORD%20HABITA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385_Financements_d'Actifs\TC-GP\CSA%202006%20-%20Done\C%20-%20Pricing\Pricing%20Final\Final\modele%20Avion%201%20-%20Amortissement%20Financier%20+%20CI%20Brut%20-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DOCUME~1\lim\LOCALS~1\Temp\Saisi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4%20-%20DOP\42%20-%20P&#244;le%20Construction%20Immobili&#232;re\P&#244;le%20Immobilier\PRLC\Programmation%202015\BN%20177%20-%20St%20Joseph\3.%20Budget\Fsprod1\Utilisateurs$\Documents\zimberger\Temporaire\Calcul%20base%20&#233;ligibl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Saint%20Andre%20&amp;%20Pierre\Demande%20d'agr&#233;ment%20et%20suites\Demande%20d'infos%2020-02-09\Saint-Pierre\Simulations\Corossol\Corossol%20defisc%20et%20%20loyers%20minor&#233;s%2040%20et%205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Documents%20and%20Settings\stern\Mes%20documents\Infi\SIDR\Salazie\Simulations\R&#233;ponse%20Demande%20d'infos\H&#233;brides\SILOGA%20&amp;%20BILAN%20DDE%20SIDR%20-%20HEBRIDES\Loyer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385_Financements_d'Actifs\LT-MB\Turquie\Pricing\THY%20-%202x37%20MEUR%20-25-10-2006%20ECA%20-%20IRR%20revis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7%20-%20En-cours%20Anthony\SIDR\Documents%20programmes\Fidji\BILAN%202008%20-%2015%20I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Direction%20du%20Patrimoine%20et%20du%20D&#233;veloppement\D&#233;partement%20Habitat\OPERATIONNEL%20HABITAT\02-%20Operations\Locatif\Jean-Emeric\&#164;%20A%20FAIRE%20&#164;\CA\CA%20(travail)\Fiche%20CA\SILOG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Habitat\Ressources%20Habitat\01%20-%20Documents%20types%20et%20procedures%20operationnelles\VEFA\Op&#233;rations%20VEFA\9749%20-%20Le%20Florentin%20-%2065%20LLS%20VEFA\A%20-%20Promoteur\Bilan\Bilan%20FLORENTIN%20LLS%20_18fev09%20_BZ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Habitat\Ressources%20Habitat\01%20-%20Documents%20types%20et%20procedures%20operationnelles\VEFA\Fiche%20op&#233;ration%20Promoteurs%20_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Montages\Commun%20JBU%20SA\Plan%20de%20tr&#233;sorerie\Locatif%20&amp;%20R&#233;habilitation\11%20Novembre\Tr&#233;sorerie%20-%20Novembre%202009%20VEFA%20CA%20122009%20V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385_Financements_d'Actifs\LT-KS\FELL-Turkey\THY%202008\Pricing\MODELE%20GF_test%20avion%202008%20-%20V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385_Financements_d'Actifs\KHALID\Elyo\PRONY%202004\N%20-%20FINANCE\2004-09-01-PRONY-GF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Documents%20and%20Settings\stern\Mes%20documents\Infi\Simulateur%20Logement%2020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385_Financements_d'Actifs\LT-KS\FELL-Turkey\THY%202008\Pricing\Mod&#232;le%20Diff&#233;r&#233;s%20GOL%20G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Montages\Commun%20JBU%20SA\Plan%20de%20tr&#233;sorerie\Locatif%20&amp;%20R&#233;habilitation\11%20Novembre\Tr&#233;sorerie%20-%20Novembre%202009%20CA%20122009%20-%20Sc&#233;nario%202%20(optimiste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FJACQUES\Mes%20documents%20D\semader\defisc\op&#233;ration%20log%20social\semader%20-%20defisc%20gestion%20locative%20en%20Ir%20V1%20bi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Habitat\OPERATIONNEL%20HABITAT\02-%20Operations\Locatif\Laure\9642%20-%209643%20-%20Wallis%20&amp;%20Futuna\E%20-%20Financement\Bilan%20-%20Wallis%2003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FJACQUES\Mes%20documents%20D\semader\defisc\PSLA-v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Documents%20and%20Settings\stern\Mes%20documents\Infi\7-%20En-cours%20Anthony\SIDR\Simul%20-%2041%25%2022-10-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4%20-%20DOP\42%20-%20P&#244;le%20Construction%20Immobili&#232;re\P&#244;le%20Immobilier\PRLC\Programmation%202015\BN%20177%20-%20St%20Joseph\3.%20Budget\filer002\303093$\DOCUME~1\140934\LOCALS~1\Temp\notesF20BA6\V4\Air%20Tahiti\PricerAirTahitiINT2004-1A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4%20-%20DOP\42%20-%20P&#244;le%20Construction%20Immobili&#232;re\P&#244;le%20Immobilier\PRLC\Programmation%202015\BN%20177%20-%20St%20Joseph\3.%20Budget\Fsprod1\Utilisateurs$\Documents\zimberger\Procedures\BILAN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385_Financements_d'Actifs\LT-KS\FELL-Turkey\THY%202008\Pricing\Z_Poubelle\MODELE%20GF_test%20avion%202008%20-%20V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4%20-%20DOP\42%20-%20P&#244;le%20Construction%20Immobili&#232;re\P&#244;le%20Immobilier\PRLC\Programmation%202015\BN%20177%20-%20St%20Joseph\3.%20Budget\Fsprod1\Utilisateurs$\Documents\zimberger\Temporaire\Bilan%20-%20Beta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4%20-%20DOP\42%20-%20P&#244;le%20Construction%20Immobili&#232;re\P&#244;le%20Immobilier\PRLC\Programmation%202015\BN%20177%20-%20St%20Joseph\3.%20Budget\S3E116\partage\Affaires\116%20E%207453\116%20C%203678\Etudes%20-%20Chantiers%20SAUVChantiers%20clotur&#233;s\116%20C%203646\A%20faire%20116%20C%203646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4%20-%20D&#233;partement%20Op&#233;ration%20et%20Programme\42%20-%20P&#244;le%20Construction%20Immobili&#232;re\P&#244;le%20Immobilier\PRLC\Programmation%202011\Philidor%20Techer\Financement\DEFISC\Dossier%20agr&#233;ment\IM\Bilan%20FRAFU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__Work\TER%20SM%20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4%20-%20DOP\42%20-%20P&#244;le%20Construction%20Immobili&#232;re\P&#244;le%20Immobilier\PRLC\Programmation%202015\BN%20177%20-%20St%20Joseph\3.%20Budget\filer002\303093$\385_Financements_d'Actifs\DJ-LP\TRAVAIL\Calculs\refin\REFINANC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7%20-%20SODEGIS%20Report/OPR%20Locatif%20social/Prog%2010/0085%20Prog%20Butte%20Citronnel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Documents%20and%20Settings\stern\Mes%20documents\Infi\SIDR\SCI%20Saint-Denis\Jean-Emeric%20MONSEAU\Cocos\Bilan%20DDE\BILAN%20DDE%20-%20Coco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degis2\users\Mes%20documents\76%20LA%20CRESSONNIERE%2014%20LLTS%203\076%20La%20Cressonni&#232;re%2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4%20-%20DOP\42%20-%20P&#244;le%20Construction%20Immobili&#232;re\P&#244;le%20Immobilier\PRLC\Programmation%202015\BN%20177%20-%20St%20Joseph\3.%20Budget\Infisrvdc02\infi\Saint%20Andre%20&amp;%20Pierre\SILOGA\Saint-Pierre\Corossol\Source\COROSSOL%20(ex%20chagos1)-%20Bila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Documents%20and%20Settings\stern\Mes%20documents\Infi\7-%20En-cours%20Anthony\SIDR\SALAZIE\ADF\SIDR%20ADF%206%20ans%20VFidji%20V03-02-2009%20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385_Financements_d'Actifs\LT-KS\FELL-Turkey\THY%202008\Pricing\THY%20Detailed%20Pricing%20MSN20071203%20-%20Boeing%20(for%20one%20aircraft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Documents%20and%20Settings\stern\Mes%20documents\Ateliers%20du%20Loft\Borlo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Documents%20and%20Settings\stern\Local%20Settings\Temporary%20Internet%20Files\OLK1E\BILAN%202008%20-%2015%20I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S-01\Organisation\4%20-%20DOP\42%20-%20P&#244;le%20Construction%20Immobili&#232;re\P&#244;le%20Immobilier\PRLC\Programmation%202015\BN%20177%20-%20St%20Joseph\3.%20Budget\filer002\303093$\DOCUME~1\140934\LOCALS~1\Temp\notesF20BA6\V4\2004-009-05_CSA_VFinale_WideBodiesV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15-%20SODEGIS%20Report\Biblioth&#232;que%20des%20matrices\Matrices%20PRLC\Matrices%202020%20en%20cours%20de%20modif\Matrice%20type%20Prog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 d'entrée"/>
      <sheetName val="GUIDE DEAL"/>
      <sheetName val="première page"/>
      <sheetName val="Planning VEFA"/>
      <sheetName val="1"/>
      <sheetName val="2"/>
      <sheetName val="3"/>
      <sheetName val="5"/>
      <sheetName val="6"/>
      <sheetName val="7"/>
      <sheetName val="8"/>
      <sheetName val="9"/>
      <sheetName val="Calculs détaillés"/>
      <sheetName val="Notice explicative"/>
      <sheetName val="Test de compensation"/>
      <sheetName val="Bdgt"/>
      <sheetName val="Prgr. 2020"/>
      <sheetName val="Base éligible globale"/>
      <sheetName val="DPR LLS"/>
      <sheetName val="FFD LLS"/>
      <sheetName val="Base éligible LLS"/>
      <sheetName val="FFD LLTS"/>
      <sheetName val="DPR LLTS"/>
      <sheetName val="Base éligible LLTS"/>
      <sheetName val="SF previsio LLS-LLTS"/>
      <sheetName val="Synthèse LLS-LLTS"/>
      <sheetName val="Base éligible PLS"/>
      <sheetName val="DPR PLS"/>
      <sheetName val="FFD PLS"/>
      <sheetName val="SF previsio PLS"/>
      <sheetName val="Synthèse PLS"/>
      <sheetName val="EDD"/>
      <sheetName val="FICHE CLOTURE"/>
      <sheetName val="BILAN LLTS"/>
      <sheetName val="BILAN LLS"/>
      <sheetName val="BILAN PLS"/>
      <sheetName val="Calcul CIDOM"/>
      <sheetName val="Loyers Max"/>
      <sheetName val="Estim MOE"/>
      <sheetName val="PRD"/>
    </sheetNames>
    <sheetDataSet>
      <sheetData sheetId="0">
        <row r="8">
          <cell r="D8">
            <v>103</v>
          </cell>
          <cell r="E8">
            <v>60</v>
          </cell>
        </row>
        <row r="24">
          <cell r="E24" t="str">
            <v>7, rue Jean Couturier  97430 LE TAMPON</v>
          </cell>
        </row>
        <row r="26">
          <cell r="D26" t="str">
            <v>François CORNUZ</v>
          </cell>
        </row>
        <row r="30">
          <cell r="D30">
            <v>64920.383596567466</v>
          </cell>
          <cell r="E30">
            <v>37123.082036930755</v>
          </cell>
          <cell r="F30">
            <v>18261.534366501779</v>
          </cell>
        </row>
        <row r="32">
          <cell r="D32">
            <v>9276.17</v>
          </cell>
          <cell r="E32">
            <v>3338.66</v>
          </cell>
          <cell r="F32">
            <v>2561.1400000000003</v>
          </cell>
        </row>
      </sheetData>
      <sheetData sheetId="1"/>
      <sheetData sheetId="2"/>
      <sheetData sheetId="3"/>
      <sheetData sheetId="4">
        <row r="65">
          <cell r="D65">
            <v>192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9">
          <cell r="R159">
            <v>-1452180.2318365634</v>
          </cell>
          <cell r="V159">
            <v>-1149085.3258729284</v>
          </cell>
          <cell r="Z159">
            <v>9495.9978705809262</v>
          </cell>
        </row>
        <row r="160">
          <cell r="R160">
            <v>0</v>
          </cell>
          <cell r="V160">
            <v>0</v>
          </cell>
          <cell r="Z160">
            <v>0</v>
          </cell>
        </row>
        <row r="161">
          <cell r="Z161">
            <v>30629.006819112601</v>
          </cell>
        </row>
        <row r="166">
          <cell r="R166">
            <v>1545000</v>
          </cell>
          <cell r="V166">
            <v>1200000</v>
          </cell>
          <cell r="Z166">
            <v>0</v>
          </cell>
        </row>
        <row r="175">
          <cell r="R175">
            <v>-27899.384566869077</v>
          </cell>
          <cell r="V175">
            <v>-13791.59209014089</v>
          </cell>
          <cell r="Z175">
            <v>-21863.470323191748</v>
          </cell>
        </row>
        <row r="183">
          <cell r="AD183">
            <v>0</v>
          </cell>
        </row>
        <row r="184">
          <cell r="AD184">
            <v>0</v>
          </cell>
        </row>
        <row r="187">
          <cell r="AD187">
            <v>0</v>
          </cell>
        </row>
        <row r="188">
          <cell r="AD188">
            <v>0</v>
          </cell>
        </row>
        <row r="189">
          <cell r="AD189">
            <v>0</v>
          </cell>
        </row>
        <row r="190">
          <cell r="AD190">
            <v>0</v>
          </cell>
        </row>
        <row r="193">
          <cell r="AD193">
            <v>0</v>
          </cell>
        </row>
      </sheetData>
      <sheetData sheetId="16"/>
      <sheetData sheetId="17"/>
      <sheetData sheetId="18">
        <row r="69">
          <cell r="E69">
            <v>64856.203326706629</v>
          </cell>
        </row>
      </sheetData>
      <sheetData sheetId="19">
        <row r="9">
          <cell r="D9">
            <v>0</v>
          </cell>
        </row>
        <row r="18">
          <cell r="D18">
            <v>0</v>
          </cell>
        </row>
        <row r="32">
          <cell r="D32">
            <v>0</v>
          </cell>
        </row>
        <row r="39">
          <cell r="D39">
            <v>0</v>
          </cell>
        </row>
        <row r="61">
          <cell r="D61">
            <v>0</v>
          </cell>
        </row>
        <row r="64">
          <cell r="D64">
            <v>0</v>
          </cell>
        </row>
        <row r="67">
          <cell r="D67">
            <v>0</v>
          </cell>
        </row>
        <row r="76">
          <cell r="D76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61800</v>
          </cell>
        </row>
        <row r="81">
          <cell r="D81">
            <v>3120.3835965674675</v>
          </cell>
        </row>
        <row r="82">
          <cell r="D82">
            <v>64920.383596567466</v>
          </cell>
        </row>
      </sheetData>
      <sheetData sheetId="20"/>
      <sheetData sheetId="21">
        <row r="9">
          <cell r="D9">
            <v>0</v>
          </cell>
        </row>
        <row r="18">
          <cell r="D18">
            <v>0</v>
          </cell>
        </row>
        <row r="32">
          <cell r="D32">
            <v>0</v>
          </cell>
        </row>
        <row r="39">
          <cell r="D39">
            <v>0</v>
          </cell>
        </row>
        <row r="61">
          <cell r="D61">
            <v>0</v>
          </cell>
        </row>
        <row r="64">
          <cell r="D64">
            <v>0</v>
          </cell>
        </row>
        <row r="67">
          <cell r="D67">
            <v>0</v>
          </cell>
        </row>
        <row r="76">
          <cell r="D76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36000</v>
          </cell>
        </row>
        <row r="81">
          <cell r="D81">
            <v>1123.0820369307528</v>
          </cell>
        </row>
        <row r="82">
          <cell r="D82">
            <v>37123.082036930755</v>
          </cell>
        </row>
      </sheetData>
      <sheetData sheetId="22">
        <row r="69">
          <cell r="E69">
            <v>37099.982406396426</v>
          </cell>
        </row>
      </sheetData>
      <sheetData sheetId="23"/>
      <sheetData sheetId="24">
        <row r="12">
          <cell r="N12">
            <v>0</v>
          </cell>
        </row>
        <row r="13">
          <cell r="N13">
            <v>102043.46563349821</v>
          </cell>
        </row>
        <row r="14">
          <cell r="N14">
            <v>-41690.976657009967</v>
          </cell>
          <cell r="P14">
            <v>2745000</v>
          </cell>
        </row>
        <row r="20">
          <cell r="E20">
            <v>163</v>
          </cell>
        </row>
      </sheetData>
      <sheetData sheetId="25"/>
      <sheetData sheetId="26"/>
      <sheetData sheetId="27">
        <row r="69">
          <cell r="E69">
            <v>18243.814266896945</v>
          </cell>
        </row>
      </sheetData>
      <sheetData sheetId="28">
        <row r="9">
          <cell r="D9">
            <v>0</v>
          </cell>
        </row>
        <row r="18">
          <cell r="D18">
            <v>0</v>
          </cell>
        </row>
        <row r="32">
          <cell r="D32">
            <v>0</v>
          </cell>
        </row>
        <row r="39">
          <cell r="D39">
            <v>0</v>
          </cell>
        </row>
        <row r="61">
          <cell r="D61">
            <v>0</v>
          </cell>
        </row>
        <row r="64">
          <cell r="D64">
            <v>0</v>
          </cell>
        </row>
        <row r="67">
          <cell r="D67">
            <v>0</v>
          </cell>
        </row>
        <row r="76">
          <cell r="D76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17400</v>
          </cell>
        </row>
        <row r="81">
          <cell r="D81">
            <v>861.53436650177878</v>
          </cell>
        </row>
        <row r="82">
          <cell r="D82">
            <v>18261.534366501779</v>
          </cell>
        </row>
      </sheetData>
      <sheetData sheetId="29">
        <row r="12">
          <cell r="N12">
            <v>0</v>
          </cell>
        </row>
        <row r="20">
          <cell r="E20">
            <v>29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>
        <row r="3">
          <cell r="A3" t="str">
            <v>T I Bis a</v>
          </cell>
          <cell r="B3">
            <v>370</v>
          </cell>
          <cell r="C3">
            <v>370</v>
          </cell>
        </row>
        <row r="4">
          <cell r="A4" t="str">
            <v>T I Bis a + V</v>
          </cell>
          <cell r="B4">
            <v>370</v>
          </cell>
          <cell r="C4">
            <v>370</v>
          </cell>
        </row>
        <row r="5">
          <cell r="A5" t="str">
            <v>T II +V a</v>
          </cell>
          <cell r="B5">
            <v>390</v>
          </cell>
          <cell r="C5">
            <v>370</v>
          </cell>
        </row>
        <row r="6">
          <cell r="A6" t="str">
            <v>T III +V a</v>
          </cell>
          <cell r="B6">
            <v>590</v>
          </cell>
          <cell r="C6">
            <v>590</v>
          </cell>
          <cell r="D6">
            <v>730</v>
          </cell>
        </row>
        <row r="7">
          <cell r="A7" t="str">
            <v>T IV + V a</v>
          </cell>
          <cell r="B7">
            <v>700</v>
          </cell>
          <cell r="C7">
            <v>700</v>
          </cell>
          <cell r="D7">
            <v>830</v>
          </cell>
        </row>
        <row r="8">
          <cell r="A8" t="str">
            <v>T V +V a</v>
          </cell>
          <cell r="B8">
            <v>800</v>
          </cell>
          <cell r="C8">
            <v>800</v>
          </cell>
          <cell r="D8">
            <v>930</v>
          </cell>
        </row>
      </sheetData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 d'entrée"/>
      <sheetName val="GUIDE DEAL"/>
      <sheetName val="première page"/>
      <sheetName val="1"/>
      <sheetName val="2"/>
      <sheetName val="3"/>
      <sheetName val="4"/>
      <sheetName val="5"/>
      <sheetName val="6"/>
      <sheetName val="7"/>
      <sheetName val="8"/>
      <sheetName val="9"/>
      <sheetName val="Calculs détaillés"/>
      <sheetName val="Notice explicative"/>
      <sheetName val="Test de compensation"/>
      <sheetName val="FFD LLTS"/>
      <sheetName val="Bdgt"/>
      <sheetName val="BILAN"/>
      <sheetName val="EDD"/>
      <sheetName val="FICHE CLOTURE"/>
      <sheetName val="Prgr. 2015"/>
      <sheetName val="DPR LLS"/>
      <sheetName val="DPR LLTS"/>
      <sheetName val="Base éligible"/>
      <sheetName val="FFD LLS"/>
      <sheetName val="FRAFU AVS + LESG"/>
      <sheetName val="5.5 plafond aides"/>
      <sheetName val="pièces 3.2 et 3.3"/>
      <sheetName val="Feuil1"/>
      <sheetName val="SOLDE"/>
    </sheetNames>
    <sheetDataSet>
      <sheetData sheetId="0">
        <row r="8">
          <cell r="D8">
            <v>0</v>
          </cell>
        </row>
        <row r="12">
          <cell r="D12">
            <v>0</v>
          </cell>
          <cell r="E12" t="str">
            <v>4, rue Lacaussade 3 - 97 480 SAINT-JOSEPH</v>
          </cell>
        </row>
        <row r="16">
          <cell r="D16">
            <v>0</v>
          </cell>
          <cell r="E16" t="str">
            <v>SAINT-JOSEPH</v>
          </cell>
        </row>
      </sheetData>
      <sheetData sheetId="1" refreshError="1"/>
      <sheetData sheetId="2" refreshError="1"/>
      <sheetData sheetId="3">
        <row r="101">
          <cell r="O101">
            <v>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D1" t="str">
            <v>Lacaussade 3</v>
          </cell>
        </row>
      </sheetData>
      <sheetData sheetId="21" refreshError="1"/>
      <sheetData sheetId="22">
        <row r="62">
          <cell r="E62">
            <v>2686138.1842805124</v>
          </cell>
        </row>
      </sheetData>
      <sheetData sheetId="23" refreshError="1"/>
      <sheetData sheetId="24" refreshError="1"/>
      <sheetData sheetId="25" refreshError="1"/>
      <sheetData sheetId="26">
        <row r="8">
          <cell r="C8">
            <v>0</v>
          </cell>
          <cell r="E8">
            <v>0</v>
          </cell>
        </row>
      </sheetData>
      <sheetData sheetId="27" refreshError="1"/>
      <sheetData sheetId="28" refreshError="1"/>
      <sheetData sheetId="2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Par. com."/>
      <sheetName val="Par. glob."/>
      <sheetName val="Par. prêt"/>
      <sheetName val="Par. Op."/>
      <sheetName val="Surf."/>
      <sheetName val="Prix rev.CE"/>
      <sheetName val="Defisc"/>
      <sheetName val="CA"/>
      <sheetName val="Prés."/>
      <sheetName val="Financeurs"/>
      <sheetName val="DDE - B simpl."/>
      <sheetName val="DDE - B détail."/>
      <sheetName val="DDE - Attest."/>
      <sheetName val="DDE - Cont."/>
      <sheetName val="CEX - Recap"/>
      <sheetName val="CEX - Graph."/>
      <sheetName val="CEX - Résult."/>
      <sheetName val="ODSDataSheet"/>
      <sheetName val="ODSTempDataSheet"/>
    </sheetNames>
    <sheetDataSet>
      <sheetData sheetId="0"/>
      <sheetData sheetId="1"/>
      <sheetData sheetId="2" refreshError="1">
        <row r="14">
          <cell r="K14">
            <v>2247</v>
          </cell>
        </row>
      </sheetData>
      <sheetData sheetId="3"/>
      <sheetData sheetId="4" refreshError="1">
        <row r="145">
          <cell r="F145">
            <v>2010</v>
          </cell>
        </row>
        <row r="146">
          <cell r="F146" t="str">
            <v/>
          </cell>
        </row>
        <row r="147">
          <cell r="F147">
            <v>2.1000000000000001E-2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habitat social"/>
      <sheetName val="Saisie"/>
      <sheetName val="fiche opé"/>
      <sheetName val="Charges COP"/>
      <sheetName val="Charges CTX"/>
      <sheetName val="A.O."/>
      <sheetName val="O.S."/>
      <sheetName val="Livraisons"/>
      <sheetName val="Défisc"/>
      <sheetName val="VEFA"/>
      <sheetName val="ANRU"/>
      <sheetName val="Prets - garanties"/>
      <sheetName val="Suivi par intervenant"/>
      <sheetName val="Suivi par secteur"/>
      <sheetName val="Listes"/>
      <sheetName val="TABLEAU DE BORD HABITAT"/>
    </sheetNames>
    <sheetDataSet>
      <sheetData sheetId="0" refreshError="1">
        <row r="11">
          <cell r="A11" t="str">
            <v>opération</v>
          </cell>
          <cell r="B11" t="str">
            <v>n° compt</v>
          </cell>
          <cell r="C11" t="str">
            <v>zone</v>
          </cell>
          <cell r="D11" t="str">
            <v>COMMUNES</v>
          </cell>
          <cell r="E11" t="str">
            <v>Localisation</v>
          </cell>
          <cell r="F11" t="str">
            <v>Nbre L</v>
          </cell>
          <cell r="G11" t="str">
            <v>produit</v>
          </cell>
          <cell r="H11" t="str">
            <v>Cgal</v>
          </cell>
          <cell r="I11" t="str">
            <v>type aide Cgal</v>
          </cell>
          <cell r="J11" t="str">
            <v>TYP</v>
          </cell>
          <cell r="K11" t="str">
            <v>foncier</v>
          </cell>
          <cell r="L11" t="str">
            <v>si CF</v>
          </cell>
          <cell r="M11" t="str">
            <v>Foncier</v>
          </cell>
          <cell r="N11" t="str">
            <v>COP</v>
          </cell>
          <cell r="O11" t="str">
            <v>CTX</v>
          </cell>
          <cell r="P11" t="str">
            <v>ASS</v>
          </cell>
          <cell r="Q11" t="str">
            <v>AMT</v>
          </cell>
          <cell r="R11" t="str">
            <v>LBU</v>
          </cell>
          <cell r="S11" t="str">
            <v>prob dépôt AO</v>
          </cell>
          <cell r="T11" t="str">
            <v>Remarques</v>
          </cell>
          <cell r="U11" t="str">
            <v>Maitrise d'œuvre</v>
          </cell>
          <cell r="V11" t="str">
            <v>AVANCEMENT</v>
          </cell>
          <cell r="W11" t="str">
            <v>Dépôt PC</v>
          </cell>
          <cell r="X11" t="str">
            <v>d</v>
          </cell>
          <cell r="Y11" t="str">
            <v>N° de permis de construire</v>
          </cell>
          <cell r="Z11" t="str">
            <v>Obtention PC</v>
          </cell>
          <cell r="AA11" t="str">
            <v>o</v>
          </cell>
          <cell r="AB11" t="str">
            <v>Comité Engt</v>
          </cell>
          <cell r="AC11" t="str">
            <v>v</v>
          </cell>
          <cell r="AD11" t="str">
            <v>CA du</v>
          </cell>
          <cell r="AE11" t="str">
            <v>Dépôt FINCT</v>
          </cell>
          <cell r="AF11" t="str">
            <v>f</v>
          </cell>
          <cell r="AG11" t="str">
            <v>Décision finct</v>
          </cell>
          <cell r="AH11" t="str">
            <v>lanct AO</v>
          </cell>
          <cell r="AI11" t="str">
            <v>ao</v>
          </cell>
          <cell r="AJ11" t="str">
            <v>OS</v>
          </cell>
          <cell r="AK11" t="str">
            <v>ch</v>
          </cell>
          <cell r="AL11" t="str">
            <v>ecart AO/OS</v>
          </cell>
          <cell r="AM11" t="str">
            <v>année OS</v>
          </cell>
          <cell r="AN11" t="str">
            <v>durée chantier</v>
          </cell>
          <cell r="AO11" t="str">
            <v>LIV technique</v>
          </cell>
          <cell r="AP11" t="str">
            <v>LIV reelle</v>
          </cell>
          <cell r="AQ11" t="str">
            <v>li</v>
          </cell>
          <cell r="AR11" t="str">
            <v>année LIV</v>
          </cell>
          <cell r="AS11" t="str">
            <v>t1bis</v>
          </cell>
          <cell r="AT11" t="str">
            <v>surf t1bis</v>
          </cell>
          <cell r="AU11" t="str">
            <v>T2</v>
          </cell>
          <cell r="AV11" t="str">
            <v>surf T2</v>
          </cell>
          <cell r="AW11" t="str">
            <v>T2/3</v>
          </cell>
          <cell r="AX11" t="str">
            <v>surf T2/3</v>
          </cell>
          <cell r="AY11" t="str">
            <v>T3</v>
          </cell>
          <cell r="AZ11" t="str">
            <v>surf T3</v>
          </cell>
          <cell r="BA11" t="str">
            <v>T3/4</v>
          </cell>
          <cell r="BB11" t="str">
            <v>surf T3/4</v>
          </cell>
          <cell r="BC11" t="str">
            <v>T4</v>
          </cell>
          <cell r="BD11" t="str">
            <v>surf T4</v>
          </cell>
          <cell r="BE11" t="str">
            <v>T4/5</v>
          </cell>
          <cell r="BF11" t="str">
            <v>surf T4/5</v>
          </cell>
          <cell r="BG11" t="str">
            <v>T5</v>
          </cell>
          <cell r="BH11" t="str">
            <v>surf T5</v>
          </cell>
          <cell r="BI11" t="str">
            <v>T5/6</v>
          </cell>
          <cell r="BJ11" t="str">
            <v>surf T5/6</v>
          </cell>
          <cell r="BK11" t="str">
            <v>verif N</v>
          </cell>
          <cell r="BL11" t="str">
            <v>loyer théorique</v>
          </cell>
          <cell r="BM11" t="str">
            <v>charges théoriques</v>
          </cell>
          <cell r="BN11" t="str">
            <v>CG</v>
          </cell>
          <cell r="BO11" t="str">
            <v>GAR EMP CG</v>
          </cell>
          <cell r="BP11" t="str">
            <v>commune</v>
          </cell>
          <cell r="BQ11" t="str">
            <v>GAR EMP COM</v>
          </cell>
          <cell r="BR11" t="str">
            <v>finct comp LLTS1</v>
          </cell>
          <cell r="BS11" t="str">
            <v>%age reservation</v>
          </cell>
          <cell r="BT11" t="str">
            <v>convention signée</v>
          </cell>
          <cell r="BU11" t="str">
            <v>finct comp LLTS2</v>
          </cell>
          <cell r="BV11" t="str">
            <v>%age reservation</v>
          </cell>
          <cell r="BW11" t="str">
            <v>convention signée</v>
          </cell>
          <cell r="BX11" t="str">
            <v>Prêt CDC ou autre</v>
          </cell>
          <cell r="BY11" t="str">
            <v>Shon</v>
          </cell>
          <cell r="BZ11" t="str">
            <v>Shob</v>
          </cell>
          <cell r="CA11" t="str">
            <v>Sfinançables</v>
          </cell>
          <cell r="CB11" t="str">
            <v>Shabitable</v>
          </cell>
          <cell r="CC11" t="str">
            <v>Sdéfisc</v>
          </cell>
          <cell r="CD11" t="str">
            <v>Sperficie terrain</v>
          </cell>
          <cell r="CE11" t="str">
            <v>centrale de production</v>
          </cell>
          <cell r="CF11" t="str">
            <v>lot solaire</v>
          </cell>
          <cell r="CG11" t="str">
            <v xml:space="preserve"> region</v>
          </cell>
          <cell r="CH11" t="str">
            <v xml:space="preserve"> Feder</v>
          </cell>
          <cell r="CI11" t="str">
            <v xml:space="preserve"> DRIRE</v>
          </cell>
          <cell r="CJ11" t="str">
            <v>Véhicule fiscal</v>
          </cell>
          <cell r="CK11" t="str">
            <v>Défiscalisateur</v>
          </cell>
          <cell r="CL11" t="str">
            <v>Dépôt agrement</v>
          </cell>
          <cell r="CM11" t="str">
            <v>Agrement</v>
          </cell>
          <cell r="CN11" t="str">
            <v>Montant défisc</v>
          </cell>
          <cell r="CO11" t="str">
            <v>montage défisc</v>
          </cell>
          <cell r="CP11" t="str">
            <v>Périmetre ANRU</v>
          </cell>
          <cell r="CQ11" t="str">
            <v>Opération cloturée</v>
          </cell>
          <cell r="CR11" t="str">
            <v>Charge foncière TTC</v>
          </cell>
          <cell r="CS11" t="str">
            <v>cout terrain TTC</v>
          </cell>
          <cell r="CT11" t="str">
            <v>Batiment TTC (hors solaire)</v>
          </cell>
          <cell r="CU11" t="str">
            <v>Eau chaude solaire TTC</v>
          </cell>
          <cell r="CV11" t="str">
            <v>Honoraires &amp; autres frais TTC</v>
          </cell>
          <cell r="CW11" t="str">
            <v>Interets de préfinancement</v>
          </cell>
          <cell r="CX11" t="str">
            <v>TOTAL</v>
          </cell>
          <cell r="CY11" t="str">
            <v>LBU</v>
          </cell>
          <cell r="CZ11" t="str">
            <v>LBU terrain</v>
          </cell>
          <cell r="DA11" t="str">
            <v>subvention complementaire LLTS</v>
          </cell>
          <cell r="DB11" t="str">
            <v>Subvention complémentaire paritaire</v>
          </cell>
          <cell r="DC11" t="str">
            <v>LBU surcharge foncière</v>
          </cell>
          <cell r="DD11" t="str">
            <v>Collectivité subvention surcharge fonciere</v>
          </cell>
          <cell r="DE11" t="str">
            <v>Suvention solaire</v>
          </cell>
          <cell r="DF11" t="str">
            <v>Autres subvention 1</v>
          </cell>
          <cell r="DG11" t="str">
            <v>Financeurs aute subvention 1</v>
          </cell>
          <cell r="DH11" t="str">
            <v>Autres subvention 2</v>
          </cell>
          <cell r="DI11" t="str">
            <v>Financeurs aute subvention 2</v>
          </cell>
          <cell r="DJ11" t="str">
            <v>TOTAL SUBVENTIONS</v>
          </cell>
          <cell r="DK11" t="str">
            <v>CDC</v>
          </cell>
          <cell r="DL11" t="str">
            <v>CDC foncier</v>
          </cell>
          <cell r="DM11" t="str">
            <v>Collecteur 1%</v>
          </cell>
          <cell r="DN11" t="str">
            <v>Complementaire</v>
          </cell>
          <cell r="DO11" t="str">
            <v>TOTAL PRÊT</v>
          </cell>
          <cell r="DP11" t="str">
            <v>F P surcharge foncières</v>
          </cell>
          <cell r="DQ11" t="str">
            <v>F P pour revision de prix</v>
          </cell>
          <cell r="DR11" t="str">
            <v>F P solaire</v>
          </cell>
          <cell r="DS11" t="str">
            <v>Autre</v>
          </cell>
          <cell r="DT11" t="str">
            <v>TOTAL FONDS PROPRES</v>
          </cell>
          <cell r="DU11" t="str">
            <v>Vérification Prix revient / financement</v>
          </cell>
          <cell r="DV11" t="str">
            <v>Vendeur VEFA</v>
          </cell>
          <cell r="DW11" t="str">
            <v xml:space="preserve">Charges foncières TTC aux logement </v>
          </cell>
          <cell r="DX11" t="str">
            <v>Cout Batiments au m² financable</v>
          </cell>
          <cell r="DY11" t="str">
            <v>Cout total TTC m² habitable</v>
          </cell>
          <cell r="DZ11" t="str">
            <v>Cout total TTC m² financable</v>
          </cell>
          <cell r="EA11" t="str">
            <v>COUT TOTAL TTC au logement</v>
          </cell>
          <cell r="EB11" t="str">
            <v>Fonds Propres au logement</v>
          </cell>
          <cell r="EC11" t="str">
            <v>Descriptif opération</v>
          </cell>
          <cell r="ED11" t="str">
            <v>Adresse image 1</v>
          </cell>
          <cell r="EE11" t="str">
            <v>Adresse image 2</v>
          </cell>
          <cell r="EF11" t="str">
            <v>Logement réservé CILR</v>
          </cell>
          <cell r="EG11" t="str">
            <v>Prêt CILR</v>
          </cell>
          <cell r="EH11" t="str">
            <v>Convention CILR</v>
          </cell>
          <cell r="EI11" t="str">
            <v>Logements réservé ACLPME</v>
          </cell>
          <cell r="EJ11" t="str">
            <v>Prêt ACLPME</v>
          </cell>
          <cell r="EK11" t="str">
            <v>Convention ACLPME</v>
          </cell>
          <cell r="EL11" t="str">
            <v>Logements reservés ACLPME</v>
          </cell>
          <cell r="EM11" t="str">
            <v>Logement réservé LAPOSTE</v>
          </cell>
          <cell r="EN11" t="str">
            <v>Subvention LAPOSTE</v>
          </cell>
          <cell r="EO11" t="str">
            <v>Convention LAPOSTE</v>
          </cell>
          <cell r="EP11" t="str">
            <v>Réservataires communes</v>
          </cell>
          <cell r="EQ11" t="str">
            <v>Réservataires prefectures</v>
          </cell>
          <cell r="ER11" t="str">
            <v>Nombre de logement autre reservataire</v>
          </cell>
          <cell r="ES11" t="str">
            <v>Subvention autre reservataire</v>
          </cell>
          <cell r="ET11" t="str">
            <v>Coinvention autre reservataire</v>
          </cell>
          <cell r="EU11" t="str">
            <v>DOC</v>
          </cell>
          <cell r="EV11" t="str">
            <v>DAT &amp; Conformité</v>
          </cell>
          <cell r="EW11" t="str">
            <v>Adresse de l'opération</v>
          </cell>
          <cell r="EX11" t="str">
            <v>Référence cadastrale</v>
          </cell>
        </row>
        <row r="12">
          <cell r="A12" t="str">
            <v xml:space="preserve"> A1 FLORES ex BERMUDES</v>
          </cell>
          <cell r="B12">
            <v>9690</v>
          </cell>
          <cell r="C12" t="str">
            <v>OUEST</v>
          </cell>
          <cell r="D12" t="str">
            <v>Port</v>
          </cell>
          <cell r="E12" t="str">
            <v>PRU MAIL DE L'OCEAN A1</v>
          </cell>
          <cell r="F12">
            <v>77</v>
          </cell>
          <cell r="G12" t="str">
            <v>LLS</v>
          </cell>
          <cell r="I12" t="str">
            <v>ETU</v>
          </cell>
          <cell r="J12" t="str">
            <v>COL</v>
          </cell>
          <cell r="K12" t="str">
            <v>CF</v>
          </cell>
          <cell r="L12" t="str">
            <v>SIDR</v>
          </cell>
          <cell r="M12" t="str">
            <v>maitrisé</v>
          </cell>
          <cell r="N12" t="str">
            <v>PC</v>
          </cell>
          <cell r="O12" t="str">
            <v>PC</v>
          </cell>
          <cell r="P12" t="str">
            <v>CS</v>
          </cell>
          <cell r="Q12" t="str">
            <v>SN</v>
          </cell>
          <cell r="R12">
            <v>2008</v>
          </cell>
          <cell r="S12">
            <v>0.75</v>
          </cell>
          <cell r="T12" t="str">
            <v>liberation foncier 2009?/126 000€ aclpme</v>
          </cell>
          <cell r="U12" t="str">
            <v>PERRAU</v>
          </cell>
          <cell r="V12" t="str">
            <v>K - OS TRAVAUX</v>
          </cell>
          <cell r="W12">
            <v>39630</v>
          </cell>
          <cell r="X12" t="str">
            <v>d</v>
          </cell>
          <cell r="Z12">
            <v>39751</v>
          </cell>
          <cell r="AA12" t="str">
            <v>o</v>
          </cell>
          <cell r="AB12">
            <v>39598</v>
          </cell>
          <cell r="AC12" t="str">
            <v>v</v>
          </cell>
          <cell r="AD12">
            <v>39729</v>
          </cell>
          <cell r="AE12">
            <v>39715</v>
          </cell>
          <cell r="AF12" t="str">
            <v>f</v>
          </cell>
          <cell r="AH12">
            <v>39751</v>
          </cell>
          <cell r="AI12" t="str">
            <v>ao</v>
          </cell>
          <cell r="AJ12">
            <v>39933</v>
          </cell>
          <cell r="AK12" t="str">
            <v/>
          </cell>
          <cell r="AL12">
            <v>5.9836927932667017</v>
          </cell>
          <cell r="AM12">
            <v>2009</v>
          </cell>
          <cell r="AN12">
            <v>23</v>
          </cell>
          <cell r="AO12">
            <v>40632</v>
          </cell>
          <cell r="AP12">
            <v>40647</v>
          </cell>
          <cell r="AQ12" t="str">
            <v/>
          </cell>
          <cell r="AR12">
            <v>2011</v>
          </cell>
          <cell r="BK12">
            <v>0</v>
          </cell>
          <cell r="BL12">
            <v>8.9700000000000006</v>
          </cell>
          <cell r="CJ12" t="str">
            <v>SCI Saint Denis</v>
          </cell>
          <cell r="CK12" t="str">
            <v>INFI</v>
          </cell>
          <cell r="CL12">
            <v>39801</v>
          </cell>
          <cell r="CM12" t="str">
            <v>-</v>
          </cell>
          <cell r="CN12">
            <v>0</v>
          </cell>
          <cell r="CO12" t="str">
            <v>199 undecies A</v>
          </cell>
          <cell r="CQ12" t="str">
            <v>non</v>
          </cell>
          <cell r="CX12">
            <v>0</v>
          </cell>
          <cell r="DE12">
            <v>0</v>
          </cell>
          <cell r="DJ12">
            <v>0</v>
          </cell>
          <cell r="DO12">
            <v>0</v>
          </cell>
          <cell r="DS12">
            <v>0</v>
          </cell>
          <cell r="DT12">
            <v>0</v>
          </cell>
          <cell r="DU12">
            <v>0</v>
          </cell>
          <cell r="ED12" t="str">
            <v>G:\Habitat\OPERATIONNEL HABITAT\02- Operations\Photothèque\images locatifs\Flores &amp; Malacca\Nouvelle Image (1).bmp</v>
          </cell>
          <cell r="EE12" t="str">
            <v>G:\Habitat\OPERATIONNEL HABITAT\02- Operations\Photothèque\image non disponible.jpg</v>
          </cell>
        </row>
        <row r="13">
          <cell r="A13" t="str">
            <v xml:space="preserve"> LE TEXTOR exCASCADES MV</v>
          </cell>
          <cell r="B13">
            <v>9648</v>
          </cell>
          <cell r="C13" t="str">
            <v>EST</v>
          </cell>
          <cell r="D13" t="str">
            <v>Plaine des Palmistes</v>
          </cell>
          <cell r="E13" t="str">
            <v>CENTRE VILLE</v>
          </cell>
          <cell r="F13">
            <v>12</v>
          </cell>
          <cell r="G13" t="str">
            <v>LLS</v>
          </cell>
          <cell r="H13" t="str">
            <v>déposé</v>
          </cell>
          <cell r="I13" t="str">
            <v>CG5</v>
          </cell>
          <cell r="J13" t="str">
            <v>MV</v>
          </cell>
          <cell r="K13" t="str">
            <v>CF</v>
          </cell>
          <cell r="L13" t="str">
            <v>SIDR</v>
          </cell>
          <cell r="M13" t="str">
            <v>maitrisé</v>
          </cell>
          <cell r="N13" t="str">
            <v>JPM</v>
          </cell>
          <cell r="O13" t="str">
            <v>JMO</v>
          </cell>
          <cell r="P13" t="str">
            <v>CC</v>
          </cell>
          <cell r="Q13" t="str">
            <v>SM</v>
          </cell>
          <cell r="R13">
            <v>2006</v>
          </cell>
          <cell r="S13">
            <v>0</v>
          </cell>
          <cell r="T13" t="str">
            <v>retard décision sidr pour os 2007</v>
          </cell>
          <cell r="U13" t="str">
            <v>ATELIER GAZUT</v>
          </cell>
          <cell r="V13" t="str">
            <v>L - CHANTIER EN COURS</v>
          </cell>
          <cell r="W13">
            <v>38855</v>
          </cell>
          <cell r="X13" t="str">
            <v>d</v>
          </cell>
          <cell r="Y13" t="str">
            <v>97441006A0072</v>
          </cell>
          <cell r="Z13">
            <v>39174</v>
          </cell>
          <cell r="AA13" t="str">
            <v>o</v>
          </cell>
          <cell r="AB13">
            <v>38974</v>
          </cell>
          <cell r="AC13" t="str">
            <v>v</v>
          </cell>
          <cell r="AD13">
            <v>38990</v>
          </cell>
          <cell r="AE13">
            <v>38904</v>
          </cell>
          <cell r="AF13" t="str">
            <v>f</v>
          </cell>
          <cell r="AG13">
            <v>39093</v>
          </cell>
          <cell r="AH13">
            <v>39042</v>
          </cell>
          <cell r="AI13" t="str">
            <v>ao</v>
          </cell>
          <cell r="AJ13">
            <v>39548</v>
          </cell>
          <cell r="AK13" t="str">
            <v>ch</v>
          </cell>
          <cell r="AL13">
            <v>16.635981062598631</v>
          </cell>
          <cell r="AM13">
            <v>2008</v>
          </cell>
          <cell r="AN13">
            <v>14</v>
          </cell>
          <cell r="AO13">
            <v>39974</v>
          </cell>
          <cell r="AP13">
            <v>39989</v>
          </cell>
          <cell r="AQ13" t="str">
            <v/>
          </cell>
          <cell r="AR13">
            <v>2009</v>
          </cell>
          <cell r="AS13">
            <v>4</v>
          </cell>
          <cell r="AT13">
            <v>34</v>
          </cell>
          <cell r="AW13">
            <v>8</v>
          </cell>
          <cell r="AX13">
            <v>54</v>
          </cell>
          <cell r="BK13">
            <v>12</v>
          </cell>
          <cell r="BL13">
            <v>7</v>
          </cell>
          <cell r="BM13">
            <v>0.31</v>
          </cell>
          <cell r="BO13" t="str">
            <v xml:space="preserve">transmis </v>
          </cell>
          <cell r="BQ13" t="str">
            <v xml:space="preserve">transmis </v>
          </cell>
          <cell r="BX13" t="str">
            <v>demande à faire</v>
          </cell>
          <cell r="BY13">
            <v>638.1</v>
          </cell>
          <cell r="BZ13">
            <v>702</v>
          </cell>
          <cell r="CA13">
            <v>638.1</v>
          </cell>
          <cell r="CE13" t="str">
            <v>ECS ind</v>
          </cell>
          <cell r="CF13">
            <v>44400</v>
          </cell>
          <cell r="CG13">
            <v>13320</v>
          </cell>
          <cell r="CH13">
            <v>19980</v>
          </cell>
          <cell r="CJ13" t="str">
            <v>-</v>
          </cell>
          <cell r="CK13" t="str">
            <v>-</v>
          </cell>
          <cell r="CL13" t="str">
            <v>-</v>
          </cell>
          <cell r="CM13" t="str">
            <v>-</v>
          </cell>
          <cell r="CN13">
            <v>0</v>
          </cell>
          <cell r="CQ13" t="str">
            <v>non</v>
          </cell>
          <cell r="CX13">
            <v>0</v>
          </cell>
          <cell r="DE13">
            <v>33300</v>
          </cell>
          <cell r="DJ13">
            <v>33300</v>
          </cell>
          <cell r="DO13">
            <v>0</v>
          </cell>
          <cell r="DQ13">
            <v>30764</v>
          </cell>
          <cell r="DR13">
            <v>12000</v>
          </cell>
          <cell r="DS13">
            <v>42764</v>
          </cell>
          <cell r="DT13">
            <v>85528</v>
          </cell>
          <cell r="DU13">
            <v>118828</v>
          </cell>
          <cell r="ED13" t="str">
            <v>G:\Habitat\OPERATIONNEL HABITAT\02- Operations\Photothèque\images locatifs\CASCADES\Cascades.jpg</v>
          </cell>
          <cell r="EE13" t="str">
            <v>G:\Habitat\OPERATIONNEL HABITAT\02- Operations\Photothèque\image non disponible.jpg</v>
          </cell>
        </row>
        <row r="14">
          <cell r="A14" t="str">
            <v xml:space="preserve"> LIFOU ex ARUBA </v>
          </cell>
          <cell r="B14">
            <v>9732</v>
          </cell>
          <cell r="C14" t="str">
            <v>EST</v>
          </cell>
          <cell r="D14" t="str">
            <v>Saint-Benoît</v>
          </cell>
          <cell r="E14" t="str">
            <v>ZAC ENTREE DE VILLE ST ANNE</v>
          </cell>
          <cell r="F14">
            <v>62</v>
          </cell>
          <cell r="G14" t="str">
            <v>LLTS</v>
          </cell>
          <cell r="J14" t="str">
            <v>COL</v>
          </cell>
          <cell r="K14" t="str">
            <v>CF</v>
          </cell>
          <cell r="L14" t="str">
            <v>SIDR</v>
          </cell>
          <cell r="M14" t="str">
            <v>maitrisé</v>
          </cell>
          <cell r="N14" t="str">
            <v>Cla</v>
          </cell>
          <cell r="O14" t="str">
            <v>JMO</v>
          </cell>
          <cell r="P14" t="str">
            <v>CC</v>
          </cell>
          <cell r="Q14" t="str">
            <v>AR</v>
          </cell>
          <cell r="R14">
            <v>2009</v>
          </cell>
          <cell r="S14">
            <v>0</v>
          </cell>
          <cell r="T14" t="str">
            <v>Problématique de la livraison de la station d'épuration (livraison annoncée octobre 2011) alors que l'opération doit se terminer courant 2011 !!!!</v>
          </cell>
          <cell r="U14" t="str">
            <v>DELCOURT</v>
          </cell>
          <cell r="V14" t="str">
            <v>B - ETUDE PRE-OP</v>
          </cell>
          <cell r="W14" t="str">
            <v>15/05/209</v>
          </cell>
          <cell r="X14" t="str">
            <v/>
          </cell>
          <cell r="AA14" t="str">
            <v/>
          </cell>
          <cell r="AC14" t="str">
            <v/>
          </cell>
          <cell r="AE14">
            <v>40071</v>
          </cell>
          <cell r="AF14" t="str">
            <v/>
          </cell>
          <cell r="AH14">
            <v>40071</v>
          </cell>
          <cell r="AI14" t="str">
            <v/>
          </cell>
          <cell r="AK14" t="str">
            <v/>
          </cell>
          <cell r="AL14">
            <v>-1317.4316149395056</v>
          </cell>
          <cell r="AM14" t="str">
            <v/>
          </cell>
          <cell r="AO14" t="str">
            <v/>
          </cell>
          <cell r="AP14" t="str">
            <v/>
          </cell>
          <cell r="AQ14" t="str">
            <v/>
          </cell>
          <cell r="AR14">
            <v>2012</v>
          </cell>
          <cell r="CJ14" t="str">
            <v>-</v>
          </cell>
          <cell r="CK14" t="str">
            <v>-</v>
          </cell>
          <cell r="CL14" t="str">
            <v>-</v>
          </cell>
          <cell r="CM14" t="str">
            <v>-</v>
          </cell>
          <cell r="CN14">
            <v>0</v>
          </cell>
          <cell r="CQ14" t="str">
            <v>non</v>
          </cell>
          <cell r="CX14">
            <v>0</v>
          </cell>
          <cell r="DE14">
            <v>0</v>
          </cell>
          <cell r="DJ14">
            <v>0</v>
          </cell>
          <cell r="DO14">
            <v>0</v>
          </cell>
          <cell r="DS14">
            <v>0</v>
          </cell>
          <cell r="DT14">
            <v>0</v>
          </cell>
          <cell r="DU14">
            <v>0</v>
          </cell>
          <cell r="ED14" t="str">
            <v>G:\Habitat\OPERATIONNEL HABITAT\02- Operations\Photothèque\image non disponible.jpg</v>
          </cell>
          <cell r="EE14" t="str">
            <v>G:\Habitat\OPERATIONNEL HABITAT\02- Operations\Photothèque\image non disponible.jpg</v>
          </cell>
        </row>
        <row r="15">
          <cell r="A15" t="str">
            <v xml:space="preserve"> STADE 2</v>
          </cell>
          <cell r="B15">
            <v>9681</v>
          </cell>
          <cell r="C15" t="str">
            <v>SUD</v>
          </cell>
          <cell r="D15" t="str">
            <v>Saint-Louis</v>
          </cell>
          <cell r="E15" t="str">
            <v>RHI DU STADE</v>
          </cell>
          <cell r="F15">
            <v>23</v>
          </cell>
          <cell r="G15" t="str">
            <v>LESG</v>
          </cell>
          <cell r="J15" t="str">
            <v>IND</v>
          </cell>
          <cell r="K15" t="str">
            <v>CF</v>
          </cell>
          <cell r="L15" t="str">
            <v>SIDR</v>
          </cell>
          <cell r="N15" t="str">
            <v>BS</v>
          </cell>
          <cell r="O15" t="str">
            <v>FG</v>
          </cell>
          <cell r="P15" t="str">
            <v>LV</v>
          </cell>
          <cell r="Q15" t="str">
            <v>HBM</v>
          </cell>
          <cell r="R15">
            <v>2006</v>
          </cell>
          <cell r="T15" t="str">
            <v>verif propriéte avec amenageur/temoin 02/2009</v>
          </cell>
          <cell r="U15" t="str">
            <v>SOAA MEUNIER</v>
          </cell>
          <cell r="V15" t="str">
            <v>L - CHANTIER EN COURS</v>
          </cell>
          <cell r="W15">
            <v>38961</v>
          </cell>
          <cell r="X15" t="str">
            <v>d</v>
          </cell>
          <cell r="Y15" t="str">
            <v>9741406a0394</v>
          </cell>
          <cell r="Z15">
            <v>39010</v>
          </cell>
          <cell r="AA15" t="str">
            <v>o</v>
          </cell>
          <cell r="AB15">
            <v>38974</v>
          </cell>
          <cell r="AC15" t="str">
            <v>v</v>
          </cell>
          <cell r="AD15">
            <v>0</v>
          </cell>
          <cell r="AE15">
            <v>38989</v>
          </cell>
          <cell r="AF15" t="str">
            <v>f</v>
          </cell>
          <cell r="AG15">
            <v>39080</v>
          </cell>
          <cell r="AH15">
            <v>39302</v>
          </cell>
          <cell r="AI15" t="str">
            <v>ao</v>
          </cell>
          <cell r="AJ15">
            <v>39622</v>
          </cell>
          <cell r="AK15" t="str">
            <v>ch</v>
          </cell>
          <cell r="AL15">
            <v>10.520778537611783</v>
          </cell>
          <cell r="AM15">
            <v>2008</v>
          </cell>
          <cell r="AN15">
            <v>18</v>
          </cell>
          <cell r="AO15">
            <v>40170</v>
          </cell>
          <cell r="AP15">
            <v>40185</v>
          </cell>
          <cell r="AQ15" t="str">
            <v/>
          </cell>
          <cell r="AR15">
            <v>2010</v>
          </cell>
          <cell r="CJ15" t="str">
            <v>-</v>
          </cell>
          <cell r="CK15" t="str">
            <v>-</v>
          </cell>
          <cell r="CL15" t="str">
            <v>-</v>
          </cell>
          <cell r="CM15" t="str">
            <v>-</v>
          </cell>
          <cell r="CN15">
            <v>0</v>
          </cell>
          <cell r="CQ15" t="str">
            <v>non</v>
          </cell>
          <cell r="CX15">
            <v>0</v>
          </cell>
          <cell r="DE15">
            <v>0</v>
          </cell>
          <cell r="DJ15">
            <v>0</v>
          </cell>
          <cell r="DO15">
            <v>0</v>
          </cell>
          <cell r="DS15">
            <v>0</v>
          </cell>
          <cell r="DT15">
            <v>0</v>
          </cell>
          <cell r="DU15">
            <v>0</v>
          </cell>
          <cell r="ED15" t="str">
            <v>G:\Habitat\OPERATIONNEL HABITAT\02- Operations\Photothèque\image non disponible.jpg</v>
          </cell>
          <cell r="EE15" t="str">
            <v>G:\Habitat\OPERATIONNEL HABITAT\02- Operations\Photothèque\image non disponible.jpg</v>
          </cell>
        </row>
        <row r="16">
          <cell r="A16" t="str">
            <v>A2 MALACCA ex MAJORQUE</v>
          </cell>
          <cell r="B16">
            <v>9693</v>
          </cell>
          <cell r="C16" t="str">
            <v>OUEST</v>
          </cell>
          <cell r="D16" t="str">
            <v>Port</v>
          </cell>
          <cell r="E16" t="str">
            <v>PRU MAIL DE L'OCEAN A2</v>
          </cell>
          <cell r="F16">
            <v>61</v>
          </cell>
          <cell r="G16" t="str">
            <v>PLS</v>
          </cell>
          <cell r="J16" t="str">
            <v>COL</v>
          </cell>
          <cell r="K16" t="str">
            <v>CF</v>
          </cell>
          <cell r="L16" t="str">
            <v>SIDR</v>
          </cell>
          <cell r="M16" t="str">
            <v>maitrisé</v>
          </cell>
          <cell r="N16" t="str">
            <v>PC</v>
          </cell>
          <cell r="O16" t="str">
            <v>PC</v>
          </cell>
          <cell r="P16" t="str">
            <v>CS</v>
          </cell>
          <cell r="Q16" t="str">
            <v>SN</v>
          </cell>
          <cell r="R16">
            <v>2008</v>
          </cell>
          <cell r="S16">
            <v>0.75</v>
          </cell>
          <cell r="T16" t="str">
            <v>piste financement PLS+</v>
          </cell>
          <cell r="U16" t="str">
            <v>PERRAU</v>
          </cell>
          <cell r="V16" t="str">
            <v>K - OS TRAVAUX</v>
          </cell>
          <cell r="W16">
            <v>39630</v>
          </cell>
          <cell r="X16" t="str">
            <v>d</v>
          </cell>
          <cell r="Z16">
            <v>39751</v>
          </cell>
          <cell r="AA16" t="str">
            <v>o</v>
          </cell>
          <cell r="AB16">
            <v>39598</v>
          </cell>
          <cell r="AC16" t="str">
            <v>v</v>
          </cell>
          <cell r="AD16">
            <v>39729</v>
          </cell>
          <cell r="AE16">
            <v>39715</v>
          </cell>
          <cell r="AF16" t="str">
            <v>f</v>
          </cell>
          <cell r="AH16">
            <v>39751</v>
          </cell>
          <cell r="AI16" t="str">
            <v>ao</v>
          </cell>
          <cell r="AJ16">
            <v>39933</v>
          </cell>
          <cell r="AK16" t="str">
            <v/>
          </cell>
          <cell r="AL16">
            <v>5.9836927932667017</v>
          </cell>
          <cell r="AM16">
            <v>2009</v>
          </cell>
          <cell r="AN16">
            <v>23</v>
          </cell>
          <cell r="AO16">
            <v>40632</v>
          </cell>
          <cell r="AP16">
            <v>40647</v>
          </cell>
          <cell r="AQ16" t="str">
            <v/>
          </cell>
          <cell r="AR16">
            <v>2011</v>
          </cell>
          <cell r="BK16">
            <v>0</v>
          </cell>
          <cell r="BL16">
            <v>8.5</v>
          </cell>
          <cell r="CJ16" t="str">
            <v>SCI Saint Denis</v>
          </cell>
          <cell r="CK16" t="str">
            <v>INFI</v>
          </cell>
          <cell r="CL16">
            <v>39801</v>
          </cell>
          <cell r="CM16" t="str">
            <v>-</v>
          </cell>
          <cell r="CN16">
            <v>0</v>
          </cell>
          <cell r="CO16" t="str">
            <v>199 undecies A</v>
          </cell>
          <cell r="CQ16" t="str">
            <v>non</v>
          </cell>
          <cell r="CX16">
            <v>0</v>
          </cell>
          <cell r="DE16">
            <v>0</v>
          </cell>
          <cell r="DJ16">
            <v>0</v>
          </cell>
          <cell r="DO16">
            <v>0</v>
          </cell>
          <cell r="DS16">
            <v>0</v>
          </cell>
          <cell r="DT16">
            <v>0</v>
          </cell>
          <cell r="DU16">
            <v>0</v>
          </cell>
          <cell r="ED16" t="str">
            <v>G:\Habitat\OPERATIONNEL HABITAT\02- Operations\Photothèque\images locatifs\Flores &amp; Malacca\Nouvelle Image (1).bmp</v>
          </cell>
          <cell r="EE16" t="str">
            <v>G:\Habitat\OPERATIONNEL HABITAT\02- Operations\Photothèque\image non disponible.jpg</v>
          </cell>
        </row>
        <row r="17">
          <cell r="A17" t="str">
            <v>ACORES</v>
          </cell>
          <cell r="B17">
            <v>9701</v>
          </cell>
          <cell r="C17" t="str">
            <v>EST</v>
          </cell>
          <cell r="D17" t="str">
            <v>Saint-Benoît</v>
          </cell>
          <cell r="E17" t="str">
            <v>ZAC ENTREE DE VILLE ST ANNE</v>
          </cell>
          <cell r="F17">
            <v>62</v>
          </cell>
          <cell r="G17" t="str">
            <v>LLTS</v>
          </cell>
          <cell r="J17" t="str">
            <v>COL</v>
          </cell>
          <cell r="K17" t="str">
            <v>CF</v>
          </cell>
          <cell r="L17" t="str">
            <v>SIDR</v>
          </cell>
          <cell r="M17" t="str">
            <v>maitrisé</v>
          </cell>
          <cell r="N17" t="str">
            <v>JPM</v>
          </cell>
          <cell r="O17" t="str">
            <v>JMO</v>
          </cell>
          <cell r="P17" t="str">
            <v>CC</v>
          </cell>
          <cell r="Q17" t="str">
            <v>AR</v>
          </cell>
          <cell r="R17">
            <v>2008</v>
          </cell>
          <cell r="S17">
            <v>0.5</v>
          </cell>
          <cell r="T17" t="str">
            <v>Problématique de la livraison de la station d'épuration (livraison annoncée octobre 2011) alors que l'opération doit se terminer en mars 2011 !!!!</v>
          </cell>
          <cell r="U17" t="str">
            <v>DELCOURT</v>
          </cell>
          <cell r="V17" t="str">
            <v>H - APPEL D'OFFRES</v>
          </cell>
          <cell r="W17">
            <v>39675</v>
          </cell>
          <cell r="X17" t="str">
            <v>d</v>
          </cell>
          <cell r="Y17" t="str">
            <v>0974100A0284</v>
          </cell>
          <cell r="Z17">
            <v>39706</v>
          </cell>
          <cell r="AA17" t="str">
            <v>o</v>
          </cell>
          <cell r="AB17">
            <v>39639</v>
          </cell>
          <cell r="AC17" t="str">
            <v>v</v>
          </cell>
          <cell r="AD17">
            <v>39710</v>
          </cell>
          <cell r="AE17">
            <v>39717</v>
          </cell>
          <cell r="AF17" t="str">
            <v>f</v>
          </cell>
          <cell r="AH17">
            <v>39873</v>
          </cell>
          <cell r="AI17" t="str">
            <v>ao</v>
          </cell>
          <cell r="AJ17">
            <v>40057</v>
          </cell>
          <cell r="AK17" t="str">
            <v/>
          </cell>
          <cell r="AL17">
            <v>6.0494476591267752</v>
          </cell>
          <cell r="AM17">
            <v>2009</v>
          </cell>
          <cell r="AN17">
            <v>18</v>
          </cell>
          <cell r="AO17">
            <v>40603</v>
          </cell>
          <cell r="AP17">
            <v>40618</v>
          </cell>
          <cell r="AQ17" t="str">
            <v/>
          </cell>
          <cell r="AR17">
            <v>2011</v>
          </cell>
          <cell r="BL17">
            <v>5</v>
          </cell>
          <cell r="CJ17" t="str">
            <v>A déterminer</v>
          </cell>
          <cell r="CK17" t="str">
            <v>INFI</v>
          </cell>
          <cell r="CL17" t="str">
            <v>-</v>
          </cell>
          <cell r="CM17" t="str">
            <v>-</v>
          </cell>
          <cell r="CN17">
            <v>0</v>
          </cell>
          <cell r="CQ17" t="str">
            <v>non</v>
          </cell>
          <cell r="CX17">
            <v>0</v>
          </cell>
          <cell r="DE17">
            <v>0</v>
          </cell>
          <cell r="DJ17">
            <v>0</v>
          </cell>
          <cell r="DO17">
            <v>0</v>
          </cell>
          <cell r="DS17">
            <v>0</v>
          </cell>
          <cell r="DT17">
            <v>0</v>
          </cell>
          <cell r="DU17">
            <v>0</v>
          </cell>
          <cell r="ED17" t="str">
            <v>G:\Habitat\OPERATIONNEL HABITAT\02- Operations\Photothèque\image non disponible.jpg</v>
          </cell>
          <cell r="EE17" t="str">
            <v>G:\Habitat\OPERATIONNEL HABITAT\02- Operations\Photothèque</v>
          </cell>
        </row>
        <row r="18">
          <cell r="A18" t="str">
            <v>AMBRE</v>
          </cell>
          <cell r="B18">
            <v>9716</v>
          </cell>
          <cell r="C18" t="str">
            <v>NORD</v>
          </cell>
          <cell r="D18" t="str">
            <v>Saint-Denis</v>
          </cell>
          <cell r="E18" t="str">
            <v>RHI HYACINTHE CARAMBOLES</v>
          </cell>
          <cell r="F18">
            <v>29</v>
          </cell>
          <cell r="G18" t="str">
            <v>LLTS</v>
          </cell>
          <cell r="J18" t="str">
            <v>MV</v>
          </cell>
          <cell r="K18" t="str">
            <v>CF</v>
          </cell>
          <cell r="L18" t="str">
            <v>SIDR</v>
          </cell>
          <cell r="M18" t="str">
            <v>maitrisé</v>
          </cell>
          <cell r="N18" t="str">
            <v>JEM</v>
          </cell>
          <cell r="O18" t="str">
            <v>PE</v>
          </cell>
          <cell r="P18" t="str">
            <v>CS</v>
          </cell>
          <cell r="Q18" t="str">
            <v>AR</v>
          </cell>
          <cell r="R18">
            <v>2009</v>
          </cell>
          <cell r="S18">
            <v>0.25</v>
          </cell>
          <cell r="T18" t="str">
            <v>reprise amenagement 100% - projet à présenter à la DDE</v>
          </cell>
          <cell r="U18" t="str">
            <v>GAZUT</v>
          </cell>
          <cell r="V18" t="str">
            <v>E - APS / PC</v>
          </cell>
          <cell r="W18">
            <v>39918</v>
          </cell>
          <cell r="X18" t="str">
            <v>d</v>
          </cell>
          <cell r="Z18" t="str">
            <v>obtenu</v>
          </cell>
          <cell r="AA18" t="str">
            <v/>
          </cell>
          <cell r="AB18">
            <v>39889</v>
          </cell>
          <cell r="AC18" t="str">
            <v>v</v>
          </cell>
          <cell r="AE18">
            <v>40071</v>
          </cell>
          <cell r="AF18" t="str">
            <v/>
          </cell>
          <cell r="AH18">
            <v>40053</v>
          </cell>
          <cell r="AI18" t="str">
            <v/>
          </cell>
          <cell r="AJ18">
            <v>40237</v>
          </cell>
          <cell r="AK18" t="str">
            <v/>
          </cell>
          <cell r="AL18">
            <v>6.0494476591267752</v>
          </cell>
          <cell r="AM18">
            <v>2010</v>
          </cell>
          <cell r="AN18">
            <v>14</v>
          </cell>
          <cell r="AO18">
            <v>40661</v>
          </cell>
          <cell r="AP18">
            <v>40676</v>
          </cell>
          <cell r="AQ18" t="str">
            <v/>
          </cell>
          <cell r="AR18">
            <v>2011</v>
          </cell>
          <cell r="CJ18" t="str">
            <v>-</v>
          </cell>
          <cell r="CK18" t="str">
            <v>-</v>
          </cell>
          <cell r="CL18" t="str">
            <v>-</v>
          </cell>
          <cell r="CM18" t="str">
            <v>-</v>
          </cell>
          <cell r="CN18">
            <v>0</v>
          </cell>
          <cell r="CQ18" t="str">
            <v>non</v>
          </cell>
          <cell r="CX18">
            <v>0</v>
          </cell>
          <cell r="DE18">
            <v>0</v>
          </cell>
          <cell r="DJ18">
            <v>0</v>
          </cell>
          <cell r="DO18">
            <v>0</v>
          </cell>
          <cell r="DS18">
            <v>0</v>
          </cell>
          <cell r="DT18">
            <v>0</v>
          </cell>
          <cell r="DU18">
            <v>0</v>
          </cell>
          <cell r="ED18" t="str">
            <v>G:\Habitat\OPERATIONNEL HABITAT\02- Operations\Photothèque\image non disponible.jpg</v>
          </cell>
          <cell r="EE18" t="str">
            <v>G:\Habitat\OPERATIONNEL HABITAT\02- Operations\Photothèque\image non disponible.jpg</v>
          </cell>
          <cell r="EX18" t="str">
            <v>SECTION DS</v>
          </cell>
        </row>
        <row r="19">
          <cell r="A19" t="str">
            <v>AMIRANTES</v>
          </cell>
          <cell r="B19">
            <v>9716</v>
          </cell>
          <cell r="C19" t="str">
            <v>EST</v>
          </cell>
          <cell r="D19" t="str">
            <v>Saint-André</v>
          </cell>
          <cell r="E19" t="str">
            <v>RHI 2 LES MANGUIERS</v>
          </cell>
          <cell r="F19">
            <v>12</v>
          </cell>
          <cell r="G19" t="str">
            <v>LLS</v>
          </cell>
          <cell r="J19" t="str">
            <v>MV</v>
          </cell>
          <cell r="K19" t="str">
            <v>CF</v>
          </cell>
          <cell r="L19" t="str">
            <v>SIDR</v>
          </cell>
          <cell r="M19" t="str">
            <v>maitrisé</v>
          </cell>
          <cell r="N19" t="str">
            <v>CLa</v>
          </cell>
          <cell r="O19" t="str">
            <v>PE</v>
          </cell>
          <cell r="P19" t="str">
            <v>CC</v>
          </cell>
          <cell r="Q19" t="str">
            <v>SPG</v>
          </cell>
          <cell r="R19">
            <v>2010</v>
          </cell>
          <cell r="S19">
            <v>0.25</v>
          </cell>
          <cell r="T19" t="str">
            <v>LLS diffus attente libération pour montage complexe</v>
          </cell>
          <cell r="U19" t="str">
            <v>GAZUT</v>
          </cell>
          <cell r="V19" t="str">
            <v>A - NON LANCE</v>
          </cell>
          <cell r="W19">
            <v>39918</v>
          </cell>
          <cell r="X19" t="str">
            <v/>
          </cell>
          <cell r="AA19" t="str">
            <v/>
          </cell>
          <cell r="AB19">
            <v>39889</v>
          </cell>
          <cell r="AC19" t="str">
            <v/>
          </cell>
          <cell r="AE19">
            <v>40071</v>
          </cell>
          <cell r="AF19" t="str">
            <v/>
          </cell>
          <cell r="AH19">
            <v>40053</v>
          </cell>
          <cell r="AI19" t="str">
            <v/>
          </cell>
          <cell r="AJ19">
            <v>40237</v>
          </cell>
          <cell r="AK19" t="str">
            <v/>
          </cell>
          <cell r="AL19">
            <v>0</v>
          </cell>
          <cell r="AM19" t="str">
            <v/>
          </cell>
          <cell r="AN19">
            <v>14</v>
          </cell>
          <cell r="AO19" t="str">
            <v/>
          </cell>
          <cell r="AP19" t="str">
            <v/>
          </cell>
          <cell r="AQ19" t="str">
            <v/>
          </cell>
          <cell r="AR19">
            <v>2011</v>
          </cell>
          <cell r="CJ19" t="str">
            <v>-</v>
          </cell>
          <cell r="CK19" t="str">
            <v>-</v>
          </cell>
          <cell r="CL19" t="str">
            <v>-</v>
          </cell>
          <cell r="CM19" t="str">
            <v>-</v>
          </cell>
          <cell r="CN19">
            <v>0</v>
          </cell>
          <cell r="CQ19" t="str">
            <v>non</v>
          </cell>
          <cell r="CX19">
            <v>0</v>
          </cell>
          <cell r="DE19">
            <v>0</v>
          </cell>
          <cell r="DJ19">
            <v>0</v>
          </cell>
          <cell r="DO19">
            <v>0</v>
          </cell>
          <cell r="DS19">
            <v>0</v>
          </cell>
          <cell r="DT19">
            <v>0</v>
          </cell>
          <cell r="DU19">
            <v>0</v>
          </cell>
          <cell r="ED19" t="str">
            <v>G:\Habitat\OPERATIONNEL HABITAT\02- Operations\Photothèque\image non disponible.jpg</v>
          </cell>
          <cell r="EE19" t="str">
            <v>G:\Habitat\OPERATIONNEL HABITAT\02- Operations\Photothèque\image non disponible.jpg</v>
          </cell>
        </row>
        <row r="20">
          <cell r="A20" t="str">
            <v>AMOUIexANTIGUA</v>
          </cell>
          <cell r="B20">
            <v>9718</v>
          </cell>
          <cell r="C20" t="str">
            <v>SUD</v>
          </cell>
          <cell r="D20" t="str">
            <v>Saint-Joseph</v>
          </cell>
          <cell r="E20" t="str">
            <v>RHI CENTRE VILLE</v>
          </cell>
          <cell r="F20">
            <v>13</v>
          </cell>
          <cell r="G20" t="str">
            <v>LLS</v>
          </cell>
          <cell r="J20" t="str">
            <v>MV</v>
          </cell>
          <cell r="K20" t="str">
            <v>CF</v>
          </cell>
          <cell r="L20" t="str">
            <v>SIDR</v>
          </cell>
          <cell r="M20" t="str">
            <v>maitrisé</v>
          </cell>
          <cell r="N20" t="str">
            <v>LC</v>
          </cell>
          <cell r="O20" t="str">
            <v>CA</v>
          </cell>
          <cell r="P20" t="str">
            <v>LV</v>
          </cell>
          <cell r="Q20" t="str">
            <v>HBM</v>
          </cell>
          <cell r="R20">
            <v>2009</v>
          </cell>
          <cell r="S20">
            <v>0.25</v>
          </cell>
          <cell r="T20" t="str">
            <v>LLS diffus attente libération pour montage complexe</v>
          </cell>
          <cell r="U20" t="str">
            <v>2APMR</v>
          </cell>
          <cell r="V20" t="str">
            <v>D - ESQUISSES</v>
          </cell>
          <cell r="W20">
            <v>39736</v>
          </cell>
          <cell r="X20" t="str">
            <v>d</v>
          </cell>
          <cell r="Z20">
            <v>39620</v>
          </cell>
          <cell r="AA20" t="str">
            <v>o</v>
          </cell>
          <cell r="AB20">
            <v>39583</v>
          </cell>
          <cell r="AC20" t="str">
            <v>v</v>
          </cell>
          <cell r="AE20">
            <v>40082</v>
          </cell>
          <cell r="AF20" t="str">
            <v/>
          </cell>
          <cell r="AH20">
            <v>40084</v>
          </cell>
          <cell r="AI20" t="str">
            <v/>
          </cell>
          <cell r="AJ20">
            <v>40265</v>
          </cell>
          <cell r="AK20" t="str">
            <v/>
          </cell>
          <cell r="AL20">
            <v>5.9508153603366649</v>
          </cell>
          <cell r="AM20">
            <v>2010</v>
          </cell>
          <cell r="AN20">
            <v>14</v>
          </cell>
          <cell r="AO20">
            <v>40691</v>
          </cell>
          <cell r="AP20">
            <v>40706</v>
          </cell>
          <cell r="AQ20" t="str">
            <v/>
          </cell>
          <cell r="AR20">
            <v>2011</v>
          </cell>
          <cell r="BK20">
            <v>0</v>
          </cell>
          <cell r="CJ20" t="str">
            <v>-</v>
          </cell>
          <cell r="CK20" t="str">
            <v>-</v>
          </cell>
          <cell r="CL20" t="str">
            <v>-</v>
          </cell>
          <cell r="CM20" t="str">
            <v>-</v>
          </cell>
          <cell r="CN20">
            <v>0</v>
          </cell>
          <cell r="CQ20" t="str">
            <v>non</v>
          </cell>
          <cell r="CX20">
            <v>0</v>
          </cell>
          <cell r="DE20">
            <v>0</v>
          </cell>
          <cell r="DJ20">
            <v>0</v>
          </cell>
          <cell r="DO20">
            <v>0</v>
          </cell>
          <cell r="DS20">
            <v>0</v>
          </cell>
          <cell r="DT20">
            <v>0</v>
          </cell>
          <cell r="DU20">
            <v>0</v>
          </cell>
          <cell r="ED20" t="str">
            <v>G:\Habitat\OPERATIONNEL HABITAT\02- Operations\Photothèque\image non disponible.jpg</v>
          </cell>
          <cell r="EE20" t="str">
            <v>G:\Habitat\OPERATIONNEL HABITAT\02- Operations\Photothèque\image non disponible.jpg</v>
          </cell>
        </row>
        <row r="21">
          <cell r="A21" t="str">
            <v>AMSTERDAM</v>
          </cell>
          <cell r="B21">
            <v>9539</v>
          </cell>
          <cell r="C21" t="str">
            <v>OUEST</v>
          </cell>
          <cell r="D21" t="str">
            <v>Port</v>
          </cell>
          <cell r="E21" t="str">
            <v>RHI SAY PISCINE</v>
          </cell>
          <cell r="F21">
            <v>40</v>
          </cell>
          <cell r="G21" t="str">
            <v>LLTS</v>
          </cell>
          <cell r="J21" t="str">
            <v>COL</v>
          </cell>
          <cell r="K21" t="str">
            <v>CF</v>
          </cell>
          <cell r="L21" t="str">
            <v>SIDR</v>
          </cell>
          <cell r="M21" t="str">
            <v>maitrisé</v>
          </cell>
          <cell r="N21" t="str">
            <v>CLa</v>
          </cell>
          <cell r="O21" t="str">
            <v>GG</v>
          </cell>
          <cell r="P21" t="str">
            <v>CC</v>
          </cell>
          <cell r="Q21" t="str">
            <v>OP</v>
          </cell>
          <cell r="R21">
            <v>2004</v>
          </cell>
          <cell r="S21">
            <v>0.25</v>
          </cell>
          <cell r="U21" t="str">
            <v>DELCOURT</v>
          </cell>
          <cell r="V21" t="str">
            <v>M - LIVRE/GPA</v>
          </cell>
          <cell r="W21">
            <v>38181</v>
          </cell>
          <cell r="X21" t="str">
            <v>d</v>
          </cell>
          <cell r="Y21" t="str">
            <v>97440704A0060</v>
          </cell>
          <cell r="Z21">
            <v>38376</v>
          </cell>
          <cell r="AA21" t="str">
            <v>o</v>
          </cell>
          <cell r="AB21" t="str">
            <v>validé</v>
          </cell>
          <cell r="AC21" t="str">
            <v/>
          </cell>
          <cell r="AD21">
            <v>38265</v>
          </cell>
          <cell r="AE21">
            <v>38238</v>
          </cell>
          <cell r="AF21" t="str">
            <v>f</v>
          </cell>
          <cell r="AG21">
            <v>38419</v>
          </cell>
          <cell r="AH21">
            <v>38299</v>
          </cell>
          <cell r="AI21" t="str">
            <v>ao</v>
          </cell>
          <cell r="AJ21">
            <v>38467</v>
          </cell>
          <cell r="AK21" t="str">
            <v/>
          </cell>
          <cell r="AL21">
            <v>5.5234087322461862</v>
          </cell>
          <cell r="AM21">
            <v>2005</v>
          </cell>
          <cell r="AN21">
            <v>18</v>
          </cell>
          <cell r="AO21">
            <v>39015</v>
          </cell>
          <cell r="AP21">
            <v>39055</v>
          </cell>
          <cell r="AQ21" t="str">
            <v>li</v>
          </cell>
          <cell r="AR21">
            <v>2006</v>
          </cell>
          <cell r="AU21">
            <v>3</v>
          </cell>
          <cell r="AV21">
            <v>49</v>
          </cell>
          <cell r="AW21">
            <v>13</v>
          </cell>
          <cell r="AX21">
            <v>57</v>
          </cell>
          <cell r="AY21">
            <v>1</v>
          </cell>
          <cell r="AZ21">
            <v>59</v>
          </cell>
          <cell r="BA21">
            <v>12</v>
          </cell>
          <cell r="BB21">
            <v>67</v>
          </cell>
          <cell r="BE21">
            <v>7</v>
          </cell>
          <cell r="BF21">
            <v>77</v>
          </cell>
          <cell r="BI21">
            <v>4</v>
          </cell>
          <cell r="BJ21">
            <v>93</v>
          </cell>
          <cell r="BK21">
            <v>40</v>
          </cell>
          <cell r="BL21">
            <v>4.62</v>
          </cell>
          <cell r="BM21">
            <v>0.82</v>
          </cell>
          <cell r="BN21">
            <v>0.2</v>
          </cell>
          <cell r="BO21" t="str">
            <v>signée</v>
          </cell>
          <cell r="BP21">
            <v>0.8</v>
          </cell>
          <cell r="BQ21" t="str">
            <v>signée</v>
          </cell>
          <cell r="BR21" t="str">
            <v>CAF</v>
          </cell>
          <cell r="BT21" t="str">
            <v>signée</v>
          </cell>
          <cell r="BX21" t="str">
            <v>signé</v>
          </cell>
          <cell r="BY21">
            <v>2533</v>
          </cell>
          <cell r="BZ21">
            <v>4173</v>
          </cell>
          <cell r="CA21">
            <v>3164.35</v>
          </cell>
          <cell r="CE21" t="str">
            <v>ECS ind</v>
          </cell>
          <cell r="CF21">
            <v>119720.27</v>
          </cell>
          <cell r="CG21">
            <v>35916.080999999998</v>
          </cell>
          <cell r="CH21">
            <v>53874.121500000001</v>
          </cell>
          <cell r="CI21">
            <v>29930.067500000001</v>
          </cell>
          <cell r="CJ21" t="str">
            <v>-</v>
          </cell>
          <cell r="CK21" t="str">
            <v>-</v>
          </cell>
          <cell r="CL21" t="str">
            <v>-</v>
          </cell>
          <cell r="CM21" t="str">
            <v>-</v>
          </cell>
          <cell r="CN21">
            <v>0</v>
          </cell>
          <cell r="CQ21" t="str">
            <v>oui</v>
          </cell>
          <cell r="CR21">
            <v>122842</v>
          </cell>
          <cell r="CT21">
            <v>2429231</v>
          </cell>
          <cell r="CX21">
            <v>2552073</v>
          </cell>
          <cell r="DE21">
            <v>89790.202499999999</v>
          </cell>
          <cell r="DJ21">
            <v>89790.202499999999</v>
          </cell>
          <cell r="DO21">
            <v>0</v>
          </cell>
          <cell r="DQ21">
            <v>88300</v>
          </cell>
          <cell r="DR21">
            <v>28779</v>
          </cell>
          <cell r="DS21">
            <v>117079</v>
          </cell>
          <cell r="DT21">
            <v>234158</v>
          </cell>
          <cell r="DU21">
            <v>-2228124.7974999999</v>
          </cell>
          <cell r="ED21" t="str">
            <v>G:\Habitat\OPERATIONNEL HABITAT\02- Operations\Photothèque\images locatifs\Amsterdam\persinsert AMSTERDAM.jpg</v>
          </cell>
          <cell r="EE21" t="str">
            <v>G:\Habitat\OPERATIONNEL HABITAT\02- Operations\Photothèque\images locatifs\Amsterdam\Perspectivenewamsterdam.jpg</v>
          </cell>
        </row>
        <row r="22">
          <cell r="A22" t="str">
            <v>ANDROMEDE</v>
          </cell>
          <cell r="B22">
            <v>9440</v>
          </cell>
          <cell r="C22" t="str">
            <v>SUD</v>
          </cell>
          <cell r="D22" t="str">
            <v>Tampon</v>
          </cell>
          <cell r="E22" t="str">
            <v>CENTRE VILLE</v>
          </cell>
          <cell r="F22">
            <v>48</v>
          </cell>
          <cell r="G22" t="str">
            <v>LLS</v>
          </cell>
          <cell r="J22" t="str">
            <v>MV</v>
          </cell>
          <cell r="K22" t="str">
            <v>RF</v>
          </cell>
          <cell r="L22" t="str">
            <v>SIDR</v>
          </cell>
          <cell r="N22" t="str">
            <v>N.A.</v>
          </cell>
          <cell r="O22" t="str">
            <v>GG</v>
          </cell>
          <cell r="P22" t="str">
            <v>CC</v>
          </cell>
          <cell r="Q22" t="str">
            <v>OP</v>
          </cell>
          <cell r="R22">
            <v>2002</v>
          </cell>
          <cell r="T22" t="str">
            <v>depassement bud 700 kE(hors GPA)</v>
          </cell>
          <cell r="U22" t="str">
            <v>BOCQUEE</v>
          </cell>
          <cell r="V22" t="str">
            <v>M - LIVRE/GPA</v>
          </cell>
          <cell r="W22">
            <v>37330</v>
          </cell>
          <cell r="X22" t="str">
            <v>d</v>
          </cell>
          <cell r="Y22" t="str">
            <v>97442202A0125</v>
          </cell>
          <cell r="Z22">
            <v>37886</v>
          </cell>
          <cell r="AA22" t="str">
            <v>o</v>
          </cell>
          <cell r="AB22" t="str">
            <v>validé</v>
          </cell>
          <cell r="AC22" t="str">
            <v/>
          </cell>
          <cell r="AD22">
            <v>38265</v>
          </cell>
          <cell r="AE22">
            <v>37539</v>
          </cell>
          <cell r="AF22" t="str">
            <v>f</v>
          </cell>
          <cell r="AG22" t="str">
            <v>O</v>
          </cell>
          <cell r="AH22">
            <v>37726</v>
          </cell>
          <cell r="AI22" t="str">
            <v>ao</v>
          </cell>
          <cell r="AJ22">
            <v>37970</v>
          </cell>
          <cell r="AK22" t="str">
            <v/>
          </cell>
          <cell r="AL22">
            <v>8.022093634928984</v>
          </cell>
          <cell r="AM22">
            <v>2003</v>
          </cell>
          <cell r="AN22">
            <v>17</v>
          </cell>
          <cell r="AO22">
            <v>38487</v>
          </cell>
          <cell r="AP22">
            <v>38701</v>
          </cell>
          <cell r="AQ22" t="str">
            <v>li</v>
          </cell>
          <cell r="AR22">
            <v>2005</v>
          </cell>
          <cell r="AU22">
            <v>3</v>
          </cell>
          <cell r="AV22">
            <v>49</v>
          </cell>
          <cell r="AW22">
            <v>13</v>
          </cell>
          <cell r="AX22">
            <v>57</v>
          </cell>
          <cell r="AY22">
            <v>1</v>
          </cell>
          <cell r="AZ22">
            <v>59</v>
          </cell>
          <cell r="BA22">
            <v>12</v>
          </cell>
          <cell r="BB22">
            <v>67</v>
          </cell>
          <cell r="BE22">
            <v>7</v>
          </cell>
          <cell r="BF22">
            <v>77</v>
          </cell>
          <cell r="BI22">
            <v>4</v>
          </cell>
          <cell r="BJ22">
            <v>93</v>
          </cell>
          <cell r="BK22">
            <v>40</v>
          </cell>
          <cell r="BL22">
            <v>4.62</v>
          </cell>
          <cell r="BM22">
            <v>0.82</v>
          </cell>
          <cell r="BN22">
            <v>0.2</v>
          </cell>
          <cell r="BO22" t="str">
            <v>signée</v>
          </cell>
          <cell r="BP22">
            <v>0.8</v>
          </cell>
          <cell r="BQ22" t="str">
            <v>signée</v>
          </cell>
          <cell r="BR22" t="str">
            <v>CAF</v>
          </cell>
          <cell r="BT22" t="str">
            <v>signée</v>
          </cell>
          <cell r="BX22" t="str">
            <v>signé</v>
          </cell>
          <cell r="BY22">
            <v>2533</v>
          </cell>
          <cell r="BZ22">
            <v>4173</v>
          </cell>
          <cell r="CA22">
            <v>3750.93</v>
          </cell>
          <cell r="CE22" t="str">
            <v>ECS ind</v>
          </cell>
          <cell r="CF22">
            <v>105960</v>
          </cell>
          <cell r="CG22">
            <v>31788</v>
          </cell>
          <cell r="CH22">
            <v>47682</v>
          </cell>
          <cell r="CI22">
            <v>26490</v>
          </cell>
          <cell r="CJ22" t="str">
            <v>-</v>
          </cell>
          <cell r="CK22" t="str">
            <v>-</v>
          </cell>
          <cell r="CL22" t="str">
            <v>-</v>
          </cell>
          <cell r="CM22" t="str">
            <v>-</v>
          </cell>
          <cell r="CN22">
            <v>0</v>
          </cell>
          <cell r="CQ22" t="str">
            <v>oui</v>
          </cell>
          <cell r="CR22">
            <v>710000</v>
          </cell>
          <cell r="CT22">
            <v>2604464</v>
          </cell>
          <cell r="CX22">
            <v>3314464</v>
          </cell>
          <cell r="DE22">
            <v>79470</v>
          </cell>
          <cell r="DJ22">
            <v>79470</v>
          </cell>
          <cell r="DO22">
            <v>0</v>
          </cell>
          <cell r="DQ22">
            <v>200000</v>
          </cell>
          <cell r="DR22">
            <v>26490</v>
          </cell>
          <cell r="DS22">
            <v>226490</v>
          </cell>
          <cell r="DT22">
            <v>452980</v>
          </cell>
          <cell r="DU22">
            <v>-2782014</v>
          </cell>
          <cell r="ED22" t="str">
            <v>G:\Habitat\OPERATIONNEL HABITAT\02- Operations\Photothèque\images locatifs\Andromede\andromède 12 juillet photos chantier (2).jpg</v>
          </cell>
          <cell r="EE22" t="str">
            <v>G:\Habitat\OPERATIONNEL HABITAT\02- Operations\Photothèque\images locatifs\Andromede\DSC_0113.jpg</v>
          </cell>
        </row>
        <row r="23">
          <cell r="A23" t="str">
            <v>ANTHURA 1</v>
          </cell>
          <cell r="B23">
            <v>9440</v>
          </cell>
          <cell r="C23" t="str">
            <v>EST</v>
          </cell>
          <cell r="D23" t="str">
            <v>Saint-André</v>
          </cell>
          <cell r="E23" t="str">
            <v>ZAC fayard</v>
          </cell>
          <cell r="F23">
            <v>40</v>
          </cell>
          <cell r="G23" t="str">
            <v>PLS</v>
          </cell>
          <cell r="J23" t="str">
            <v>COL</v>
          </cell>
          <cell r="K23" t="str">
            <v>ACQ</v>
          </cell>
          <cell r="M23" t="str">
            <v>maitrisé</v>
          </cell>
          <cell r="N23" t="str">
            <v>JPM</v>
          </cell>
          <cell r="O23" t="str">
            <v>GG</v>
          </cell>
          <cell r="P23" t="str">
            <v>CC</v>
          </cell>
          <cell r="R23">
            <v>2009</v>
          </cell>
          <cell r="T23" t="str">
            <v xml:space="preserve">VEFA/ALOGIA </v>
          </cell>
          <cell r="U23" t="str">
            <v>BOCQUEE</v>
          </cell>
          <cell r="V23" t="str">
            <v>M - LIVRE/GPA</v>
          </cell>
          <cell r="W23">
            <v>37330</v>
          </cell>
          <cell r="X23" t="str">
            <v>d</v>
          </cell>
          <cell r="Y23" t="str">
            <v>97442202A0125</v>
          </cell>
          <cell r="Z23">
            <v>37886</v>
          </cell>
          <cell r="AA23" t="str">
            <v/>
          </cell>
          <cell r="AB23" t="str">
            <v>validé</v>
          </cell>
          <cell r="AC23" t="str">
            <v/>
          </cell>
          <cell r="AE23">
            <v>39813</v>
          </cell>
          <cell r="AF23" t="str">
            <v>f</v>
          </cell>
          <cell r="AG23" t="str">
            <v>O</v>
          </cell>
          <cell r="AH23">
            <v>37726</v>
          </cell>
          <cell r="AI23" t="str">
            <v/>
          </cell>
          <cell r="AJ23">
            <v>37970</v>
          </cell>
          <cell r="AK23" t="str">
            <v/>
          </cell>
          <cell r="AL23">
            <v>0</v>
          </cell>
          <cell r="AM23">
            <v>2003</v>
          </cell>
          <cell r="AN23">
            <v>17</v>
          </cell>
          <cell r="AO23">
            <v>38487</v>
          </cell>
          <cell r="AP23">
            <v>38701</v>
          </cell>
          <cell r="AQ23" t="str">
            <v/>
          </cell>
          <cell r="AR23">
            <v>2005</v>
          </cell>
          <cell r="BO23" t="str">
            <v>signée</v>
          </cell>
          <cell r="BQ23" t="str">
            <v>signée</v>
          </cell>
          <cell r="BX23" t="str">
            <v>signé</v>
          </cell>
          <cell r="CA23">
            <v>3750.93</v>
          </cell>
          <cell r="CE23" t="str">
            <v>ECS ind</v>
          </cell>
          <cell r="CF23">
            <v>105960</v>
          </cell>
          <cell r="CG23">
            <v>31788</v>
          </cell>
          <cell r="CH23">
            <v>47682</v>
          </cell>
          <cell r="CI23">
            <v>26490</v>
          </cell>
          <cell r="CJ23" t="str">
            <v>-</v>
          </cell>
          <cell r="CK23" t="str">
            <v>CALYON</v>
          </cell>
          <cell r="CL23" t="str">
            <v>-</v>
          </cell>
          <cell r="CM23" t="str">
            <v>-</v>
          </cell>
          <cell r="CN23">
            <v>0</v>
          </cell>
          <cell r="CQ23" t="str">
            <v>non</v>
          </cell>
          <cell r="CR23">
            <v>710000</v>
          </cell>
          <cell r="CT23">
            <v>2604464</v>
          </cell>
          <cell r="CX23">
            <v>0</v>
          </cell>
          <cell r="DE23">
            <v>0</v>
          </cell>
          <cell r="DJ23">
            <v>0</v>
          </cell>
          <cell r="DO23">
            <v>0</v>
          </cell>
          <cell r="DQ23">
            <v>200000</v>
          </cell>
          <cell r="DR23">
            <v>26490</v>
          </cell>
          <cell r="DS23">
            <v>0</v>
          </cell>
          <cell r="DT23">
            <v>0</v>
          </cell>
          <cell r="DU23">
            <v>0</v>
          </cell>
          <cell r="DV23" t="str">
            <v>ALLOGIA</v>
          </cell>
          <cell r="ED23" t="str">
            <v>G:\Habitat\OPERATIONNEL HABITAT\02- Operations\Photothèque\image non disponible.jpg</v>
          </cell>
          <cell r="EE23" t="str">
            <v>G:\Habitat\OPERATIONNEL HABITAT\02- Operations\Photothèque\image non disponible.jpg</v>
          </cell>
        </row>
        <row r="24">
          <cell r="A24" t="str">
            <v>ANTHURA 2</v>
          </cell>
          <cell r="C24" t="str">
            <v>EST</v>
          </cell>
          <cell r="D24" t="str">
            <v>Saint-André</v>
          </cell>
          <cell r="E24" t="str">
            <v>ZAC fayard</v>
          </cell>
          <cell r="F24">
            <v>64</v>
          </cell>
          <cell r="G24" t="str">
            <v>LLS</v>
          </cell>
          <cell r="J24" t="str">
            <v>COL</v>
          </cell>
          <cell r="K24" t="str">
            <v>ACQ</v>
          </cell>
          <cell r="M24" t="str">
            <v>maitrisé</v>
          </cell>
          <cell r="N24" t="str">
            <v>JPM</v>
          </cell>
          <cell r="P24" t="str">
            <v>CC</v>
          </cell>
          <cell r="R24">
            <v>2009</v>
          </cell>
          <cell r="T24" t="str">
            <v xml:space="preserve">VEFA/ALOGIA </v>
          </cell>
          <cell r="AA24" t="str">
            <v/>
          </cell>
          <cell r="AC24" t="str">
            <v/>
          </cell>
          <cell r="AE24">
            <v>39813</v>
          </cell>
          <cell r="AF24" t="str">
            <v>f</v>
          </cell>
          <cell r="AI24" t="str">
            <v/>
          </cell>
          <cell r="AK24" t="str">
            <v/>
          </cell>
          <cell r="AL24">
            <v>0</v>
          </cell>
          <cell r="AQ24" t="str">
            <v/>
          </cell>
          <cell r="CJ24" t="str">
            <v>-</v>
          </cell>
          <cell r="CK24" t="str">
            <v>CALYON</v>
          </cell>
          <cell r="CL24" t="str">
            <v>-</v>
          </cell>
          <cell r="CM24" t="str">
            <v>-</v>
          </cell>
          <cell r="CN24">
            <v>0</v>
          </cell>
          <cell r="CQ24" t="str">
            <v>non</v>
          </cell>
          <cell r="CX24">
            <v>0</v>
          </cell>
          <cell r="DE24">
            <v>0</v>
          </cell>
          <cell r="DJ24">
            <v>0</v>
          </cell>
          <cell r="DO24">
            <v>0</v>
          </cell>
          <cell r="DS24">
            <v>0</v>
          </cell>
          <cell r="DT24">
            <v>0</v>
          </cell>
          <cell r="DU24">
            <v>0</v>
          </cell>
          <cell r="DV24" t="str">
            <v>ALLOGIA</v>
          </cell>
          <cell r="ED24" t="str">
            <v>G:\Habitat\OPERATIONNEL HABITAT\02- Operations\Photothèque\image non disponible.jpg</v>
          </cell>
          <cell r="EE24" t="str">
            <v>G:\Habitat\OPERATIONNEL HABITAT\02- Operations\Photothèque\image non disponible.jpg</v>
          </cell>
        </row>
        <row r="25">
          <cell r="A25" t="str">
            <v>ANTHURIUMS ex CHAGOS 2</v>
          </cell>
          <cell r="B25">
            <v>9695</v>
          </cell>
          <cell r="C25" t="str">
            <v>EST</v>
          </cell>
          <cell r="D25" t="str">
            <v>Saint-André</v>
          </cell>
          <cell r="E25" t="str">
            <v>RHI 2 LES MANGUIERS</v>
          </cell>
          <cell r="F25">
            <v>18</v>
          </cell>
          <cell r="G25" t="str">
            <v>LLS</v>
          </cell>
          <cell r="J25" t="str">
            <v>COL</v>
          </cell>
          <cell r="K25" t="str">
            <v>CF</v>
          </cell>
          <cell r="L25" t="str">
            <v>SIDR</v>
          </cell>
          <cell r="M25" t="str">
            <v>maitrisé</v>
          </cell>
          <cell r="N25" t="str">
            <v>BB</v>
          </cell>
          <cell r="O25" t="str">
            <v>JMO</v>
          </cell>
          <cell r="P25" t="str">
            <v>CC</v>
          </cell>
          <cell r="Q25" t="str">
            <v>SPG</v>
          </cell>
          <cell r="R25">
            <v>2007</v>
          </cell>
          <cell r="S25">
            <v>0.75</v>
          </cell>
          <cell r="T25" t="str">
            <v>attente  VRD Rhi les manguiers/AO commun</v>
          </cell>
          <cell r="U25" t="str">
            <v>GROUARD</v>
          </cell>
          <cell r="V25" t="str">
            <v>H - APPEL D'OFFRES</v>
          </cell>
          <cell r="W25">
            <v>39352</v>
          </cell>
          <cell r="X25" t="str">
            <v>d</v>
          </cell>
          <cell r="Y25" t="str">
            <v>97440907a0532</v>
          </cell>
          <cell r="Z25">
            <v>39462</v>
          </cell>
          <cell r="AA25" t="str">
            <v>o</v>
          </cell>
          <cell r="AB25">
            <v>39337</v>
          </cell>
          <cell r="AC25" t="str">
            <v>v</v>
          </cell>
          <cell r="AD25">
            <v>39597</v>
          </cell>
          <cell r="AE25">
            <v>39353</v>
          </cell>
          <cell r="AF25" t="str">
            <v>f</v>
          </cell>
          <cell r="AG25">
            <v>39464</v>
          </cell>
          <cell r="AH25">
            <v>39722</v>
          </cell>
          <cell r="AI25" t="str">
            <v>ao</v>
          </cell>
          <cell r="AJ25">
            <v>39873</v>
          </cell>
          <cell r="AK25" t="str">
            <v>ch</v>
          </cell>
          <cell r="AL25">
            <v>4.9644923724355605</v>
          </cell>
          <cell r="AM25">
            <v>2009</v>
          </cell>
          <cell r="AN25">
            <v>16</v>
          </cell>
          <cell r="AO25">
            <v>40360</v>
          </cell>
          <cell r="AP25">
            <v>40375</v>
          </cell>
          <cell r="AQ25" t="str">
            <v/>
          </cell>
          <cell r="AR25">
            <v>2010</v>
          </cell>
          <cell r="BL25">
            <v>5.82</v>
          </cell>
          <cell r="CJ25" t="str">
            <v>SCI Saint André</v>
          </cell>
          <cell r="CK25" t="str">
            <v>INFI</v>
          </cell>
          <cell r="CL25">
            <v>39773</v>
          </cell>
          <cell r="CM25" t="str">
            <v>-</v>
          </cell>
          <cell r="CN25">
            <v>0</v>
          </cell>
          <cell r="CO25" t="str">
            <v>199 undecies A</v>
          </cell>
          <cell r="CQ25" t="str">
            <v>non</v>
          </cell>
          <cell r="CX25">
            <v>0</v>
          </cell>
          <cell r="DE25">
            <v>0</v>
          </cell>
          <cell r="DJ25">
            <v>0</v>
          </cell>
          <cell r="DO25">
            <v>0</v>
          </cell>
          <cell r="DS25">
            <v>0</v>
          </cell>
          <cell r="DT25">
            <v>0</v>
          </cell>
          <cell r="DU25">
            <v>0</v>
          </cell>
          <cell r="ED25" t="str">
            <v>G:\Habitat\OPERATIONNEL HABITAT\02- Operations\Photothèque\image non disponible.jpg</v>
          </cell>
          <cell r="EE25" t="str">
            <v>G:\Habitat\OPERATIONNEL HABITAT\02- Operations\Photothèque\image non disponible.jpg</v>
          </cell>
        </row>
        <row r="26">
          <cell r="A26" t="str">
            <v>ARBRE DU VOYAGEUR - Mandarinier</v>
          </cell>
          <cell r="B26">
            <v>9748</v>
          </cell>
          <cell r="C26" t="str">
            <v>SUD</v>
          </cell>
          <cell r="D26" t="str">
            <v>Saint-Pierre</v>
          </cell>
          <cell r="E26" t="str">
            <v>RHI 2 LES MANGUIERS</v>
          </cell>
          <cell r="F26">
            <v>72</v>
          </cell>
          <cell r="G26" t="str">
            <v>LLS</v>
          </cell>
          <cell r="J26" t="str">
            <v>COL</v>
          </cell>
          <cell r="K26" t="str">
            <v>ACQ</v>
          </cell>
          <cell r="L26" t="str">
            <v>autres</v>
          </cell>
          <cell r="M26" t="str">
            <v>autres</v>
          </cell>
          <cell r="N26" t="str">
            <v>PC</v>
          </cell>
          <cell r="O26" t="str">
            <v>JMO</v>
          </cell>
          <cell r="P26" t="str">
            <v>CS</v>
          </cell>
          <cell r="Q26" t="str">
            <v>SPG</v>
          </cell>
          <cell r="R26">
            <v>2009</v>
          </cell>
          <cell r="S26">
            <v>0.75</v>
          </cell>
          <cell r="T26" t="str">
            <v>OCEANIS</v>
          </cell>
          <cell r="U26" t="str">
            <v>Goetz</v>
          </cell>
          <cell r="V26" t="str">
            <v>J - PREPARATION MARCHES</v>
          </cell>
          <cell r="W26">
            <v>39569</v>
          </cell>
          <cell r="X26" t="str">
            <v>d</v>
          </cell>
          <cell r="Y26" t="str">
            <v>97440907a0532</v>
          </cell>
          <cell r="Z26" t="str">
            <v>obtenu</v>
          </cell>
          <cell r="AA26" t="str">
            <v/>
          </cell>
          <cell r="AB26">
            <v>39708</v>
          </cell>
          <cell r="AC26" t="str">
            <v>v</v>
          </cell>
          <cell r="AD26">
            <v>39710</v>
          </cell>
          <cell r="AE26">
            <v>39353</v>
          </cell>
          <cell r="AF26" t="str">
            <v/>
          </cell>
          <cell r="AG26">
            <v>39464</v>
          </cell>
          <cell r="AH26">
            <v>39568</v>
          </cell>
          <cell r="AI26" t="str">
            <v>ao</v>
          </cell>
          <cell r="AJ26">
            <v>39736</v>
          </cell>
          <cell r="AK26" t="str">
            <v>ch</v>
          </cell>
          <cell r="AL26">
            <v>5.5234087322461862</v>
          </cell>
          <cell r="AM26">
            <v>2008</v>
          </cell>
          <cell r="AN26">
            <v>14</v>
          </cell>
          <cell r="AO26">
            <v>40162</v>
          </cell>
          <cell r="AP26">
            <v>40177</v>
          </cell>
          <cell r="AQ26" t="str">
            <v/>
          </cell>
          <cell r="AR26">
            <v>2009</v>
          </cell>
          <cell r="BL26">
            <v>5.82</v>
          </cell>
          <cell r="CJ26" t="str">
            <v>-</v>
          </cell>
          <cell r="CK26" t="str">
            <v>ALCYOM</v>
          </cell>
          <cell r="CL26" t="str">
            <v>-</v>
          </cell>
          <cell r="CM26" t="str">
            <v>-</v>
          </cell>
          <cell r="CN26">
            <v>0</v>
          </cell>
          <cell r="CO26" t="str">
            <v>199 undecies A</v>
          </cell>
          <cell r="CQ26" t="str">
            <v>non</v>
          </cell>
          <cell r="CX26">
            <v>0</v>
          </cell>
          <cell r="DE26">
            <v>0</v>
          </cell>
          <cell r="DJ26">
            <v>0</v>
          </cell>
          <cell r="DO26">
            <v>0</v>
          </cell>
          <cell r="DS26">
            <v>0</v>
          </cell>
          <cell r="DT26">
            <v>0</v>
          </cell>
          <cell r="DU26">
            <v>0</v>
          </cell>
          <cell r="DV26" t="str">
            <v>OCEANIS</v>
          </cell>
          <cell r="ED26" t="str">
            <v>G:\Habitat\OPERATIONNEL HABITAT\02- Operations\Photothèque\image non disponible.jpg</v>
          </cell>
          <cell r="EE26" t="str">
            <v>G:\Habitat\OPERATIONNEL HABITAT\02- Operations\Photothèque\image non disponible.jpg</v>
          </cell>
        </row>
        <row r="27">
          <cell r="A27" t="str">
            <v>ATLANTIDE</v>
          </cell>
          <cell r="B27">
            <v>9506</v>
          </cell>
          <cell r="C27" t="str">
            <v>OUEST</v>
          </cell>
          <cell r="D27" t="str">
            <v>Port</v>
          </cell>
          <cell r="E27" t="str">
            <v>RHI SAY PISCINE</v>
          </cell>
          <cell r="F27">
            <v>49</v>
          </cell>
          <cell r="G27" t="str">
            <v>LLTS</v>
          </cell>
          <cell r="J27" t="str">
            <v>COL</v>
          </cell>
          <cell r="K27" t="str">
            <v>CF</v>
          </cell>
          <cell r="L27" t="str">
            <v>SIDR</v>
          </cell>
          <cell r="M27" t="str">
            <v>autres</v>
          </cell>
          <cell r="N27" t="str">
            <v>CLa</v>
          </cell>
          <cell r="O27" t="str">
            <v>GG</v>
          </cell>
          <cell r="P27" t="str">
            <v>CC</v>
          </cell>
          <cell r="Q27" t="str">
            <v>OP</v>
          </cell>
          <cell r="R27">
            <v>2003</v>
          </cell>
          <cell r="T27" t="str">
            <v>LITIGE Remondi/portail dégradation après fin GPA</v>
          </cell>
          <cell r="U27" t="str">
            <v>ESPACE CREATION</v>
          </cell>
          <cell r="V27" t="str">
            <v>M - LIVRE/GPA</v>
          </cell>
          <cell r="W27">
            <v>37840</v>
          </cell>
          <cell r="X27" t="str">
            <v>d</v>
          </cell>
          <cell r="Y27" t="str">
            <v>97440703A0061</v>
          </cell>
          <cell r="Z27">
            <v>37907</v>
          </cell>
          <cell r="AA27" t="str">
            <v>o</v>
          </cell>
          <cell r="AB27" t="str">
            <v>validé</v>
          </cell>
          <cell r="AC27" t="str">
            <v/>
          </cell>
          <cell r="AD27">
            <v>39710</v>
          </cell>
          <cell r="AE27">
            <v>37887</v>
          </cell>
          <cell r="AF27" t="str">
            <v>f</v>
          </cell>
          <cell r="AG27" t="str">
            <v>O</v>
          </cell>
          <cell r="AH27">
            <v>38104</v>
          </cell>
          <cell r="AI27" t="str">
            <v>ao</v>
          </cell>
          <cell r="AJ27">
            <v>38236</v>
          </cell>
          <cell r="AK27" t="str">
            <v/>
          </cell>
          <cell r="AL27">
            <v>4.3398211467648604</v>
          </cell>
          <cell r="AM27">
            <v>2004</v>
          </cell>
          <cell r="AN27">
            <v>17</v>
          </cell>
          <cell r="AO27">
            <v>38754</v>
          </cell>
          <cell r="AP27">
            <v>38825</v>
          </cell>
          <cell r="AQ27" t="str">
            <v>li</v>
          </cell>
          <cell r="AR27">
            <v>2006</v>
          </cell>
          <cell r="BN27">
            <v>0.2</v>
          </cell>
          <cell r="BO27" t="str">
            <v>signée</v>
          </cell>
          <cell r="BP27">
            <v>0.8</v>
          </cell>
          <cell r="BQ27" t="str">
            <v>signée</v>
          </cell>
          <cell r="BX27" t="str">
            <v>signé</v>
          </cell>
          <cell r="CA27">
            <v>3874.22</v>
          </cell>
          <cell r="CE27" t="str">
            <v>ECS ind</v>
          </cell>
          <cell r="CF27">
            <v>142783</v>
          </cell>
          <cell r="CG27">
            <v>42834</v>
          </cell>
          <cell r="CH27">
            <v>64252</v>
          </cell>
          <cell r="CI27">
            <v>35695</v>
          </cell>
          <cell r="CJ27" t="str">
            <v>-</v>
          </cell>
          <cell r="CK27" t="str">
            <v>-</v>
          </cell>
          <cell r="CL27" t="str">
            <v>-</v>
          </cell>
          <cell r="CM27" t="str">
            <v>-</v>
          </cell>
          <cell r="CN27">
            <v>0</v>
          </cell>
          <cell r="CQ27" t="str">
            <v>oui</v>
          </cell>
          <cell r="CR27">
            <v>235390</v>
          </cell>
          <cell r="CT27">
            <v>2663744</v>
          </cell>
          <cell r="CX27">
            <v>2899134</v>
          </cell>
          <cell r="DE27">
            <v>107086</v>
          </cell>
          <cell r="DJ27">
            <v>107086</v>
          </cell>
          <cell r="DO27">
            <v>0</v>
          </cell>
          <cell r="DQ27">
            <v>96207</v>
          </cell>
          <cell r="DR27">
            <v>42875</v>
          </cell>
          <cell r="DS27">
            <v>139082</v>
          </cell>
          <cell r="DT27">
            <v>278164</v>
          </cell>
          <cell r="DU27">
            <v>-2513884</v>
          </cell>
          <cell r="DV27" t="str">
            <v>OCEANIS</v>
          </cell>
          <cell r="ED27" t="str">
            <v>G:\Habitat\OPERATIONNEL HABITAT\02- Operations\Photothèque\images locatifs\Atlantides\atlantide pers 1.jpg</v>
          </cell>
          <cell r="EE27" t="str">
            <v>G:\Habitat\OPERATIONNEL HABITAT\02- Operations\Photothèque\images locatifs\Atlantides\présentation atlandide.jpg</v>
          </cell>
        </row>
        <row r="28">
          <cell r="A28" t="str">
            <v>ATTES 1/2(VAVANGUES)</v>
          </cell>
          <cell r="B28">
            <v>9727</v>
          </cell>
          <cell r="C28" t="str">
            <v>OUEST</v>
          </cell>
          <cell r="D28" t="str">
            <v>Saint-Leu</v>
          </cell>
          <cell r="E28" t="str">
            <v>RHI LES ATTES</v>
          </cell>
          <cell r="F28">
            <v>59</v>
          </cell>
          <cell r="G28" t="str">
            <v>LLTS</v>
          </cell>
          <cell r="J28" t="str">
            <v>COL</v>
          </cell>
          <cell r="K28" t="str">
            <v>CF</v>
          </cell>
          <cell r="L28" t="str">
            <v>SIDR</v>
          </cell>
          <cell r="M28" t="str">
            <v>prob foncier</v>
          </cell>
          <cell r="N28" t="str">
            <v>PC</v>
          </cell>
          <cell r="O28" t="str">
            <v>DL</v>
          </cell>
          <cell r="P28" t="str">
            <v>CS</v>
          </cell>
          <cell r="Q28" t="str">
            <v>SG</v>
          </cell>
          <cell r="R28">
            <v>2009</v>
          </cell>
          <cell r="S28">
            <v>0.25</v>
          </cell>
          <cell r="T28" t="str">
            <v>EPFR ?/PLU en cours de modif</v>
          </cell>
          <cell r="U28" t="str">
            <v>LUCAS</v>
          </cell>
          <cell r="V28" t="str">
            <v>E - APS / PC</v>
          </cell>
          <cell r="W28">
            <v>39902</v>
          </cell>
          <cell r="X28" t="str">
            <v>d</v>
          </cell>
          <cell r="Y28" t="str">
            <v>97440703A0061</v>
          </cell>
          <cell r="Z28">
            <v>37907</v>
          </cell>
          <cell r="AA28" t="str">
            <v/>
          </cell>
          <cell r="AB28">
            <v>39887</v>
          </cell>
          <cell r="AC28" t="str">
            <v>v</v>
          </cell>
          <cell r="AE28">
            <v>40040</v>
          </cell>
          <cell r="AF28" t="str">
            <v>f</v>
          </cell>
          <cell r="AG28" t="str">
            <v>O</v>
          </cell>
          <cell r="AH28">
            <v>40024</v>
          </cell>
          <cell r="AI28" t="str">
            <v/>
          </cell>
          <cell r="AJ28">
            <v>40147</v>
          </cell>
          <cell r="AK28" t="str">
            <v/>
          </cell>
          <cell r="AL28">
            <v>4.0439242503945287</v>
          </cell>
          <cell r="AM28">
            <v>2009</v>
          </cell>
          <cell r="AN28">
            <v>18</v>
          </cell>
          <cell r="AO28">
            <v>40693</v>
          </cell>
          <cell r="AP28">
            <v>40708</v>
          </cell>
          <cell r="AQ28" t="str">
            <v/>
          </cell>
          <cell r="AR28">
            <v>2011</v>
          </cell>
          <cell r="BN28">
            <v>0.2</v>
          </cell>
          <cell r="BO28" t="str">
            <v>signée</v>
          </cell>
          <cell r="BP28">
            <v>0.8</v>
          </cell>
          <cell r="BQ28" t="str">
            <v>signée</v>
          </cell>
          <cell r="BX28" t="str">
            <v>signé</v>
          </cell>
          <cell r="CA28">
            <v>3874.22</v>
          </cell>
          <cell r="CE28" t="str">
            <v>ECS ind</v>
          </cell>
          <cell r="CF28">
            <v>142783</v>
          </cell>
          <cell r="CG28">
            <v>42834</v>
          </cell>
          <cell r="CH28">
            <v>64252</v>
          </cell>
          <cell r="CI28">
            <v>35695</v>
          </cell>
          <cell r="CJ28" t="str">
            <v>-</v>
          </cell>
          <cell r="CK28" t="str">
            <v>-</v>
          </cell>
          <cell r="CL28" t="str">
            <v>-</v>
          </cell>
          <cell r="CM28" t="str">
            <v>-</v>
          </cell>
          <cell r="CN28">
            <v>0</v>
          </cell>
          <cell r="CQ28" t="str">
            <v>non</v>
          </cell>
          <cell r="CR28">
            <v>235390</v>
          </cell>
          <cell r="CT28">
            <v>2663744</v>
          </cell>
          <cell r="CX28">
            <v>0</v>
          </cell>
          <cell r="DE28">
            <v>0</v>
          </cell>
          <cell r="DJ28">
            <v>0</v>
          </cell>
          <cell r="DO28">
            <v>0</v>
          </cell>
          <cell r="DQ28">
            <v>96207</v>
          </cell>
          <cell r="DR28">
            <v>42875</v>
          </cell>
          <cell r="DS28">
            <v>0</v>
          </cell>
          <cell r="DT28">
            <v>0</v>
          </cell>
          <cell r="DU28">
            <v>0</v>
          </cell>
          <cell r="ED28" t="str">
            <v>G:\Habitat\OPERATIONNEL HABITAT\02- Operations\Photothèque\image non disponible.jpg</v>
          </cell>
          <cell r="EE28" t="str">
            <v>G:\Habitat\OPERATIONNEL HABITAT\02- Operations\Photothèque\image non disponible.jpg</v>
          </cell>
        </row>
        <row r="29">
          <cell r="A29" t="str">
            <v>ATTES 3()</v>
          </cell>
          <cell r="B29">
            <v>9727</v>
          </cell>
          <cell r="C29" t="str">
            <v>OUEST</v>
          </cell>
          <cell r="D29" t="str">
            <v>Saint-Leu</v>
          </cell>
          <cell r="E29" t="str">
            <v>RHI LES ATTES</v>
          </cell>
          <cell r="F29">
            <v>10</v>
          </cell>
          <cell r="G29" t="str">
            <v>PLS</v>
          </cell>
          <cell r="J29" t="str">
            <v>COL</v>
          </cell>
          <cell r="K29" t="str">
            <v>CF</v>
          </cell>
          <cell r="L29" t="str">
            <v>SIDR</v>
          </cell>
          <cell r="M29" t="str">
            <v>prob foncier</v>
          </cell>
          <cell r="N29" t="str">
            <v>PC</v>
          </cell>
          <cell r="O29" t="str">
            <v>DL</v>
          </cell>
          <cell r="P29" t="str">
            <v>CS</v>
          </cell>
          <cell r="Q29" t="str">
            <v>SG</v>
          </cell>
          <cell r="R29">
            <v>2011</v>
          </cell>
          <cell r="S29">
            <v>0.25</v>
          </cell>
          <cell r="T29" t="str">
            <v>EPFR ?/PLU en cours de modif</v>
          </cell>
          <cell r="U29" t="str">
            <v>LUCAS</v>
          </cell>
          <cell r="V29" t="str">
            <v>E - APS / PC</v>
          </cell>
          <cell r="W29">
            <v>39902</v>
          </cell>
          <cell r="AA29" t="str">
            <v/>
          </cell>
          <cell r="AB29">
            <v>39887</v>
          </cell>
          <cell r="AC29" t="str">
            <v/>
          </cell>
          <cell r="AE29">
            <v>40040</v>
          </cell>
          <cell r="AH29">
            <v>40024</v>
          </cell>
          <cell r="AI29" t="str">
            <v/>
          </cell>
          <cell r="AJ29">
            <v>40147</v>
          </cell>
          <cell r="AK29" t="str">
            <v/>
          </cell>
          <cell r="AL29">
            <v>0</v>
          </cell>
          <cell r="AM29">
            <v>2009</v>
          </cell>
          <cell r="AN29">
            <v>18</v>
          </cell>
          <cell r="AO29">
            <v>40693</v>
          </cell>
          <cell r="AP29">
            <v>40708</v>
          </cell>
          <cell r="AQ29" t="str">
            <v/>
          </cell>
          <cell r="AR29">
            <v>2011</v>
          </cell>
          <cell r="CJ29" t="str">
            <v>-</v>
          </cell>
          <cell r="CK29" t="str">
            <v>-</v>
          </cell>
          <cell r="CL29" t="str">
            <v>-</v>
          </cell>
          <cell r="CM29" t="str">
            <v>-</v>
          </cell>
          <cell r="CN29">
            <v>0</v>
          </cell>
          <cell r="CQ29" t="str">
            <v>non</v>
          </cell>
          <cell r="CX29">
            <v>0</v>
          </cell>
          <cell r="DE29">
            <v>0</v>
          </cell>
          <cell r="DJ29">
            <v>0</v>
          </cell>
          <cell r="DO29">
            <v>0</v>
          </cell>
          <cell r="DS29">
            <v>0</v>
          </cell>
          <cell r="DT29">
            <v>0</v>
          </cell>
          <cell r="DU29">
            <v>0</v>
          </cell>
          <cell r="ED29" t="str">
            <v>G:\Habitat\OPERATIONNEL HABITAT\02- Operations\Photothèque\image non disponible.jpg</v>
          </cell>
          <cell r="EE29" t="str">
            <v>G:\Habitat\OPERATIONNEL HABITAT\02- Operations\Photothèque\image non disponible.jpg</v>
          </cell>
        </row>
        <row r="30">
          <cell r="A30" t="str">
            <v>ATTES 4()</v>
          </cell>
          <cell r="C30" t="str">
            <v>OUEST</v>
          </cell>
          <cell r="D30" t="str">
            <v>Saint-Leu</v>
          </cell>
          <cell r="E30" t="str">
            <v>RHI LES ATTES</v>
          </cell>
          <cell r="F30">
            <v>40</v>
          </cell>
          <cell r="G30" t="str">
            <v>LLTS</v>
          </cell>
          <cell r="J30" t="str">
            <v>COL</v>
          </cell>
          <cell r="K30" t="str">
            <v>CF</v>
          </cell>
          <cell r="L30" t="str">
            <v>SIDR</v>
          </cell>
          <cell r="N30" t="str">
            <v>PC</v>
          </cell>
          <cell r="Q30" t="str">
            <v>SG</v>
          </cell>
          <cell r="R30">
            <v>2011</v>
          </cell>
          <cell r="AA30" t="str">
            <v/>
          </cell>
          <cell r="AC30" t="str">
            <v/>
          </cell>
          <cell r="AI30" t="str">
            <v/>
          </cell>
          <cell r="AK30" t="str">
            <v/>
          </cell>
          <cell r="AL30">
            <v>0</v>
          </cell>
          <cell r="AQ30" t="str">
            <v/>
          </cell>
          <cell r="CJ30" t="str">
            <v>-</v>
          </cell>
          <cell r="CK30" t="str">
            <v>-</v>
          </cell>
          <cell r="CL30" t="str">
            <v>-</v>
          </cell>
          <cell r="CM30" t="str">
            <v>-</v>
          </cell>
          <cell r="CN30">
            <v>0</v>
          </cell>
          <cell r="CQ30" t="str">
            <v>non</v>
          </cell>
          <cell r="CX30">
            <v>0</v>
          </cell>
          <cell r="DE30">
            <v>0</v>
          </cell>
          <cell r="DJ30">
            <v>0</v>
          </cell>
          <cell r="DO30">
            <v>0</v>
          </cell>
          <cell r="DS30">
            <v>0</v>
          </cell>
          <cell r="DT30">
            <v>0</v>
          </cell>
          <cell r="DU30">
            <v>0</v>
          </cell>
          <cell r="ED30" t="str">
            <v>G:\Habitat\OPERATIONNEL HABITAT\02- Operations\Photothèque\image non disponible.jpg</v>
          </cell>
          <cell r="EE30" t="str">
            <v>G:\Habitat\OPERATIONNEL HABITAT\02- Operations\Photothèque\image non disponible.jpg</v>
          </cell>
        </row>
        <row r="31">
          <cell r="A31" t="str">
            <v>ATTES ACC(LES TAHAIS)</v>
          </cell>
          <cell r="C31" t="str">
            <v>OUEST</v>
          </cell>
          <cell r="D31" t="str">
            <v>Saint-Leu</v>
          </cell>
          <cell r="E31" t="str">
            <v>RHI LES ATTES</v>
          </cell>
          <cell r="F31">
            <v>16</v>
          </cell>
          <cell r="G31" t="str">
            <v>ACC</v>
          </cell>
          <cell r="J31" t="str">
            <v>COL</v>
          </cell>
          <cell r="K31" t="str">
            <v>CF</v>
          </cell>
          <cell r="L31" t="str">
            <v>SIDR</v>
          </cell>
          <cell r="M31" t="str">
            <v>acq en DUP</v>
          </cell>
          <cell r="N31" t="str">
            <v>PC</v>
          </cell>
          <cell r="O31" t="str">
            <v>DL</v>
          </cell>
          <cell r="P31" t="str">
            <v>NA</v>
          </cell>
          <cell r="Q31" t="str">
            <v>SG</v>
          </cell>
          <cell r="R31">
            <v>2008</v>
          </cell>
          <cell r="U31" t="str">
            <v>Fabry</v>
          </cell>
          <cell r="V31" t="str">
            <v>E - APS / PC</v>
          </cell>
          <cell r="W31">
            <v>39807</v>
          </cell>
          <cell r="X31" t="str">
            <v>d</v>
          </cell>
          <cell r="AA31" t="str">
            <v/>
          </cell>
          <cell r="AB31">
            <v>39798</v>
          </cell>
          <cell r="AC31" t="str">
            <v>v</v>
          </cell>
          <cell r="AH31">
            <v>39887</v>
          </cell>
          <cell r="AI31" t="str">
            <v>ao</v>
          </cell>
          <cell r="AJ31">
            <v>40071</v>
          </cell>
          <cell r="AK31" t="str">
            <v/>
          </cell>
          <cell r="AL31">
            <v>6.0494476591267752</v>
          </cell>
          <cell r="AM31">
            <v>2009</v>
          </cell>
          <cell r="AN31">
            <v>12</v>
          </cell>
          <cell r="AO31">
            <v>40436</v>
          </cell>
          <cell r="AP31">
            <v>40451</v>
          </cell>
          <cell r="AQ31" t="str">
            <v/>
          </cell>
          <cell r="AR31">
            <v>2011</v>
          </cell>
          <cell r="CJ31" t="str">
            <v>-</v>
          </cell>
          <cell r="CK31" t="str">
            <v>-</v>
          </cell>
          <cell r="CL31" t="str">
            <v>-</v>
          </cell>
          <cell r="CM31" t="str">
            <v>-</v>
          </cell>
          <cell r="CN31">
            <v>0</v>
          </cell>
          <cell r="CQ31" t="str">
            <v>non</v>
          </cell>
          <cell r="CX31">
            <v>0</v>
          </cell>
          <cell r="DE31">
            <v>0</v>
          </cell>
          <cell r="DJ31">
            <v>0</v>
          </cell>
          <cell r="DO31">
            <v>0</v>
          </cell>
          <cell r="DS31">
            <v>0</v>
          </cell>
          <cell r="DT31">
            <v>0</v>
          </cell>
          <cell r="DU31">
            <v>0</v>
          </cell>
          <cell r="ED31" t="str">
            <v>G:\Habitat\OPERATIONNEL HABITAT\02- Operations\Photothèque\image non disponible.jpg</v>
          </cell>
          <cell r="EE31" t="str">
            <v>G:\Habitat\OPERATIONNEL HABITAT\02- Operations\Photothèque\image non disponible.jpg</v>
          </cell>
        </row>
        <row r="32">
          <cell r="A32" t="str">
            <v>ATTES LESg</v>
          </cell>
          <cell r="C32" t="str">
            <v>OUEST</v>
          </cell>
          <cell r="D32" t="str">
            <v>Saint-Leu</v>
          </cell>
          <cell r="E32" t="str">
            <v>RHI LES ATTES</v>
          </cell>
          <cell r="F32">
            <v>22</v>
          </cell>
          <cell r="G32" t="str">
            <v>LESG</v>
          </cell>
          <cell r="J32" t="str">
            <v>IND</v>
          </cell>
          <cell r="K32" t="str">
            <v>CF</v>
          </cell>
          <cell r="L32" t="str">
            <v>SIDR</v>
          </cell>
          <cell r="M32" t="str">
            <v>acq en DUP</v>
          </cell>
          <cell r="N32" t="str">
            <v>BS</v>
          </cell>
          <cell r="O32" t="str">
            <v>DL</v>
          </cell>
          <cell r="P32" t="str">
            <v>NA</v>
          </cell>
          <cell r="Q32" t="str">
            <v>SG</v>
          </cell>
          <cell r="R32">
            <v>2010</v>
          </cell>
          <cell r="U32" t="str">
            <v>Fabry</v>
          </cell>
          <cell r="V32" t="str">
            <v>E - APS / PC</v>
          </cell>
          <cell r="W32">
            <v>39807</v>
          </cell>
          <cell r="X32" t="str">
            <v>d</v>
          </cell>
          <cell r="AA32" t="str">
            <v/>
          </cell>
          <cell r="AB32">
            <v>39798</v>
          </cell>
          <cell r="AC32" t="str">
            <v/>
          </cell>
          <cell r="AH32">
            <v>39887</v>
          </cell>
          <cell r="AI32" t="str">
            <v/>
          </cell>
          <cell r="AJ32">
            <v>40071</v>
          </cell>
          <cell r="AK32" t="str">
            <v/>
          </cell>
          <cell r="AL32">
            <v>0</v>
          </cell>
          <cell r="AM32">
            <v>2009</v>
          </cell>
          <cell r="AN32">
            <v>12</v>
          </cell>
          <cell r="AO32">
            <v>40436</v>
          </cell>
          <cell r="AP32">
            <v>40451</v>
          </cell>
          <cell r="AQ32" t="str">
            <v/>
          </cell>
          <cell r="AR32">
            <v>2011</v>
          </cell>
          <cell r="CJ32" t="str">
            <v>-</v>
          </cell>
          <cell r="CK32" t="str">
            <v>-</v>
          </cell>
          <cell r="CL32" t="str">
            <v>-</v>
          </cell>
          <cell r="CM32" t="str">
            <v>-</v>
          </cell>
          <cell r="CN32">
            <v>0</v>
          </cell>
          <cell r="CQ32" t="str">
            <v>non</v>
          </cell>
          <cell r="CX32">
            <v>0</v>
          </cell>
          <cell r="DE32">
            <v>0</v>
          </cell>
          <cell r="DJ32">
            <v>0</v>
          </cell>
          <cell r="DO32">
            <v>0</v>
          </cell>
          <cell r="DS32">
            <v>0</v>
          </cell>
          <cell r="DT32">
            <v>0</v>
          </cell>
          <cell r="DU32">
            <v>0</v>
          </cell>
          <cell r="ED32" t="str">
            <v>G:\Habitat\OPERATIONNEL HABITAT\02- Operations\Photothèque\image non disponible.jpg</v>
          </cell>
          <cell r="EE32" t="str">
            <v>G:\Habitat\OPERATIONNEL HABITAT\02- Operations\Photothèque\image non disponible.jpg</v>
          </cell>
        </row>
        <row r="33">
          <cell r="A33" t="str">
            <v>AUSTRALES</v>
          </cell>
          <cell r="B33">
            <v>9333</v>
          </cell>
          <cell r="C33" t="str">
            <v>SUD</v>
          </cell>
          <cell r="D33" t="str">
            <v>Saint-Pierre</v>
          </cell>
          <cell r="E33" t="str">
            <v>RUE DU PRESBYTERE</v>
          </cell>
          <cell r="F33">
            <v>12</v>
          </cell>
          <cell r="G33" t="str">
            <v>LLS</v>
          </cell>
          <cell r="J33" t="str">
            <v>COL</v>
          </cell>
          <cell r="K33" t="str">
            <v>RF</v>
          </cell>
          <cell r="L33" t="str">
            <v>SIDR</v>
          </cell>
          <cell r="N33" t="str">
            <v>PC</v>
          </cell>
          <cell r="O33" t="str">
            <v>DL</v>
          </cell>
          <cell r="P33" t="str">
            <v>CS</v>
          </cell>
          <cell r="Q33" t="str">
            <v>SG</v>
          </cell>
          <cell r="R33">
            <v>2003</v>
          </cell>
          <cell r="T33" t="str">
            <v>ras - fin GPA(conformitée pour déblocage solde LBU)</v>
          </cell>
          <cell r="U33" t="str">
            <v>CARRETIER</v>
          </cell>
          <cell r="V33" t="str">
            <v>M - LIVRE/GPA</v>
          </cell>
          <cell r="W33">
            <v>36732</v>
          </cell>
          <cell r="X33" t="str">
            <v>d</v>
          </cell>
          <cell r="Y33" t="str">
            <v>97441600A0499</v>
          </cell>
          <cell r="Z33">
            <v>37153</v>
          </cell>
          <cell r="AA33" t="str">
            <v>o</v>
          </cell>
          <cell r="AB33" t="str">
            <v>validé</v>
          </cell>
          <cell r="AC33" t="str">
            <v/>
          </cell>
          <cell r="AE33">
            <v>37882</v>
          </cell>
          <cell r="AF33" t="str">
            <v>f</v>
          </cell>
          <cell r="AG33" t="str">
            <v>O</v>
          </cell>
          <cell r="AH33">
            <v>37767</v>
          </cell>
          <cell r="AI33" t="str">
            <v>ao</v>
          </cell>
          <cell r="AJ33">
            <v>38054</v>
          </cell>
          <cell r="AK33" t="str">
            <v/>
          </cell>
          <cell r="AL33">
            <v>9.4358232509205688</v>
          </cell>
          <cell r="AM33">
            <v>2004</v>
          </cell>
          <cell r="AN33">
            <v>14</v>
          </cell>
          <cell r="AO33">
            <v>38480</v>
          </cell>
          <cell r="AP33">
            <v>38520</v>
          </cell>
          <cell r="AQ33" t="str">
            <v>li</v>
          </cell>
          <cell r="AR33">
            <v>2005</v>
          </cell>
          <cell r="BO33" t="str">
            <v>signée</v>
          </cell>
          <cell r="BQ33" t="str">
            <v>signée</v>
          </cell>
          <cell r="BX33" t="str">
            <v>signé</v>
          </cell>
          <cell r="CA33">
            <v>867.2</v>
          </cell>
          <cell r="CE33" t="str">
            <v>pas ECS</v>
          </cell>
          <cell r="CJ33" t="str">
            <v>-</v>
          </cell>
          <cell r="CK33" t="str">
            <v>-</v>
          </cell>
          <cell r="CL33" t="str">
            <v>-</v>
          </cell>
          <cell r="CM33" t="str">
            <v>-</v>
          </cell>
          <cell r="CN33">
            <v>0</v>
          </cell>
          <cell r="CQ33" t="str">
            <v>oui</v>
          </cell>
          <cell r="CR33">
            <v>132980</v>
          </cell>
          <cell r="CT33">
            <v>870284</v>
          </cell>
          <cell r="CX33">
            <v>1003264</v>
          </cell>
          <cell r="DE33">
            <v>0</v>
          </cell>
          <cell r="DJ33">
            <v>0</v>
          </cell>
          <cell r="DO33">
            <v>0</v>
          </cell>
          <cell r="DQ33">
            <v>45031</v>
          </cell>
          <cell r="DS33">
            <v>45031</v>
          </cell>
          <cell r="DT33">
            <v>90062</v>
          </cell>
          <cell r="DU33">
            <v>-913202</v>
          </cell>
          <cell r="ED33" t="str">
            <v>G:\Habitat\OPERATIONNEL HABITAT\02- Operations\Photothèque\images locatifs\Australes\australe - saint pierre 00.jpg</v>
          </cell>
          <cell r="EE33" t="str">
            <v>G:\Habitat\OPERATIONNEL HABITAT\02- Operations\Photothèque\images locatifs\Australes\australe - saint pierre 01.jpg</v>
          </cell>
        </row>
        <row r="34">
          <cell r="A34" t="str">
            <v>AVENIR</v>
          </cell>
          <cell r="B34">
            <v>9619</v>
          </cell>
          <cell r="C34" t="str">
            <v>SUD</v>
          </cell>
          <cell r="D34" t="str">
            <v>Saint-Louis</v>
          </cell>
          <cell r="E34" t="str">
            <v>ZAC AVENIR</v>
          </cell>
          <cell r="F34">
            <v>13</v>
          </cell>
          <cell r="G34" t="str">
            <v>LESG</v>
          </cell>
          <cell r="J34" t="str">
            <v>IND</v>
          </cell>
          <cell r="K34" t="str">
            <v>CF</v>
          </cell>
          <cell r="L34" t="str">
            <v>SIDR</v>
          </cell>
          <cell r="M34" t="str">
            <v>maitrisé</v>
          </cell>
          <cell r="N34" t="str">
            <v>BS</v>
          </cell>
          <cell r="O34" t="str">
            <v>FG</v>
          </cell>
          <cell r="P34" t="str">
            <v>LV</v>
          </cell>
          <cell r="Q34" t="str">
            <v>HBM</v>
          </cell>
          <cell r="R34">
            <v>2005</v>
          </cell>
          <cell r="T34" t="str">
            <v>cloture amenageur ???</v>
          </cell>
          <cell r="U34" t="str">
            <v>SOAA MEUNIER</v>
          </cell>
          <cell r="V34" t="str">
            <v>M - LIVRE/GPA</v>
          </cell>
          <cell r="W34">
            <v>36732</v>
          </cell>
          <cell r="X34" t="str">
            <v>d</v>
          </cell>
          <cell r="Y34" t="str">
            <v>97441405a0479</v>
          </cell>
          <cell r="Z34">
            <v>38720</v>
          </cell>
          <cell r="AA34" t="str">
            <v>o</v>
          </cell>
          <cell r="AB34" t="str">
            <v>validé</v>
          </cell>
          <cell r="AC34" t="str">
            <v/>
          </cell>
          <cell r="AD34">
            <v>0</v>
          </cell>
          <cell r="AE34">
            <v>37882</v>
          </cell>
          <cell r="AF34" t="str">
            <v>f</v>
          </cell>
          <cell r="AG34">
            <v>38695</v>
          </cell>
          <cell r="AH34">
            <v>37767</v>
          </cell>
          <cell r="AI34" t="str">
            <v>ao</v>
          </cell>
          <cell r="AJ34">
            <v>39146</v>
          </cell>
          <cell r="AK34" t="str">
            <v/>
          </cell>
          <cell r="AL34">
            <v>45.337980010520781</v>
          </cell>
          <cell r="AM34">
            <v>2007</v>
          </cell>
          <cell r="AN34">
            <v>18</v>
          </cell>
          <cell r="AO34">
            <v>39696</v>
          </cell>
          <cell r="AP34">
            <v>39711</v>
          </cell>
          <cell r="AQ34" t="str">
            <v>li</v>
          </cell>
          <cell r="AR34">
            <v>2008</v>
          </cell>
          <cell r="BO34" t="str">
            <v>signée</v>
          </cell>
          <cell r="BQ34" t="str">
            <v>signée</v>
          </cell>
          <cell r="BX34" t="str">
            <v>signé</v>
          </cell>
          <cell r="CA34">
            <v>867.2</v>
          </cell>
          <cell r="CE34" t="str">
            <v>pas ECS</v>
          </cell>
          <cell r="CJ34" t="str">
            <v>-</v>
          </cell>
          <cell r="CK34" t="str">
            <v>-</v>
          </cell>
          <cell r="CL34" t="str">
            <v>-</v>
          </cell>
          <cell r="CM34" t="str">
            <v>-</v>
          </cell>
          <cell r="CN34">
            <v>0</v>
          </cell>
          <cell r="CQ34" t="str">
            <v>oui</v>
          </cell>
          <cell r="CR34">
            <v>132980</v>
          </cell>
          <cell r="CT34">
            <v>870284</v>
          </cell>
          <cell r="CX34">
            <v>0</v>
          </cell>
          <cell r="DE34">
            <v>0</v>
          </cell>
          <cell r="DJ34">
            <v>0</v>
          </cell>
          <cell r="DO34">
            <v>0</v>
          </cell>
          <cell r="DQ34">
            <v>45031</v>
          </cell>
          <cell r="DS34">
            <v>0</v>
          </cell>
          <cell r="DT34">
            <v>0</v>
          </cell>
          <cell r="DU34">
            <v>0</v>
          </cell>
          <cell r="ED34" t="str">
            <v>G:\Habitat\OPERATIONNEL HABITAT\02- Operations\Photothèque\images locatifs\mail avenir (1).jpg</v>
          </cell>
          <cell r="EE34" t="str">
            <v>G:\Habitat\OPERATIONNEL HABITAT\02- Operations\Photothèque\images locatifs\mail avenir.jpg</v>
          </cell>
        </row>
        <row r="35">
          <cell r="A35" t="str">
            <v>AVOCATIERS</v>
          </cell>
          <cell r="B35">
            <v>9419</v>
          </cell>
          <cell r="C35" t="str">
            <v>EST</v>
          </cell>
          <cell r="D35" t="str">
            <v>Saint-André</v>
          </cell>
          <cell r="E35" t="str">
            <v>ZAC CRESSONIERE</v>
          </cell>
          <cell r="F35">
            <v>102</v>
          </cell>
          <cell r="G35" t="str">
            <v>LLTS</v>
          </cell>
          <cell r="J35" t="str">
            <v>COL</v>
          </cell>
          <cell r="K35" t="str">
            <v>CF</v>
          </cell>
          <cell r="L35" t="str">
            <v>SIDR</v>
          </cell>
          <cell r="M35" t="str">
            <v>maitrisé</v>
          </cell>
          <cell r="N35" t="str">
            <v>CLa</v>
          </cell>
          <cell r="O35" t="str">
            <v>JMO</v>
          </cell>
          <cell r="P35" t="str">
            <v>CC</v>
          </cell>
          <cell r="Q35" t="str">
            <v>SPG</v>
          </cell>
          <cell r="R35">
            <v>2002</v>
          </cell>
          <cell r="T35" t="str">
            <v>ras</v>
          </cell>
          <cell r="U35" t="str">
            <v>BERTIN LEBEIGLE</v>
          </cell>
          <cell r="V35" t="str">
            <v>M - LIVRE/GPA</v>
          </cell>
          <cell r="W35">
            <v>37447</v>
          </cell>
          <cell r="X35" t="str">
            <v>d</v>
          </cell>
          <cell r="Y35" t="str">
            <v>97440902A0250</v>
          </cell>
          <cell r="Z35">
            <v>37574</v>
          </cell>
          <cell r="AA35" t="str">
            <v>o</v>
          </cell>
          <cell r="AB35" t="str">
            <v>validé</v>
          </cell>
          <cell r="AC35" t="str">
            <v/>
          </cell>
          <cell r="AD35">
            <v>0</v>
          </cell>
          <cell r="AE35">
            <v>37540</v>
          </cell>
          <cell r="AF35" t="str">
            <v>f</v>
          </cell>
          <cell r="AG35" t="str">
            <v>O</v>
          </cell>
          <cell r="AH35">
            <v>37718</v>
          </cell>
          <cell r="AI35" t="str">
            <v>ao</v>
          </cell>
          <cell r="AJ35">
            <v>37879</v>
          </cell>
          <cell r="AK35" t="str">
            <v/>
          </cell>
          <cell r="AL35">
            <v>5.2932667017359281</v>
          </cell>
          <cell r="AM35">
            <v>2003</v>
          </cell>
          <cell r="AN35">
            <v>20</v>
          </cell>
          <cell r="AO35">
            <v>38487</v>
          </cell>
          <cell r="AP35">
            <v>38505</v>
          </cell>
          <cell r="AQ35" t="str">
            <v>li</v>
          </cell>
          <cell r="AR35">
            <v>2005</v>
          </cell>
          <cell r="BO35" t="str">
            <v>signée</v>
          </cell>
          <cell r="BQ35" t="str">
            <v>signée</v>
          </cell>
          <cell r="BX35" t="str">
            <v>signé</v>
          </cell>
          <cell r="CA35">
            <v>7268</v>
          </cell>
          <cell r="CE35" t="str">
            <v>ECS ind</v>
          </cell>
          <cell r="CF35">
            <v>432141</v>
          </cell>
          <cell r="CG35">
            <v>129642</v>
          </cell>
          <cell r="CH35">
            <v>194463</v>
          </cell>
          <cell r="CI35">
            <v>108035</v>
          </cell>
          <cell r="CJ35" t="str">
            <v>-</v>
          </cell>
          <cell r="CK35" t="str">
            <v>-</v>
          </cell>
          <cell r="CL35" t="str">
            <v>-</v>
          </cell>
          <cell r="CM35" t="str">
            <v>-</v>
          </cell>
          <cell r="CN35">
            <v>0</v>
          </cell>
          <cell r="CQ35" t="str">
            <v>oui</v>
          </cell>
          <cell r="CR35">
            <v>608112</v>
          </cell>
          <cell r="CT35">
            <v>4840836</v>
          </cell>
          <cell r="CX35">
            <v>5448948</v>
          </cell>
          <cell r="DE35">
            <v>324105</v>
          </cell>
          <cell r="DJ35">
            <v>324105</v>
          </cell>
          <cell r="DO35">
            <v>0</v>
          </cell>
          <cell r="DQ35">
            <v>354156</v>
          </cell>
          <cell r="DR35">
            <v>108035</v>
          </cell>
          <cell r="DS35">
            <v>462191</v>
          </cell>
          <cell r="DT35">
            <v>924382</v>
          </cell>
          <cell r="DU35">
            <v>-4200461</v>
          </cell>
          <cell r="ED35" t="str">
            <v>G:\Habitat\OPERATIONNEL HABITAT\02- Operations\Photothèque\images locatifs\avocatiers\avocatiers - st andré 00.jpg</v>
          </cell>
          <cell r="EE35" t="str">
            <v>G:\Habitat\OPERATIONNEL HABITAT\02- Operations\Photothèque\images locatifs\avocatiers\avocatiers liv (29).jpg</v>
          </cell>
          <cell r="EG35">
            <v>72000</v>
          </cell>
        </row>
        <row r="36">
          <cell r="A36" t="str">
            <v>BALI</v>
          </cell>
          <cell r="B36">
            <v>9625</v>
          </cell>
          <cell r="C36" t="str">
            <v>SUD</v>
          </cell>
          <cell r="D36" t="str">
            <v>Saint-Louis</v>
          </cell>
          <cell r="E36" t="str">
            <v>ZAC AVENIR</v>
          </cell>
          <cell r="F36">
            <v>20</v>
          </cell>
          <cell r="G36" t="str">
            <v>LLS</v>
          </cell>
          <cell r="J36" t="str">
            <v>MV</v>
          </cell>
          <cell r="K36" t="str">
            <v>CF</v>
          </cell>
          <cell r="L36" t="str">
            <v>SIDR</v>
          </cell>
          <cell r="M36" t="str">
            <v>maitrisé</v>
          </cell>
          <cell r="N36" t="str">
            <v>PC</v>
          </cell>
          <cell r="O36" t="str">
            <v>DL</v>
          </cell>
          <cell r="P36" t="str">
            <v>CS</v>
          </cell>
          <cell r="Q36" t="str">
            <v>HBM</v>
          </cell>
          <cell r="R36">
            <v>2006</v>
          </cell>
          <cell r="S36">
            <v>1</v>
          </cell>
          <cell r="T36" t="str">
            <v>temoin 5/12/2007</v>
          </cell>
          <cell r="U36" t="str">
            <v>MEUNIER</v>
          </cell>
          <cell r="V36" t="str">
            <v>L - CHANTIER EN COURS</v>
          </cell>
          <cell r="W36">
            <v>38700</v>
          </cell>
          <cell r="X36" t="str">
            <v>d</v>
          </cell>
          <cell r="Y36" t="str">
            <v>97441405A0638</v>
          </cell>
          <cell r="Z36">
            <v>38866</v>
          </cell>
          <cell r="AA36" t="str">
            <v>o</v>
          </cell>
          <cell r="AB36">
            <v>38881</v>
          </cell>
          <cell r="AC36" t="str">
            <v>v</v>
          </cell>
          <cell r="AD36">
            <v>38883</v>
          </cell>
          <cell r="AE36">
            <v>38798</v>
          </cell>
          <cell r="AF36" t="str">
            <v>f</v>
          </cell>
          <cell r="AG36">
            <v>38999</v>
          </cell>
          <cell r="AH36">
            <v>38978</v>
          </cell>
          <cell r="AI36" t="str">
            <v>ao</v>
          </cell>
          <cell r="AJ36">
            <v>39139</v>
          </cell>
          <cell r="AK36" t="str">
            <v/>
          </cell>
          <cell r="AL36">
            <v>5.2932667017359281</v>
          </cell>
          <cell r="AM36">
            <v>2007</v>
          </cell>
          <cell r="AN36">
            <v>14</v>
          </cell>
          <cell r="AO36">
            <v>39637</v>
          </cell>
          <cell r="AP36">
            <v>39646</v>
          </cell>
          <cell r="AQ36" t="str">
            <v>li</v>
          </cell>
          <cell r="AR36">
            <v>2008</v>
          </cell>
          <cell r="BA36">
            <v>9</v>
          </cell>
          <cell r="BB36">
            <v>67</v>
          </cell>
          <cell r="BE36">
            <v>8</v>
          </cell>
          <cell r="BF36">
            <v>78</v>
          </cell>
          <cell r="BI36">
            <v>3</v>
          </cell>
          <cell r="BJ36">
            <v>97.3</v>
          </cell>
          <cell r="BK36">
            <v>20</v>
          </cell>
          <cell r="BL36">
            <v>5.62</v>
          </cell>
          <cell r="BM36">
            <v>0.31</v>
          </cell>
          <cell r="BN36">
            <v>0.3</v>
          </cell>
          <cell r="BO36" t="str">
            <v>transmis</v>
          </cell>
          <cell r="BP36">
            <v>0.7</v>
          </cell>
          <cell r="BQ36" t="str">
            <v>transmis</v>
          </cell>
          <cell r="BX36" t="str">
            <v>en attente garanties emprunts</v>
          </cell>
          <cell r="BY36">
            <v>1493</v>
          </cell>
          <cell r="BZ36">
            <v>2284</v>
          </cell>
          <cell r="CA36">
            <v>1554.53</v>
          </cell>
          <cell r="CE36" t="str">
            <v>ECS ind</v>
          </cell>
          <cell r="CF36">
            <v>74000</v>
          </cell>
          <cell r="CG36">
            <v>22200</v>
          </cell>
          <cell r="CH36">
            <v>33300</v>
          </cell>
          <cell r="CI36">
            <v>18500</v>
          </cell>
          <cell r="CJ36" t="str">
            <v>-</v>
          </cell>
          <cell r="CK36" t="str">
            <v>-</v>
          </cell>
          <cell r="CL36" t="str">
            <v>-</v>
          </cell>
          <cell r="CM36" t="str">
            <v>-</v>
          </cell>
          <cell r="CN36">
            <v>0</v>
          </cell>
          <cell r="CQ36" t="str">
            <v>oui</v>
          </cell>
          <cell r="CR36">
            <v>608112</v>
          </cell>
          <cell r="CT36">
            <v>4840836</v>
          </cell>
          <cell r="CX36">
            <v>0</v>
          </cell>
          <cell r="DE36">
            <v>55500</v>
          </cell>
          <cell r="DJ36">
            <v>55500</v>
          </cell>
          <cell r="DO36">
            <v>0</v>
          </cell>
          <cell r="DQ36">
            <v>66223</v>
          </cell>
          <cell r="DR36">
            <v>17500</v>
          </cell>
          <cell r="DS36">
            <v>83723</v>
          </cell>
          <cell r="DT36">
            <v>167446</v>
          </cell>
          <cell r="DU36">
            <v>222946</v>
          </cell>
          <cell r="ED36" t="str">
            <v>G:\Habitat\OPERATIONNEL HABITAT\02- Operations\Photothèque\images locatifs\BALI\Vue#1b.jpg</v>
          </cell>
          <cell r="EE36" t="str">
            <v>G:\Habitat\OPERATIONNEL HABITAT\02- Operations\Photothèque\images locatifs\BALI\Vue#3b.jpg</v>
          </cell>
          <cell r="EG36">
            <v>72000</v>
          </cell>
          <cell r="EJ36">
            <v>72000</v>
          </cell>
        </row>
        <row r="37">
          <cell r="A37" t="str">
            <v>BANIANex CHAGOS 3</v>
          </cell>
          <cell r="B37">
            <v>9696</v>
          </cell>
          <cell r="C37" t="str">
            <v>EST</v>
          </cell>
          <cell r="D37" t="str">
            <v>Saint-André</v>
          </cell>
          <cell r="E37" t="str">
            <v>RHI 2 LES MANGUIERS</v>
          </cell>
          <cell r="F37">
            <v>56</v>
          </cell>
          <cell r="G37" t="str">
            <v>LLTS</v>
          </cell>
          <cell r="J37" t="str">
            <v>COL</v>
          </cell>
          <cell r="K37" t="str">
            <v>CF</v>
          </cell>
          <cell r="L37" t="str">
            <v>SIDR</v>
          </cell>
          <cell r="M37" t="str">
            <v>maitrisé</v>
          </cell>
          <cell r="N37" t="str">
            <v>CLa</v>
          </cell>
          <cell r="O37" t="str">
            <v>JMO</v>
          </cell>
          <cell r="P37" t="str">
            <v>CC</v>
          </cell>
          <cell r="Q37" t="str">
            <v>SPG</v>
          </cell>
          <cell r="R37">
            <v>2009</v>
          </cell>
          <cell r="S37">
            <v>0.5</v>
          </cell>
          <cell r="T37" t="str">
            <v>demande équipement public reunion /VEFA/poste locataire/libération et VRD ?/blocage PLU PC 08/2008/pc ok fin 2008?</v>
          </cell>
          <cell r="U37" t="str">
            <v>GROUARD</v>
          </cell>
          <cell r="V37" t="str">
            <v>F - APD</v>
          </cell>
          <cell r="W37">
            <v>39892</v>
          </cell>
          <cell r="X37" t="str">
            <v>d</v>
          </cell>
          <cell r="Y37" t="str">
            <v>97441405A0638</v>
          </cell>
          <cell r="Z37">
            <v>38866</v>
          </cell>
          <cell r="AA37" t="str">
            <v/>
          </cell>
          <cell r="AB37">
            <v>39870</v>
          </cell>
          <cell r="AC37" t="str">
            <v>v</v>
          </cell>
          <cell r="AD37">
            <v>38883</v>
          </cell>
          <cell r="AE37">
            <v>40071</v>
          </cell>
          <cell r="AF37" t="str">
            <v/>
          </cell>
          <cell r="AG37">
            <v>38999</v>
          </cell>
          <cell r="AH37">
            <v>40057</v>
          </cell>
          <cell r="AI37" t="str">
            <v/>
          </cell>
          <cell r="AJ37">
            <v>40238</v>
          </cell>
          <cell r="AK37" t="str">
            <v/>
          </cell>
          <cell r="AL37">
            <v>5.9508153603366649</v>
          </cell>
          <cell r="AM37">
            <v>2010</v>
          </cell>
          <cell r="AN37">
            <v>18</v>
          </cell>
          <cell r="AO37">
            <v>40787</v>
          </cell>
          <cell r="AP37">
            <v>40802</v>
          </cell>
          <cell r="AQ37" t="str">
            <v/>
          </cell>
          <cell r="AR37">
            <v>2011</v>
          </cell>
          <cell r="BA37">
            <v>9</v>
          </cell>
          <cell r="BB37">
            <v>67</v>
          </cell>
          <cell r="BE37">
            <v>8</v>
          </cell>
          <cell r="BF37">
            <v>78</v>
          </cell>
          <cell r="BI37">
            <v>3</v>
          </cell>
          <cell r="BJ37">
            <v>97.3</v>
          </cell>
          <cell r="BK37">
            <v>20</v>
          </cell>
          <cell r="BL37">
            <v>5.62</v>
          </cell>
          <cell r="BM37">
            <v>0.31</v>
          </cell>
          <cell r="BN37">
            <v>0.3</v>
          </cell>
          <cell r="BO37" t="str">
            <v>transmis</v>
          </cell>
          <cell r="BP37">
            <v>0.7</v>
          </cell>
          <cell r="BQ37" t="str">
            <v>transmis</v>
          </cell>
          <cell r="BX37" t="str">
            <v>en attente garanties emprunts</v>
          </cell>
          <cell r="BY37">
            <v>1493</v>
          </cell>
          <cell r="BZ37">
            <v>2284</v>
          </cell>
          <cell r="CA37">
            <v>1554.53</v>
          </cell>
          <cell r="CE37" t="str">
            <v>ECS ind</v>
          </cell>
          <cell r="CF37">
            <v>74000</v>
          </cell>
          <cell r="CG37">
            <v>22200</v>
          </cell>
          <cell r="CH37">
            <v>33300</v>
          </cell>
          <cell r="CI37">
            <v>18500</v>
          </cell>
          <cell r="CJ37" t="str">
            <v>-</v>
          </cell>
          <cell r="CK37" t="str">
            <v>-</v>
          </cell>
          <cell r="CL37" t="str">
            <v>-</v>
          </cell>
          <cell r="CM37" t="str">
            <v>-</v>
          </cell>
          <cell r="CN37">
            <v>0</v>
          </cell>
          <cell r="CQ37" t="str">
            <v>non</v>
          </cell>
          <cell r="CX37">
            <v>0</v>
          </cell>
          <cell r="DE37">
            <v>0</v>
          </cell>
          <cell r="DJ37">
            <v>0</v>
          </cell>
          <cell r="DO37">
            <v>0</v>
          </cell>
          <cell r="DQ37">
            <v>66223</v>
          </cell>
          <cell r="DR37">
            <v>17500</v>
          </cell>
          <cell r="DS37">
            <v>0</v>
          </cell>
          <cell r="DT37">
            <v>0</v>
          </cell>
          <cell r="DU37">
            <v>0</v>
          </cell>
          <cell r="ED37" t="str">
            <v>G:\Habitat\OPERATIONNEL HABITAT\02- Operations\Photothèque\image non disponible.jpg</v>
          </cell>
          <cell r="EE37" t="str">
            <v>G:\Habitat\OPERATIONNEL HABITAT\02- Operations\Photothèque\image non disponible.jpg</v>
          </cell>
        </row>
        <row r="38">
          <cell r="A38" t="str">
            <v>BARBADE</v>
          </cell>
          <cell r="B38">
            <v>9674</v>
          </cell>
          <cell r="C38" t="str">
            <v>NORD</v>
          </cell>
          <cell r="D38" t="str">
            <v>Saint-Denis</v>
          </cell>
          <cell r="E38" t="str">
            <v>BELLEPIERRE</v>
          </cell>
          <cell r="F38">
            <v>28</v>
          </cell>
          <cell r="G38" t="str">
            <v>PLS</v>
          </cell>
          <cell r="J38" t="str">
            <v>COL</v>
          </cell>
          <cell r="K38" t="str">
            <v>RF</v>
          </cell>
          <cell r="L38" t="str">
            <v>SIDR</v>
          </cell>
          <cell r="M38" t="str">
            <v>maitrisé</v>
          </cell>
          <cell r="N38" t="str">
            <v>PC</v>
          </cell>
          <cell r="O38" t="str">
            <v>PC</v>
          </cell>
          <cell r="P38" t="str">
            <v>CS</v>
          </cell>
          <cell r="Q38" t="str">
            <v>SPG</v>
          </cell>
          <cell r="R38">
            <v>2006</v>
          </cell>
          <cell r="S38">
            <v>0.5</v>
          </cell>
          <cell r="T38" t="str">
            <v>demande équipement public reunion /VEFA/poste locataire/libération et VRD ?/blocage PLU PC 08/2008/pc ok fin 2008?</v>
          </cell>
          <cell r="U38" t="str">
            <v>MARAIS TESSIER</v>
          </cell>
          <cell r="V38" t="str">
            <v>L - CHANTIER EN COURS</v>
          </cell>
          <cell r="W38">
            <v>38910</v>
          </cell>
          <cell r="X38" t="str">
            <v>d</v>
          </cell>
          <cell r="Y38" t="str">
            <v>97411106A0352</v>
          </cell>
          <cell r="Z38">
            <v>39153</v>
          </cell>
          <cell r="AA38" t="str">
            <v>o</v>
          </cell>
          <cell r="AB38">
            <v>38974</v>
          </cell>
          <cell r="AC38" t="str">
            <v>v</v>
          </cell>
          <cell r="AD38">
            <v>39030</v>
          </cell>
          <cell r="AE38">
            <v>38911</v>
          </cell>
          <cell r="AF38" t="str">
            <v>f</v>
          </cell>
          <cell r="AG38">
            <v>39234</v>
          </cell>
          <cell r="AH38">
            <v>39217</v>
          </cell>
          <cell r="AI38" t="str">
            <v>ao</v>
          </cell>
          <cell r="AJ38">
            <v>39370</v>
          </cell>
          <cell r="AK38" t="str">
            <v/>
          </cell>
          <cell r="AL38">
            <v>5.030247238295634</v>
          </cell>
          <cell r="AM38">
            <v>2007</v>
          </cell>
          <cell r="AN38">
            <v>16</v>
          </cell>
          <cell r="AO38">
            <v>39859</v>
          </cell>
          <cell r="AP38">
            <v>39874</v>
          </cell>
          <cell r="AQ38" t="str">
            <v>li</v>
          </cell>
          <cell r="AR38">
            <v>2009</v>
          </cell>
          <cell r="AS38">
            <v>2</v>
          </cell>
          <cell r="AT38">
            <v>33</v>
          </cell>
          <cell r="AU38">
            <v>1</v>
          </cell>
          <cell r="AV38">
            <v>45</v>
          </cell>
          <cell r="AW38">
            <v>5</v>
          </cell>
          <cell r="AX38">
            <v>59</v>
          </cell>
          <cell r="BA38">
            <v>16</v>
          </cell>
          <cell r="BB38">
            <v>70</v>
          </cell>
          <cell r="BE38">
            <v>4</v>
          </cell>
          <cell r="BF38">
            <v>83</v>
          </cell>
          <cell r="BK38">
            <v>28</v>
          </cell>
          <cell r="BL38">
            <v>7.58</v>
          </cell>
          <cell r="BM38">
            <v>1.1100000000000001</v>
          </cell>
          <cell r="BN38">
            <v>0.2</v>
          </cell>
          <cell r="BO38" t="str">
            <v>à faire</v>
          </cell>
          <cell r="BP38">
            <v>0.8</v>
          </cell>
          <cell r="BQ38" t="str">
            <v>à faire</v>
          </cell>
          <cell r="BX38" t="str">
            <v>demande à faire</v>
          </cell>
          <cell r="BY38">
            <v>2481</v>
          </cell>
          <cell r="BZ38">
            <v>3102</v>
          </cell>
          <cell r="CA38">
            <v>2119.46</v>
          </cell>
          <cell r="CE38" t="str">
            <v>ECS ind</v>
          </cell>
          <cell r="CJ38" t="str">
            <v>SCI Barbade</v>
          </cell>
          <cell r="CK38" t="str">
            <v>-</v>
          </cell>
          <cell r="CL38" t="str">
            <v>-</v>
          </cell>
          <cell r="CM38" t="str">
            <v>-</v>
          </cell>
          <cell r="CN38">
            <v>0</v>
          </cell>
          <cell r="CQ38" t="str">
            <v>non</v>
          </cell>
          <cell r="CR38">
            <v>500000</v>
          </cell>
          <cell r="CT38">
            <v>2350000</v>
          </cell>
          <cell r="CX38">
            <v>2850000</v>
          </cell>
          <cell r="DE38">
            <v>0</v>
          </cell>
          <cell r="DJ38">
            <v>0</v>
          </cell>
          <cell r="DO38">
            <v>0</v>
          </cell>
          <cell r="DQ38">
            <v>120000</v>
          </cell>
          <cell r="DR38">
            <v>33600</v>
          </cell>
          <cell r="DS38">
            <v>153600</v>
          </cell>
          <cell r="DT38">
            <v>307200</v>
          </cell>
          <cell r="DU38">
            <v>-2542800</v>
          </cell>
          <cell r="ED38" t="str">
            <v>G:\Habitat\OPERATIONNEL HABITAT\02- Operations\Photothèque\images locatifs\BARBADES\barbade1.jpg</v>
          </cell>
          <cell r="EE38" t="str">
            <v>G:\Habitat\OPERATIONNEL HABITAT\02- Operations\Photothèque\images locatifs\BARBADES\barbades (1).jpg</v>
          </cell>
        </row>
        <row r="39">
          <cell r="A39" t="str">
            <v>BASSAS DE INDIAN</v>
          </cell>
          <cell r="B39">
            <v>9444</v>
          </cell>
          <cell r="C39" t="str">
            <v>NORD</v>
          </cell>
          <cell r="D39" t="str">
            <v>Saint-Denis</v>
          </cell>
          <cell r="E39" t="str">
            <v>AME ILE EPARSES</v>
          </cell>
          <cell r="F39">
            <v>47</v>
          </cell>
          <cell r="G39" t="str">
            <v>LLTS</v>
          </cell>
          <cell r="J39" t="str">
            <v>COL</v>
          </cell>
          <cell r="K39" t="str">
            <v>RF</v>
          </cell>
          <cell r="M39" t="str">
            <v>maitrisé</v>
          </cell>
          <cell r="N39" t="str">
            <v>JPM</v>
          </cell>
          <cell r="O39" t="str">
            <v>SV</v>
          </cell>
          <cell r="P39" t="str">
            <v>CC</v>
          </cell>
          <cell r="R39">
            <v>2002</v>
          </cell>
          <cell r="U39" t="str">
            <v>DELCOURT</v>
          </cell>
          <cell r="V39" t="str">
            <v>M - LIVRE/GPA</v>
          </cell>
          <cell r="W39">
            <v>37469</v>
          </cell>
          <cell r="X39" t="str">
            <v>d</v>
          </cell>
          <cell r="Y39" t="str">
            <v>97441102A0342</v>
          </cell>
          <cell r="Z39">
            <v>37575</v>
          </cell>
          <cell r="AA39" t="str">
            <v>o</v>
          </cell>
          <cell r="AB39" t="str">
            <v>validé</v>
          </cell>
          <cell r="AC39" t="str">
            <v/>
          </cell>
          <cell r="AD39">
            <v>39030</v>
          </cell>
          <cell r="AE39">
            <v>37546</v>
          </cell>
          <cell r="AF39" t="str">
            <v>f</v>
          </cell>
          <cell r="AG39" t="str">
            <v>O</v>
          </cell>
          <cell r="AH39">
            <v>37665</v>
          </cell>
          <cell r="AI39" t="str">
            <v>ao</v>
          </cell>
          <cell r="AJ39">
            <v>37837</v>
          </cell>
          <cell r="AK39" t="str">
            <v/>
          </cell>
          <cell r="AL39">
            <v>5.6549184639663332</v>
          </cell>
          <cell r="AM39">
            <v>2003</v>
          </cell>
          <cell r="AN39">
            <v>19</v>
          </cell>
          <cell r="AO39">
            <v>38415</v>
          </cell>
          <cell r="AP39">
            <v>38548</v>
          </cell>
          <cell r="AQ39" t="str">
            <v>li</v>
          </cell>
          <cell r="AR39">
            <v>2005</v>
          </cell>
          <cell r="AS39">
            <v>2</v>
          </cell>
          <cell r="AT39">
            <v>33</v>
          </cell>
          <cell r="AU39">
            <v>1</v>
          </cell>
          <cell r="AV39">
            <v>45</v>
          </cell>
          <cell r="AW39">
            <v>5</v>
          </cell>
          <cell r="AX39">
            <v>59</v>
          </cell>
          <cell r="BA39">
            <v>16</v>
          </cell>
          <cell r="BB39">
            <v>70</v>
          </cell>
          <cell r="BE39">
            <v>4</v>
          </cell>
          <cell r="BF39">
            <v>83</v>
          </cell>
          <cell r="BK39">
            <v>28</v>
          </cell>
          <cell r="BL39">
            <v>7.58</v>
          </cell>
          <cell r="BM39">
            <v>1.1100000000000001</v>
          </cell>
          <cell r="BN39">
            <v>0.2</v>
          </cell>
          <cell r="BO39" t="str">
            <v>signée</v>
          </cell>
          <cell r="BP39">
            <v>0.8</v>
          </cell>
          <cell r="BQ39" t="str">
            <v>signée</v>
          </cell>
          <cell r="BX39" t="str">
            <v>signé</v>
          </cell>
          <cell r="BY39">
            <v>2481</v>
          </cell>
          <cell r="BZ39">
            <v>3102</v>
          </cell>
          <cell r="CA39">
            <v>3384.58</v>
          </cell>
          <cell r="CE39" t="str">
            <v>ECS ind</v>
          </cell>
          <cell r="CF39">
            <v>126735</v>
          </cell>
          <cell r="CG39">
            <v>38020</v>
          </cell>
          <cell r="CH39">
            <v>57031</v>
          </cell>
          <cell r="CI39">
            <v>31683</v>
          </cell>
          <cell r="CJ39" t="str">
            <v>-</v>
          </cell>
          <cell r="CK39" t="str">
            <v>-</v>
          </cell>
          <cell r="CL39" t="str">
            <v>-</v>
          </cell>
          <cell r="CM39" t="str">
            <v>-</v>
          </cell>
          <cell r="CN39">
            <v>0</v>
          </cell>
          <cell r="CQ39" t="str">
            <v>oui</v>
          </cell>
          <cell r="CR39">
            <v>500000</v>
          </cell>
          <cell r="CT39">
            <v>2489271</v>
          </cell>
          <cell r="CX39">
            <v>2489271</v>
          </cell>
          <cell r="DE39">
            <v>95051</v>
          </cell>
          <cell r="DJ39">
            <v>95051</v>
          </cell>
          <cell r="DO39">
            <v>0</v>
          </cell>
          <cell r="DQ39">
            <v>183000</v>
          </cell>
          <cell r="DR39">
            <v>31684</v>
          </cell>
          <cell r="DS39">
            <v>214684</v>
          </cell>
          <cell r="DT39">
            <v>429368</v>
          </cell>
          <cell r="DU39">
            <v>-1964852</v>
          </cell>
          <cell r="ED39" t="str">
            <v>G:\Habitat\OPERATIONNEL HABITAT\02- Operations\Photothèque\image non disponible.jpg</v>
          </cell>
          <cell r="EE39" t="str">
            <v>G:\Habitat\OPERATIONNEL HABITAT\02- Operations\Photothèque\image non disponible.jpg</v>
          </cell>
        </row>
        <row r="40">
          <cell r="A40" t="str">
            <v>BASSE TERRE</v>
          </cell>
          <cell r="B40">
            <v>9444</v>
          </cell>
          <cell r="C40" t="str">
            <v>SUD</v>
          </cell>
          <cell r="D40" t="str">
            <v>Saint-Pierre</v>
          </cell>
          <cell r="E40" t="str">
            <v>RHI BASTER</v>
          </cell>
          <cell r="F40">
            <v>15</v>
          </cell>
          <cell r="G40" t="str">
            <v>LESG</v>
          </cell>
          <cell r="J40" t="str">
            <v>IND</v>
          </cell>
          <cell r="K40" t="str">
            <v>CF</v>
          </cell>
          <cell r="L40" t="str">
            <v>SIDR</v>
          </cell>
          <cell r="M40" t="str">
            <v>acq en DUP</v>
          </cell>
          <cell r="N40" t="str">
            <v>BS</v>
          </cell>
          <cell r="O40" t="str">
            <v>OS</v>
          </cell>
          <cell r="P40" t="str">
            <v>LV</v>
          </cell>
          <cell r="Q40" t="str">
            <v>HBM</v>
          </cell>
          <cell r="R40">
            <v>2009</v>
          </cell>
          <cell r="S40">
            <v>0.25</v>
          </cell>
          <cell r="T40" t="str">
            <v>Client/Surcout / Retard MOE  ??? etc</v>
          </cell>
          <cell r="U40" t="str">
            <v>SOAA MEUNIER</v>
          </cell>
          <cell r="V40" t="str">
            <v>D - ESQUISSES</v>
          </cell>
          <cell r="W40">
            <v>39979</v>
          </cell>
          <cell r="X40" t="str">
            <v/>
          </cell>
          <cell r="Y40" t="str">
            <v>97441102A0342</v>
          </cell>
          <cell r="Z40">
            <v>37575</v>
          </cell>
          <cell r="AA40" t="str">
            <v/>
          </cell>
          <cell r="AB40">
            <v>39965</v>
          </cell>
          <cell r="AC40" t="str">
            <v/>
          </cell>
          <cell r="AD40">
            <v>40057</v>
          </cell>
          <cell r="AE40">
            <v>40086</v>
          </cell>
          <cell r="AF40" t="str">
            <v/>
          </cell>
          <cell r="AG40" t="str">
            <v>O</v>
          </cell>
          <cell r="AH40">
            <v>39887</v>
          </cell>
          <cell r="AI40" t="str">
            <v>ao</v>
          </cell>
          <cell r="AJ40">
            <v>40132</v>
          </cell>
          <cell r="AK40" t="str">
            <v/>
          </cell>
          <cell r="AL40">
            <v>8.0549710678590216</v>
          </cell>
          <cell r="AM40">
            <v>2009</v>
          </cell>
          <cell r="AN40">
            <v>12</v>
          </cell>
          <cell r="AO40">
            <v>40497</v>
          </cell>
          <cell r="AP40">
            <v>40512</v>
          </cell>
          <cell r="AQ40" t="str">
            <v/>
          </cell>
          <cell r="AR40">
            <v>2010</v>
          </cell>
          <cell r="BO40" t="str">
            <v>signée</v>
          </cell>
          <cell r="BQ40" t="str">
            <v>signée</v>
          </cell>
          <cell r="BX40" t="str">
            <v>signé</v>
          </cell>
          <cell r="CA40">
            <v>3384.58</v>
          </cell>
          <cell r="CE40" t="str">
            <v>ECS ind</v>
          </cell>
          <cell r="CF40">
            <v>126735</v>
          </cell>
          <cell r="CG40">
            <v>38020</v>
          </cell>
          <cell r="CH40">
            <v>57031</v>
          </cell>
          <cell r="CI40">
            <v>31683</v>
          </cell>
          <cell r="CJ40" t="str">
            <v>-</v>
          </cell>
          <cell r="CK40" t="str">
            <v>-</v>
          </cell>
          <cell r="CL40" t="str">
            <v>-</v>
          </cell>
          <cell r="CM40" t="str">
            <v>-</v>
          </cell>
          <cell r="CN40">
            <v>0</v>
          </cell>
          <cell r="CQ40" t="str">
            <v>non</v>
          </cell>
          <cell r="CT40">
            <v>2489271</v>
          </cell>
          <cell r="CX40">
            <v>0</v>
          </cell>
          <cell r="DE40">
            <v>0</v>
          </cell>
          <cell r="DJ40">
            <v>0</v>
          </cell>
          <cell r="DO40">
            <v>0</v>
          </cell>
          <cell r="DQ40">
            <v>183000</v>
          </cell>
          <cell r="DR40">
            <v>31684</v>
          </cell>
          <cell r="DS40">
            <v>0</v>
          </cell>
          <cell r="DT40">
            <v>0</v>
          </cell>
          <cell r="DU40">
            <v>0</v>
          </cell>
          <cell r="ED40" t="str">
            <v>G:\Habitat\OPERATIONNEL HABITAT\02- Operations\Photothèque\image non disponible.jpg</v>
          </cell>
          <cell r="EE40" t="str">
            <v>G:\Habitat\OPERATIONNEL HABITAT\02- Operations\Photothèque\image non disponible.jpg</v>
          </cell>
        </row>
        <row r="41">
          <cell r="A41" t="str">
            <v>BEAUFOND 1</v>
          </cell>
          <cell r="B41">
            <v>9624</v>
          </cell>
          <cell r="C41" t="str">
            <v>EST</v>
          </cell>
          <cell r="D41" t="str">
            <v>Saint-Benoît</v>
          </cell>
          <cell r="E41" t="str">
            <v>RHI BEAUFOND</v>
          </cell>
          <cell r="F41">
            <v>16</v>
          </cell>
          <cell r="G41" t="str">
            <v>LESG</v>
          </cell>
          <cell r="J41" t="str">
            <v>IND</v>
          </cell>
          <cell r="K41" t="str">
            <v>CF</v>
          </cell>
          <cell r="L41" t="str">
            <v>SEMAC</v>
          </cell>
          <cell r="M41" t="str">
            <v>maitrisé</v>
          </cell>
          <cell r="N41" t="str">
            <v>BS</v>
          </cell>
          <cell r="O41" t="str">
            <v>OS</v>
          </cell>
          <cell r="P41" t="str">
            <v>LV</v>
          </cell>
          <cell r="Q41" t="str">
            <v>HBM</v>
          </cell>
          <cell r="R41">
            <v>2005</v>
          </cell>
          <cell r="S41">
            <v>0.25</v>
          </cell>
          <cell r="T41" t="str">
            <v>négociation entreprise/semac nettoyage/ville surcouts</v>
          </cell>
          <cell r="U41" t="str">
            <v>ATELIER GAZUT</v>
          </cell>
          <cell r="V41" t="str">
            <v>L - CHANTIER EN COURS</v>
          </cell>
          <cell r="W41">
            <v>38623</v>
          </cell>
          <cell r="X41" t="str">
            <v>d</v>
          </cell>
          <cell r="Y41" t="str">
            <v>9741005a0270</v>
          </cell>
          <cell r="Z41">
            <v>38764</v>
          </cell>
          <cell r="AA41" t="str">
            <v>o</v>
          </cell>
          <cell r="AB41" t="str">
            <v>validé</v>
          </cell>
          <cell r="AC41" t="str">
            <v/>
          </cell>
          <cell r="AD41">
            <v>0</v>
          </cell>
          <cell r="AE41">
            <v>38594</v>
          </cell>
          <cell r="AF41" t="str">
            <v>f</v>
          </cell>
          <cell r="AG41">
            <v>38716</v>
          </cell>
          <cell r="AH41">
            <v>39307</v>
          </cell>
          <cell r="AI41" t="str">
            <v>ao</v>
          </cell>
          <cell r="AJ41">
            <v>39779</v>
          </cell>
          <cell r="AK41" t="str">
            <v>ch</v>
          </cell>
          <cell r="AL41">
            <v>15.51814834297738</v>
          </cell>
          <cell r="AM41">
            <v>2008</v>
          </cell>
          <cell r="AN41">
            <v>16</v>
          </cell>
          <cell r="AO41">
            <v>40264</v>
          </cell>
          <cell r="AP41">
            <v>40279</v>
          </cell>
          <cell r="AQ41" t="str">
            <v/>
          </cell>
          <cell r="AR41">
            <v>2010</v>
          </cell>
          <cell r="CJ41" t="str">
            <v>-</v>
          </cell>
          <cell r="CK41" t="str">
            <v>-</v>
          </cell>
          <cell r="CL41" t="str">
            <v>-</v>
          </cell>
          <cell r="CM41" t="str">
            <v>-</v>
          </cell>
          <cell r="CN41">
            <v>0</v>
          </cell>
          <cell r="CQ41" t="str">
            <v>non</v>
          </cell>
          <cell r="CX41">
            <v>0</v>
          </cell>
          <cell r="DE41">
            <v>0</v>
          </cell>
          <cell r="DJ41">
            <v>0</v>
          </cell>
          <cell r="DO41">
            <v>0</v>
          </cell>
          <cell r="DS41">
            <v>0</v>
          </cell>
          <cell r="DT41">
            <v>0</v>
          </cell>
          <cell r="DU41">
            <v>0</v>
          </cell>
          <cell r="ED41" t="str">
            <v>G:\Habitat\OPERATIONNEL HABITAT\02- Operations\Photothèque\image non disponible.jpg</v>
          </cell>
          <cell r="EE41" t="str">
            <v>G:\Habitat\OPERATIONNEL HABITAT\02- Operations\Photothèque\image non disponible.jpg</v>
          </cell>
        </row>
        <row r="42">
          <cell r="A42" t="str">
            <v>BEC ROSE</v>
          </cell>
          <cell r="B42">
            <v>9602</v>
          </cell>
          <cell r="C42" t="str">
            <v>NORD</v>
          </cell>
          <cell r="D42" t="str">
            <v>Saint-Denis</v>
          </cell>
          <cell r="E42" t="str">
            <v>LE CHAUDRON</v>
          </cell>
          <cell r="F42">
            <v>30</v>
          </cell>
          <cell r="G42" t="str">
            <v>LLTS</v>
          </cell>
          <cell r="H42" t="str">
            <v>signé</v>
          </cell>
          <cell r="I42" t="str">
            <v>SG 2005</v>
          </cell>
          <cell r="J42" t="str">
            <v>COL</v>
          </cell>
          <cell r="K42" t="str">
            <v>RF</v>
          </cell>
          <cell r="L42" t="str">
            <v>SEMAC</v>
          </cell>
          <cell r="M42" t="str">
            <v>maitrisé</v>
          </cell>
          <cell r="N42" t="str">
            <v>CLa</v>
          </cell>
          <cell r="O42" t="str">
            <v>JH</v>
          </cell>
          <cell r="P42" t="str">
            <v>CS</v>
          </cell>
          <cell r="R42">
            <v>2005</v>
          </cell>
          <cell r="T42" t="str">
            <v>Attente os DG</v>
          </cell>
          <cell r="U42" t="str">
            <v>BRACHET</v>
          </cell>
          <cell r="V42" t="str">
            <v>K - OS TRAVAUX</v>
          </cell>
          <cell r="W42">
            <v>38607</v>
          </cell>
          <cell r="X42" t="str">
            <v>d</v>
          </cell>
          <cell r="Y42" t="str">
            <v>97441105A0499</v>
          </cell>
          <cell r="Z42">
            <v>38867</v>
          </cell>
          <cell r="AA42" t="str">
            <v>o</v>
          </cell>
          <cell r="AB42" t="str">
            <v>validé</v>
          </cell>
          <cell r="AC42" t="str">
            <v/>
          </cell>
          <cell r="AD42">
            <v>38624</v>
          </cell>
          <cell r="AE42">
            <v>38615</v>
          </cell>
          <cell r="AF42" t="str">
            <v>f</v>
          </cell>
          <cell r="AG42">
            <v>38722</v>
          </cell>
          <cell r="AH42">
            <v>39431</v>
          </cell>
          <cell r="AI42" t="str">
            <v>ao</v>
          </cell>
          <cell r="AJ42">
            <v>39652</v>
          </cell>
          <cell r="AK42" t="str">
            <v>ch</v>
          </cell>
          <cell r="AL42">
            <v>7.2659126775381377</v>
          </cell>
          <cell r="AM42">
            <v>2008</v>
          </cell>
          <cell r="AN42">
            <v>16</v>
          </cell>
          <cell r="AO42">
            <v>40140</v>
          </cell>
          <cell r="AP42">
            <v>40155</v>
          </cell>
          <cell r="AQ42" t="str">
            <v/>
          </cell>
          <cell r="AR42">
            <v>2009</v>
          </cell>
          <cell r="AW42">
            <v>30</v>
          </cell>
          <cell r="AX42">
            <v>56.63</v>
          </cell>
          <cell r="BK42">
            <v>30</v>
          </cell>
          <cell r="BL42">
            <v>4.92</v>
          </cell>
          <cell r="BM42">
            <v>1.1100000000000001</v>
          </cell>
          <cell r="BN42">
            <v>0.2</v>
          </cell>
          <cell r="BO42" t="str">
            <v xml:space="preserve">transmis </v>
          </cell>
          <cell r="BP42">
            <v>0.8</v>
          </cell>
          <cell r="BQ42" t="str">
            <v xml:space="preserve">transmis </v>
          </cell>
          <cell r="BR42" t="str">
            <v>CGAL</v>
          </cell>
          <cell r="BT42" t="str">
            <v>signée</v>
          </cell>
          <cell r="BX42" t="str">
            <v>En attente accord de principe</v>
          </cell>
          <cell r="BY42">
            <v>1882</v>
          </cell>
          <cell r="BZ42">
            <v>4458</v>
          </cell>
          <cell r="CA42">
            <v>2077</v>
          </cell>
          <cell r="CE42" t="str">
            <v>ECS ind</v>
          </cell>
          <cell r="CF42">
            <v>133200</v>
          </cell>
          <cell r="CG42">
            <v>39960</v>
          </cell>
          <cell r="CH42">
            <v>59940</v>
          </cell>
          <cell r="CJ42" t="str">
            <v>SNC Salazie 2</v>
          </cell>
          <cell r="CK42" t="str">
            <v>INFI</v>
          </cell>
          <cell r="CL42">
            <v>39650</v>
          </cell>
          <cell r="CM42" t="str">
            <v>-</v>
          </cell>
          <cell r="CN42">
            <v>0</v>
          </cell>
          <cell r="CO42" t="str">
            <v>217 undercies</v>
          </cell>
          <cell r="CQ42" t="str">
            <v>non</v>
          </cell>
          <cell r="CR42">
            <v>354834</v>
          </cell>
          <cell r="CT42">
            <v>2765361</v>
          </cell>
          <cell r="CX42">
            <v>3120195</v>
          </cell>
          <cell r="DE42">
            <v>99900</v>
          </cell>
          <cell r="DJ42">
            <v>99900</v>
          </cell>
          <cell r="DO42">
            <v>0</v>
          </cell>
          <cell r="DQ42">
            <v>59830</v>
          </cell>
          <cell r="DR42">
            <v>35000</v>
          </cell>
          <cell r="DS42">
            <v>94830</v>
          </cell>
          <cell r="DT42">
            <v>189660</v>
          </cell>
          <cell r="DU42">
            <v>-2830635</v>
          </cell>
          <cell r="ED42" t="str">
            <v>G:\Habitat\OPERATIONNEL HABITAT\02- Operations\Photothèque\images locatifs\Bec Rose\bec rose.jpg</v>
          </cell>
          <cell r="EE42" t="str">
            <v>G:\Habitat\OPERATIONNEL HABITAT\02- Operations\Photothèque\image non disponible.jpg</v>
          </cell>
        </row>
        <row r="43">
          <cell r="A43" t="str">
            <v>BILIMBI</v>
          </cell>
          <cell r="B43">
            <v>9622</v>
          </cell>
          <cell r="C43" t="str">
            <v>EST</v>
          </cell>
          <cell r="D43" t="str">
            <v>Saint-André</v>
          </cell>
          <cell r="E43" t="str">
            <v>ZAC CRESSONIERE</v>
          </cell>
          <cell r="F43">
            <v>18</v>
          </cell>
          <cell r="G43" t="str">
            <v>LESG</v>
          </cell>
          <cell r="H43" t="str">
            <v>signé</v>
          </cell>
          <cell r="I43" t="str">
            <v>SG 2005</v>
          </cell>
          <cell r="J43" t="str">
            <v>IND</v>
          </cell>
          <cell r="K43" t="str">
            <v>CF</v>
          </cell>
          <cell r="L43" t="str">
            <v>SIDR</v>
          </cell>
          <cell r="M43" t="str">
            <v>maitrisé</v>
          </cell>
          <cell r="N43" t="str">
            <v>BS</v>
          </cell>
          <cell r="O43" t="str">
            <v>OS</v>
          </cell>
          <cell r="P43" t="str">
            <v>LV</v>
          </cell>
          <cell r="Q43" t="str">
            <v>SPG</v>
          </cell>
          <cell r="R43">
            <v>2005</v>
          </cell>
          <cell r="T43" t="str">
            <v>DA ?</v>
          </cell>
          <cell r="U43" t="str">
            <v>SOAA MEUNIER</v>
          </cell>
          <cell r="V43" t="str">
            <v>M - LIVRE/GPA</v>
          </cell>
          <cell r="W43">
            <v>38617</v>
          </cell>
          <cell r="X43" t="str">
            <v>d</v>
          </cell>
          <cell r="Y43" t="str">
            <v>97440905a0554</v>
          </cell>
          <cell r="Z43">
            <v>38902</v>
          </cell>
          <cell r="AA43" t="str">
            <v>o</v>
          </cell>
          <cell r="AB43" t="str">
            <v>validé</v>
          </cell>
          <cell r="AC43" t="str">
            <v/>
          </cell>
          <cell r="AD43">
            <v>38624</v>
          </cell>
          <cell r="AE43">
            <v>38625</v>
          </cell>
          <cell r="AF43" t="str">
            <v>f</v>
          </cell>
          <cell r="AG43">
            <v>38716</v>
          </cell>
          <cell r="AH43">
            <v>39005</v>
          </cell>
          <cell r="AI43" t="str">
            <v>ao</v>
          </cell>
          <cell r="AJ43">
            <v>39300</v>
          </cell>
          <cell r="AK43" t="str">
            <v/>
          </cell>
          <cell r="AL43">
            <v>9.6988427143608629</v>
          </cell>
          <cell r="AM43">
            <v>2007</v>
          </cell>
          <cell r="AN43">
            <v>15</v>
          </cell>
          <cell r="AO43">
            <v>39758</v>
          </cell>
          <cell r="AP43">
            <v>39782</v>
          </cell>
          <cell r="AQ43" t="str">
            <v>li</v>
          </cell>
          <cell r="AR43">
            <v>2008</v>
          </cell>
          <cell r="AW43">
            <v>30</v>
          </cell>
          <cell r="AX43">
            <v>56.63</v>
          </cell>
          <cell r="BK43">
            <v>30</v>
          </cell>
          <cell r="BL43">
            <v>4.92</v>
          </cell>
          <cell r="BM43">
            <v>1.1100000000000001</v>
          </cell>
          <cell r="BN43">
            <v>0.2</v>
          </cell>
          <cell r="BO43" t="str">
            <v xml:space="preserve">transmis </v>
          </cell>
          <cell r="BP43">
            <v>0.8</v>
          </cell>
          <cell r="BQ43" t="str">
            <v xml:space="preserve">transmis </v>
          </cell>
          <cell r="BR43" t="str">
            <v>CGAL</v>
          </cell>
          <cell r="BT43" t="str">
            <v>signée</v>
          </cell>
          <cell r="BX43" t="str">
            <v>En attente accord de principe</v>
          </cell>
          <cell r="BY43">
            <v>1882</v>
          </cell>
          <cell r="BZ43">
            <v>4458</v>
          </cell>
          <cell r="CA43">
            <v>2077</v>
          </cell>
          <cell r="CE43" t="str">
            <v>ECS ind</v>
          </cell>
          <cell r="CF43">
            <v>133200</v>
          </cell>
          <cell r="CG43">
            <v>39960</v>
          </cell>
          <cell r="CH43">
            <v>59940</v>
          </cell>
          <cell r="CJ43" t="str">
            <v>-</v>
          </cell>
          <cell r="CK43" t="str">
            <v>-</v>
          </cell>
          <cell r="CL43" t="str">
            <v>-</v>
          </cell>
          <cell r="CM43" t="str">
            <v>-</v>
          </cell>
          <cell r="CN43">
            <v>0</v>
          </cell>
          <cell r="CO43" t="str">
            <v>217 undercies</v>
          </cell>
          <cell r="CQ43" t="str">
            <v>oui</v>
          </cell>
          <cell r="CR43">
            <v>354834</v>
          </cell>
          <cell r="CT43">
            <v>2765361</v>
          </cell>
          <cell r="CX43">
            <v>0</v>
          </cell>
          <cell r="DE43">
            <v>0</v>
          </cell>
          <cell r="DJ43">
            <v>0</v>
          </cell>
          <cell r="DO43">
            <v>0</v>
          </cell>
          <cell r="DQ43">
            <v>59830</v>
          </cell>
          <cell r="DR43">
            <v>35000</v>
          </cell>
          <cell r="DS43">
            <v>0</v>
          </cell>
          <cell r="DT43">
            <v>0</v>
          </cell>
          <cell r="DU43">
            <v>0</v>
          </cell>
          <cell r="ED43" t="str">
            <v>G:\Habitat\OPERATIONNEL HABITAT\02- Operations\Photothèque\image non disponible.jpg</v>
          </cell>
          <cell r="EE43" t="str">
            <v>G:\Habitat\OPERATIONNEL HABITAT\02- Operations\Photothèque\image non disponible.jpg</v>
          </cell>
        </row>
        <row r="44">
          <cell r="A44" t="str">
            <v>BŒUF MORT 1</v>
          </cell>
          <cell r="B44">
            <v>9740</v>
          </cell>
          <cell r="C44" t="str">
            <v>OUEST</v>
          </cell>
          <cell r="D44" t="str">
            <v>Possession</v>
          </cell>
          <cell r="E44" t="str">
            <v>ZAC CRESSONIERE</v>
          </cell>
          <cell r="F44">
            <v>15</v>
          </cell>
          <cell r="G44" t="str">
            <v>LLS</v>
          </cell>
          <cell r="J44" t="str">
            <v>MV</v>
          </cell>
          <cell r="K44" t="str">
            <v>CF</v>
          </cell>
          <cell r="L44" t="str">
            <v>SIDR</v>
          </cell>
          <cell r="M44" t="str">
            <v>autres</v>
          </cell>
          <cell r="N44" t="str">
            <v>JEM</v>
          </cell>
          <cell r="O44" t="str">
            <v>DL</v>
          </cell>
          <cell r="P44" t="str">
            <v>CS</v>
          </cell>
          <cell r="Q44" t="str">
            <v>SPG</v>
          </cell>
          <cell r="R44">
            <v>2009</v>
          </cell>
          <cell r="T44" t="str">
            <v>validation tracé chemin bœuf mort/financement vrd/planning vrd - En attente autorisation de construire sur terrain appartenant à l'etat de la part de la DDE afin que la commune puisse accorder le PC - En attente du prix du foncier, le bilan est basé sur u</v>
          </cell>
          <cell r="U44" t="str">
            <v>BERTIN LEBEIGLE</v>
          </cell>
          <cell r="V44" t="str">
            <v>D - ESQUISSES</v>
          </cell>
          <cell r="W44">
            <v>39933</v>
          </cell>
          <cell r="X44" t="str">
            <v>d</v>
          </cell>
          <cell r="Y44" t="str">
            <v>97440905a0554</v>
          </cell>
          <cell r="Z44">
            <v>38902</v>
          </cell>
          <cell r="AA44" t="str">
            <v/>
          </cell>
          <cell r="AB44">
            <v>39524</v>
          </cell>
          <cell r="AC44" t="str">
            <v>v</v>
          </cell>
          <cell r="AD44">
            <v>38624</v>
          </cell>
          <cell r="AE44">
            <v>40040</v>
          </cell>
          <cell r="AF44" t="str">
            <v>f</v>
          </cell>
          <cell r="AG44">
            <v>38716</v>
          </cell>
          <cell r="AH44">
            <v>40053</v>
          </cell>
          <cell r="AI44" t="str">
            <v/>
          </cell>
          <cell r="AJ44">
            <v>40237</v>
          </cell>
          <cell r="AK44" t="str">
            <v/>
          </cell>
          <cell r="AL44">
            <v>6.0494476591267752</v>
          </cell>
          <cell r="AM44">
            <v>2010</v>
          </cell>
          <cell r="AN44">
            <v>16</v>
          </cell>
          <cell r="AO44">
            <v>40722</v>
          </cell>
          <cell r="AP44">
            <v>40737</v>
          </cell>
          <cell r="AQ44" t="str">
            <v/>
          </cell>
          <cell r="AR44">
            <v>2011</v>
          </cell>
          <cell r="CJ44" t="str">
            <v>-</v>
          </cell>
          <cell r="CK44" t="str">
            <v>-</v>
          </cell>
          <cell r="CL44" t="str">
            <v>-</v>
          </cell>
          <cell r="CM44" t="str">
            <v>-</v>
          </cell>
          <cell r="CN44">
            <v>0</v>
          </cell>
          <cell r="CQ44" t="str">
            <v>non</v>
          </cell>
          <cell r="CX44">
            <v>0</v>
          </cell>
          <cell r="DE44">
            <v>0</v>
          </cell>
          <cell r="DJ44">
            <v>0</v>
          </cell>
          <cell r="DO44">
            <v>0</v>
          </cell>
          <cell r="DS44">
            <v>0</v>
          </cell>
          <cell r="DT44">
            <v>0</v>
          </cell>
          <cell r="DU44">
            <v>0</v>
          </cell>
          <cell r="ED44" t="str">
            <v>G:\Habitat\OPERATIONNEL HABITAT\02- Operations\Photothèque\image non disponible.jpg</v>
          </cell>
          <cell r="EE44" t="str">
            <v>G:\Habitat\OPERATIONNEL HABITAT\02- Operations\Photothèque\image non disponible.jpg</v>
          </cell>
        </row>
        <row r="45">
          <cell r="A45" t="str">
            <v>BŒUF MORT 2</v>
          </cell>
          <cell r="B45">
            <v>9739</v>
          </cell>
          <cell r="C45" t="str">
            <v>OUEST</v>
          </cell>
          <cell r="D45" t="str">
            <v>Possession</v>
          </cell>
          <cell r="F45">
            <v>36</v>
          </cell>
          <cell r="G45" t="str">
            <v>LLTS</v>
          </cell>
          <cell r="J45" t="str">
            <v>MIXT</v>
          </cell>
          <cell r="K45" t="str">
            <v>CF</v>
          </cell>
          <cell r="M45" t="str">
            <v>autres</v>
          </cell>
          <cell r="N45" t="str">
            <v>JEM</v>
          </cell>
          <cell r="O45" t="str">
            <v>DL</v>
          </cell>
          <cell r="P45" t="str">
            <v>CS</v>
          </cell>
          <cell r="R45">
            <v>2009</v>
          </cell>
          <cell r="T45" t="str">
            <v>validation tracé chemin bœuf mort/financement vrd/planning vrd - En attente autorisation de construire sur terrain appartenant à l'etat de la part de la DDE afin que la commune puisse accorder le PC - En attente du prix du foncier, le bilan est basé sur u</v>
          </cell>
          <cell r="U45" t="str">
            <v>BERTIN LEBEIGLE</v>
          </cell>
          <cell r="V45" t="str">
            <v>D - ESQUISSES</v>
          </cell>
          <cell r="W45">
            <v>39933</v>
          </cell>
          <cell r="AA45" t="str">
            <v/>
          </cell>
          <cell r="AB45">
            <v>39524</v>
          </cell>
          <cell r="AC45" t="str">
            <v>v</v>
          </cell>
          <cell r="AE45">
            <v>40040</v>
          </cell>
          <cell r="AH45">
            <v>40053</v>
          </cell>
          <cell r="AI45" t="str">
            <v/>
          </cell>
          <cell r="AJ45">
            <v>40237</v>
          </cell>
          <cell r="AK45" t="str">
            <v/>
          </cell>
          <cell r="AL45">
            <v>6.0494476591267752</v>
          </cell>
          <cell r="AM45">
            <v>2010</v>
          </cell>
          <cell r="AN45">
            <v>16</v>
          </cell>
          <cell r="AO45">
            <v>40722</v>
          </cell>
          <cell r="AP45">
            <v>40737</v>
          </cell>
          <cell r="AQ45" t="str">
            <v/>
          </cell>
          <cell r="AR45">
            <v>2011</v>
          </cell>
          <cell r="CJ45" t="str">
            <v>-</v>
          </cell>
          <cell r="CK45" t="str">
            <v>-</v>
          </cell>
          <cell r="CL45" t="str">
            <v>-</v>
          </cell>
          <cell r="CM45" t="str">
            <v>-</v>
          </cell>
          <cell r="CN45">
            <v>0</v>
          </cell>
          <cell r="CQ45" t="str">
            <v>non</v>
          </cell>
          <cell r="CX45">
            <v>0</v>
          </cell>
          <cell r="DE45">
            <v>0</v>
          </cell>
          <cell r="DJ45">
            <v>0</v>
          </cell>
          <cell r="DO45">
            <v>0</v>
          </cell>
          <cell r="DS45">
            <v>0</v>
          </cell>
          <cell r="DT45">
            <v>0</v>
          </cell>
          <cell r="DU45">
            <v>0</v>
          </cell>
          <cell r="ED45" t="str">
            <v>G:\Habitat\OPERATIONNEL HABITAT\02- Operations\Photothèque\image non disponible.jpg</v>
          </cell>
          <cell r="EE45" t="str">
            <v>G:\Habitat\OPERATIONNEL HABITAT\02- Operations\Photothèque\image non disponible.jpg</v>
          </cell>
        </row>
        <row r="46">
          <cell r="A46" t="str">
            <v>BŒUF MORT 3</v>
          </cell>
          <cell r="B46">
            <v>9738</v>
          </cell>
          <cell r="C46" t="str">
            <v>OUEST</v>
          </cell>
          <cell r="D46" t="str">
            <v>Possession</v>
          </cell>
          <cell r="F46">
            <v>29</v>
          </cell>
          <cell r="G46" t="str">
            <v>PLS</v>
          </cell>
          <cell r="J46" t="str">
            <v>MV</v>
          </cell>
          <cell r="K46" t="str">
            <v>CF</v>
          </cell>
          <cell r="M46" t="str">
            <v>autres</v>
          </cell>
          <cell r="N46" t="str">
            <v>JEM</v>
          </cell>
          <cell r="O46" t="str">
            <v>DL</v>
          </cell>
          <cell r="P46" t="str">
            <v>CS</v>
          </cell>
          <cell r="R46">
            <v>2009</v>
          </cell>
          <cell r="T46" t="str">
            <v>validation tracé chemin bœuf mort/financement vrd/planning vrd - En attente autorisation de construire sur terrain appartenant à l'etat de la part de la DDE afin que la commune puisse accorder le PC - En attente du prix du foncier, le bilan est basé sur u</v>
          </cell>
          <cell r="U46" t="str">
            <v>GAZUT</v>
          </cell>
          <cell r="V46" t="str">
            <v>D - ESQUISSES</v>
          </cell>
          <cell r="W46">
            <v>39933</v>
          </cell>
          <cell r="AA46" t="str">
            <v/>
          </cell>
          <cell r="AB46">
            <v>39524</v>
          </cell>
          <cell r="AC46" t="str">
            <v>v</v>
          </cell>
          <cell r="AE46">
            <v>40040</v>
          </cell>
          <cell r="AH46">
            <v>40053</v>
          </cell>
          <cell r="AI46" t="str">
            <v/>
          </cell>
          <cell r="AJ46">
            <v>40237</v>
          </cell>
          <cell r="AK46" t="str">
            <v/>
          </cell>
          <cell r="AL46">
            <v>6.0494476591267752</v>
          </cell>
          <cell r="AM46">
            <v>2010</v>
          </cell>
          <cell r="AN46">
            <v>16</v>
          </cell>
          <cell r="AO46">
            <v>40722</v>
          </cell>
          <cell r="AP46">
            <v>40737</v>
          </cell>
          <cell r="AQ46" t="str">
            <v/>
          </cell>
          <cell r="AR46">
            <v>2011</v>
          </cell>
          <cell r="CJ46" t="str">
            <v>-</v>
          </cell>
          <cell r="CK46" t="str">
            <v>-</v>
          </cell>
          <cell r="CL46" t="str">
            <v>-</v>
          </cell>
          <cell r="CM46" t="str">
            <v>-</v>
          </cell>
          <cell r="CN46">
            <v>0</v>
          </cell>
          <cell r="CQ46" t="str">
            <v>non</v>
          </cell>
          <cell r="CX46">
            <v>0</v>
          </cell>
          <cell r="DE46">
            <v>0</v>
          </cell>
          <cell r="DJ46">
            <v>0</v>
          </cell>
          <cell r="DO46">
            <v>0</v>
          </cell>
          <cell r="DS46">
            <v>0</v>
          </cell>
          <cell r="DT46">
            <v>0</v>
          </cell>
          <cell r="DU46">
            <v>0</v>
          </cell>
          <cell r="ED46" t="str">
            <v>G:\Habitat\OPERATIONNEL HABITAT\02- Operations\Photothèque\image non disponible.jpg</v>
          </cell>
          <cell r="EE46" t="str">
            <v>G:\Habitat\OPERATIONNEL HABITAT\02- Operations\Photothèque\image non disponible.jpg</v>
          </cell>
        </row>
        <row r="47">
          <cell r="A47" t="str">
            <v>BOIS COURT</v>
          </cell>
          <cell r="B47">
            <v>9738</v>
          </cell>
          <cell r="C47" t="str">
            <v>SUD</v>
          </cell>
          <cell r="D47" t="str">
            <v>Tampon</v>
          </cell>
          <cell r="F47">
            <v>20</v>
          </cell>
          <cell r="G47" t="str">
            <v>nd</v>
          </cell>
          <cell r="J47" t="str">
            <v>MV</v>
          </cell>
          <cell r="K47" t="str">
            <v>FONCIER</v>
          </cell>
          <cell r="M47" t="str">
            <v>autres</v>
          </cell>
          <cell r="N47" t="str">
            <v>N.A.</v>
          </cell>
          <cell r="O47" t="str">
            <v>PE</v>
          </cell>
          <cell r="P47" t="str">
            <v>CS</v>
          </cell>
          <cell r="R47">
            <v>2011</v>
          </cell>
          <cell r="T47" t="str">
            <v>Terrain porté par l'EPFR - Etude de faisabilité financée par DDE mais en attente de la décision de financement</v>
          </cell>
          <cell r="U47" t="str">
            <v>GAZUT</v>
          </cell>
          <cell r="V47" t="str">
            <v>D - ESQUISSES</v>
          </cell>
          <cell r="W47">
            <v>39933</v>
          </cell>
          <cell r="AA47" t="str">
            <v/>
          </cell>
          <cell r="AB47">
            <v>39524</v>
          </cell>
          <cell r="AC47" t="str">
            <v>v</v>
          </cell>
          <cell r="AE47">
            <v>40040</v>
          </cell>
          <cell r="AH47">
            <v>40053</v>
          </cell>
          <cell r="AI47" t="str">
            <v/>
          </cell>
          <cell r="AJ47">
            <v>40237</v>
          </cell>
          <cell r="AK47" t="str">
            <v/>
          </cell>
          <cell r="AL47">
            <v>6.0494476591267752</v>
          </cell>
          <cell r="AM47">
            <v>2010</v>
          </cell>
          <cell r="AN47">
            <v>16</v>
          </cell>
          <cell r="AO47">
            <v>40722</v>
          </cell>
          <cell r="AP47">
            <v>40737</v>
          </cell>
          <cell r="AQ47" t="str">
            <v/>
          </cell>
          <cell r="AR47">
            <v>2011</v>
          </cell>
          <cell r="CJ47" t="str">
            <v>-</v>
          </cell>
          <cell r="CK47" t="str">
            <v>-</v>
          </cell>
          <cell r="CL47" t="str">
            <v>-</v>
          </cell>
          <cell r="CM47" t="str">
            <v>-</v>
          </cell>
          <cell r="CN47">
            <v>0</v>
          </cell>
          <cell r="CQ47" t="str">
            <v>non</v>
          </cell>
          <cell r="CX47">
            <v>0</v>
          </cell>
          <cell r="DE47">
            <v>0</v>
          </cell>
          <cell r="DJ47">
            <v>0</v>
          </cell>
          <cell r="DO47">
            <v>0</v>
          </cell>
          <cell r="DS47">
            <v>0</v>
          </cell>
          <cell r="DT47">
            <v>0</v>
          </cell>
          <cell r="DU47">
            <v>0</v>
          </cell>
        </row>
        <row r="48">
          <cell r="A48" t="str">
            <v>BOIS COURT - LA PEPINIERE</v>
          </cell>
          <cell r="C48" t="str">
            <v>SUD</v>
          </cell>
          <cell r="D48" t="str">
            <v>Tampon</v>
          </cell>
          <cell r="E48" t="str">
            <v>LA PEPINIERE</v>
          </cell>
          <cell r="F48">
            <v>23</v>
          </cell>
          <cell r="G48" t="str">
            <v>PSLA</v>
          </cell>
          <cell r="J48" t="str">
            <v>IND</v>
          </cell>
          <cell r="N48" t="str">
            <v>N.A.</v>
          </cell>
          <cell r="R48">
            <v>2011</v>
          </cell>
          <cell r="T48" t="str">
            <v>Conception réalisation (ARHES ?)</v>
          </cell>
          <cell r="V48" t="str">
            <v>B - ETUDE PRE-OP</v>
          </cell>
          <cell r="AA48" t="str">
            <v/>
          </cell>
          <cell r="AC48" t="str">
            <v/>
          </cell>
          <cell r="AI48" t="str">
            <v/>
          </cell>
          <cell r="AK48" t="str">
            <v/>
          </cell>
          <cell r="AL48">
            <v>0</v>
          </cell>
          <cell r="AQ48" t="str">
            <v/>
          </cell>
          <cell r="CJ48" t="str">
            <v>-</v>
          </cell>
          <cell r="CK48" t="str">
            <v>-</v>
          </cell>
          <cell r="CL48" t="str">
            <v>-</v>
          </cell>
          <cell r="CM48" t="str">
            <v>-</v>
          </cell>
          <cell r="CN48">
            <v>0</v>
          </cell>
          <cell r="CQ48" t="str">
            <v>non</v>
          </cell>
          <cell r="CX48">
            <v>0</v>
          </cell>
          <cell r="DE48">
            <v>0</v>
          </cell>
          <cell r="DJ48">
            <v>0</v>
          </cell>
          <cell r="DO48">
            <v>0</v>
          </cell>
          <cell r="DS48">
            <v>0</v>
          </cell>
          <cell r="DT48">
            <v>0</v>
          </cell>
          <cell r="DU48">
            <v>0</v>
          </cell>
          <cell r="ED48" t="str">
            <v>G:\Habitat\OPERATIONNEL HABITAT\02- Operations\Photothèque\image non disponible.jpg</v>
          </cell>
          <cell r="EE48" t="str">
            <v>G:\Habitat\OPERATIONNEL HABITAT\02- Operations\Photothèque\image non disponible.jpg</v>
          </cell>
        </row>
        <row r="49">
          <cell r="A49" t="str">
            <v>BOIS COURT - LA PEPINIERE -ARHES</v>
          </cell>
          <cell r="C49" t="str">
            <v>SUD</v>
          </cell>
          <cell r="D49" t="str">
            <v>Tampon</v>
          </cell>
          <cell r="E49" t="str">
            <v>LA PEPINIERE</v>
          </cell>
          <cell r="F49">
            <v>23</v>
          </cell>
          <cell r="G49" t="str">
            <v>nd</v>
          </cell>
          <cell r="J49" t="str">
            <v>MV</v>
          </cell>
          <cell r="N49" t="str">
            <v>N.A.</v>
          </cell>
          <cell r="R49">
            <v>2009</v>
          </cell>
          <cell r="T49" t="str">
            <v>Partenariat ARHES</v>
          </cell>
          <cell r="AA49" t="str">
            <v/>
          </cell>
          <cell r="AC49" t="str">
            <v/>
          </cell>
          <cell r="AI49" t="str">
            <v/>
          </cell>
          <cell r="AK49" t="str">
            <v/>
          </cell>
          <cell r="AL49">
            <v>0</v>
          </cell>
          <cell r="AQ49" t="str">
            <v/>
          </cell>
          <cell r="CJ49" t="str">
            <v>-</v>
          </cell>
          <cell r="CK49" t="str">
            <v>INGEPAR</v>
          </cell>
          <cell r="CL49" t="str">
            <v>-</v>
          </cell>
          <cell r="CM49" t="str">
            <v>-</v>
          </cell>
          <cell r="CN49">
            <v>0</v>
          </cell>
          <cell r="CQ49" t="str">
            <v>non</v>
          </cell>
          <cell r="CX49">
            <v>0</v>
          </cell>
          <cell r="DE49">
            <v>0</v>
          </cell>
          <cell r="DJ49">
            <v>0</v>
          </cell>
          <cell r="DO49">
            <v>0</v>
          </cell>
          <cell r="DS49">
            <v>0</v>
          </cell>
          <cell r="DT49">
            <v>0</v>
          </cell>
          <cell r="DU49">
            <v>0</v>
          </cell>
          <cell r="DV49" t="str">
            <v>ARHES</v>
          </cell>
          <cell r="ED49" t="str">
            <v>G:\Habitat\OPERATIONNEL HABITAT\02- Operations\Photothèque\image non disponible.jpg</v>
          </cell>
          <cell r="EE49" t="str">
            <v>G:\Habitat\OPERATIONNEL HABITAT\02- Operations\Photothèque\image non disponible.jpg</v>
          </cell>
        </row>
        <row r="50">
          <cell r="A50" t="str">
            <v xml:space="preserve">BOIS DE NEFLES </v>
          </cell>
          <cell r="B50" t="str">
            <v>xxxx</v>
          </cell>
          <cell r="C50" t="str">
            <v>NORD</v>
          </cell>
          <cell r="D50" t="str">
            <v>Saint-Denis</v>
          </cell>
          <cell r="E50" t="str">
            <v xml:space="preserve">ZAC  PENTE ZANANAS </v>
          </cell>
          <cell r="F50">
            <v>20</v>
          </cell>
          <cell r="G50" t="str">
            <v>LESG</v>
          </cell>
          <cell r="J50" t="str">
            <v>IND</v>
          </cell>
          <cell r="N50" t="str">
            <v>BS</v>
          </cell>
          <cell r="R50">
            <v>2011</v>
          </cell>
          <cell r="V50" t="str">
            <v>A - NON LANCE</v>
          </cell>
          <cell r="X50" t="str">
            <v/>
          </cell>
          <cell r="AA50" t="str">
            <v/>
          </cell>
          <cell r="AC50" t="str">
            <v/>
          </cell>
          <cell r="AF50" t="str">
            <v/>
          </cell>
          <cell r="AI50" t="str">
            <v/>
          </cell>
          <cell r="AK50" t="str">
            <v/>
          </cell>
          <cell r="AL50">
            <v>0</v>
          </cell>
          <cell r="AM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CJ50" t="str">
            <v>-</v>
          </cell>
          <cell r="CK50" t="str">
            <v>-</v>
          </cell>
          <cell r="CL50" t="str">
            <v>-</v>
          </cell>
          <cell r="CM50" t="str">
            <v>-</v>
          </cell>
          <cell r="CN50">
            <v>0</v>
          </cell>
          <cell r="CQ50" t="str">
            <v>non</v>
          </cell>
          <cell r="CX50">
            <v>0</v>
          </cell>
          <cell r="DE50">
            <v>0</v>
          </cell>
          <cell r="DJ50">
            <v>0</v>
          </cell>
          <cell r="DO50">
            <v>0</v>
          </cell>
          <cell r="DS50">
            <v>0</v>
          </cell>
          <cell r="DT50">
            <v>0</v>
          </cell>
          <cell r="DU50">
            <v>0</v>
          </cell>
          <cell r="ED50" t="str">
            <v>G:\Habitat\OPERATIONNEL HABITAT\02- Operations\Photothèque\image non disponible.jpg</v>
          </cell>
          <cell r="EE50" t="str">
            <v>G:\Habitat\OPERATIONNEL HABITAT\02- Operations\Photothèque\image non disponible.jpg</v>
          </cell>
        </row>
        <row r="51">
          <cell r="A51" t="str">
            <v>BOIS DE NEFLES  3</v>
          </cell>
          <cell r="C51" t="str">
            <v>OUEST</v>
          </cell>
          <cell r="D51" t="str">
            <v>Saint-Leu</v>
          </cell>
          <cell r="E51" t="str">
            <v>RHI BOIS DE NEFLES</v>
          </cell>
          <cell r="F51">
            <v>5</v>
          </cell>
          <cell r="G51" t="str">
            <v>LLS</v>
          </cell>
          <cell r="J51" t="str">
            <v>IND</v>
          </cell>
          <cell r="K51" t="str">
            <v>CF</v>
          </cell>
          <cell r="L51" t="str">
            <v>SIDR</v>
          </cell>
          <cell r="N51" t="str">
            <v>PC</v>
          </cell>
          <cell r="Q51" t="str">
            <v>SG</v>
          </cell>
          <cell r="R51">
            <v>2010</v>
          </cell>
          <cell r="AA51" t="str">
            <v/>
          </cell>
          <cell r="AC51" t="str">
            <v/>
          </cell>
          <cell r="AI51" t="str">
            <v/>
          </cell>
          <cell r="AK51" t="str">
            <v/>
          </cell>
          <cell r="AL51">
            <v>0</v>
          </cell>
          <cell r="AQ51" t="str">
            <v/>
          </cell>
          <cell r="CJ51" t="str">
            <v>-</v>
          </cell>
          <cell r="CK51" t="str">
            <v>-</v>
          </cell>
          <cell r="CL51" t="str">
            <v>-</v>
          </cell>
          <cell r="CM51" t="str">
            <v>-</v>
          </cell>
          <cell r="CN51">
            <v>0</v>
          </cell>
          <cell r="CQ51" t="str">
            <v>non</v>
          </cell>
          <cell r="CX51">
            <v>0</v>
          </cell>
          <cell r="DE51">
            <v>0</v>
          </cell>
          <cell r="DJ51">
            <v>0</v>
          </cell>
          <cell r="DO51">
            <v>0</v>
          </cell>
          <cell r="DS51">
            <v>0</v>
          </cell>
          <cell r="DT51">
            <v>0</v>
          </cell>
          <cell r="DU51">
            <v>0</v>
          </cell>
          <cell r="ED51" t="str">
            <v>G:\Habitat\OPERATIONNEL HABITAT\02- Operations\Photothèque\image non disponible.jpg</v>
          </cell>
          <cell r="EE51" t="str">
            <v>G:\Habitat\OPERATIONNEL HABITAT\02- Operations\Photothèque\image non disponible.jpg</v>
          </cell>
        </row>
        <row r="52">
          <cell r="A52" t="str">
            <v>BOIS DE NEFLES  2</v>
          </cell>
          <cell r="B52" t="str">
            <v>xxxx</v>
          </cell>
          <cell r="C52" t="str">
            <v>OUEST</v>
          </cell>
          <cell r="D52" t="str">
            <v>Saint-Leu</v>
          </cell>
          <cell r="E52" t="str">
            <v>RHI BOIS DE NEFLES</v>
          </cell>
          <cell r="F52">
            <v>32</v>
          </cell>
          <cell r="G52" t="str">
            <v>LESG</v>
          </cell>
          <cell r="J52" t="str">
            <v>IND</v>
          </cell>
          <cell r="K52" t="str">
            <v>CF</v>
          </cell>
          <cell r="L52" t="str">
            <v>SIDR</v>
          </cell>
          <cell r="N52" t="str">
            <v>BS</v>
          </cell>
          <cell r="Q52" t="str">
            <v>SG</v>
          </cell>
          <cell r="R52">
            <v>2010</v>
          </cell>
          <cell r="AA52" t="str">
            <v/>
          </cell>
          <cell r="AC52" t="str">
            <v/>
          </cell>
          <cell r="AI52" t="str">
            <v/>
          </cell>
          <cell r="AK52" t="str">
            <v/>
          </cell>
          <cell r="AL52">
            <v>0</v>
          </cell>
          <cell r="AQ52" t="str">
            <v/>
          </cell>
          <cell r="CJ52" t="str">
            <v>-</v>
          </cell>
          <cell r="CK52" t="str">
            <v>-</v>
          </cell>
          <cell r="CL52" t="str">
            <v>-</v>
          </cell>
          <cell r="CM52" t="str">
            <v>-</v>
          </cell>
          <cell r="CN52">
            <v>0</v>
          </cell>
          <cell r="CQ52" t="str">
            <v>non</v>
          </cell>
          <cell r="CX52">
            <v>0</v>
          </cell>
          <cell r="DE52">
            <v>0</v>
          </cell>
          <cell r="DJ52">
            <v>0</v>
          </cell>
          <cell r="DO52">
            <v>0</v>
          </cell>
          <cell r="DS52">
            <v>0</v>
          </cell>
          <cell r="DT52">
            <v>0</v>
          </cell>
          <cell r="DU52">
            <v>0</v>
          </cell>
          <cell r="ED52" t="str">
            <v>G:\Habitat\OPERATIONNEL HABITAT\02- Operations\Photothèque\image non disponible.jpg</v>
          </cell>
          <cell r="EE52" t="str">
            <v>G:\Habitat\OPERATIONNEL HABITAT\02- Operations\Photothèque\image non disponible.jpg</v>
          </cell>
        </row>
        <row r="53">
          <cell r="A53" t="str">
            <v>BOIS DE NEFLES (LES CITRONNIERS)</v>
          </cell>
          <cell r="B53">
            <v>9728</v>
          </cell>
          <cell r="C53" t="str">
            <v>OUEST</v>
          </cell>
          <cell r="D53" t="str">
            <v>Saint-Leu</v>
          </cell>
          <cell r="E53" t="str">
            <v>RHI BOIS DE NEFLES</v>
          </cell>
          <cell r="F53">
            <v>43</v>
          </cell>
          <cell r="G53" t="str">
            <v>LLTS</v>
          </cell>
          <cell r="J53" t="str">
            <v>COL</v>
          </cell>
          <cell r="K53" t="str">
            <v>CF</v>
          </cell>
          <cell r="L53" t="str">
            <v>SIDR</v>
          </cell>
          <cell r="M53" t="str">
            <v>acq en DUP</v>
          </cell>
          <cell r="N53" t="str">
            <v>PC</v>
          </cell>
          <cell r="O53" t="str">
            <v>DL</v>
          </cell>
          <cell r="P53" t="str">
            <v>AM</v>
          </cell>
          <cell r="Q53" t="str">
            <v>SG</v>
          </cell>
          <cell r="R53">
            <v>2009</v>
          </cell>
          <cell r="S53">
            <v>0.25</v>
          </cell>
          <cell r="T53" t="str">
            <v>Maintien PPA 2009 malgrés risque foncier</v>
          </cell>
          <cell r="U53" t="str">
            <v>BERTIN LEBEIGLE</v>
          </cell>
          <cell r="V53" t="str">
            <v>E - APS / PC</v>
          </cell>
          <cell r="W53">
            <v>39902</v>
          </cell>
          <cell r="AA53" t="str">
            <v/>
          </cell>
          <cell r="AB53">
            <v>39887</v>
          </cell>
          <cell r="AC53" t="str">
            <v>v</v>
          </cell>
          <cell r="AE53">
            <v>40040</v>
          </cell>
          <cell r="AH53">
            <v>40024</v>
          </cell>
          <cell r="AI53" t="str">
            <v/>
          </cell>
          <cell r="AJ53">
            <v>40147</v>
          </cell>
          <cell r="AK53" t="str">
            <v/>
          </cell>
          <cell r="AL53">
            <v>4.0439242503945287</v>
          </cell>
          <cell r="AM53">
            <v>2009</v>
          </cell>
          <cell r="AN53">
            <v>17</v>
          </cell>
          <cell r="AO53">
            <v>40663</v>
          </cell>
          <cell r="AP53">
            <v>40678</v>
          </cell>
          <cell r="AQ53" t="str">
            <v/>
          </cell>
          <cell r="AR53">
            <v>2011</v>
          </cell>
          <cell r="CJ53" t="str">
            <v>-</v>
          </cell>
          <cell r="CK53" t="str">
            <v>-</v>
          </cell>
          <cell r="CL53" t="str">
            <v>-</v>
          </cell>
          <cell r="CM53" t="str">
            <v>-</v>
          </cell>
          <cell r="CN53">
            <v>0</v>
          </cell>
          <cell r="CQ53" t="str">
            <v>non</v>
          </cell>
          <cell r="CX53">
            <v>0</v>
          </cell>
          <cell r="DE53">
            <v>0</v>
          </cell>
          <cell r="DJ53">
            <v>0</v>
          </cell>
          <cell r="DO53">
            <v>0</v>
          </cell>
          <cell r="DS53">
            <v>0</v>
          </cell>
          <cell r="DT53">
            <v>0</v>
          </cell>
          <cell r="DU53">
            <v>0</v>
          </cell>
          <cell r="ED53" t="str">
            <v>G:\Habitat\OPERATIONNEL HABITAT\02- Operations\Photothèque\image non disponible.jpg</v>
          </cell>
          <cell r="EE53" t="str">
            <v>G:\Habitat\OPERATIONNEL HABITAT\02- Operations\Photothèque\image non disponible.jpg</v>
          </cell>
        </row>
        <row r="54">
          <cell r="A54" t="str">
            <v>BORNEO</v>
          </cell>
          <cell r="B54">
            <v>9626</v>
          </cell>
          <cell r="C54" t="str">
            <v>SUD</v>
          </cell>
          <cell r="D54" t="str">
            <v>Saint-Louis</v>
          </cell>
          <cell r="E54" t="str">
            <v>ZAC AVENIR</v>
          </cell>
          <cell r="F54">
            <v>38</v>
          </cell>
          <cell r="G54" t="str">
            <v>LLTS</v>
          </cell>
          <cell r="J54" t="str">
            <v>COL</v>
          </cell>
          <cell r="K54" t="str">
            <v>CF</v>
          </cell>
          <cell r="L54" t="str">
            <v>SIDR</v>
          </cell>
          <cell r="M54" t="str">
            <v>maitrisé</v>
          </cell>
          <cell r="N54" t="str">
            <v>PC</v>
          </cell>
          <cell r="O54" t="str">
            <v>DL</v>
          </cell>
          <cell r="P54" t="str">
            <v>CS</v>
          </cell>
          <cell r="Q54" t="str">
            <v>HBM</v>
          </cell>
          <cell r="R54">
            <v>2006</v>
          </cell>
          <cell r="S54">
            <v>1</v>
          </cell>
          <cell r="T54" t="str">
            <v>temoin 5/12/2007</v>
          </cell>
          <cell r="U54" t="str">
            <v>N GROUARD</v>
          </cell>
          <cell r="V54" t="str">
            <v>L - CHANTIER EN COURS</v>
          </cell>
          <cell r="W54">
            <v>38700</v>
          </cell>
          <cell r="X54" t="str">
            <v>d</v>
          </cell>
          <cell r="Y54" t="str">
            <v>97441405A0637</v>
          </cell>
          <cell r="Z54">
            <v>38758</v>
          </cell>
          <cell r="AA54" t="str">
            <v>o</v>
          </cell>
          <cell r="AB54">
            <v>38881</v>
          </cell>
          <cell r="AC54" t="str">
            <v>v</v>
          </cell>
          <cell r="AD54">
            <v>38883</v>
          </cell>
          <cell r="AE54">
            <v>38798</v>
          </cell>
          <cell r="AF54" t="str">
            <v>f</v>
          </cell>
          <cell r="AG54">
            <v>39024</v>
          </cell>
          <cell r="AH54">
            <v>38936</v>
          </cell>
          <cell r="AI54" t="str">
            <v>ao</v>
          </cell>
          <cell r="AJ54">
            <v>39139</v>
          </cell>
          <cell r="AK54" t="str">
            <v/>
          </cell>
          <cell r="AL54">
            <v>6.6741188847974753</v>
          </cell>
          <cell r="AM54">
            <v>2007</v>
          </cell>
          <cell r="AN54">
            <v>14</v>
          </cell>
          <cell r="AO54">
            <v>39564</v>
          </cell>
          <cell r="AP54">
            <v>39603</v>
          </cell>
          <cell r="AQ54" t="str">
            <v>li</v>
          </cell>
          <cell r="AR54">
            <v>2008</v>
          </cell>
          <cell r="AS54">
            <v>2</v>
          </cell>
          <cell r="AT54">
            <v>34</v>
          </cell>
          <cell r="AW54">
            <v>11</v>
          </cell>
          <cell r="AX54">
            <v>59</v>
          </cell>
          <cell r="BA54">
            <v>13</v>
          </cell>
          <cell r="BB54">
            <v>71</v>
          </cell>
          <cell r="BE54">
            <v>10</v>
          </cell>
          <cell r="BF54">
            <v>83</v>
          </cell>
          <cell r="BI54">
            <v>2</v>
          </cell>
          <cell r="BJ54">
            <v>93</v>
          </cell>
          <cell r="BK54">
            <v>38</v>
          </cell>
          <cell r="BL54">
            <v>4.5</v>
          </cell>
          <cell r="BM54">
            <v>0.82</v>
          </cell>
          <cell r="BN54">
            <v>0.3</v>
          </cell>
          <cell r="BO54" t="str">
            <v>transmis</v>
          </cell>
          <cell r="BP54">
            <v>0.7</v>
          </cell>
          <cell r="BQ54" t="str">
            <v>transmis</v>
          </cell>
          <cell r="BX54" t="str">
            <v>en attente garanties emprunts</v>
          </cell>
          <cell r="BY54">
            <v>2922</v>
          </cell>
          <cell r="BZ54">
            <v>4477</v>
          </cell>
          <cell r="CA54">
            <v>2964.8</v>
          </cell>
          <cell r="CE54" t="str">
            <v>ECS ind</v>
          </cell>
          <cell r="CF54">
            <v>136900</v>
          </cell>
          <cell r="CG54">
            <v>41070</v>
          </cell>
          <cell r="CH54">
            <v>61605</v>
          </cell>
          <cell r="CI54">
            <v>34225</v>
          </cell>
          <cell r="CJ54" t="str">
            <v>-</v>
          </cell>
          <cell r="CK54" t="str">
            <v>-</v>
          </cell>
          <cell r="CL54" t="str">
            <v>-</v>
          </cell>
          <cell r="CM54" t="str">
            <v>-</v>
          </cell>
          <cell r="CN54">
            <v>0</v>
          </cell>
          <cell r="CQ54" t="str">
            <v>oui</v>
          </cell>
          <cell r="CX54">
            <v>0</v>
          </cell>
          <cell r="DE54">
            <v>102675</v>
          </cell>
          <cell r="DJ54">
            <v>102675</v>
          </cell>
          <cell r="DO54">
            <v>0</v>
          </cell>
          <cell r="DQ54">
            <v>120582</v>
          </cell>
          <cell r="DR54">
            <v>33250</v>
          </cell>
          <cell r="DS54">
            <v>153832</v>
          </cell>
          <cell r="DT54">
            <v>307664</v>
          </cell>
          <cell r="DU54">
            <v>410339</v>
          </cell>
          <cell r="ED54" t="str">
            <v>G:\Habitat\OPERATIONNEL HABITAT\02- Operations\Photothèque\images locatifs\BORNEO\pers esquisse rue.jpg</v>
          </cell>
          <cell r="EE54" t="str">
            <v>G:\Habitat\OPERATIONNEL HABITAT\02- Operations\Photothèque\images locatifs\BORNEO\pers esquisse interieur.jpg</v>
          </cell>
        </row>
        <row r="55">
          <cell r="A55" t="str">
            <v>BOUGAINVILLE</v>
          </cell>
          <cell r="B55">
            <v>9731</v>
          </cell>
          <cell r="C55" t="str">
            <v>NORD</v>
          </cell>
          <cell r="D55" t="str">
            <v>Saint-Denis</v>
          </cell>
          <cell r="E55" t="str">
            <v xml:space="preserve">BAS DE LA RIVIERE </v>
          </cell>
          <cell r="F55">
            <v>50</v>
          </cell>
          <cell r="G55" t="str">
            <v>LLTS</v>
          </cell>
          <cell r="J55" t="str">
            <v>COL</v>
          </cell>
          <cell r="K55" t="str">
            <v>RF</v>
          </cell>
          <cell r="M55" t="str">
            <v>prob foncier</v>
          </cell>
          <cell r="N55" t="str">
            <v>JPM</v>
          </cell>
          <cell r="O55" t="str">
            <v>PE</v>
          </cell>
          <cell r="P55" t="str">
            <v>LV</v>
          </cell>
          <cell r="R55">
            <v>2010</v>
          </cell>
          <cell r="T55" t="str">
            <v>Retard des travaux d'endiguement de la rivière (démarrage des travaux mars 2009)impliquant une impossibilté de déposer le PC - projet à présenter à la DDE &amp; commune - Risque de perte de 8 lgts et 2 commerces suite à l'aménagement du carrefour prévu par la</v>
          </cell>
          <cell r="U55" t="str">
            <v>procedure formalisée</v>
          </cell>
          <cell r="V55" t="str">
            <v>C - PROGRAMME</v>
          </cell>
          <cell r="W55">
            <v>39994</v>
          </cell>
          <cell r="AA55" t="str">
            <v/>
          </cell>
          <cell r="AB55">
            <v>39979</v>
          </cell>
          <cell r="AC55" t="str">
            <v/>
          </cell>
          <cell r="AE55">
            <v>40359</v>
          </cell>
          <cell r="AH55">
            <v>40344</v>
          </cell>
          <cell r="AI55" t="str">
            <v/>
          </cell>
          <cell r="AJ55">
            <v>40527</v>
          </cell>
          <cell r="AK55" t="str">
            <v/>
          </cell>
          <cell r="AL55">
            <v>6.0165702261967384</v>
          </cell>
          <cell r="AM55">
            <v>2010</v>
          </cell>
          <cell r="AN55">
            <v>16</v>
          </cell>
          <cell r="AO55">
            <v>41014</v>
          </cell>
          <cell r="AP55">
            <v>41029</v>
          </cell>
          <cell r="AQ55" t="str">
            <v/>
          </cell>
          <cell r="AR55">
            <v>2011</v>
          </cell>
          <cell r="CJ55" t="str">
            <v>-</v>
          </cell>
          <cell r="CK55" t="str">
            <v>-</v>
          </cell>
          <cell r="CL55" t="str">
            <v>-</v>
          </cell>
          <cell r="CM55" t="str">
            <v>-</v>
          </cell>
          <cell r="CN55">
            <v>0</v>
          </cell>
          <cell r="CQ55" t="str">
            <v>non</v>
          </cell>
          <cell r="CX55">
            <v>0</v>
          </cell>
          <cell r="DE55">
            <v>0</v>
          </cell>
          <cell r="DJ55">
            <v>0</v>
          </cell>
          <cell r="DO55">
            <v>0</v>
          </cell>
          <cell r="DS55">
            <v>0</v>
          </cell>
          <cell r="DT55">
            <v>0</v>
          </cell>
          <cell r="DU55">
            <v>0</v>
          </cell>
          <cell r="ED55" t="str">
            <v>G:\Habitat\OPERATIONNEL HABITAT\02- Operations\Photothèque\image non disponible.jpg</v>
          </cell>
          <cell r="EE55" t="str">
            <v>G:\Habitat\OPERATIONNEL HABITAT\02- Operations\Photothèque\image non disponible.jpg</v>
          </cell>
          <cell r="EX55" t="str">
            <v>AH 104</v>
          </cell>
        </row>
        <row r="56">
          <cell r="A56" t="str">
            <v>BOUL BOUL</v>
          </cell>
          <cell r="B56">
            <v>9490</v>
          </cell>
          <cell r="C56" t="str">
            <v>OUEST</v>
          </cell>
          <cell r="D56" t="str">
            <v>Port</v>
          </cell>
          <cell r="E56" t="str">
            <v>PRU LE PORT</v>
          </cell>
          <cell r="F56">
            <v>16</v>
          </cell>
          <cell r="G56" t="str">
            <v>LESG</v>
          </cell>
          <cell r="J56" t="str">
            <v>IND</v>
          </cell>
          <cell r="K56" t="str">
            <v>CF</v>
          </cell>
          <cell r="L56" t="str">
            <v>SIDR</v>
          </cell>
          <cell r="N56" t="str">
            <v>EC</v>
          </cell>
          <cell r="O56" t="str">
            <v>FG</v>
          </cell>
          <cell r="P56" t="str">
            <v>LV</v>
          </cell>
          <cell r="Q56" t="str">
            <v>CP</v>
          </cell>
          <cell r="R56">
            <v>2003</v>
          </cell>
          <cell r="U56" t="str">
            <v>ATELIER GAZUT</v>
          </cell>
          <cell r="V56" t="str">
            <v>M - LIVRE/GPA</v>
          </cell>
          <cell r="W56">
            <v>37820</v>
          </cell>
          <cell r="X56" t="str">
            <v>d</v>
          </cell>
          <cell r="Z56">
            <v>37903</v>
          </cell>
          <cell r="AA56" t="str">
            <v>o</v>
          </cell>
          <cell r="AB56" t="str">
            <v>validé</v>
          </cell>
          <cell r="AC56" t="str">
            <v/>
          </cell>
          <cell r="AD56">
            <v>0</v>
          </cell>
          <cell r="AE56">
            <v>37915</v>
          </cell>
          <cell r="AF56" t="str">
            <v>f</v>
          </cell>
          <cell r="AG56">
            <v>37973</v>
          </cell>
          <cell r="AH56">
            <v>38518</v>
          </cell>
          <cell r="AI56" t="str">
            <v>ao</v>
          </cell>
          <cell r="AJ56">
            <v>38626</v>
          </cell>
          <cell r="AK56" t="str">
            <v/>
          </cell>
          <cell r="AL56">
            <v>3.550762756443977</v>
          </cell>
          <cell r="AM56">
            <v>2005</v>
          </cell>
          <cell r="AN56">
            <v>14</v>
          </cell>
          <cell r="AO56">
            <v>39052</v>
          </cell>
          <cell r="AP56">
            <v>39187</v>
          </cell>
          <cell r="AQ56" t="str">
            <v>li</v>
          </cell>
          <cell r="AR56">
            <v>2007</v>
          </cell>
          <cell r="CJ56" t="str">
            <v>-</v>
          </cell>
          <cell r="CK56" t="str">
            <v>-</v>
          </cell>
          <cell r="CL56" t="str">
            <v>-</v>
          </cell>
          <cell r="CM56" t="str">
            <v>-</v>
          </cell>
          <cell r="CN56">
            <v>0</v>
          </cell>
          <cell r="CQ56" t="str">
            <v>oui</v>
          </cell>
          <cell r="CX56">
            <v>0</v>
          </cell>
          <cell r="DE56">
            <v>0</v>
          </cell>
          <cell r="DJ56">
            <v>0</v>
          </cell>
          <cell r="DO56">
            <v>0</v>
          </cell>
          <cell r="DS56">
            <v>0</v>
          </cell>
          <cell r="DT56">
            <v>0</v>
          </cell>
          <cell r="DU56">
            <v>0</v>
          </cell>
          <cell r="ED56" t="str">
            <v>G:\Habitat\OPERATIONNEL HABITAT\02- Operations\Photothèque\images casevo\boulboul\boulboul.gif</v>
          </cell>
          <cell r="EE56" t="str">
            <v>G:\Habitat\OPERATIONNEL HABITAT\02- Operations\Photothèque\image non disponible.jpg</v>
          </cell>
        </row>
        <row r="57">
          <cell r="A57" t="str">
            <v>BRAS DES CHEVRETTES</v>
          </cell>
          <cell r="B57" t="str">
            <v>xxxx</v>
          </cell>
          <cell r="C57" t="str">
            <v>EST</v>
          </cell>
          <cell r="D57" t="str">
            <v>Saint-André</v>
          </cell>
          <cell r="F57">
            <v>12</v>
          </cell>
          <cell r="G57" t="str">
            <v>LESG</v>
          </cell>
          <cell r="J57" t="str">
            <v>IND</v>
          </cell>
          <cell r="K57" t="str">
            <v>CF</v>
          </cell>
          <cell r="L57" t="str">
            <v>SIDR</v>
          </cell>
          <cell r="N57" t="str">
            <v>BB</v>
          </cell>
          <cell r="Q57" t="str">
            <v>SPG</v>
          </cell>
          <cell r="R57">
            <v>2012</v>
          </cell>
          <cell r="V57" t="str">
            <v>A - NON LANCE</v>
          </cell>
          <cell r="X57" t="str">
            <v/>
          </cell>
          <cell r="AA57" t="str">
            <v/>
          </cell>
          <cell r="AC57" t="str">
            <v/>
          </cell>
          <cell r="AF57" t="str">
            <v/>
          </cell>
          <cell r="AI57" t="str">
            <v/>
          </cell>
          <cell r="AK57" t="str">
            <v/>
          </cell>
          <cell r="AL57">
            <v>0</v>
          </cell>
          <cell r="AM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CJ57" t="str">
            <v>-</v>
          </cell>
          <cell r="CK57" t="str">
            <v>-</v>
          </cell>
          <cell r="CL57" t="str">
            <v>-</v>
          </cell>
          <cell r="CM57" t="str">
            <v>-</v>
          </cell>
          <cell r="CN57">
            <v>0</v>
          </cell>
          <cell r="CQ57" t="str">
            <v>non</v>
          </cell>
          <cell r="CX57">
            <v>0</v>
          </cell>
          <cell r="DE57">
            <v>0</v>
          </cell>
          <cell r="DJ57">
            <v>0</v>
          </cell>
          <cell r="DO57">
            <v>0</v>
          </cell>
          <cell r="DS57">
            <v>0</v>
          </cell>
          <cell r="DT57">
            <v>0</v>
          </cell>
          <cell r="DU57">
            <v>0</v>
          </cell>
          <cell r="ED57" t="str">
            <v>G:\Habitat\OPERATIONNEL HABITAT\02- Operations\Photothèque\image non disponible.jpg</v>
          </cell>
          <cell r="EE57" t="str">
            <v>G:\Habitat\OPERATIONNEL HABITAT\02- Operations\Photothèque\image non disponible.jpg</v>
          </cell>
        </row>
        <row r="58">
          <cell r="A58" t="str">
            <v>BRAS DES CHEVRETTES</v>
          </cell>
          <cell r="C58" t="str">
            <v>EST</v>
          </cell>
          <cell r="D58" t="str">
            <v>Saint-André</v>
          </cell>
          <cell r="F58">
            <v>6</v>
          </cell>
          <cell r="G58" t="str">
            <v>LLS</v>
          </cell>
          <cell r="J58" t="str">
            <v>IND</v>
          </cell>
          <cell r="K58" t="str">
            <v>CF</v>
          </cell>
          <cell r="L58" t="str">
            <v>SIDR</v>
          </cell>
          <cell r="N58" t="str">
            <v>BB</v>
          </cell>
          <cell r="Q58" t="str">
            <v>SPG</v>
          </cell>
          <cell r="R58">
            <v>2012</v>
          </cell>
          <cell r="V58" t="str">
            <v>A - NON LANCE</v>
          </cell>
          <cell r="X58" t="str">
            <v/>
          </cell>
          <cell r="AA58" t="str">
            <v/>
          </cell>
          <cell r="AC58" t="str">
            <v/>
          </cell>
          <cell r="AF58" t="str">
            <v/>
          </cell>
          <cell r="AI58" t="str">
            <v/>
          </cell>
          <cell r="AK58" t="str">
            <v/>
          </cell>
          <cell r="AL58">
            <v>0</v>
          </cell>
          <cell r="AM58" t="str">
            <v/>
          </cell>
          <cell r="AO58" t="str">
            <v/>
          </cell>
          <cell r="AP58" t="str">
            <v/>
          </cell>
          <cell r="AQ58" t="str">
            <v/>
          </cell>
          <cell r="CJ58" t="str">
            <v>-</v>
          </cell>
          <cell r="CK58" t="str">
            <v>-</v>
          </cell>
          <cell r="CL58" t="str">
            <v>-</v>
          </cell>
          <cell r="CM58" t="str">
            <v>-</v>
          </cell>
          <cell r="CN58">
            <v>0</v>
          </cell>
          <cell r="CQ58" t="str">
            <v>non</v>
          </cell>
          <cell r="CX58">
            <v>0</v>
          </cell>
          <cell r="DE58">
            <v>0</v>
          </cell>
          <cell r="DJ58">
            <v>0</v>
          </cell>
          <cell r="DO58">
            <v>0</v>
          </cell>
          <cell r="DS58">
            <v>0</v>
          </cell>
          <cell r="DT58">
            <v>0</v>
          </cell>
          <cell r="DU58">
            <v>0</v>
          </cell>
          <cell r="ED58" t="str">
            <v>G:\Habitat\OPERATIONNEL HABITAT\02- Operations\Photothèque\image non disponible.jpg</v>
          </cell>
          <cell r="EE58" t="str">
            <v>G:\Habitat\OPERATIONNEL HABITAT\02- Operations\Photothèque\image non disponible.jpg</v>
          </cell>
        </row>
        <row r="59">
          <cell r="A59" t="str">
            <v>CALISTO</v>
          </cell>
          <cell r="B59">
            <v>9384</v>
          </cell>
          <cell r="C59" t="str">
            <v>SUD</v>
          </cell>
          <cell r="D59" t="str">
            <v>Saint-Pierre</v>
          </cell>
          <cell r="E59" t="str">
            <v>RHI BASTER</v>
          </cell>
          <cell r="F59">
            <v>32</v>
          </cell>
          <cell r="G59" t="str">
            <v>LLTS</v>
          </cell>
          <cell r="J59" t="str">
            <v>COL</v>
          </cell>
          <cell r="K59" t="str">
            <v>CF</v>
          </cell>
          <cell r="L59" t="str">
            <v>SIDR</v>
          </cell>
          <cell r="N59" t="str">
            <v>N.A.</v>
          </cell>
          <cell r="O59" t="str">
            <v>GG</v>
          </cell>
          <cell r="P59" t="str">
            <v>AM</v>
          </cell>
          <cell r="R59">
            <v>2001</v>
          </cell>
          <cell r="T59" t="str">
            <v>ras</v>
          </cell>
          <cell r="U59" t="str">
            <v>BONNEVILLE</v>
          </cell>
          <cell r="V59" t="str">
            <v>M - LIVRE/GPA</v>
          </cell>
          <cell r="W59" t="str">
            <v>déposé</v>
          </cell>
          <cell r="X59" t="str">
            <v>d</v>
          </cell>
          <cell r="Y59" t="str">
            <v>97441601A0439</v>
          </cell>
          <cell r="Z59" t="str">
            <v>obtenu</v>
          </cell>
          <cell r="AA59" t="str">
            <v/>
          </cell>
          <cell r="AB59" t="str">
            <v>validé</v>
          </cell>
          <cell r="AC59" t="str">
            <v/>
          </cell>
          <cell r="AE59" t="str">
            <v>D</v>
          </cell>
          <cell r="AG59" t="str">
            <v>O</v>
          </cell>
          <cell r="AH59">
            <v>37411</v>
          </cell>
          <cell r="AI59" t="str">
            <v>ao</v>
          </cell>
          <cell r="AJ59">
            <v>37530</v>
          </cell>
          <cell r="AK59" t="str">
            <v/>
          </cell>
          <cell r="AL59">
            <v>3.9124145186743817</v>
          </cell>
          <cell r="AM59">
            <v>2002</v>
          </cell>
          <cell r="AN59">
            <v>14</v>
          </cell>
          <cell r="AO59">
            <v>37956</v>
          </cell>
          <cell r="AP59">
            <v>38330</v>
          </cell>
          <cell r="AQ59" t="str">
            <v>li</v>
          </cell>
          <cell r="AR59">
            <v>2004</v>
          </cell>
          <cell r="BO59" t="str">
            <v>signée</v>
          </cell>
          <cell r="BQ59" t="str">
            <v>signée</v>
          </cell>
          <cell r="BX59" t="str">
            <v>signé</v>
          </cell>
          <cell r="CA59">
            <v>2360.89</v>
          </cell>
          <cell r="CE59" t="str">
            <v>ECS ind</v>
          </cell>
          <cell r="CF59">
            <v>78109</v>
          </cell>
          <cell r="CG59">
            <v>23432</v>
          </cell>
          <cell r="CH59">
            <v>35149</v>
          </cell>
          <cell r="CI59">
            <v>19527</v>
          </cell>
          <cell r="CJ59" t="str">
            <v>-</v>
          </cell>
          <cell r="CK59" t="str">
            <v>-</v>
          </cell>
          <cell r="CL59" t="str">
            <v>-</v>
          </cell>
          <cell r="CM59" t="str">
            <v>-</v>
          </cell>
          <cell r="CN59">
            <v>0</v>
          </cell>
          <cell r="CQ59" t="str">
            <v>oui</v>
          </cell>
          <cell r="CR59">
            <v>209012</v>
          </cell>
          <cell r="CT59">
            <v>1635320</v>
          </cell>
          <cell r="CX59">
            <v>1844332</v>
          </cell>
          <cell r="DE59">
            <v>58581</v>
          </cell>
          <cell r="DJ59">
            <v>58581</v>
          </cell>
          <cell r="DO59">
            <v>0</v>
          </cell>
          <cell r="DQ59">
            <v>65306</v>
          </cell>
          <cell r="DR59">
            <v>19527</v>
          </cell>
          <cell r="DS59">
            <v>84833</v>
          </cell>
          <cell r="DT59">
            <v>169666</v>
          </cell>
          <cell r="DU59">
            <v>-1616085</v>
          </cell>
          <cell r="ED59" t="str">
            <v>G:\Habitat\OPERATIONNEL HABITAT\02- Operations\Photothèque\image non disponible.jpg</v>
          </cell>
          <cell r="EE59" t="str">
            <v>G:\Habitat\OPERATIONNEL HABITAT\02- Operations\Photothèque\image non disponible.jpg</v>
          </cell>
        </row>
        <row r="60">
          <cell r="A60" t="str">
            <v>CAMPBEL 3 LES</v>
          </cell>
          <cell r="C60" t="str">
            <v>OUEST</v>
          </cell>
          <cell r="D60" t="str">
            <v>Port</v>
          </cell>
          <cell r="E60" t="str">
            <v>RHI multisite</v>
          </cell>
          <cell r="F60">
            <v>2</v>
          </cell>
          <cell r="G60" t="str">
            <v>LESG</v>
          </cell>
          <cell r="J60" t="str">
            <v>MV</v>
          </cell>
          <cell r="K60" t="str">
            <v>CF</v>
          </cell>
          <cell r="L60" t="str">
            <v>SIDR</v>
          </cell>
          <cell r="N60" t="str">
            <v>BS</v>
          </cell>
          <cell r="Q60" t="str">
            <v>VM</v>
          </cell>
          <cell r="R60">
            <v>2012</v>
          </cell>
          <cell r="AA60" t="str">
            <v/>
          </cell>
          <cell r="AC60" t="str">
            <v/>
          </cell>
          <cell r="AI60" t="str">
            <v/>
          </cell>
          <cell r="AK60" t="str">
            <v/>
          </cell>
          <cell r="AL60">
            <v>0</v>
          </cell>
          <cell r="AQ60" t="str">
            <v/>
          </cell>
          <cell r="CJ60" t="str">
            <v>-</v>
          </cell>
          <cell r="CK60" t="str">
            <v>-</v>
          </cell>
          <cell r="CL60" t="str">
            <v>-</v>
          </cell>
          <cell r="CM60" t="str">
            <v>-</v>
          </cell>
          <cell r="CN60">
            <v>0</v>
          </cell>
          <cell r="CQ60" t="str">
            <v>non</v>
          </cell>
          <cell r="CX60">
            <v>0</v>
          </cell>
          <cell r="DE60">
            <v>0</v>
          </cell>
          <cell r="DJ60">
            <v>0</v>
          </cell>
          <cell r="DO60">
            <v>0</v>
          </cell>
          <cell r="DS60">
            <v>0</v>
          </cell>
          <cell r="DT60">
            <v>0</v>
          </cell>
          <cell r="DU60">
            <v>0</v>
          </cell>
          <cell r="ED60" t="str">
            <v>G:\Habitat\OPERATIONNEL HABITAT\02- Operations\Photothèque\image non disponible.jpg</v>
          </cell>
          <cell r="EE60" t="str">
            <v>G:\Habitat\OPERATIONNEL HABITAT\02- Operations\Photothèque\image non disponible.jpg</v>
          </cell>
        </row>
        <row r="61">
          <cell r="A61" t="str">
            <v>CAMPBEL 3</v>
          </cell>
          <cell r="C61" t="str">
            <v>OUEST</v>
          </cell>
          <cell r="D61" t="str">
            <v>Port</v>
          </cell>
          <cell r="E61" t="str">
            <v>RHI multisite</v>
          </cell>
          <cell r="F61">
            <v>8</v>
          </cell>
          <cell r="G61" t="str">
            <v>LLTS</v>
          </cell>
          <cell r="J61" t="str">
            <v>MV</v>
          </cell>
          <cell r="K61" t="str">
            <v>CF</v>
          </cell>
          <cell r="L61" t="str">
            <v>SIDR</v>
          </cell>
          <cell r="N61" t="str">
            <v>N.A.</v>
          </cell>
          <cell r="Q61" t="str">
            <v>VM</v>
          </cell>
          <cell r="R61">
            <v>2012</v>
          </cell>
          <cell r="AA61" t="str">
            <v/>
          </cell>
          <cell r="AC61" t="str">
            <v/>
          </cell>
          <cell r="AI61" t="str">
            <v/>
          </cell>
          <cell r="AK61" t="str">
            <v/>
          </cell>
          <cell r="AL61">
            <v>0</v>
          </cell>
          <cell r="AQ61" t="str">
            <v/>
          </cell>
          <cell r="CJ61" t="str">
            <v>-</v>
          </cell>
          <cell r="CK61" t="str">
            <v>-</v>
          </cell>
          <cell r="CL61" t="str">
            <v>-</v>
          </cell>
          <cell r="CM61" t="str">
            <v>-</v>
          </cell>
          <cell r="CN61">
            <v>0</v>
          </cell>
          <cell r="CQ61" t="str">
            <v>non</v>
          </cell>
          <cell r="CX61">
            <v>0</v>
          </cell>
          <cell r="DE61">
            <v>0</v>
          </cell>
          <cell r="DJ61">
            <v>0</v>
          </cell>
          <cell r="DO61">
            <v>0</v>
          </cell>
          <cell r="DS61">
            <v>0</v>
          </cell>
          <cell r="DT61">
            <v>0</v>
          </cell>
          <cell r="DU61">
            <v>0</v>
          </cell>
          <cell r="ED61" t="str">
            <v>G:\Habitat\OPERATIONNEL HABITAT\02- Operations\Photothèque\image non disponible.jpg</v>
          </cell>
          <cell r="EE61" t="str">
            <v>G:\Habitat\OPERATIONNEL HABITAT\02- Operations\Photothèque\image non disponible.jpg</v>
          </cell>
        </row>
        <row r="62">
          <cell r="A62" t="str">
            <v>CAMPBEL 1 - 2</v>
          </cell>
          <cell r="C62" t="str">
            <v>OUEST</v>
          </cell>
          <cell r="D62" t="str">
            <v>Port</v>
          </cell>
          <cell r="E62" t="str">
            <v>RHI multisite</v>
          </cell>
          <cell r="F62">
            <v>42</v>
          </cell>
          <cell r="G62" t="str">
            <v>LLTS</v>
          </cell>
          <cell r="J62" t="str">
            <v>COL</v>
          </cell>
          <cell r="K62" t="str">
            <v>CF</v>
          </cell>
          <cell r="L62" t="str">
            <v>SIDR</v>
          </cell>
          <cell r="N62" t="str">
            <v>N.A.</v>
          </cell>
          <cell r="Q62" t="str">
            <v>VM</v>
          </cell>
          <cell r="R62">
            <v>2011</v>
          </cell>
          <cell r="AA62" t="str">
            <v/>
          </cell>
          <cell r="AC62" t="str">
            <v/>
          </cell>
          <cell r="AI62" t="str">
            <v/>
          </cell>
          <cell r="AK62" t="str">
            <v/>
          </cell>
          <cell r="AL62">
            <v>0</v>
          </cell>
          <cell r="AQ62" t="str">
            <v/>
          </cell>
          <cell r="CJ62" t="str">
            <v>-</v>
          </cell>
          <cell r="CK62" t="str">
            <v>-</v>
          </cell>
          <cell r="CL62" t="str">
            <v>-</v>
          </cell>
          <cell r="CM62" t="str">
            <v>-</v>
          </cell>
          <cell r="CN62">
            <v>0</v>
          </cell>
          <cell r="CQ62" t="str">
            <v>non</v>
          </cell>
          <cell r="CX62">
            <v>0</v>
          </cell>
          <cell r="DE62">
            <v>0</v>
          </cell>
          <cell r="DJ62">
            <v>0</v>
          </cell>
          <cell r="DO62">
            <v>0</v>
          </cell>
          <cell r="DS62">
            <v>0</v>
          </cell>
          <cell r="DT62">
            <v>0</v>
          </cell>
          <cell r="DU62">
            <v>0</v>
          </cell>
          <cell r="ED62" t="str">
            <v>G:\Habitat\OPERATIONNEL HABITAT\02- Operations\Photothèque\image non disponible.jpg</v>
          </cell>
          <cell r="EE62" t="str">
            <v>G:\Habitat\OPERATIONNEL HABITAT\02- Operations\Photothèque\image non disponible.jpg</v>
          </cell>
        </row>
        <row r="63">
          <cell r="A63" t="str">
            <v>CANAL MON REPOS</v>
          </cell>
          <cell r="B63">
            <v>9505</v>
          </cell>
          <cell r="C63" t="str">
            <v>OUEST</v>
          </cell>
          <cell r="D63" t="str">
            <v>Saint-Paul</v>
          </cell>
          <cell r="E63" t="str">
            <v>ZAC MON REPOS SPAG</v>
          </cell>
          <cell r="F63">
            <v>36</v>
          </cell>
          <cell r="G63" t="str">
            <v>LLS</v>
          </cell>
          <cell r="J63" t="str">
            <v>MV</v>
          </cell>
          <cell r="K63" t="str">
            <v>CF</v>
          </cell>
          <cell r="L63" t="str">
            <v>SPAG</v>
          </cell>
          <cell r="N63" t="str">
            <v>PC</v>
          </cell>
          <cell r="O63" t="str">
            <v>DL</v>
          </cell>
          <cell r="P63" t="str">
            <v>AM</v>
          </cell>
          <cell r="R63">
            <v>2004</v>
          </cell>
          <cell r="T63" t="str">
            <v>VISITE GPA faite</v>
          </cell>
          <cell r="U63" t="str">
            <v>MARAIS TESSIER</v>
          </cell>
          <cell r="V63" t="str">
            <v>M - LIVRE/GPA</v>
          </cell>
          <cell r="W63">
            <v>38162</v>
          </cell>
          <cell r="X63" t="str">
            <v>d</v>
          </cell>
          <cell r="Y63" t="str">
            <v>974150A445/M1</v>
          </cell>
          <cell r="Z63">
            <v>38379</v>
          </cell>
          <cell r="AA63" t="str">
            <v>o</v>
          </cell>
          <cell r="AB63" t="str">
            <v>validé</v>
          </cell>
          <cell r="AC63" t="str">
            <v/>
          </cell>
          <cell r="AD63">
            <v>38265</v>
          </cell>
          <cell r="AE63">
            <v>38187</v>
          </cell>
          <cell r="AF63" t="str">
            <v>f</v>
          </cell>
          <cell r="AG63">
            <v>38419</v>
          </cell>
          <cell r="AH63">
            <v>38306</v>
          </cell>
          <cell r="AI63" t="str">
            <v>ao</v>
          </cell>
          <cell r="AJ63">
            <v>38467</v>
          </cell>
          <cell r="AK63" t="str">
            <v/>
          </cell>
          <cell r="AL63">
            <v>5.2932667017359281</v>
          </cell>
          <cell r="AM63">
            <v>2005</v>
          </cell>
          <cell r="AN63">
            <v>18</v>
          </cell>
          <cell r="AO63">
            <v>39015</v>
          </cell>
          <cell r="AP63">
            <v>38904</v>
          </cell>
          <cell r="AQ63" t="str">
            <v>li</v>
          </cell>
          <cell r="AR63">
            <v>2006</v>
          </cell>
          <cell r="AS63">
            <v>2</v>
          </cell>
          <cell r="AT63">
            <v>35</v>
          </cell>
          <cell r="AW63">
            <v>8</v>
          </cell>
          <cell r="AX63">
            <v>60</v>
          </cell>
          <cell r="BA63">
            <v>16</v>
          </cell>
          <cell r="BB63">
            <v>69</v>
          </cell>
          <cell r="BE63">
            <v>9</v>
          </cell>
          <cell r="BF63">
            <v>78</v>
          </cell>
          <cell r="BI63">
            <v>1</v>
          </cell>
          <cell r="BJ63">
            <v>88</v>
          </cell>
          <cell r="BK63">
            <v>36</v>
          </cell>
          <cell r="BL63">
            <v>5.36</v>
          </cell>
          <cell r="BM63">
            <v>0.32</v>
          </cell>
          <cell r="BN63">
            <v>0.2</v>
          </cell>
          <cell r="BO63" t="str">
            <v>signée</v>
          </cell>
          <cell r="BP63">
            <v>0.8</v>
          </cell>
          <cell r="BQ63" t="str">
            <v>signée</v>
          </cell>
          <cell r="BX63" t="str">
            <v>signé</v>
          </cell>
          <cell r="BY63">
            <v>2227</v>
          </cell>
          <cell r="BZ63">
            <v>3021</v>
          </cell>
          <cell r="CA63">
            <v>2467.6999999999998</v>
          </cell>
          <cell r="CE63" t="str">
            <v>ECS ind</v>
          </cell>
          <cell r="CF63">
            <v>91405.09</v>
          </cell>
          <cell r="CG63">
            <v>27421.527000000002</v>
          </cell>
          <cell r="CH63">
            <v>41132.290500000003</v>
          </cell>
          <cell r="CI63">
            <v>22851.272499999999</v>
          </cell>
          <cell r="CJ63" t="str">
            <v>-</v>
          </cell>
          <cell r="CK63" t="str">
            <v>-</v>
          </cell>
          <cell r="CL63" t="str">
            <v>-</v>
          </cell>
          <cell r="CM63" t="str">
            <v>-</v>
          </cell>
          <cell r="CN63">
            <v>0</v>
          </cell>
          <cell r="CQ63" t="str">
            <v>oui</v>
          </cell>
          <cell r="CR63">
            <v>559473</v>
          </cell>
          <cell r="CT63">
            <v>1824910</v>
          </cell>
          <cell r="CX63">
            <v>2384383</v>
          </cell>
          <cell r="DE63">
            <v>68553.817500000005</v>
          </cell>
          <cell r="DJ63">
            <v>68553.817500000005</v>
          </cell>
          <cell r="DO63">
            <v>0</v>
          </cell>
          <cell r="DQ63">
            <v>72900</v>
          </cell>
          <cell r="DR63">
            <v>22851</v>
          </cell>
          <cell r="DS63">
            <v>95751</v>
          </cell>
          <cell r="DT63">
            <v>191502</v>
          </cell>
          <cell r="DU63">
            <v>-2124327.1825000001</v>
          </cell>
          <cell r="ED63" t="str">
            <v>G:\Habitat\OPERATIONNEL HABITAT\02- Operations\Photothèque\images locatifs\Canal Mon Repos\insertion ile de batz.jpg</v>
          </cell>
          <cell r="EE63" t="str">
            <v>G:\Habitat\OPERATIONNEL HABITAT\02- Operations\Photothèque\image non disponible.jpg</v>
          </cell>
        </row>
        <row r="64">
          <cell r="A64" t="str">
            <v>CAP OUEST</v>
          </cell>
          <cell r="B64">
            <v>9627</v>
          </cell>
          <cell r="C64" t="str">
            <v>OUEST</v>
          </cell>
          <cell r="D64" t="str">
            <v>Port</v>
          </cell>
          <cell r="E64" t="str">
            <v>CENTRE VILLE</v>
          </cell>
          <cell r="F64">
            <v>27</v>
          </cell>
          <cell r="G64" t="str">
            <v>ACC</v>
          </cell>
          <cell r="J64" t="str">
            <v>COL</v>
          </cell>
          <cell r="K64" t="str">
            <v>RF</v>
          </cell>
          <cell r="M64" t="str">
            <v>maitrisé</v>
          </cell>
          <cell r="N64" t="str">
            <v>N.A.</v>
          </cell>
          <cell r="O64" t="str">
            <v>JH</v>
          </cell>
          <cell r="P64" t="str">
            <v>NA</v>
          </cell>
          <cell r="R64">
            <v>2006</v>
          </cell>
          <cell r="T64" t="str">
            <v>EDF/surcout BBOI/Avenant  Moe/problememe agence-commerce</v>
          </cell>
          <cell r="U64" t="str">
            <v>ARCHITECTES DE L'EPERON</v>
          </cell>
          <cell r="V64" t="str">
            <v>L - CHANTIER EN COURS</v>
          </cell>
          <cell r="W64">
            <v>38806</v>
          </cell>
          <cell r="X64" t="str">
            <v>d</v>
          </cell>
          <cell r="Z64">
            <v>38981</v>
          </cell>
          <cell r="AA64" t="str">
            <v>o</v>
          </cell>
          <cell r="AB64">
            <v>39568</v>
          </cell>
          <cell r="AC64" t="str">
            <v>v</v>
          </cell>
          <cell r="AD64" t="str">
            <v>v</v>
          </cell>
          <cell r="AF64" t="str">
            <v/>
          </cell>
          <cell r="AH64">
            <v>39010</v>
          </cell>
          <cell r="AI64" t="str">
            <v>ao</v>
          </cell>
          <cell r="AJ64">
            <v>39507</v>
          </cell>
          <cell r="AK64" t="str">
            <v>ch</v>
          </cell>
          <cell r="AL64">
            <v>16.340084166228301</v>
          </cell>
          <cell r="AM64">
            <v>2008</v>
          </cell>
          <cell r="AN64">
            <v>14</v>
          </cell>
          <cell r="AO64">
            <v>39932</v>
          </cell>
          <cell r="AP64">
            <v>39947</v>
          </cell>
          <cell r="AQ64" t="str">
            <v/>
          </cell>
          <cell r="AR64">
            <v>2009</v>
          </cell>
          <cell r="CJ64" t="str">
            <v>-</v>
          </cell>
          <cell r="CK64" t="str">
            <v>-</v>
          </cell>
          <cell r="CL64" t="str">
            <v>-</v>
          </cell>
          <cell r="CM64" t="str">
            <v>-</v>
          </cell>
          <cell r="CN64">
            <v>0</v>
          </cell>
          <cell r="CQ64" t="str">
            <v>non</v>
          </cell>
          <cell r="CX64">
            <v>0</v>
          </cell>
          <cell r="DE64">
            <v>0</v>
          </cell>
          <cell r="DJ64">
            <v>0</v>
          </cell>
          <cell r="DO64">
            <v>0</v>
          </cell>
          <cell r="DS64">
            <v>0</v>
          </cell>
          <cell r="DT64">
            <v>0</v>
          </cell>
          <cell r="DU64">
            <v>0</v>
          </cell>
          <cell r="ED64" t="str">
            <v>G:\Habitat\OPERATIONNEL HABITAT\02- Operations\Photothèque\image non disponible.jpg</v>
          </cell>
          <cell r="EE64" t="str">
            <v>G:\Habitat\OPERATIONNEL HABITAT\02- Operations\Photothèque\image non disponible.jpg</v>
          </cell>
        </row>
        <row r="65">
          <cell r="A65" t="str">
            <v>CAPRI 1</v>
          </cell>
          <cell r="C65" t="str">
            <v>EST</v>
          </cell>
          <cell r="D65" t="str">
            <v>Saint-Benoît</v>
          </cell>
          <cell r="E65" t="str">
            <v>ZAC ENTREE DE VILLE ST ANNE</v>
          </cell>
          <cell r="F65">
            <v>15</v>
          </cell>
          <cell r="G65" t="str">
            <v>LES+</v>
          </cell>
          <cell r="J65" t="str">
            <v>MV</v>
          </cell>
          <cell r="K65" t="str">
            <v>CF</v>
          </cell>
          <cell r="L65" t="str">
            <v>SIDR</v>
          </cell>
          <cell r="M65" t="str">
            <v>maitrisé</v>
          </cell>
          <cell r="N65" t="str">
            <v>BS</v>
          </cell>
          <cell r="O65" t="str">
            <v>OS</v>
          </cell>
          <cell r="P65" t="str">
            <v>LV</v>
          </cell>
          <cell r="Q65" t="str">
            <v>AR</v>
          </cell>
          <cell r="R65">
            <v>2008</v>
          </cell>
          <cell r="S65">
            <v>0.25</v>
          </cell>
          <cell r="T65" t="str">
            <v>LES +  / Problématique de la livraison de la station d'épuration (livraison annoncée octobre 2011) alors que l'opération doit se terminer courant 2011 !!!!</v>
          </cell>
          <cell r="U65" t="str">
            <v>GAZUT</v>
          </cell>
          <cell r="V65" t="str">
            <v>G - PROJET</v>
          </cell>
          <cell r="W65">
            <v>39667</v>
          </cell>
          <cell r="X65" t="str">
            <v>d</v>
          </cell>
          <cell r="Y65" t="str">
            <v>9741008a0283</v>
          </cell>
          <cell r="Z65">
            <v>39689</v>
          </cell>
          <cell r="AA65" t="str">
            <v>o</v>
          </cell>
          <cell r="AB65">
            <v>39639</v>
          </cell>
          <cell r="AC65" t="str">
            <v>v</v>
          </cell>
          <cell r="AD65">
            <v>39729</v>
          </cell>
          <cell r="AE65">
            <v>39717</v>
          </cell>
          <cell r="AF65" t="str">
            <v>f</v>
          </cell>
          <cell r="AH65">
            <v>39872</v>
          </cell>
          <cell r="AI65" t="str">
            <v>ao</v>
          </cell>
          <cell r="AJ65">
            <v>40009</v>
          </cell>
          <cell r="AK65" t="str">
            <v/>
          </cell>
          <cell r="AL65">
            <v>4.5042083114150451</v>
          </cell>
          <cell r="AM65">
            <v>2009</v>
          </cell>
          <cell r="AN65">
            <v>12</v>
          </cell>
          <cell r="AO65">
            <v>40374</v>
          </cell>
          <cell r="AP65">
            <v>40389</v>
          </cell>
          <cell r="AQ65" t="str">
            <v/>
          </cell>
          <cell r="AR65">
            <v>2010</v>
          </cell>
          <cell r="CJ65" t="str">
            <v>-</v>
          </cell>
          <cell r="CK65" t="str">
            <v>-</v>
          </cell>
          <cell r="CL65" t="str">
            <v>-</v>
          </cell>
          <cell r="CM65" t="str">
            <v>-</v>
          </cell>
          <cell r="CN65">
            <v>0</v>
          </cell>
          <cell r="CQ65" t="str">
            <v>non</v>
          </cell>
          <cell r="CX65">
            <v>0</v>
          </cell>
          <cell r="DE65">
            <v>0</v>
          </cell>
          <cell r="DJ65">
            <v>0</v>
          </cell>
          <cell r="DO65">
            <v>0</v>
          </cell>
          <cell r="DS65">
            <v>0</v>
          </cell>
          <cell r="DT65">
            <v>0</v>
          </cell>
          <cell r="DU65">
            <v>0</v>
          </cell>
          <cell r="ED65" t="str">
            <v>G:\Habitat\OPERATIONNEL HABITAT\02- Operations\Photothèque\image non disponible.jpg</v>
          </cell>
          <cell r="EE65" t="str">
            <v>G:\Habitat\OPERATIONNEL HABITAT\02- Operations\Photothèque\image non disponible.jpg</v>
          </cell>
        </row>
        <row r="66">
          <cell r="A66" t="str">
            <v>CAPRI 2</v>
          </cell>
          <cell r="C66" t="str">
            <v>EST</v>
          </cell>
          <cell r="D66" t="str">
            <v>Saint-Benoît</v>
          </cell>
          <cell r="E66" t="str">
            <v>ZAC ENTREE DE VILLE ST ANNE</v>
          </cell>
          <cell r="F66">
            <v>15</v>
          </cell>
          <cell r="G66" t="str">
            <v>LESG</v>
          </cell>
          <cell r="J66" t="str">
            <v>MV</v>
          </cell>
          <cell r="K66" t="str">
            <v>CF</v>
          </cell>
          <cell r="L66" t="str">
            <v>SIDR</v>
          </cell>
          <cell r="M66" t="str">
            <v>maitrisé</v>
          </cell>
          <cell r="N66" t="str">
            <v>BS</v>
          </cell>
          <cell r="O66" t="str">
            <v>OS</v>
          </cell>
          <cell r="P66" t="str">
            <v>LV</v>
          </cell>
          <cell r="Q66" t="str">
            <v>AR</v>
          </cell>
          <cell r="R66">
            <v>2008</v>
          </cell>
          <cell r="T66" t="str">
            <v>LESg  /  Problématique de la livraison de la station d'épuration (livraison annoncée octobre 2011) alors que l'opération doit se terminer courant 2011 !!!!</v>
          </cell>
          <cell r="U66" t="str">
            <v>GAZUT</v>
          </cell>
          <cell r="V66" t="str">
            <v>G - PROJET</v>
          </cell>
          <cell r="W66">
            <v>39667</v>
          </cell>
          <cell r="Y66" t="str">
            <v>9741008a0283</v>
          </cell>
          <cell r="Z66">
            <v>39689</v>
          </cell>
          <cell r="AA66" t="str">
            <v>o</v>
          </cell>
          <cell r="AB66">
            <v>39639</v>
          </cell>
          <cell r="AC66" t="str">
            <v>v</v>
          </cell>
          <cell r="AD66">
            <v>39729</v>
          </cell>
          <cell r="AE66">
            <v>39717</v>
          </cell>
          <cell r="AF66" t="str">
            <v>f</v>
          </cell>
          <cell r="AH66">
            <v>39872</v>
          </cell>
          <cell r="AI66" t="str">
            <v>ao</v>
          </cell>
          <cell r="AJ66">
            <v>40009</v>
          </cell>
          <cell r="AK66" t="str">
            <v/>
          </cell>
          <cell r="AL66">
            <v>4.5042083114150451</v>
          </cell>
          <cell r="AM66">
            <v>2009</v>
          </cell>
          <cell r="AN66">
            <v>16</v>
          </cell>
          <cell r="AO66">
            <v>40497</v>
          </cell>
          <cell r="AP66">
            <v>40512</v>
          </cell>
          <cell r="AQ66" t="str">
            <v/>
          </cell>
          <cell r="AR66">
            <v>2010</v>
          </cell>
          <cell r="CJ66" t="str">
            <v>-</v>
          </cell>
          <cell r="CK66" t="str">
            <v>-</v>
          </cell>
          <cell r="CL66" t="str">
            <v>-</v>
          </cell>
          <cell r="CM66" t="str">
            <v>-</v>
          </cell>
          <cell r="CN66">
            <v>0</v>
          </cell>
          <cell r="CQ66" t="str">
            <v>non</v>
          </cell>
          <cell r="CX66">
            <v>0</v>
          </cell>
          <cell r="DE66">
            <v>0</v>
          </cell>
          <cell r="DJ66">
            <v>0</v>
          </cell>
          <cell r="DO66">
            <v>0</v>
          </cell>
          <cell r="DS66">
            <v>0</v>
          </cell>
          <cell r="DT66">
            <v>0</v>
          </cell>
          <cell r="DU66">
            <v>0</v>
          </cell>
          <cell r="ED66" t="str">
            <v>G:\Habitat\OPERATIONNEL HABITAT\02- Operations\Photothèque\image non disponible.jpg</v>
          </cell>
          <cell r="EE66" t="str">
            <v>G:\Habitat\OPERATIONNEL HABITAT\02- Operations\Photothèque\image non disponible.jpg</v>
          </cell>
        </row>
        <row r="67">
          <cell r="A67" t="str">
            <v>CARDINAL</v>
          </cell>
          <cell r="C67" t="str">
            <v>EST</v>
          </cell>
          <cell r="D67" t="str">
            <v>Saint-André</v>
          </cell>
          <cell r="E67" t="str">
            <v>CENTRE VILLE</v>
          </cell>
          <cell r="F67">
            <v>47</v>
          </cell>
          <cell r="G67" t="str">
            <v>LLS</v>
          </cell>
          <cell r="J67" t="str">
            <v>COL</v>
          </cell>
          <cell r="K67" t="str">
            <v>RF</v>
          </cell>
          <cell r="M67" t="str">
            <v>prob foncier</v>
          </cell>
          <cell r="N67" t="str">
            <v>Cla</v>
          </cell>
          <cell r="R67">
            <v>2011</v>
          </cell>
          <cell r="T67" t="str">
            <v>Attente libération depuis 2000 ?</v>
          </cell>
          <cell r="V67" t="str">
            <v>A - NON LANCE</v>
          </cell>
          <cell r="X67" t="str">
            <v/>
          </cell>
          <cell r="AA67" t="str">
            <v/>
          </cell>
          <cell r="AC67" t="str">
            <v/>
          </cell>
          <cell r="AF67" t="str">
            <v/>
          </cell>
          <cell r="AI67" t="str">
            <v/>
          </cell>
          <cell r="AK67" t="str">
            <v/>
          </cell>
          <cell r="AL67">
            <v>0</v>
          </cell>
          <cell r="AM67" t="str">
            <v/>
          </cell>
          <cell r="AO67" t="str">
            <v/>
          </cell>
          <cell r="AP67" t="str">
            <v/>
          </cell>
          <cell r="AQ67" t="str">
            <v/>
          </cell>
          <cell r="CJ67" t="str">
            <v>-</v>
          </cell>
          <cell r="CK67" t="str">
            <v>-</v>
          </cell>
          <cell r="CL67" t="str">
            <v>-</v>
          </cell>
          <cell r="CM67" t="str">
            <v>-</v>
          </cell>
          <cell r="CN67">
            <v>0</v>
          </cell>
          <cell r="CQ67" t="str">
            <v>non</v>
          </cell>
          <cell r="CX67">
            <v>0</v>
          </cell>
          <cell r="DE67">
            <v>0</v>
          </cell>
          <cell r="DJ67">
            <v>0</v>
          </cell>
          <cell r="DO67">
            <v>0</v>
          </cell>
          <cell r="DS67">
            <v>0</v>
          </cell>
          <cell r="DT67">
            <v>0</v>
          </cell>
          <cell r="DU67">
            <v>0</v>
          </cell>
          <cell r="ED67" t="str">
            <v>G:\Habitat\OPERATIONNEL HABITAT\02- Operations\Photothèque\images locatifs\Cardinal\Cardinal - st André.jpeg</v>
          </cell>
          <cell r="EE67" t="str">
            <v>G:\Habitat\OPERATIONNEL HABITAT\02- Operations\Photothèque\image non disponible.jpg</v>
          </cell>
        </row>
        <row r="68">
          <cell r="A68" t="str">
            <v>CARDINALE</v>
          </cell>
          <cell r="C68" t="str">
            <v>NORD</v>
          </cell>
          <cell r="D68" t="str">
            <v>Saint-Denis</v>
          </cell>
          <cell r="E68" t="str">
            <v>CHAUDRON</v>
          </cell>
          <cell r="F68">
            <v>60</v>
          </cell>
          <cell r="G68" t="str">
            <v>LLTS</v>
          </cell>
          <cell r="J68" t="str">
            <v>COL</v>
          </cell>
          <cell r="K68" t="str">
            <v>RF</v>
          </cell>
          <cell r="M68" t="str">
            <v>prob foncier</v>
          </cell>
          <cell r="N68" t="str">
            <v>JPM</v>
          </cell>
          <cell r="O68" t="str">
            <v>PE</v>
          </cell>
          <cell r="P68" t="str">
            <v>CC</v>
          </cell>
          <cell r="R68">
            <v>2010</v>
          </cell>
          <cell r="T68" t="str">
            <v>Logement et agence nord SIDR - relogement en cours DGI</v>
          </cell>
          <cell r="U68" t="str">
            <v>procedure formalisée</v>
          </cell>
          <cell r="V68" t="str">
            <v>B - ETUDE PRE-OP</v>
          </cell>
          <cell r="W68">
            <v>40313</v>
          </cell>
          <cell r="AA68" t="str">
            <v/>
          </cell>
          <cell r="AC68" t="str">
            <v/>
          </cell>
          <cell r="AE68">
            <v>40436</v>
          </cell>
          <cell r="AH68">
            <v>40436</v>
          </cell>
          <cell r="AI68" t="str">
            <v/>
          </cell>
          <cell r="AJ68">
            <v>40589</v>
          </cell>
          <cell r="AK68" t="str">
            <v/>
          </cell>
          <cell r="AL68">
            <v>5.030247238295634</v>
          </cell>
          <cell r="AM68">
            <v>2011</v>
          </cell>
          <cell r="AN68">
            <v>16</v>
          </cell>
          <cell r="AO68">
            <v>41075</v>
          </cell>
          <cell r="AP68">
            <v>41090</v>
          </cell>
          <cell r="AQ68" t="str">
            <v/>
          </cell>
          <cell r="AR68">
            <v>2012</v>
          </cell>
          <cell r="CJ68" t="str">
            <v>-</v>
          </cell>
          <cell r="CK68" t="str">
            <v>-</v>
          </cell>
          <cell r="CL68" t="str">
            <v>-</v>
          </cell>
          <cell r="CM68" t="str">
            <v>-</v>
          </cell>
          <cell r="CN68">
            <v>0</v>
          </cell>
          <cell r="CQ68" t="str">
            <v>non</v>
          </cell>
          <cell r="CX68">
            <v>0</v>
          </cell>
          <cell r="DE68">
            <v>0</v>
          </cell>
          <cell r="DJ68">
            <v>0</v>
          </cell>
          <cell r="DO68">
            <v>0</v>
          </cell>
          <cell r="DS68">
            <v>0</v>
          </cell>
          <cell r="DT68">
            <v>0</v>
          </cell>
          <cell r="DU68">
            <v>0</v>
          </cell>
          <cell r="ED68" t="str">
            <v>G:\Habitat\OPERATIONNEL HABITAT\02- Operations\Photothèque\image non disponible.jpg</v>
          </cell>
          <cell r="EE68" t="str">
            <v>G:\Habitat\OPERATIONNEL HABITAT\02- Operations\Photothèque\image non disponible.jpg</v>
          </cell>
        </row>
        <row r="69">
          <cell r="A69" t="str">
            <v>CASCADES</v>
          </cell>
          <cell r="B69">
            <v>9676</v>
          </cell>
          <cell r="C69" t="str">
            <v>EST</v>
          </cell>
          <cell r="D69" t="str">
            <v>Plaine des Palmistes</v>
          </cell>
          <cell r="E69" t="str">
            <v>CENTRE VILLE</v>
          </cell>
          <cell r="F69">
            <v>12</v>
          </cell>
          <cell r="G69" t="str">
            <v>LESG</v>
          </cell>
          <cell r="J69" t="str">
            <v>IND</v>
          </cell>
          <cell r="K69" t="str">
            <v>CF</v>
          </cell>
          <cell r="L69" t="str">
            <v>SIDR</v>
          </cell>
          <cell r="M69" t="str">
            <v>maitrisé</v>
          </cell>
          <cell r="N69" t="str">
            <v>BS</v>
          </cell>
          <cell r="O69" t="str">
            <v>OS</v>
          </cell>
          <cell r="P69" t="str">
            <v>LV</v>
          </cell>
          <cell r="Q69" t="str">
            <v>SM</v>
          </cell>
          <cell r="R69">
            <v>2006</v>
          </cell>
          <cell r="T69" t="str">
            <v>temoin sep 2008/prestations CAF OK</v>
          </cell>
          <cell r="U69" t="str">
            <v>ATELIER GAZUT</v>
          </cell>
          <cell r="V69" t="str">
            <v>L - CHANTIER EN COURS</v>
          </cell>
          <cell r="W69">
            <v>39311</v>
          </cell>
          <cell r="X69" t="str">
            <v>d</v>
          </cell>
          <cell r="Y69" t="str">
            <v>97440606A0117</v>
          </cell>
          <cell r="Z69">
            <v>39113</v>
          </cell>
          <cell r="AA69" t="str">
            <v>o</v>
          </cell>
          <cell r="AB69">
            <v>0</v>
          </cell>
          <cell r="AC69" t="str">
            <v>v</v>
          </cell>
          <cell r="AD69">
            <v>0</v>
          </cell>
          <cell r="AE69">
            <v>38989</v>
          </cell>
          <cell r="AF69" t="str">
            <v>f</v>
          </cell>
          <cell r="AG69">
            <v>39080</v>
          </cell>
          <cell r="AH69">
            <v>39050</v>
          </cell>
          <cell r="AI69" t="str">
            <v>ao</v>
          </cell>
          <cell r="AJ69">
            <v>39416</v>
          </cell>
          <cell r="AK69" t="str">
            <v/>
          </cell>
          <cell r="AL69">
            <v>12.033140452393477</v>
          </cell>
          <cell r="AM69">
            <v>2007</v>
          </cell>
          <cell r="AN69">
            <v>15</v>
          </cell>
          <cell r="AO69">
            <v>39872</v>
          </cell>
          <cell r="AP69">
            <v>39887</v>
          </cell>
          <cell r="AQ69" t="str">
            <v>li</v>
          </cell>
          <cell r="AR69">
            <v>2009</v>
          </cell>
          <cell r="CJ69" t="str">
            <v>-</v>
          </cell>
          <cell r="CK69" t="str">
            <v>-</v>
          </cell>
          <cell r="CL69" t="str">
            <v>-</v>
          </cell>
          <cell r="CM69" t="str">
            <v>-</v>
          </cell>
          <cell r="CN69">
            <v>0</v>
          </cell>
          <cell r="CQ69" t="str">
            <v>non</v>
          </cell>
          <cell r="CX69">
            <v>0</v>
          </cell>
          <cell r="DE69">
            <v>0</v>
          </cell>
          <cell r="DJ69">
            <v>0</v>
          </cell>
          <cell r="DO69">
            <v>0</v>
          </cell>
          <cell r="DS69">
            <v>0</v>
          </cell>
          <cell r="DT69">
            <v>0</v>
          </cell>
          <cell r="DU69">
            <v>0</v>
          </cell>
          <cell r="ED69" t="str">
            <v>G:\Habitat\OPERATIONNEL HABITAT\02- Operations\Photothèque\images locatifs\CASCADES\Cascades.jpg</v>
          </cell>
          <cell r="EE69" t="str">
            <v>G:\Habitat\OPERATIONNEL HABITAT\02- Operations\Photothèque\image non disponible.jpg</v>
          </cell>
          <cell r="EJ69">
            <v>18000</v>
          </cell>
        </row>
        <row r="70">
          <cell r="A70" t="str">
            <v>CEYLAN</v>
          </cell>
          <cell r="B70">
            <v>9608</v>
          </cell>
          <cell r="C70" t="str">
            <v>SUD</v>
          </cell>
          <cell r="D70" t="str">
            <v>Saint-Louis</v>
          </cell>
          <cell r="E70" t="str">
            <v>ZAC AVENIR</v>
          </cell>
          <cell r="F70">
            <v>43</v>
          </cell>
          <cell r="G70" t="str">
            <v>LLTS</v>
          </cell>
          <cell r="J70" t="str">
            <v>COL</v>
          </cell>
          <cell r="K70" t="str">
            <v>CF</v>
          </cell>
          <cell r="L70" t="str">
            <v>SIDR</v>
          </cell>
          <cell r="N70" t="str">
            <v>PC</v>
          </cell>
          <cell r="O70" t="str">
            <v>DL</v>
          </cell>
          <cell r="P70" t="str">
            <v>CS</v>
          </cell>
          <cell r="Q70" t="str">
            <v>HBM</v>
          </cell>
          <cell r="R70">
            <v>2005</v>
          </cell>
          <cell r="T70" t="str">
            <v>appel de fond perene</v>
          </cell>
          <cell r="U70" t="str">
            <v>A. JAVELOT</v>
          </cell>
          <cell r="V70" t="str">
            <v>M - LIVRE/GPA</v>
          </cell>
          <cell r="W70">
            <v>38621</v>
          </cell>
          <cell r="X70" t="str">
            <v>d</v>
          </cell>
          <cell r="Y70" t="str">
            <v>97441405A0502</v>
          </cell>
          <cell r="Z70">
            <v>38677</v>
          </cell>
          <cell r="AA70" t="str">
            <v>o</v>
          </cell>
          <cell r="AB70" t="str">
            <v>validé</v>
          </cell>
          <cell r="AC70" t="str">
            <v/>
          </cell>
          <cell r="AD70">
            <v>38624</v>
          </cell>
          <cell r="AE70">
            <v>38621</v>
          </cell>
          <cell r="AF70" t="str">
            <v>f</v>
          </cell>
          <cell r="AG70">
            <v>38722</v>
          </cell>
          <cell r="AH70">
            <v>38859</v>
          </cell>
          <cell r="AI70" t="str">
            <v>ao</v>
          </cell>
          <cell r="AJ70">
            <v>39006</v>
          </cell>
          <cell r="AK70" t="str">
            <v/>
          </cell>
          <cell r="AL70">
            <v>4.8329826407154126</v>
          </cell>
          <cell r="AM70">
            <v>2006</v>
          </cell>
          <cell r="AN70">
            <v>16</v>
          </cell>
          <cell r="AO70">
            <v>39533</v>
          </cell>
          <cell r="AP70">
            <v>39548</v>
          </cell>
          <cell r="AQ70" t="str">
            <v>li</v>
          </cell>
          <cell r="AR70">
            <v>2008</v>
          </cell>
          <cell r="AW70">
            <v>14</v>
          </cell>
          <cell r="AX70">
            <v>57</v>
          </cell>
          <cell r="BA70">
            <v>14</v>
          </cell>
          <cell r="BB70">
            <v>69</v>
          </cell>
          <cell r="BE70">
            <v>11</v>
          </cell>
          <cell r="BF70">
            <v>80</v>
          </cell>
          <cell r="BI70">
            <v>4</v>
          </cell>
          <cell r="BJ70">
            <v>96</v>
          </cell>
          <cell r="BK70">
            <v>43</v>
          </cell>
          <cell r="BL70">
            <v>4.1399999999999997</v>
          </cell>
          <cell r="BM70">
            <v>0.82</v>
          </cell>
          <cell r="BN70">
            <v>0.2</v>
          </cell>
          <cell r="BO70" t="str">
            <v>signée</v>
          </cell>
          <cell r="BP70">
            <v>0.8</v>
          </cell>
          <cell r="BQ70" t="str">
            <v>signée</v>
          </cell>
          <cell r="BX70" t="str">
            <v>signé</v>
          </cell>
          <cell r="BY70">
            <v>3439</v>
          </cell>
          <cell r="BZ70">
            <v>4823</v>
          </cell>
          <cell r="CA70">
            <v>3073.55</v>
          </cell>
          <cell r="CE70" t="str">
            <v>ECS ind</v>
          </cell>
          <cell r="CF70">
            <v>159100</v>
          </cell>
          <cell r="CG70">
            <v>47730</v>
          </cell>
          <cell r="CH70">
            <v>71595</v>
          </cell>
          <cell r="CI70">
            <v>39775</v>
          </cell>
          <cell r="CJ70" t="str">
            <v>-</v>
          </cell>
          <cell r="CK70" t="str">
            <v>-</v>
          </cell>
          <cell r="CL70" t="str">
            <v>-</v>
          </cell>
          <cell r="CM70" t="str">
            <v>-</v>
          </cell>
          <cell r="CN70">
            <v>0</v>
          </cell>
          <cell r="CQ70" t="str">
            <v>oui</v>
          </cell>
          <cell r="CX70">
            <v>0</v>
          </cell>
          <cell r="DE70">
            <v>119325</v>
          </cell>
          <cell r="DJ70">
            <v>119325</v>
          </cell>
          <cell r="DO70">
            <v>0</v>
          </cell>
          <cell r="DQ70">
            <v>92600</v>
          </cell>
          <cell r="DR70">
            <v>32250</v>
          </cell>
          <cell r="DS70">
            <v>124850</v>
          </cell>
          <cell r="DT70">
            <v>249700</v>
          </cell>
          <cell r="DU70">
            <v>369025</v>
          </cell>
          <cell r="ED70" t="str">
            <v>G:\Habitat\OPERATIONNEL HABITAT\02- Operations\Photothèque\images locatifs\Ceylan\pers Ceylan 2.jpg</v>
          </cell>
          <cell r="EE70" t="str">
            <v>G:\Habitat\OPERATIONNEL HABITAT\02- Operations\Photothèque\image non disponible.jpg</v>
          </cell>
        </row>
        <row r="71">
          <cell r="A71" t="str">
            <v>CHEMIN DEPALMAS/HYRONDELLES</v>
          </cell>
          <cell r="B71" t="str">
            <v>XXXX</v>
          </cell>
          <cell r="C71" t="str">
            <v>NORD</v>
          </cell>
          <cell r="D71" t="str">
            <v>Saint-Denis</v>
          </cell>
          <cell r="E71" t="str">
            <v>LA MONTAGNE</v>
          </cell>
          <cell r="F71">
            <v>9</v>
          </cell>
          <cell r="G71" t="str">
            <v>ACC</v>
          </cell>
          <cell r="J71" t="str">
            <v>IND</v>
          </cell>
          <cell r="K71" t="str">
            <v>RF</v>
          </cell>
          <cell r="M71" t="str">
            <v>maitrisé</v>
          </cell>
          <cell r="N71" t="str">
            <v>PC</v>
          </cell>
          <cell r="O71" t="str">
            <v>DL</v>
          </cell>
          <cell r="P71" t="str">
            <v>NA</v>
          </cell>
          <cell r="R71">
            <v>2008</v>
          </cell>
          <cell r="U71" t="str">
            <v>Atelier des grands arbres</v>
          </cell>
          <cell r="V71" t="str">
            <v>E - APS / PC</v>
          </cell>
          <cell r="W71">
            <v>39807</v>
          </cell>
          <cell r="X71" t="str">
            <v>d</v>
          </cell>
          <cell r="AA71" t="str">
            <v/>
          </cell>
          <cell r="AB71">
            <v>39798</v>
          </cell>
          <cell r="AC71" t="str">
            <v>v</v>
          </cell>
          <cell r="AF71" t="str">
            <v/>
          </cell>
          <cell r="AH71">
            <v>39887</v>
          </cell>
          <cell r="AI71" t="str">
            <v>ao</v>
          </cell>
          <cell r="AJ71">
            <v>39979</v>
          </cell>
          <cell r="AK71" t="str">
            <v/>
          </cell>
          <cell r="AL71">
            <v>3.0247238295633876</v>
          </cell>
          <cell r="AM71">
            <v>2009</v>
          </cell>
          <cell r="AN71">
            <v>12</v>
          </cell>
          <cell r="AO71">
            <v>40344</v>
          </cell>
          <cell r="AP71">
            <v>40359</v>
          </cell>
          <cell r="AQ71" t="str">
            <v/>
          </cell>
          <cell r="AR71">
            <v>2011</v>
          </cell>
          <cell r="CJ71" t="str">
            <v>-</v>
          </cell>
          <cell r="CK71" t="str">
            <v>-</v>
          </cell>
          <cell r="CL71" t="str">
            <v>-</v>
          </cell>
          <cell r="CM71" t="str">
            <v>-</v>
          </cell>
          <cell r="CN71">
            <v>0</v>
          </cell>
          <cell r="CQ71" t="str">
            <v>non</v>
          </cell>
          <cell r="CX71">
            <v>0</v>
          </cell>
          <cell r="DE71">
            <v>0</v>
          </cell>
          <cell r="DJ71">
            <v>0</v>
          </cell>
          <cell r="DO71">
            <v>0</v>
          </cell>
          <cell r="DS71">
            <v>0</v>
          </cell>
          <cell r="DT71">
            <v>0</v>
          </cell>
          <cell r="DU71">
            <v>0</v>
          </cell>
          <cell r="ED71" t="str">
            <v>G:\Habitat\OPERATIONNEL HABITAT\02- Operations\Photothèque\image non disponible.jpg</v>
          </cell>
          <cell r="EE71" t="str">
            <v>G:\Habitat\OPERATIONNEL HABITAT\02- Operations\Photothèque\image non disponible.jpg</v>
          </cell>
        </row>
        <row r="72">
          <cell r="A72" t="str">
            <v>CHEMIN DES PECHERS</v>
          </cell>
          <cell r="B72">
            <v>9706</v>
          </cell>
          <cell r="C72" t="str">
            <v>NORD</v>
          </cell>
          <cell r="D72" t="str">
            <v>Saint-Denis</v>
          </cell>
          <cell r="F72">
            <v>20</v>
          </cell>
          <cell r="G72" t="str">
            <v>LES+</v>
          </cell>
          <cell r="J72" t="str">
            <v>IND</v>
          </cell>
          <cell r="M72" t="str">
            <v>en cours d'acq</v>
          </cell>
          <cell r="N72" t="str">
            <v>BS</v>
          </cell>
          <cell r="O72" t="str">
            <v>FG</v>
          </cell>
          <cell r="P72" t="str">
            <v>LV</v>
          </cell>
          <cell r="R72">
            <v>2007</v>
          </cell>
          <cell r="S72">
            <v>0</v>
          </cell>
          <cell r="T72" t="str">
            <v>sub commune/sub caf - il avait été convenu une participation de la ville à hauteur de 100 000 € lors de l'instruction du dossier - relance en cours</v>
          </cell>
          <cell r="U72" t="str">
            <v>ATELIER GAZUT</v>
          </cell>
          <cell r="V72" t="str">
            <v>I - ACT</v>
          </cell>
          <cell r="W72">
            <v>39340</v>
          </cell>
          <cell r="X72" t="str">
            <v>d</v>
          </cell>
          <cell r="Y72" t="str">
            <v>97407a0435</v>
          </cell>
          <cell r="Z72">
            <v>39568</v>
          </cell>
          <cell r="AA72" t="str">
            <v>o</v>
          </cell>
          <cell r="AB72">
            <v>39337</v>
          </cell>
          <cell r="AC72" t="str">
            <v>v</v>
          </cell>
          <cell r="AD72">
            <v>39387</v>
          </cell>
          <cell r="AE72">
            <v>39352</v>
          </cell>
          <cell r="AG72" t="str">
            <v>17/012008</v>
          </cell>
          <cell r="AH72">
            <v>39653</v>
          </cell>
          <cell r="AI72" t="str">
            <v>ao</v>
          </cell>
          <cell r="AJ72">
            <v>39845</v>
          </cell>
          <cell r="AK72" t="str">
            <v>ch</v>
          </cell>
          <cell r="AL72">
            <v>6.3124671225670701</v>
          </cell>
          <cell r="AM72">
            <v>2009</v>
          </cell>
          <cell r="AN72">
            <v>17</v>
          </cell>
          <cell r="AO72">
            <v>40360</v>
          </cell>
          <cell r="AP72">
            <v>40375</v>
          </cell>
          <cell r="AQ72" t="str">
            <v/>
          </cell>
          <cell r="AR72">
            <v>2010</v>
          </cell>
          <cell r="CJ72" t="str">
            <v>-</v>
          </cell>
          <cell r="CK72" t="str">
            <v>-</v>
          </cell>
          <cell r="CL72" t="str">
            <v>-</v>
          </cell>
          <cell r="CN72">
            <v>0</v>
          </cell>
          <cell r="CQ72" t="str">
            <v>non</v>
          </cell>
          <cell r="CX72">
            <v>0</v>
          </cell>
          <cell r="DE72">
            <v>0</v>
          </cell>
          <cell r="DJ72">
            <v>0</v>
          </cell>
          <cell r="DO72">
            <v>0</v>
          </cell>
          <cell r="DS72">
            <v>0</v>
          </cell>
          <cell r="DT72">
            <v>0</v>
          </cell>
          <cell r="DU72">
            <v>0</v>
          </cell>
          <cell r="ED72" t="str">
            <v>G:\Habitat\OPERATIONNEL HABITAT\02- Operations\Photothèque\image non disponible.jpg</v>
          </cell>
          <cell r="EE72" t="str">
            <v>G:\Habitat\OPERATIONNEL HABITAT\02- Operations\Photothèque\image non disponible.jpg</v>
          </cell>
        </row>
        <row r="73">
          <cell r="A73" t="str">
            <v>CHEMIN FINETTE</v>
          </cell>
          <cell r="C73" t="str">
            <v>NORD</v>
          </cell>
          <cell r="D73" t="str">
            <v>Saint-Denis</v>
          </cell>
          <cell r="F73">
            <v>50</v>
          </cell>
          <cell r="G73" t="str">
            <v>LLTS</v>
          </cell>
          <cell r="J73" t="str">
            <v>MIXT</v>
          </cell>
          <cell r="K73" t="str">
            <v>RF</v>
          </cell>
          <cell r="N73" t="str">
            <v>JPM</v>
          </cell>
          <cell r="O73" t="str">
            <v>PE</v>
          </cell>
          <cell r="P73" t="str">
            <v>CC</v>
          </cell>
          <cell r="R73">
            <v>2009</v>
          </cell>
          <cell r="T73" t="str">
            <v>Mixité - vérifier si présence du réseau d'assainissement - faisabilité présenter à DDE en sept 2008</v>
          </cell>
          <cell r="U73" t="str">
            <v>procedure formalisée</v>
          </cell>
          <cell r="V73" t="str">
            <v>B - ETUDE PRE-OP</v>
          </cell>
          <cell r="W73" t="str">
            <v>15/03/209</v>
          </cell>
          <cell r="Z73">
            <v>39979</v>
          </cell>
          <cell r="AA73" t="str">
            <v/>
          </cell>
          <cell r="AB73">
            <v>39873</v>
          </cell>
          <cell r="AC73" t="str">
            <v>v</v>
          </cell>
          <cell r="AE73">
            <v>40071</v>
          </cell>
          <cell r="AH73">
            <v>40086</v>
          </cell>
          <cell r="AI73" t="str">
            <v/>
          </cell>
          <cell r="AJ73">
            <v>40267</v>
          </cell>
          <cell r="AK73" t="str">
            <v/>
          </cell>
          <cell r="AL73">
            <v>5.9508153603366649</v>
          </cell>
          <cell r="AM73">
            <v>2010</v>
          </cell>
          <cell r="AN73">
            <v>12</v>
          </cell>
          <cell r="AO73">
            <v>40632</v>
          </cell>
          <cell r="AP73">
            <v>40647</v>
          </cell>
          <cell r="AQ73" t="str">
            <v/>
          </cell>
          <cell r="AR73">
            <v>2011</v>
          </cell>
          <cell r="CJ73" t="str">
            <v>-</v>
          </cell>
          <cell r="CK73" t="str">
            <v>-</v>
          </cell>
          <cell r="CL73" t="str">
            <v>-</v>
          </cell>
          <cell r="CM73" t="str">
            <v>-</v>
          </cell>
          <cell r="CN73">
            <v>0</v>
          </cell>
          <cell r="CQ73" t="str">
            <v>non</v>
          </cell>
          <cell r="CX73">
            <v>0</v>
          </cell>
          <cell r="DE73">
            <v>0</v>
          </cell>
          <cell r="DJ73">
            <v>0</v>
          </cell>
          <cell r="DO73">
            <v>0</v>
          </cell>
          <cell r="DS73">
            <v>0</v>
          </cell>
          <cell r="DT73">
            <v>0</v>
          </cell>
          <cell r="DU73">
            <v>0</v>
          </cell>
          <cell r="ED73" t="str">
            <v>G:\Habitat\OPERATIONNEL HABITAT\02- Operations\Photothèque\image non disponible.jpg</v>
          </cell>
          <cell r="EE73" t="str">
            <v>G:\Habitat\OPERATIONNEL HABITAT\02- Operations\Photothèque\image non disponible.jpg</v>
          </cell>
        </row>
        <row r="74">
          <cell r="A74" t="str">
            <v>CHEMIN RICQUEBOURG</v>
          </cell>
          <cell r="B74">
            <v>9468</v>
          </cell>
          <cell r="C74" t="str">
            <v>OUEST</v>
          </cell>
          <cell r="D74" t="str">
            <v>Saint-Leu</v>
          </cell>
          <cell r="E74" t="str">
            <v>VRD COMMUN /FRAFU 2</v>
          </cell>
          <cell r="F74">
            <v>32</v>
          </cell>
          <cell r="G74" t="str">
            <v>LESG</v>
          </cell>
          <cell r="J74" t="str">
            <v>IND</v>
          </cell>
          <cell r="K74" t="str">
            <v>CF</v>
          </cell>
          <cell r="L74" t="str">
            <v>SIDR</v>
          </cell>
          <cell r="N74" t="str">
            <v>EC</v>
          </cell>
          <cell r="O74" t="str">
            <v>OS</v>
          </cell>
          <cell r="P74" t="str">
            <v>LV</v>
          </cell>
          <cell r="Q74" t="str">
            <v>EC</v>
          </cell>
          <cell r="R74">
            <v>2003</v>
          </cell>
          <cell r="U74" t="str">
            <v>DELANDE SOAA</v>
          </cell>
          <cell r="V74" t="str">
            <v>M - LIVRE/GPA</v>
          </cell>
          <cell r="W74">
            <v>37819</v>
          </cell>
          <cell r="X74" t="str">
            <v>d</v>
          </cell>
          <cell r="Z74">
            <v>37903</v>
          </cell>
          <cell r="AA74" t="str">
            <v>o</v>
          </cell>
          <cell r="AB74" t="str">
            <v>validé</v>
          </cell>
          <cell r="AC74" t="str">
            <v/>
          </cell>
          <cell r="AD74">
            <v>0</v>
          </cell>
          <cell r="AE74">
            <v>37909</v>
          </cell>
          <cell r="AF74" t="str">
            <v>f</v>
          </cell>
          <cell r="AG74">
            <v>37967</v>
          </cell>
          <cell r="AH74">
            <v>38122</v>
          </cell>
          <cell r="AI74" t="str">
            <v>ao</v>
          </cell>
          <cell r="AJ74">
            <v>38198</v>
          </cell>
          <cell r="AK74" t="str">
            <v/>
          </cell>
          <cell r="AL74">
            <v>2.4986849026827986</v>
          </cell>
          <cell r="AM74">
            <v>2004</v>
          </cell>
          <cell r="AN74">
            <v>16</v>
          </cell>
          <cell r="AO74">
            <v>38686</v>
          </cell>
          <cell r="AP74">
            <v>38701</v>
          </cell>
          <cell r="AQ74" t="str">
            <v>li</v>
          </cell>
          <cell r="AR74">
            <v>2005</v>
          </cell>
          <cell r="CJ74" t="str">
            <v>-</v>
          </cell>
          <cell r="CK74" t="str">
            <v>-</v>
          </cell>
          <cell r="CL74" t="str">
            <v>-</v>
          </cell>
          <cell r="CM74" t="str">
            <v>-</v>
          </cell>
          <cell r="CN74">
            <v>0</v>
          </cell>
          <cell r="CQ74" t="str">
            <v>oui</v>
          </cell>
          <cell r="CX74">
            <v>0</v>
          </cell>
          <cell r="DE74">
            <v>0</v>
          </cell>
          <cell r="DJ74">
            <v>0</v>
          </cell>
          <cell r="DO74">
            <v>0</v>
          </cell>
          <cell r="DS74">
            <v>0</v>
          </cell>
          <cell r="DT74">
            <v>0</v>
          </cell>
          <cell r="DU74">
            <v>0</v>
          </cell>
          <cell r="ED74" t="str">
            <v>G:\Habitat\OPERATIONNEL HABITAT\02- Operations\Photothèque\image non disponible.jpg</v>
          </cell>
          <cell r="EE74" t="str">
            <v>G:\Habitat\OPERATIONNEL HABITAT\02- Operations\Photothèque\image non disponible.jpg</v>
          </cell>
        </row>
        <row r="75">
          <cell r="A75" t="str">
            <v>CHYPRE</v>
          </cell>
          <cell r="B75">
            <v>9655</v>
          </cell>
          <cell r="C75" t="str">
            <v>SUD</v>
          </cell>
          <cell r="D75" t="str">
            <v>Tampon</v>
          </cell>
          <cell r="E75" t="str">
            <v>TERRAIN BERTHEAU</v>
          </cell>
          <cell r="F75">
            <v>71</v>
          </cell>
          <cell r="G75" t="str">
            <v>LLS</v>
          </cell>
          <cell r="I75" t="str">
            <v>BZ</v>
          </cell>
          <cell r="J75" t="str">
            <v>COL</v>
          </cell>
          <cell r="K75" t="str">
            <v>RF</v>
          </cell>
          <cell r="M75" t="str">
            <v>maitrisé</v>
          </cell>
          <cell r="N75" t="str">
            <v>LC</v>
          </cell>
          <cell r="O75" t="str">
            <v>CA</v>
          </cell>
          <cell r="P75" t="str">
            <v>AM</v>
          </cell>
          <cell r="R75">
            <v>2006</v>
          </cell>
          <cell r="S75">
            <v>1</v>
          </cell>
          <cell r="T75" t="str">
            <v xml:space="preserve">temoin 10/2007/meubles attente chaise définitives/Devis bornes WIFI </v>
          </cell>
          <cell r="U75" t="str">
            <v>SAULNIER</v>
          </cell>
          <cell r="V75" t="str">
            <v>M - LIVRE/GPA</v>
          </cell>
          <cell r="W75">
            <v>38794</v>
          </cell>
          <cell r="X75" t="str">
            <v>d</v>
          </cell>
          <cell r="Y75" t="str">
            <v>97442206A0225</v>
          </cell>
          <cell r="Z75">
            <v>38947</v>
          </cell>
          <cell r="AA75" t="str">
            <v>o</v>
          </cell>
          <cell r="AB75">
            <v>38974</v>
          </cell>
          <cell r="AC75" t="str">
            <v>v</v>
          </cell>
          <cell r="AD75">
            <v>39030</v>
          </cell>
          <cell r="AE75">
            <v>38832</v>
          </cell>
          <cell r="AF75" t="str">
            <v>f</v>
          </cell>
          <cell r="AG75">
            <v>38992</v>
          </cell>
          <cell r="AH75">
            <v>38972</v>
          </cell>
          <cell r="AI75" t="str">
            <v>ao</v>
          </cell>
          <cell r="AJ75">
            <v>39097</v>
          </cell>
          <cell r="AK75" t="str">
            <v/>
          </cell>
          <cell r="AL75">
            <v>4.1096791162546031</v>
          </cell>
          <cell r="AM75">
            <v>2007</v>
          </cell>
          <cell r="AN75">
            <v>15</v>
          </cell>
          <cell r="AO75">
            <v>39568</v>
          </cell>
          <cell r="AP75">
            <v>39659</v>
          </cell>
          <cell r="AQ75" t="str">
            <v>li</v>
          </cell>
          <cell r="AR75">
            <v>2008</v>
          </cell>
          <cell r="AS75">
            <v>54</v>
          </cell>
          <cell r="AT75">
            <v>22</v>
          </cell>
          <cell r="AU75">
            <v>16</v>
          </cell>
          <cell r="AV75">
            <v>31</v>
          </cell>
          <cell r="BE75">
            <v>1</v>
          </cell>
          <cell r="BF75">
            <v>79</v>
          </cell>
          <cell r="BK75">
            <v>71</v>
          </cell>
          <cell r="BL75">
            <v>9.1999999999999993</v>
          </cell>
          <cell r="BM75">
            <v>0.82</v>
          </cell>
          <cell r="BN75">
            <v>0.2</v>
          </cell>
          <cell r="BO75" t="str">
            <v>signée</v>
          </cell>
          <cell r="BP75">
            <v>0.8</v>
          </cell>
          <cell r="BQ75" t="str">
            <v>signée</v>
          </cell>
          <cell r="BX75" t="str">
            <v>signé</v>
          </cell>
          <cell r="BY75">
            <v>2355</v>
          </cell>
          <cell r="BZ75">
            <v>2205</v>
          </cell>
          <cell r="CA75">
            <v>1871.23</v>
          </cell>
          <cell r="CE75" t="str">
            <v>ECS coll</v>
          </cell>
          <cell r="CI75" t="str">
            <v>D faite</v>
          </cell>
          <cell r="CJ75" t="str">
            <v>-</v>
          </cell>
          <cell r="CK75" t="str">
            <v>-</v>
          </cell>
          <cell r="CL75" t="str">
            <v>-</v>
          </cell>
          <cell r="CM75" t="str">
            <v>-</v>
          </cell>
          <cell r="CN75">
            <v>0</v>
          </cell>
          <cell r="CQ75" t="str">
            <v>oui</v>
          </cell>
          <cell r="CX75">
            <v>0</v>
          </cell>
          <cell r="DE75">
            <v>0</v>
          </cell>
          <cell r="DJ75">
            <v>0</v>
          </cell>
          <cell r="DO75">
            <v>0</v>
          </cell>
          <cell r="DQ75">
            <v>91925</v>
          </cell>
          <cell r="DR75">
            <v>62125</v>
          </cell>
          <cell r="DS75">
            <v>154050</v>
          </cell>
          <cell r="DT75">
            <v>308100</v>
          </cell>
          <cell r="DU75">
            <v>308100</v>
          </cell>
          <cell r="ED75" t="str">
            <v>G:\Habitat\OPERATIONNEL HABITAT\02- Operations\Photothèque\images locatifs\CHYPRE\chypre.jpg</v>
          </cell>
          <cell r="EE75" t="str">
            <v>G:\Habitat\OPERATIONNEL HABITAT\02- Operations\Photothèque\image non disponible.jpg</v>
          </cell>
        </row>
        <row r="76">
          <cell r="A76" t="str">
            <v>COCOS</v>
          </cell>
          <cell r="B76">
            <v>9691</v>
          </cell>
          <cell r="C76" t="str">
            <v>NORD</v>
          </cell>
          <cell r="D76" t="str">
            <v>Saint-Denis</v>
          </cell>
          <cell r="E76" t="str">
            <v>RHI HYACINTHE CARAMBOLES</v>
          </cell>
          <cell r="F76">
            <v>38</v>
          </cell>
          <cell r="G76" t="str">
            <v>LLTS</v>
          </cell>
          <cell r="J76" t="str">
            <v>COL</v>
          </cell>
          <cell r="K76" t="str">
            <v>CF</v>
          </cell>
          <cell r="L76" t="str">
            <v>SIDR</v>
          </cell>
          <cell r="M76" t="str">
            <v>maitrisé</v>
          </cell>
          <cell r="N76" t="str">
            <v>JEM</v>
          </cell>
          <cell r="O76" t="str">
            <v>PE</v>
          </cell>
          <cell r="P76" t="str">
            <v>CC</v>
          </cell>
          <cell r="Q76" t="str">
            <v>AR</v>
          </cell>
          <cell r="R76">
            <v>2008</v>
          </cell>
          <cell r="S76">
            <v>1</v>
          </cell>
          <cell r="T76" t="str">
            <v>Lié au relogement dans Lacroix + Démolitions</v>
          </cell>
          <cell r="U76" t="str">
            <v>Atelier GROUARD</v>
          </cell>
          <cell r="V76" t="str">
            <v>G - PROJET</v>
          </cell>
          <cell r="W76">
            <v>39670</v>
          </cell>
          <cell r="X76" t="str">
            <v>d</v>
          </cell>
          <cell r="Z76">
            <v>39751</v>
          </cell>
          <cell r="AA76" t="str">
            <v>o</v>
          </cell>
          <cell r="AB76">
            <v>39595</v>
          </cell>
          <cell r="AC76" t="str">
            <v>v</v>
          </cell>
          <cell r="AD76">
            <v>39710</v>
          </cell>
          <cell r="AE76">
            <v>39715</v>
          </cell>
          <cell r="AF76" t="str">
            <v>f</v>
          </cell>
          <cell r="AH76">
            <v>39918</v>
          </cell>
          <cell r="AI76" t="str">
            <v>ao</v>
          </cell>
          <cell r="AJ76">
            <v>40101</v>
          </cell>
          <cell r="AK76" t="str">
            <v/>
          </cell>
          <cell r="AL76">
            <v>6.0165702261967384</v>
          </cell>
          <cell r="AM76">
            <v>2009</v>
          </cell>
          <cell r="AN76">
            <v>15</v>
          </cell>
          <cell r="AO76">
            <v>40558</v>
          </cell>
          <cell r="AP76">
            <v>40573</v>
          </cell>
          <cell r="AQ76" t="str">
            <v/>
          </cell>
          <cell r="AR76">
            <v>2011</v>
          </cell>
          <cell r="BK76">
            <v>0</v>
          </cell>
          <cell r="BL76">
            <v>5.57</v>
          </cell>
          <cell r="CJ76" t="str">
            <v>SCI Saint Denis</v>
          </cell>
          <cell r="CK76" t="str">
            <v>INFI</v>
          </cell>
          <cell r="CL76">
            <v>39801</v>
          </cell>
          <cell r="CM76" t="str">
            <v>-</v>
          </cell>
          <cell r="CN76">
            <v>0</v>
          </cell>
          <cell r="CO76" t="str">
            <v>199 undecies A</v>
          </cell>
          <cell r="CQ76" t="str">
            <v>non</v>
          </cell>
          <cell r="CX76">
            <v>0</v>
          </cell>
          <cell r="DE76">
            <v>0</v>
          </cell>
          <cell r="DJ76">
            <v>0</v>
          </cell>
          <cell r="DO76">
            <v>0</v>
          </cell>
          <cell r="DS76">
            <v>0</v>
          </cell>
          <cell r="DT76">
            <v>0</v>
          </cell>
          <cell r="DU76">
            <v>0</v>
          </cell>
          <cell r="ED76" t="str">
            <v>G:\Habitat\OPERATIONNEL HABITAT\02- Operations\Photothèque\image non disponible.jpg</v>
          </cell>
          <cell r="EE76" t="str">
            <v>G:\Habitat\OPERATIONNEL HABITAT\02- Operations\Photothèque\image non disponible.jpg</v>
          </cell>
        </row>
        <row r="77">
          <cell r="A77" t="str">
            <v>CŒUR DE VILLE</v>
          </cell>
          <cell r="C77" t="str">
            <v>EST</v>
          </cell>
          <cell r="D77" t="str">
            <v>Plaine des Palmistes</v>
          </cell>
          <cell r="E77" t="str">
            <v>CENTRE VILLE</v>
          </cell>
          <cell r="F77">
            <v>33</v>
          </cell>
          <cell r="G77" t="str">
            <v>LLTS</v>
          </cell>
          <cell r="J77" t="str">
            <v>COL</v>
          </cell>
          <cell r="N77" t="str">
            <v>Cla</v>
          </cell>
          <cell r="Q77" t="str">
            <v>SM</v>
          </cell>
          <cell r="R77">
            <v>2011</v>
          </cell>
          <cell r="T77" t="str">
            <v>ZAC en cours de création (travaux ZAC en 2010)</v>
          </cell>
          <cell r="AA77" t="str">
            <v/>
          </cell>
          <cell r="AC77" t="str">
            <v/>
          </cell>
          <cell r="AI77" t="str">
            <v/>
          </cell>
          <cell r="AK77" t="str">
            <v/>
          </cell>
          <cell r="AL77">
            <v>0</v>
          </cell>
          <cell r="AQ77" t="str">
            <v/>
          </cell>
          <cell r="CJ77" t="str">
            <v>-</v>
          </cell>
          <cell r="CK77" t="str">
            <v>-</v>
          </cell>
          <cell r="CL77" t="str">
            <v>-</v>
          </cell>
          <cell r="CM77" t="str">
            <v>-</v>
          </cell>
          <cell r="CN77">
            <v>0</v>
          </cell>
          <cell r="CQ77" t="str">
            <v>non</v>
          </cell>
          <cell r="CX77">
            <v>0</v>
          </cell>
          <cell r="DE77">
            <v>0</v>
          </cell>
          <cell r="DJ77">
            <v>0</v>
          </cell>
          <cell r="DO77">
            <v>0</v>
          </cell>
          <cell r="DS77">
            <v>0</v>
          </cell>
          <cell r="DT77">
            <v>0</v>
          </cell>
          <cell r="DU77">
            <v>0</v>
          </cell>
          <cell r="ED77" t="str">
            <v>G:\Habitat\OPERATIONNEL HABITAT\02- Operations\Photothèque\image non disponible.jpg</v>
          </cell>
          <cell r="EE77" t="str">
            <v>G:\Habitat\OPERATIONNEL HABITAT\02- Operations\Photothèque\image non disponible.jpg</v>
          </cell>
        </row>
        <row r="78">
          <cell r="A78" t="str">
            <v>COLLEGE 23EME</v>
          </cell>
          <cell r="B78" t="str">
            <v>xxxx</v>
          </cell>
          <cell r="C78" t="str">
            <v>SUD</v>
          </cell>
          <cell r="D78" t="str">
            <v>Tampon</v>
          </cell>
          <cell r="E78" t="str">
            <v>23EME - Z2</v>
          </cell>
          <cell r="F78">
            <v>30</v>
          </cell>
          <cell r="G78" t="str">
            <v>LESG</v>
          </cell>
          <cell r="J78" t="str">
            <v>IND</v>
          </cell>
          <cell r="K78" t="str">
            <v>RF</v>
          </cell>
          <cell r="N78" t="str">
            <v>N.A.</v>
          </cell>
          <cell r="R78">
            <v>2011</v>
          </cell>
          <cell r="T78" t="str">
            <v>Absence d'assainissement - une station STEP est en cours d'étude - La DDE &amp; la mairie souhaite une que la SIDR fasse une approche financière d'une solution avec assainissement semi collectif</v>
          </cell>
          <cell r="V78" t="str">
            <v>A - NON LANCE</v>
          </cell>
          <cell r="X78" t="str">
            <v/>
          </cell>
          <cell r="AA78" t="str">
            <v/>
          </cell>
          <cell r="AC78" t="str">
            <v/>
          </cell>
          <cell r="AF78" t="str">
            <v/>
          </cell>
          <cell r="AI78" t="str">
            <v/>
          </cell>
          <cell r="AK78" t="str">
            <v/>
          </cell>
          <cell r="AL78">
            <v>0</v>
          </cell>
          <cell r="AM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CJ78" t="str">
            <v>-</v>
          </cell>
          <cell r="CK78" t="str">
            <v>-</v>
          </cell>
          <cell r="CL78" t="str">
            <v>-</v>
          </cell>
          <cell r="CM78" t="str">
            <v>-</v>
          </cell>
          <cell r="CN78">
            <v>0</v>
          </cell>
          <cell r="CQ78" t="str">
            <v>non</v>
          </cell>
          <cell r="CX78">
            <v>0</v>
          </cell>
          <cell r="DE78">
            <v>0</v>
          </cell>
          <cell r="DJ78">
            <v>0</v>
          </cell>
          <cell r="DO78">
            <v>0</v>
          </cell>
          <cell r="DS78">
            <v>0</v>
          </cell>
          <cell r="DT78">
            <v>0</v>
          </cell>
          <cell r="DU78">
            <v>0</v>
          </cell>
          <cell r="ED78" t="str">
            <v>G:\Habitat\OPERATIONNEL HABITAT\02- Operations\Photothèque\image non disponible.jpg</v>
          </cell>
          <cell r="EE78" t="str">
            <v>G:\Habitat\OPERATIONNEL HABITAT\02- Operations\Photothèque\image non disponible.jpg</v>
          </cell>
        </row>
        <row r="79">
          <cell r="A79" t="str">
            <v>COLLEGE 23EME b</v>
          </cell>
          <cell r="C79" t="str">
            <v>SUD</v>
          </cell>
          <cell r="D79" t="str">
            <v>Tampon</v>
          </cell>
          <cell r="E79" t="str">
            <v>23EME - Z2</v>
          </cell>
          <cell r="F79">
            <v>25</v>
          </cell>
          <cell r="G79" t="str">
            <v>LLS</v>
          </cell>
          <cell r="J79" t="str">
            <v>MV</v>
          </cell>
          <cell r="K79" t="str">
            <v>RF</v>
          </cell>
          <cell r="N79" t="str">
            <v>N.A.</v>
          </cell>
          <cell r="R79">
            <v>2011</v>
          </cell>
          <cell r="T79" t="str">
            <v>Absence d'assainissement - une station STEP est en cours d'étude - La DDE &amp; la mairie souhaite une que la SIDR fasse une approche financière d'une solution avec assainissement semi collectif</v>
          </cell>
          <cell r="V79" t="str">
            <v>A - NON LANCE</v>
          </cell>
          <cell r="X79" t="str">
            <v/>
          </cell>
          <cell r="AA79" t="str">
            <v/>
          </cell>
          <cell r="AC79" t="str">
            <v/>
          </cell>
          <cell r="AF79" t="str">
            <v/>
          </cell>
          <cell r="AI79" t="str">
            <v/>
          </cell>
          <cell r="AK79" t="str">
            <v/>
          </cell>
          <cell r="AL79">
            <v>0</v>
          </cell>
          <cell r="AM79" t="str">
            <v/>
          </cell>
          <cell r="AO79" t="str">
            <v/>
          </cell>
          <cell r="AP79" t="str">
            <v/>
          </cell>
          <cell r="AQ79" t="str">
            <v/>
          </cell>
          <cell r="CJ79" t="str">
            <v>-</v>
          </cell>
          <cell r="CK79" t="str">
            <v>-</v>
          </cell>
          <cell r="CL79" t="str">
            <v>-</v>
          </cell>
          <cell r="CM79" t="str">
            <v>-</v>
          </cell>
          <cell r="CN79">
            <v>0</v>
          </cell>
          <cell r="CQ79" t="str">
            <v>non</v>
          </cell>
          <cell r="CX79">
            <v>0</v>
          </cell>
          <cell r="DE79">
            <v>0</v>
          </cell>
          <cell r="DJ79">
            <v>0</v>
          </cell>
          <cell r="DO79">
            <v>0</v>
          </cell>
          <cell r="DS79">
            <v>0</v>
          </cell>
          <cell r="DT79">
            <v>0</v>
          </cell>
          <cell r="DU79">
            <v>0</v>
          </cell>
          <cell r="ED79" t="str">
            <v>G:\Habitat\OPERATIONNEL HABITAT\02- Operations\Photothèque\image non disponible.jpg</v>
          </cell>
          <cell r="EE79" t="str">
            <v>G:\Habitat\OPERATIONNEL HABITAT\02- Operations\Photothèque\image non disponible.jpg</v>
          </cell>
        </row>
        <row r="80">
          <cell r="A80" t="str">
            <v>COOK</v>
          </cell>
          <cell r="C80" t="str">
            <v>EST</v>
          </cell>
          <cell r="D80" t="str">
            <v>Saint-Benoît</v>
          </cell>
          <cell r="E80" t="str">
            <v>BRAS CANOT - PREVOISY</v>
          </cell>
          <cell r="F80">
            <v>50</v>
          </cell>
          <cell r="G80" t="str">
            <v>LLTS</v>
          </cell>
          <cell r="J80" t="str">
            <v>COL</v>
          </cell>
          <cell r="K80" t="str">
            <v>CF</v>
          </cell>
          <cell r="L80" t="str">
            <v>SIDR</v>
          </cell>
          <cell r="N80" t="str">
            <v>CLa</v>
          </cell>
          <cell r="Q80" t="str">
            <v>AR</v>
          </cell>
          <cell r="R80">
            <v>2011</v>
          </cell>
          <cell r="T80" t="str">
            <v>Opération d'aménagement (SIDR) à prévoir - attente livraison primaire SEMAC</v>
          </cell>
          <cell r="V80" t="str">
            <v>A - NON LANCE</v>
          </cell>
          <cell r="X80" t="str">
            <v/>
          </cell>
          <cell r="AA80" t="str">
            <v/>
          </cell>
          <cell r="AC80" t="str">
            <v/>
          </cell>
          <cell r="AF80" t="str">
            <v/>
          </cell>
          <cell r="AI80" t="str">
            <v/>
          </cell>
          <cell r="AK80" t="str">
            <v/>
          </cell>
          <cell r="AL80">
            <v>0</v>
          </cell>
          <cell r="AM80" t="str">
            <v/>
          </cell>
          <cell r="AO80" t="str">
            <v/>
          </cell>
          <cell r="AP80" t="str">
            <v/>
          </cell>
          <cell r="AQ80" t="str">
            <v/>
          </cell>
          <cell r="CJ80" t="str">
            <v>-</v>
          </cell>
          <cell r="CK80" t="str">
            <v>-</v>
          </cell>
          <cell r="CL80" t="str">
            <v>-</v>
          </cell>
          <cell r="CM80" t="str">
            <v>-</v>
          </cell>
          <cell r="CN80">
            <v>0</v>
          </cell>
          <cell r="CQ80" t="str">
            <v>non</v>
          </cell>
          <cell r="CX80">
            <v>0</v>
          </cell>
          <cell r="DE80">
            <v>0</v>
          </cell>
          <cell r="DJ80">
            <v>0</v>
          </cell>
          <cell r="DO80">
            <v>0</v>
          </cell>
          <cell r="DS80">
            <v>0</v>
          </cell>
          <cell r="DT80">
            <v>0</v>
          </cell>
          <cell r="DU80">
            <v>0</v>
          </cell>
          <cell r="ED80" t="str">
            <v>G:\Habitat\OPERATIONNEL HABITAT\02- Operations\Photothèque\image non disponible.jpg</v>
          </cell>
          <cell r="EE80" t="str">
            <v>G:\Habitat\OPERATIONNEL HABITAT\02- Operations\Photothèque\image non disponible.jpg</v>
          </cell>
        </row>
        <row r="81">
          <cell r="A81" t="str">
            <v>CORDELIA</v>
          </cell>
          <cell r="B81">
            <v>9658</v>
          </cell>
          <cell r="C81" t="str">
            <v>OUEST</v>
          </cell>
          <cell r="D81" t="str">
            <v>Saint-Paul</v>
          </cell>
          <cell r="E81" t="str">
            <v>BOIS DE NEFLES</v>
          </cell>
          <cell r="F81">
            <v>38</v>
          </cell>
          <cell r="G81" t="str">
            <v>ACC</v>
          </cell>
          <cell r="J81" t="str">
            <v>IND</v>
          </cell>
          <cell r="K81" t="str">
            <v>RF</v>
          </cell>
          <cell r="M81" t="str">
            <v>maitrisé</v>
          </cell>
          <cell r="N81" t="str">
            <v>PC</v>
          </cell>
          <cell r="O81" t="str">
            <v>JH</v>
          </cell>
          <cell r="P81" t="str">
            <v>NA</v>
          </cell>
          <cell r="R81">
            <v>2006</v>
          </cell>
          <cell r="T81" t="str">
            <v>temoin 15/10/2007</v>
          </cell>
          <cell r="U81" t="str">
            <v>ATELIER GAZUT</v>
          </cell>
          <cell r="V81" t="str">
            <v>L - CHANTIER EN COURS</v>
          </cell>
          <cell r="W81">
            <v>38581</v>
          </cell>
          <cell r="X81" t="str">
            <v>d</v>
          </cell>
          <cell r="Z81">
            <v>38699</v>
          </cell>
          <cell r="AA81" t="str">
            <v>o</v>
          </cell>
          <cell r="AB81" t="str">
            <v>validé</v>
          </cell>
          <cell r="AC81" t="str">
            <v/>
          </cell>
          <cell r="AD81" t="str">
            <v>v</v>
          </cell>
          <cell r="AF81" t="str">
            <v/>
          </cell>
          <cell r="AH81">
            <v>38808</v>
          </cell>
          <cell r="AI81" t="str">
            <v>ao</v>
          </cell>
          <cell r="AJ81">
            <v>38930</v>
          </cell>
          <cell r="AK81" t="str">
            <v/>
          </cell>
          <cell r="AL81">
            <v>4.011046817464492</v>
          </cell>
          <cell r="AM81">
            <v>2006</v>
          </cell>
          <cell r="AN81">
            <v>28</v>
          </cell>
          <cell r="AO81">
            <v>39813</v>
          </cell>
          <cell r="AP81">
            <v>39813</v>
          </cell>
          <cell r="AQ81" t="str">
            <v>li</v>
          </cell>
          <cell r="AR81">
            <v>2008</v>
          </cell>
          <cell r="CJ81" t="str">
            <v>Villas Cordélia</v>
          </cell>
          <cell r="CK81" t="str">
            <v>INFI</v>
          </cell>
          <cell r="CL81" t="str">
            <v>S.O.</v>
          </cell>
          <cell r="CM81" t="str">
            <v>S.O.</v>
          </cell>
          <cell r="CN81">
            <v>0</v>
          </cell>
          <cell r="CO81" t="str">
            <v>S.O</v>
          </cell>
          <cell r="CQ81" t="str">
            <v>oui</v>
          </cell>
          <cell r="CX81">
            <v>0</v>
          </cell>
          <cell r="DE81">
            <v>0</v>
          </cell>
          <cell r="DJ81">
            <v>0</v>
          </cell>
          <cell r="DO81">
            <v>0</v>
          </cell>
          <cell r="DS81">
            <v>0</v>
          </cell>
          <cell r="DT81">
            <v>0</v>
          </cell>
          <cell r="DU81">
            <v>0</v>
          </cell>
          <cell r="ED81" t="str">
            <v>G:\Habitat\OPERATIONNEL HABITAT\02- Operations\Photothèque\images accession\Cordelia\cordelia-rvb.jpg</v>
          </cell>
          <cell r="EE81" t="str">
            <v>G:\Habitat\OPERATIONNEL HABITAT\02- Operations\Photothèque\images accession\Cordelia\CORDELIA.jpg</v>
          </cell>
        </row>
        <row r="82">
          <cell r="A82" t="str">
            <v>CORFOU</v>
          </cell>
          <cell r="C82" t="str">
            <v>EST</v>
          </cell>
          <cell r="D82" t="str">
            <v>Saint-Benoît</v>
          </cell>
          <cell r="E82" t="str">
            <v>BRAS CANOT - PREVOISY</v>
          </cell>
          <cell r="F82">
            <v>30</v>
          </cell>
          <cell r="G82" t="str">
            <v>LLS</v>
          </cell>
          <cell r="J82" t="str">
            <v>MV</v>
          </cell>
          <cell r="K82" t="str">
            <v>CF</v>
          </cell>
          <cell r="L82" t="str">
            <v>SIDR</v>
          </cell>
          <cell r="N82" t="str">
            <v>CLa</v>
          </cell>
          <cell r="P82" t="str">
            <v>CC</v>
          </cell>
          <cell r="Q82" t="str">
            <v>AR</v>
          </cell>
          <cell r="R82">
            <v>2010</v>
          </cell>
          <cell r="S82">
            <v>0</v>
          </cell>
          <cell r="T82" t="str">
            <v>Opération d'aménagement (SIDR) à prévoir - attente livraison primaire SEMAC</v>
          </cell>
          <cell r="V82" t="str">
            <v>A - NON LANCE</v>
          </cell>
          <cell r="X82" t="str">
            <v/>
          </cell>
          <cell r="AA82" t="str">
            <v/>
          </cell>
          <cell r="AC82" t="str">
            <v/>
          </cell>
          <cell r="AF82" t="str">
            <v/>
          </cell>
          <cell r="AI82" t="str">
            <v/>
          </cell>
          <cell r="AK82" t="str">
            <v/>
          </cell>
          <cell r="AL82">
            <v>0</v>
          </cell>
          <cell r="AM82" t="str">
            <v/>
          </cell>
          <cell r="AO82" t="str">
            <v/>
          </cell>
          <cell r="AP82" t="str">
            <v/>
          </cell>
          <cell r="AQ82" t="str">
            <v/>
          </cell>
          <cell r="BK82">
            <v>0</v>
          </cell>
          <cell r="CJ82" t="str">
            <v>-</v>
          </cell>
          <cell r="CK82" t="str">
            <v>-</v>
          </cell>
          <cell r="CL82" t="str">
            <v>-</v>
          </cell>
          <cell r="CM82" t="str">
            <v>-</v>
          </cell>
          <cell r="CN82">
            <v>0</v>
          </cell>
          <cell r="CQ82" t="str">
            <v>non</v>
          </cell>
          <cell r="CX82">
            <v>0</v>
          </cell>
          <cell r="DE82">
            <v>0</v>
          </cell>
          <cell r="DJ82">
            <v>0</v>
          </cell>
          <cell r="DO82">
            <v>0</v>
          </cell>
          <cell r="DS82">
            <v>0</v>
          </cell>
          <cell r="DT82">
            <v>0</v>
          </cell>
          <cell r="DU82">
            <v>0</v>
          </cell>
          <cell r="ED82" t="str">
            <v>G:\Habitat\OPERATIONNEL HABITAT\02- Operations\Photothèque\image non disponible.jpg</v>
          </cell>
          <cell r="EE82" t="str">
            <v>G:\Habitat\OPERATIONNEL HABITAT\02- Operations\Photothèque\image non disponible.jpg</v>
          </cell>
        </row>
        <row r="83">
          <cell r="A83" t="str">
            <v>COROSSOL ex CHAGOS 1</v>
          </cell>
          <cell r="B83">
            <v>9694</v>
          </cell>
          <cell r="C83" t="str">
            <v>EST</v>
          </cell>
          <cell r="D83" t="str">
            <v>Saint-André</v>
          </cell>
          <cell r="E83" t="str">
            <v>RHI 2 LES MANGUIERS</v>
          </cell>
          <cell r="F83">
            <v>18</v>
          </cell>
          <cell r="G83" t="str">
            <v>LLS</v>
          </cell>
          <cell r="J83" t="str">
            <v>MV</v>
          </cell>
          <cell r="K83" t="str">
            <v>CF</v>
          </cell>
          <cell r="L83" t="str">
            <v>SIDR</v>
          </cell>
          <cell r="M83" t="str">
            <v>maitrisé</v>
          </cell>
          <cell r="N83" t="str">
            <v>BB</v>
          </cell>
          <cell r="O83" t="str">
            <v>JMO</v>
          </cell>
          <cell r="P83" t="str">
            <v>CC</v>
          </cell>
          <cell r="Q83" t="str">
            <v>SPG</v>
          </cell>
          <cell r="R83">
            <v>2007</v>
          </cell>
          <cell r="S83">
            <v>1</v>
          </cell>
          <cell r="T83" t="str">
            <v>attente VRD Rhi les manguiers/AO commun</v>
          </cell>
          <cell r="U83" t="str">
            <v>SOAA MEUNIER</v>
          </cell>
          <cell r="V83" t="str">
            <v>H - APPEL D'OFFRES</v>
          </cell>
          <cell r="W83">
            <v>39352</v>
          </cell>
          <cell r="X83" t="str">
            <v>d</v>
          </cell>
          <cell r="Y83" t="str">
            <v>97440907a0538</v>
          </cell>
          <cell r="Z83">
            <v>39462</v>
          </cell>
          <cell r="AA83" t="str">
            <v>o</v>
          </cell>
          <cell r="AB83">
            <v>39337</v>
          </cell>
          <cell r="AC83" t="str">
            <v>v</v>
          </cell>
          <cell r="AD83">
            <v>39597</v>
          </cell>
          <cell r="AE83">
            <v>39353</v>
          </cell>
          <cell r="AF83" t="str">
            <v>f</v>
          </cell>
          <cell r="AG83">
            <v>39464</v>
          </cell>
          <cell r="AH83">
            <v>39722</v>
          </cell>
          <cell r="AI83" t="str">
            <v>ao</v>
          </cell>
          <cell r="AJ83">
            <v>39873</v>
          </cell>
          <cell r="AK83" t="str">
            <v>ch</v>
          </cell>
          <cell r="AL83">
            <v>4.9644923724355605</v>
          </cell>
          <cell r="AM83">
            <v>2009</v>
          </cell>
          <cell r="AN83">
            <v>16</v>
          </cell>
          <cell r="AO83">
            <v>40360</v>
          </cell>
          <cell r="AP83">
            <v>40375</v>
          </cell>
          <cell r="AQ83" t="str">
            <v/>
          </cell>
          <cell r="AR83">
            <v>2010</v>
          </cell>
          <cell r="BK83">
            <v>0</v>
          </cell>
          <cell r="BL83">
            <v>5.89</v>
          </cell>
          <cell r="CJ83" t="str">
            <v>SCI Saint Pierre</v>
          </cell>
          <cell r="CK83" t="str">
            <v>INFI</v>
          </cell>
          <cell r="CL83">
            <v>39773</v>
          </cell>
          <cell r="CM83" t="str">
            <v>-</v>
          </cell>
          <cell r="CN83">
            <v>0</v>
          </cell>
          <cell r="CO83" t="str">
            <v>199 undecies A</v>
          </cell>
          <cell r="CQ83" t="str">
            <v>non</v>
          </cell>
          <cell r="CX83">
            <v>0</v>
          </cell>
          <cell r="DE83">
            <v>0</v>
          </cell>
          <cell r="DJ83">
            <v>0</v>
          </cell>
          <cell r="DO83">
            <v>0</v>
          </cell>
          <cell r="DS83">
            <v>0</v>
          </cell>
          <cell r="DT83">
            <v>0</v>
          </cell>
          <cell r="DU83">
            <v>0</v>
          </cell>
          <cell r="ED83" t="str">
            <v>G:\Habitat\OPERATIONNEL HABITAT\02- Operations\Photothèque\image non disponible.jpg</v>
          </cell>
          <cell r="EE83" t="str">
            <v>G:\Habitat\OPERATIONNEL HABITAT\02- Operations\Photothèque\image non disponible.jpg</v>
          </cell>
        </row>
        <row r="84">
          <cell r="A84" t="str">
            <v>CRESSON DE FONTAINE</v>
          </cell>
          <cell r="B84">
            <v>9491</v>
          </cell>
          <cell r="C84" t="str">
            <v>EST</v>
          </cell>
          <cell r="D84" t="str">
            <v>Saint-André</v>
          </cell>
          <cell r="E84" t="str">
            <v>ZAC CRESSONIERE</v>
          </cell>
          <cell r="F84">
            <v>29</v>
          </cell>
          <cell r="G84" t="str">
            <v>LESG</v>
          </cell>
          <cell r="J84" t="str">
            <v>IND</v>
          </cell>
          <cell r="K84" t="str">
            <v>CF</v>
          </cell>
          <cell r="L84" t="str">
            <v>SIDR</v>
          </cell>
          <cell r="N84" t="str">
            <v>EC</v>
          </cell>
          <cell r="O84" t="str">
            <v>OS</v>
          </cell>
          <cell r="P84" t="str">
            <v>LV</v>
          </cell>
          <cell r="Q84" t="str">
            <v>SPG</v>
          </cell>
          <cell r="R84">
            <v>2004</v>
          </cell>
          <cell r="U84" t="str">
            <v>SOAA MEUNIER</v>
          </cell>
          <cell r="V84" t="str">
            <v>M - LIVRE/GPA</v>
          </cell>
          <cell r="W84">
            <v>37820</v>
          </cell>
          <cell r="X84" t="str">
            <v>d</v>
          </cell>
          <cell r="Z84">
            <v>38001</v>
          </cell>
          <cell r="AA84" t="str">
            <v>o</v>
          </cell>
          <cell r="AB84" t="str">
            <v>validé</v>
          </cell>
          <cell r="AC84" t="str">
            <v/>
          </cell>
          <cell r="AD84">
            <v>39597</v>
          </cell>
          <cell r="AE84">
            <v>38229</v>
          </cell>
          <cell r="AF84" t="str">
            <v>f</v>
          </cell>
          <cell r="AG84">
            <v>38343</v>
          </cell>
          <cell r="AH84">
            <v>38426</v>
          </cell>
          <cell r="AI84" t="str">
            <v>ao</v>
          </cell>
          <cell r="AJ84">
            <v>38565</v>
          </cell>
          <cell r="AK84" t="str">
            <v/>
          </cell>
          <cell r="AL84">
            <v>4.5699631772751186</v>
          </cell>
          <cell r="AM84">
            <v>2005</v>
          </cell>
          <cell r="AN84">
            <v>16</v>
          </cell>
          <cell r="AO84">
            <v>39052</v>
          </cell>
          <cell r="AP84">
            <v>39324</v>
          </cell>
          <cell r="AQ84" t="str">
            <v>li</v>
          </cell>
          <cell r="AR84">
            <v>2007</v>
          </cell>
          <cell r="CJ84" t="str">
            <v>-</v>
          </cell>
          <cell r="CK84" t="str">
            <v>-</v>
          </cell>
          <cell r="CL84" t="str">
            <v>-</v>
          </cell>
          <cell r="CM84" t="str">
            <v>-</v>
          </cell>
          <cell r="CN84">
            <v>0</v>
          </cell>
          <cell r="CQ84" t="str">
            <v>oui</v>
          </cell>
          <cell r="CX84">
            <v>0</v>
          </cell>
          <cell r="DE84">
            <v>0</v>
          </cell>
          <cell r="DJ84">
            <v>0</v>
          </cell>
          <cell r="DO84">
            <v>0</v>
          </cell>
          <cell r="DS84">
            <v>0</v>
          </cell>
          <cell r="DT84">
            <v>0</v>
          </cell>
          <cell r="DU84">
            <v>0</v>
          </cell>
          <cell r="ED84" t="str">
            <v>G:\Habitat\OPERATIONNEL HABITAT\02- Operations\Photothèque\image non disponible.jpg</v>
          </cell>
          <cell r="EE84" t="str">
            <v>G:\Habitat\OPERATIONNEL HABITAT\02- Operations\Photothèque\image non disponible.jpg</v>
          </cell>
        </row>
        <row r="85">
          <cell r="A85" t="str">
            <v>Croix rouge</v>
          </cell>
          <cell r="C85" t="str">
            <v>SUD</v>
          </cell>
          <cell r="D85" t="str">
            <v>Saint-Pierre</v>
          </cell>
          <cell r="E85" t="str">
            <v>RHI BASSE TERRE</v>
          </cell>
          <cell r="F85">
            <v>10</v>
          </cell>
          <cell r="G85" t="str">
            <v>LLTS</v>
          </cell>
          <cell r="J85" t="str">
            <v>MIXT</v>
          </cell>
          <cell r="K85" t="str">
            <v>CF</v>
          </cell>
          <cell r="L85" t="str">
            <v>SIDR</v>
          </cell>
          <cell r="M85" t="str">
            <v>non maitrisé</v>
          </cell>
          <cell r="N85" t="str">
            <v>EC</v>
          </cell>
          <cell r="R85">
            <v>2012</v>
          </cell>
          <cell r="V85" t="str">
            <v>A - NON LANCE</v>
          </cell>
          <cell r="AA85" t="str">
            <v/>
          </cell>
          <cell r="AC85" t="str">
            <v/>
          </cell>
          <cell r="AI85" t="str">
            <v/>
          </cell>
          <cell r="AK85" t="str">
            <v/>
          </cell>
          <cell r="AL85">
            <v>0</v>
          </cell>
          <cell r="AQ85" t="str">
            <v/>
          </cell>
          <cell r="CJ85" t="str">
            <v>-</v>
          </cell>
          <cell r="CK85" t="str">
            <v>-</v>
          </cell>
          <cell r="CL85" t="str">
            <v>-</v>
          </cell>
          <cell r="CM85" t="str">
            <v>-</v>
          </cell>
          <cell r="CN85">
            <v>0</v>
          </cell>
          <cell r="CQ85" t="str">
            <v>non</v>
          </cell>
          <cell r="CX85">
            <v>0</v>
          </cell>
          <cell r="DE85">
            <v>0</v>
          </cell>
          <cell r="DJ85">
            <v>0</v>
          </cell>
          <cell r="DO85">
            <v>0</v>
          </cell>
          <cell r="DS85">
            <v>0</v>
          </cell>
          <cell r="DT85">
            <v>0</v>
          </cell>
          <cell r="DU85">
            <v>0</v>
          </cell>
          <cell r="ED85" t="str">
            <v>G:\Habitat\OPERATIONNEL HABITAT\02- Operations\Photothèque\image non disponible.jpg</v>
          </cell>
          <cell r="EE85" t="str">
            <v>G:\Habitat\OPERATIONNEL HABITAT\02- Operations\Photothèque\image non disponible.jpg</v>
          </cell>
        </row>
        <row r="86">
          <cell r="A86" t="str">
            <v>DARDANELLES 1</v>
          </cell>
          <cell r="B86">
            <v>9507</v>
          </cell>
          <cell r="C86" t="str">
            <v>OUEST</v>
          </cell>
          <cell r="D86" t="str">
            <v>Port</v>
          </cell>
          <cell r="E86" t="str">
            <v>RHI SAY PISCINE</v>
          </cell>
          <cell r="F86">
            <v>21</v>
          </cell>
          <cell r="G86" t="str">
            <v>LLS</v>
          </cell>
          <cell r="J86" t="str">
            <v>MV</v>
          </cell>
          <cell r="K86" t="str">
            <v>CF</v>
          </cell>
          <cell r="L86" t="str">
            <v>SIDR</v>
          </cell>
          <cell r="N86" t="str">
            <v>CLa</v>
          </cell>
          <cell r="O86" t="str">
            <v>GG</v>
          </cell>
          <cell r="P86" t="str">
            <v>CC</v>
          </cell>
          <cell r="Q86" t="str">
            <v>OP</v>
          </cell>
          <cell r="R86">
            <v>2003</v>
          </cell>
          <cell r="T86" t="str">
            <v>appel de fond solaire /releve des problèmes de fonctionnement/réunion SIDR Ville 6/3/2008</v>
          </cell>
          <cell r="U86" t="str">
            <v>ATELIER CHEYSSIAL</v>
          </cell>
          <cell r="V86" t="str">
            <v>M - LIVRE/GPA</v>
          </cell>
          <cell r="W86">
            <v>37840</v>
          </cell>
          <cell r="X86" t="str">
            <v>d</v>
          </cell>
          <cell r="Y86" t="str">
            <v>97440703A0060</v>
          </cell>
          <cell r="Z86">
            <v>37907</v>
          </cell>
          <cell r="AA86" t="str">
            <v>o</v>
          </cell>
          <cell r="AB86" t="str">
            <v>validé</v>
          </cell>
          <cell r="AC86" t="str">
            <v/>
          </cell>
          <cell r="AE86">
            <v>37887</v>
          </cell>
          <cell r="AF86" t="str">
            <v>f</v>
          </cell>
          <cell r="AG86" t="str">
            <v>O</v>
          </cell>
          <cell r="AH86">
            <v>38250</v>
          </cell>
          <cell r="AI86" t="str">
            <v>ao</v>
          </cell>
          <cell r="AJ86">
            <v>38467</v>
          </cell>
          <cell r="AK86" t="str">
            <v/>
          </cell>
          <cell r="AL86">
            <v>7.1344029458179907</v>
          </cell>
          <cell r="AM86">
            <v>2005</v>
          </cell>
          <cell r="AN86">
            <v>18</v>
          </cell>
          <cell r="AO86">
            <v>39015</v>
          </cell>
          <cell r="AP86">
            <v>39066</v>
          </cell>
          <cell r="AQ86" t="str">
            <v>li</v>
          </cell>
          <cell r="AR86">
            <v>2006</v>
          </cell>
          <cell r="BN86">
            <v>0.2</v>
          </cell>
          <cell r="BO86" t="str">
            <v>signée</v>
          </cell>
          <cell r="BP86">
            <v>0.8</v>
          </cell>
          <cell r="BQ86" t="str">
            <v>signée</v>
          </cell>
          <cell r="BX86" t="str">
            <v>signé</v>
          </cell>
          <cell r="CA86">
            <v>3902.89</v>
          </cell>
          <cell r="CE86" t="str">
            <v>ECS ind</v>
          </cell>
          <cell r="CF86">
            <v>95065</v>
          </cell>
          <cell r="CG86">
            <v>28819</v>
          </cell>
          <cell r="CH86">
            <v>43229</v>
          </cell>
          <cell r="CI86">
            <v>24016</v>
          </cell>
          <cell r="CJ86" t="str">
            <v>-</v>
          </cell>
          <cell r="CK86" t="str">
            <v>-</v>
          </cell>
          <cell r="CL86" t="str">
            <v>-</v>
          </cell>
          <cell r="CM86" t="str">
            <v>-</v>
          </cell>
          <cell r="CN86">
            <v>0</v>
          </cell>
          <cell r="CQ86" t="str">
            <v>oui</v>
          </cell>
          <cell r="CR86">
            <v>71718</v>
          </cell>
          <cell r="CT86">
            <v>3011890</v>
          </cell>
          <cell r="CX86">
            <v>3083608</v>
          </cell>
          <cell r="DE86">
            <v>72048</v>
          </cell>
          <cell r="DJ86">
            <v>72048</v>
          </cell>
          <cell r="DO86">
            <v>0</v>
          </cell>
          <cell r="DQ86">
            <v>92802</v>
          </cell>
          <cell r="DR86">
            <v>24016</v>
          </cell>
          <cell r="DS86">
            <v>116818</v>
          </cell>
          <cell r="DT86">
            <v>233636</v>
          </cell>
          <cell r="DU86">
            <v>-2777924</v>
          </cell>
          <cell r="ED86" t="str">
            <v>G:\Habitat\OPERATIONNEL HABITAT\02- Operations\Photothèque\images locatifs\Dardanelles\pers 1 Dardannelles.jpg</v>
          </cell>
          <cell r="EE86" t="str">
            <v>G:\Habitat\OPERATIONNEL HABITAT\02- Operations\Photothèque\image non disponible.jpg</v>
          </cell>
        </row>
        <row r="87">
          <cell r="A87" t="str">
            <v>DARDANELLES 2</v>
          </cell>
          <cell r="B87">
            <v>9507</v>
          </cell>
          <cell r="C87" t="str">
            <v>OUEST</v>
          </cell>
          <cell r="D87" t="str">
            <v>Port</v>
          </cell>
          <cell r="E87" t="str">
            <v>RHI SAY PISCINE</v>
          </cell>
          <cell r="F87">
            <v>25</v>
          </cell>
          <cell r="G87" t="str">
            <v>LLS</v>
          </cell>
          <cell r="J87" t="str">
            <v>MV</v>
          </cell>
          <cell r="K87" t="str">
            <v>CF</v>
          </cell>
          <cell r="L87" t="str">
            <v>SIDR</v>
          </cell>
          <cell r="N87" t="str">
            <v>CLa</v>
          </cell>
          <cell r="O87" t="str">
            <v>GG</v>
          </cell>
          <cell r="P87" t="str">
            <v>CC</v>
          </cell>
          <cell r="Q87" t="str">
            <v>OP</v>
          </cell>
          <cell r="R87">
            <v>2003</v>
          </cell>
          <cell r="T87" t="str">
            <v xml:space="preserve"> demande solaire?/gestion ts amélioration avec DGI</v>
          </cell>
          <cell r="U87" t="str">
            <v>ATELIER CHEYSSIAL</v>
          </cell>
          <cell r="V87" t="str">
            <v>M - LIVRE/GPA</v>
          </cell>
          <cell r="W87">
            <v>37840</v>
          </cell>
          <cell r="X87" t="str">
            <v>d</v>
          </cell>
          <cell r="Y87" t="str">
            <v>97440703A0060</v>
          </cell>
          <cell r="Z87">
            <v>37907</v>
          </cell>
          <cell r="AA87" t="str">
            <v>o</v>
          </cell>
          <cell r="AB87" t="str">
            <v>validé</v>
          </cell>
          <cell r="AC87" t="str">
            <v/>
          </cell>
          <cell r="AE87">
            <v>37887</v>
          </cell>
          <cell r="AF87" t="str">
            <v>f</v>
          </cell>
          <cell r="AG87" t="str">
            <v>O</v>
          </cell>
          <cell r="AH87">
            <v>38250</v>
          </cell>
          <cell r="AI87" t="str">
            <v>ao</v>
          </cell>
          <cell r="AJ87">
            <v>38467</v>
          </cell>
          <cell r="AK87" t="str">
            <v/>
          </cell>
          <cell r="AL87">
            <v>7.1344029458179907</v>
          </cell>
          <cell r="AM87">
            <v>2005</v>
          </cell>
          <cell r="AN87">
            <v>18</v>
          </cell>
          <cell r="AO87">
            <v>39015</v>
          </cell>
          <cell r="AP87">
            <v>39182</v>
          </cell>
          <cell r="AQ87" t="str">
            <v>li</v>
          </cell>
          <cell r="AR87">
            <v>2007</v>
          </cell>
          <cell r="CJ87" t="str">
            <v>-</v>
          </cell>
          <cell r="CK87" t="str">
            <v>-</v>
          </cell>
          <cell r="CL87" t="str">
            <v>-</v>
          </cell>
          <cell r="CM87" t="str">
            <v>-</v>
          </cell>
          <cell r="CN87">
            <v>0</v>
          </cell>
          <cell r="CQ87" t="str">
            <v>oui</v>
          </cell>
          <cell r="CX87">
            <v>0</v>
          </cell>
          <cell r="DE87">
            <v>0</v>
          </cell>
          <cell r="DJ87">
            <v>0</v>
          </cell>
          <cell r="DO87">
            <v>0</v>
          </cell>
          <cell r="DS87">
            <v>0</v>
          </cell>
          <cell r="DT87">
            <v>0</v>
          </cell>
          <cell r="DU87">
            <v>0</v>
          </cell>
          <cell r="ED87" t="str">
            <v>G:\Habitat\OPERATIONNEL HABITAT\02- Operations\Photothèque\images locatifs\Dardanelles\pers 1 Dardannelles.jpg</v>
          </cell>
          <cell r="EE87" t="str">
            <v>G:\Habitat\OPERATIONNEL HABITAT\02- Operations\Photothèque\image non disponible.jpg</v>
          </cell>
        </row>
        <row r="88">
          <cell r="A88" t="str">
            <v>DIFFUS SORNOM/GARDEBIEN</v>
          </cell>
          <cell r="B88">
            <v>9501</v>
          </cell>
          <cell r="C88" t="str">
            <v>NORD</v>
          </cell>
          <cell r="D88" t="str">
            <v>Saint-Denis</v>
          </cell>
          <cell r="E88" t="str">
            <v>RHI PAVADE</v>
          </cell>
          <cell r="F88">
            <v>1</v>
          </cell>
          <cell r="G88" t="str">
            <v>LESD</v>
          </cell>
          <cell r="J88" t="str">
            <v>IND</v>
          </cell>
          <cell r="K88" t="str">
            <v>CF</v>
          </cell>
          <cell r="L88" t="str">
            <v>SIDR</v>
          </cell>
          <cell r="N88" t="str">
            <v>EC</v>
          </cell>
          <cell r="O88" t="str">
            <v>EC</v>
          </cell>
          <cell r="P88" t="str">
            <v>VS</v>
          </cell>
          <cell r="Q88" t="str">
            <v>FB</v>
          </cell>
          <cell r="R88">
            <v>2004</v>
          </cell>
          <cell r="U88" t="str">
            <v>CAMART</v>
          </cell>
          <cell r="V88" t="str">
            <v>M - LIVRE/GPA</v>
          </cell>
          <cell r="X88" t="str">
            <v/>
          </cell>
          <cell r="AA88" t="str">
            <v/>
          </cell>
          <cell r="AC88" t="str">
            <v/>
          </cell>
          <cell r="AF88" t="str">
            <v/>
          </cell>
          <cell r="AH88">
            <v>38122</v>
          </cell>
          <cell r="AI88" t="str">
            <v>ao</v>
          </cell>
          <cell r="AJ88">
            <v>38183</v>
          </cell>
          <cell r="AK88" t="str">
            <v/>
          </cell>
          <cell r="AL88">
            <v>2.005523408732246</v>
          </cell>
          <cell r="AM88">
            <v>2004</v>
          </cell>
          <cell r="AN88">
            <v>8</v>
          </cell>
          <cell r="AO88">
            <v>38426</v>
          </cell>
          <cell r="AP88">
            <v>38533</v>
          </cell>
          <cell r="AQ88" t="str">
            <v>li</v>
          </cell>
          <cell r="AR88">
            <v>2005</v>
          </cell>
          <cell r="CJ88" t="str">
            <v>-</v>
          </cell>
          <cell r="CK88" t="str">
            <v>-</v>
          </cell>
          <cell r="CL88" t="str">
            <v>-</v>
          </cell>
          <cell r="CM88" t="str">
            <v>-</v>
          </cell>
          <cell r="CN88">
            <v>0</v>
          </cell>
          <cell r="CQ88" t="str">
            <v>oui</v>
          </cell>
          <cell r="CX88">
            <v>0</v>
          </cell>
          <cell r="DE88">
            <v>0</v>
          </cell>
          <cell r="DJ88">
            <v>0</v>
          </cell>
          <cell r="DO88">
            <v>0</v>
          </cell>
          <cell r="DS88">
            <v>0</v>
          </cell>
          <cell r="DT88">
            <v>0</v>
          </cell>
          <cell r="DU88">
            <v>0</v>
          </cell>
          <cell r="ED88" t="str">
            <v>G:\Habitat\OPERATIONNEL HABITAT\02- Operations\Photothèque\image non disponible.jpg</v>
          </cell>
          <cell r="EE88" t="str">
            <v>G:\Habitat\OPERATIONNEL HABITAT\02- Operations\Photothèque\image non disponible.jpg</v>
          </cell>
        </row>
        <row r="89">
          <cell r="A89" t="str">
            <v>DISTILLERIE</v>
          </cell>
          <cell r="B89">
            <v>9610</v>
          </cell>
          <cell r="C89" t="str">
            <v>SUD</v>
          </cell>
          <cell r="D89" t="str">
            <v>Saint-Pierre</v>
          </cell>
          <cell r="E89" t="str">
            <v>RUE A BABET</v>
          </cell>
          <cell r="F89">
            <v>22</v>
          </cell>
          <cell r="G89" t="str">
            <v>ACC</v>
          </cell>
          <cell r="J89" t="str">
            <v>COL</v>
          </cell>
          <cell r="K89" t="str">
            <v>RF</v>
          </cell>
          <cell r="N89" t="str">
            <v>LC</v>
          </cell>
          <cell r="P89" t="str">
            <v>NA</v>
          </cell>
          <cell r="R89">
            <v>2009</v>
          </cell>
          <cell r="U89" t="str">
            <v>LUCAS</v>
          </cell>
          <cell r="V89" t="str">
            <v>E - APS / PC</v>
          </cell>
          <cell r="W89">
            <v>39807</v>
          </cell>
          <cell r="X89" t="str">
            <v>d</v>
          </cell>
          <cell r="Z89">
            <v>39798</v>
          </cell>
          <cell r="AA89" t="str">
            <v>o</v>
          </cell>
          <cell r="AB89">
            <v>39736</v>
          </cell>
          <cell r="AC89" t="str">
            <v>v</v>
          </cell>
          <cell r="AF89" t="str">
            <v/>
          </cell>
          <cell r="AH89">
            <v>39979</v>
          </cell>
          <cell r="AI89" t="str">
            <v/>
          </cell>
          <cell r="AJ89">
            <v>40071</v>
          </cell>
          <cell r="AK89" t="str">
            <v/>
          </cell>
          <cell r="AL89">
            <v>3.0247238295633876</v>
          </cell>
          <cell r="AM89">
            <v>2009</v>
          </cell>
          <cell r="AN89">
            <v>12</v>
          </cell>
          <cell r="AO89">
            <v>40436</v>
          </cell>
          <cell r="AP89">
            <v>40451</v>
          </cell>
          <cell r="AQ89" t="str">
            <v/>
          </cell>
          <cell r="AR89">
            <v>2011</v>
          </cell>
          <cell r="CJ89" t="str">
            <v>-</v>
          </cell>
          <cell r="CK89" t="str">
            <v>-</v>
          </cell>
          <cell r="CL89" t="str">
            <v>-</v>
          </cell>
          <cell r="CM89" t="str">
            <v>-</v>
          </cell>
          <cell r="CN89">
            <v>0</v>
          </cell>
          <cell r="CQ89" t="str">
            <v>non</v>
          </cell>
          <cell r="CX89">
            <v>0</v>
          </cell>
          <cell r="DE89">
            <v>0</v>
          </cell>
          <cell r="DJ89">
            <v>0</v>
          </cell>
          <cell r="DO89">
            <v>0</v>
          </cell>
          <cell r="DS89">
            <v>0</v>
          </cell>
          <cell r="DT89">
            <v>0</v>
          </cell>
          <cell r="DU89">
            <v>0</v>
          </cell>
          <cell r="ED89" t="str">
            <v>G:\Habitat\OPERATIONNEL HABITAT\02- Operations\Photothèque\image non disponible.jpg</v>
          </cell>
          <cell r="EE89" t="str">
            <v>G:\Habitat\OPERATIONNEL HABITAT\02- Operations\Photothèque\image non disponible.jpg</v>
          </cell>
        </row>
        <row r="90">
          <cell r="A90" t="str">
            <v>Enquette 3</v>
          </cell>
          <cell r="C90" t="str">
            <v>SUD</v>
          </cell>
          <cell r="D90" t="str">
            <v>Saint-Pierre</v>
          </cell>
          <cell r="E90" t="str">
            <v>RHI BASSE TERRE</v>
          </cell>
          <cell r="F90">
            <v>16</v>
          </cell>
          <cell r="G90" t="str">
            <v>LLTS</v>
          </cell>
          <cell r="J90" t="str">
            <v>MIXT</v>
          </cell>
          <cell r="K90" t="str">
            <v>CF</v>
          </cell>
          <cell r="L90" t="str">
            <v>SIDR</v>
          </cell>
          <cell r="M90" t="str">
            <v>non maitrisé</v>
          </cell>
          <cell r="N90" t="str">
            <v>N.A.</v>
          </cell>
          <cell r="R90">
            <v>2011</v>
          </cell>
          <cell r="V90" t="str">
            <v>A - NON LANCE</v>
          </cell>
          <cell r="AA90" t="str">
            <v/>
          </cell>
          <cell r="AC90" t="str">
            <v/>
          </cell>
          <cell r="AI90" t="str">
            <v/>
          </cell>
          <cell r="AK90" t="str">
            <v/>
          </cell>
          <cell r="AL90">
            <v>0</v>
          </cell>
          <cell r="AQ90" t="str">
            <v/>
          </cell>
          <cell r="CJ90" t="str">
            <v>-</v>
          </cell>
          <cell r="CK90" t="str">
            <v>-</v>
          </cell>
          <cell r="CL90" t="str">
            <v>-</v>
          </cell>
          <cell r="CM90" t="str">
            <v>-</v>
          </cell>
          <cell r="CN90">
            <v>0</v>
          </cell>
          <cell r="CQ90" t="str">
            <v>non</v>
          </cell>
          <cell r="CX90">
            <v>0</v>
          </cell>
          <cell r="DE90">
            <v>0</v>
          </cell>
          <cell r="DJ90">
            <v>0</v>
          </cell>
          <cell r="DO90">
            <v>0</v>
          </cell>
          <cell r="DS90">
            <v>0</v>
          </cell>
          <cell r="DT90">
            <v>0</v>
          </cell>
          <cell r="DU90">
            <v>0</v>
          </cell>
          <cell r="ED90" t="str">
            <v>G:\Habitat\OPERATIONNEL HABITAT\02- Operations\Photothèque\image non disponible.jpg</v>
          </cell>
          <cell r="EE90" t="str">
            <v>G:\Habitat\OPERATIONNEL HABITAT\02- Operations\Photothèque\image non disponible.jpg</v>
          </cell>
        </row>
        <row r="91">
          <cell r="A91" t="str">
            <v>ERYTHRINES 1</v>
          </cell>
          <cell r="B91">
            <v>9546</v>
          </cell>
          <cell r="C91" t="str">
            <v>EST</v>
          </cell>
          <cell r="D91" t="str">
            <v>Saint-André</v>
          </cell>
          <cell r="E91" t="str">
            <v>RHI CAMBUSTON SEDRE</v>
          </cell>
          <cell r="F91">
            <v>24</v>
          </cell>
          <cell r="G91" t="str">
            <v>LLS</v>
          </cell>
          <cell r="J91" t="str">
            <v>IND</v>
          </cell>
          <cell r="K91" t="str">
            <v>CF</v>
          </cell>
          <cell r="L91" t="str">
            <v>SEDRE</v>
          </cell>
          <cell r="M91" t="str">
            <v>maitrisé</v>
          </cell>
          <cell r="N91" t="str">
            <v>JPM</v>
          </cell>
          <cell r="O91" t="str">
            <v>JMO</v>
          </cell>
          <cell r="P91" t="str">
            <v>CC</v>
          </cell>
          <cell r="R91">
            <v>2005</v>
          </cell>
          <cell r="T91" t="str">
            <v>acquisition fonciére sep 2008 serde/sidr</v>
          </cell>
          <cell r="U91" t="str">
            <v>SOAA MEUNIER</v>
          </cell>
          <cell r="V91" t="str">
            <v>L - CHANTIER EN COURS</v>
          </cell>
          <cell r="W91">
            <v>38533</v>
          </cell>
          <cell r="X91" t="str">
            <v>d</v>
          </cell>
          <cell r="Y91" t="str">
            <v>97440904A0337</v>
          </cell>
          <cell r="Z91">
            <v>38741</v>
          </cell>
          <cell r="AA91" t="str">
            <v>o</v>
          </cell>
          <cell r="AB91" t="str">
            <v>validé</v>
          </cell>
          <cell r="AC91" t="str">
            <v/>
          </cell>
          <cell r="AE91">
            <v>38553</v>
          </cell>
          <cell r="AF91" t="str">
            <v>f</v>
          </cell>
          <cell r="AG91">
            <v>38722</v>
          </cell>
          <cell r="AH91">
            <v>38985</v>
          </cell>
          <cell r="AI91" t="str">
            <v>ao</v>
          </cell>
          <cell r="AJ91">
            <v>39359</v>
          </cell>
          <cell r="AK91" t="str">
            <v/>
          </cell>
          <cell r="AL91">
            <v>12.296159915833771</v>
          </cell>
          <cell r="AM91">
            <v>2007</v>
          </cell>
          <cell r="AN91">
            <v>17</v>
          </cell>
          <cell r="AO91">
            <v>39876</v>
          </cell>
          <cell r="AP91">
            <v>39891</v>
          </cell>
          <cell r="AQ91" t="str">
            <v>li</v>
          </cell>
          <cell r="AR91">
            <v>2009</v>
          </cell>
          <cell r="BA91">
            <v>16</v>
          </cell>
          <cell r="BB91">
            <v>70.31</v>
          </cell>
          <cell r="BE91">
            <v>7</v>
          </cell>
          <cell r="BF91">
            <v>79.430000000000007</v>
          </cell>
          <cell r="BI91">
            <v>1</v>
          </cell>
          <cell r="BJ91">
            <v>88.56</v>
          </cell>
          <cell r="BK91">
            <v>24</v>
          </cell>
          <cell r="BL91">
            <v>5.51</v>
          </cell>
          <cell r="BM91">
            <v>0.3</v>
          </cell>
          <cell r="BN91">
            <v>0.4</v>
          </cell>
          <cell r="BO91" t="str">
            <v>transmis</v>
          </cell>
          <cell r="BP91">
            <v>0.6</v>
          </cell>
          <cell r="BQ91" t="str">
            <v xml:space="preserve">transmis </v>
          </cell>
          <cell r="BX91" t="str">
            <v>en attente garanties emprunts</v>
          </cell>
          <cell r="BY91">
            <v>1873</v>
          </cell>
          <cell r="BZ91">
            <v>2627</v>
          </cell>
          <cell r="CA91">
            <v>1824</v>
          </cell>
          <cell r="CE91" t="str">
            <v>ECS ind</v>
          </cell>
          <cell r="CF91">
            <v>60000</v>
          </cell>
          <cell r="CG91">
            <v>18000</v>
          </cell>
          <cell r="CH91">
            <v>27000</v>
          </cell>
          <cell r="CI91" t="str">
            <v>D le10/2007</v>
          </cell>
          <cell r="CJ91" t="str">
            <v>-</v>
          </cell>
          <cell r="CK91" t="str">
            <v>-</v>
          </cell>
          <cell r="CL91" t="str">
            <v>-</v>
          </cell>
          <cell r="CM91" t="str">
            <v>-</v>
          </cell>
          <cell r="CN91">
            <v>0</v>
          </cell>
          <cell r="CQ91" t="str">
            <v>non</v>
          </cell>
          <cell r="CX91">
            <v>0</v>
          </cell>
          <cell r="DE91">
            <v>45000</v>
          </cell>
          <cell r="DJ91">
            <v>45000</v>
          </cell>
          <cell r="DO91">
            <v>0</v>
          </cell>
          <cell r="DQ91">
            <v>50500</v>
          </cell>
          <cell r="DR91">
            <v>22500</v>
          </cell>
          <cell r="DS91">
            <v>73000</v>
          </cell>
          <cell r="DT91">
            <v>146000</v>
          </cell>
          <cell r="DU91">
            <v>191000</v>
          </cell>
          <cell r="ED91" t="str">
            <v>G:\Habitat\OPERATIONNEL HABITAT\02- Operations\Photothèque\images locatifs\Erythrines\erythrines.jpg</v>
          </cell>
          <cell r="EE91" t="str">
            <v>G:\Habitat\OPERATIONNEL HABITAT\02- Operations\Photothèque\images locatifs\Erythrines\erythrines (1).jpg</v>
          </cell>
        </row>
        <row r="92">
          <cell r="A92" t="str">
            <v>ERYTHRINES 2</v>
          </cell>
          <cell r="B92">
            <v>9656</v>
          </cell>
          <cell r="C92" t="str">
            <v>EST</v>
          </cell>
          <cell r="D92" t="str">
            <v>Saint-André</v>
          </cell>
          <cell r="E92" t="str">
            <v>RHI CAMBUSTON SEDRE</v>
          </cell>
          <cell r="F92">
            <v>13</v>
          </cell>
          <cell r="G92" t="str">
            <v>LLS</v>
          </cell>
          <cell r="J92" t="str">
            <v>COL</v>
          </cell>
          <cell r="K92" t="str">
            <v>CF</v>
          </cell>
          <cell r="L92" t="str">
            <v>SEDRE</v>
          </cell>
          <cell r="M92" t="str">
            <v>maitrisé</v>
          </cell>
          <cell r="N92" t="str">
            <v>JPM</v>
          </cell>
          <cell r="O92" t="str">
            <v>JMO</v>
          </cell>
          <cell r="P92" t="str">
            <v>CC</v>
          </cell>
          <cell r="R92">
            <v>2006</v>
          </cell>
          <cell r="S92">
            <v>0</v>
          </cell>
          <cell r="T92" t="str">
            <v>vente sedre/ sidr OK</v>
          </cell>
          <cell r="U92" t="str">
            <v>MEUNIER</v>
          </cell>
          <cell r="V92" t="str">
            <v>L - CHANTIER EN COURS</v>
          </cell>
          <cell r="W92">
            <v>38518</v>
          </cell>
          <cell r="X92" t="str">
            <v>d</v>
          </cell>
          <cell r="Y92" t="str">
            <v>97440904A0338</v>
          </cell>
          <cell r="Z92">
            <v>38741</v>
          </cell>
          <cell r="AA92" t="str">
            <v>o</v>
          </cell>
          <cell r="AB92" t="str">
            <v>validé</v>
          </cell>
          <cell r="AC92" t="str">
            <v/>
          </cell>
          <cell r="AE92">
            <v>38827</v>
          </cell>
          <cell r="AF92" t="str">
            <v>f</v>
          </cell>
          <cell r="AG92">
            <v>39093</v>
          </cell>
          <cell r="AH92">
            <v>38985</v>
          </cell>
          <cell r="AI92" t="str">
            <v>ao</v>
          </cell>
          <cell r="AJ92">
            <v>39359</v>
          </cell>
          <cell r="AK92" t="str">
            <v/>
          </cell>
          <cell r="AL92">
            <v>12.296159915833771</v>
          </cell>
          <cell r="AM92">
            <v>2007</v>
          </cell>
          <cell r="AN92">
            <v>14</v>
          </cell>
          <cell r="AO92">
            <v>39786</v>
          </cell>
          <cell r="AP92">
            <v>39787</v>
          </cell>
          <cell r="AQ92" t="str">
            <v>li</v>
          </cell>
          <cell r="AR92">
            <v>2008</v>
          </cell>
          <cell r="AS92">
            <v>3</v>
          </cell>
          <cell r="AT92">
            <v>28</v>
          </cell>
          <cell r="AW92">
            <v>3</v>
          </cell>
          <cell r="AX92">
            <v>62</v>
          </cell>
          <cell r="BA92">
            <v>4</v>
          </cell>
          <cell r="BB92">
            <v>69</v>
          </cell>
          <cell r="BE92">
            <v>3</v>
          </cell>
          <cell r="BF92">
            <v>80</v>
          </cell>
          <cell r="BK92">
            <v>13</v>
          </cell>
          <cell r="BL92">
            <v>5.95</v>
          </cell>
          <cell r="BM92">
            <v>0.82</v>
          </cell>
          <cell r="BO92" t="str">
            <v>signée</v>
          </cell>
          <cell r="BQ92" t="str">
            <v>signée</v>
          </cell>
          <cell r="BX92" t="str">
            <v>émis signature garants en cours</v>
          </cell>
          <cell r="BY92">
            <v>897</v>
          </cell>
          <cell r="BZ92">
            <v>1405</v>
          </cell>
          <cell r="CA92">
            <v>788.61</v>
          </cell>
          <cell r="CE92" t="str">
            <v>ECS ind</v>
          </cell>
          <cell r="CF92">
            <v>48100</v>
          </cell>
          <cell r="CG92">
            <v>14430</v>
          </cell>
          <cell r="CH92">
            <v>21645</v>
          </cell>
          <cell r="CI92" t="str">
            <v>D 10/2007</v>
          </cell>
          <cell r="CJ92" t="str">
            <v>-</v>
          </cell>
          <cell r="CK92" t="str">
            <v>-</v>
          </cell>
          <cell r="CL92" t="str">
            <v>-</v>
          </cell>
          <cell r="CM92" t="str">
            <v>-</v>
          </cell>
          <cell r="CN92">
            <v>0</v>
          </cell>
          <cell r="CQ92" t="str">
            <v>oui</v>
          </cell>
          <cell r="CX92">
            <v>0</v>
          </cell>
          <cell r="DE92">
            <v>36075</v>
          </cell>
          <cell r="DJ92">
            <v>36075</v>
          </cell>
          <cell r="DO92">
            <v>0</v>
          </cell>
          <cell r="DQ92">
            <v>34749</v>
          </cell>
          <cell r="DR92">
            <v>15600</v>
          </cell>
          <cell r="DS92">
            <v>50349</v>
          </cell>
          <cell r="DT92">
            <v>100698</v>
          </cell>
          <cell r="DU92">
            <v>136773</v>
          </cell>
          <cell r="ED92" t="str">
            <v>G:\Habitat\OPERATIONNEL HABITAT\02- Operations\Photothèque\images locatifs\Erythrines\erythrines.jpg</v>
          </cell>
          <cell r="EE92" t="str">
            <v>G:\Habitat\OPERATIONNEL HABITAT\02- Operations\Photothèque\images locatifs\Erythrines\erythrines (1).jpg</v>
          </cell>
        </row>
        <row r="93">
          <cell r="A93" t="str">
            <v>EUROPA</v>
          </cell>
          <cell r="B93">
            <v>9435</v>
          </cell>
          <cell r="C93" t="str">
            <v>NORD</v>
          </cell>
          <cell r="D93" t="str">
            <v>Saint-Denis</v>
          </cell>
          <cell r="E93" t="str">
            <v>ILES EPARSES</v>
          </cell>
          <cell r="F93">
            <v>12</v>
          </cell>
          <cell r="G93" t="str">
            <v>LESG</v>
          </cell>
          <cell r="J93" t="str">
            <v>IND</v>
          </cell>
          <cell r="K93" t="str">
            <v>CF</v>
          </cell>
          <cell r="L93" t="str">
            <v>SIDR</v>
          </cell>
          <cell r="N93" t="str">
            <v>EC</v>
          </cell>
          <cell r="O93" t="str">
            <v>FG</v>
          </cell>
          <cell r="P93" t="str">
            <v>LV</v>
          </cell>
          <cell r="Q93" t="str">
            <v>ALG</v>
          </cell>
          <cell r="R93">
            <v>2002</v>
          </cell>
          <cell r="U93" t="str">
            <v>ATELIER GAZUT</v>
          </cell>
          <cell r="V93" t="str">
            <v>M - LIVRE/GPA</v>
          </cell>
          <cell r="W93">
            <v>37446</v>
          </cell>
          <cell r="X93" t="str">
            <v>d</v>
          </cell>
          <cell r="Z93">
            <v>37575</v>
          </cell>
          <cell r="AA93" t="str">
            <v>o</v>
          </cell>
          <cell r="AB93" t="str">
            <v>validé</v>
          </cell>
          <cell r="AC93" t="str">
            <v/>
          </cell>
          <cell r="AD93">
            <v>0</v>
          </cell>
          <cell r="AE93">
            <v>37553</v>
          </cell>
          <cell r="AF93" t="str">
            <v>f</v>
          </cell>
          <cell r="AG93">
            <v>37609</v>
          </cell>
          <cell r="AH93">
            <v>39387</v>
          </cell>
          <cell r="AI93" t="str">
            <v>ao</v>
          </cell>
          <cell r="AJ93">
            <v>38200</v>
          </cell>
          <cell r="AK93" t="str">
            <v/>
          </cell>
          <cell r="AL93">
            <v>-39.02551288795371</v>
          </cell>
          <cell r="AM93">
            <v>2004</v>
          </cell>
          <cell r="AN93">
            <v>12</v>
          </cell>
          <cell r="AO93">
            <v>38565</v>
          </cell>
          <cell r="AP93">
            <v>39020</v>
          </cell>
          <cell r="AQ93" t="str">
            <v>li</v>
          </cell>
          <cell r="AR93">
            <v>2006</v>
          </cell>
          <cell r="CJ93" t="str">
            <v>-</v>
          </cell>
          <cell r="CK93" t="str">
            <v>-</v>
          </cell>
          <cell r="CL93" t="str">
            <v>-</v>
          </cell>
          <cell r="CM93" t="str">
            <v>-</v>
          </cell>
          <cell r="CN93">
            <v>0</v>
          </cell>
          <cell r="CQ93" t="str">
            <v>oui</v>
          </cell>
          <cell r="CX93">
            <v>0</v>
          </cell>
          <cell r="DE93">
            <v>0</v>
          </cell>
          <cell r="DJ93">
            <v>0</v>
          </cell>
          <cell r="DO93">
            <v>0</v>
          </cell>
          <cell r="DS93">
            <v>0</v>
          </cell>
          <cell r="DT93">
            <v>0</v>
          </cell>
          <cell r="DU93">
            <v>0</v>
          </cell>
          <cell r="ED93" t="str">
            <v>G:\Habitat\OPERATIONNEL HABITAT\02- Operations\Photothèque\image non disponible.jpg</v>
          </cell>
          <cell r="EE93" t="str">
            <v>G:\Habitat\OPERATIONNEL HABITAT\02- Operations\Photothèque\image non disponible.jpg</v>
          </cell>
        </row>
        <row r="94">
          <cell r="A94" t="str">
            <v>FIDJI 1COL</v>
          </cell>
          <cell r="B94">
            <v>9637</v>
          </cell>
          <cell r="C94" t="str">
            <v>OUEST</v>
          </cell>
          <cell r="D94" t="str">
            <v>Port</v>
          </cell>
          <cell r="E94" t="str">
            <v>RHI SAY PISCINE</v>
          </cell>
          <cell r="F94">
            <v>16</v>
          </cell>
          <cell r="G94" t="str">
            <v>LLTS</v>
          </cell>
          <cell r="J94" t="str">
            <v>COL</v>
          </cell>
          <cell r="K94" t="str">
            <v>CF</v>
          </cell>
          <cell r="L94" t="str">
            <v>SIDR</v>
          </cell>
          <cell r="M94" t="str">
            <v>maitrisé</v>
          </cell>
          <cell r="N94" t="str">
            <v>PC</v>
          </cell>
          <cell r="O94" t="str">
            <v>FG</v>
          </cell>
          <cell r="P94" t="str">
            <v>CS</v>
          </cell>
          <cell r="Q94" t="str">
            <v>OP</v>
          </cell>
          <cell r="R94">
            <v>2008</v>
          </cell>
          <cell r="S94">
            <v>1</v>
          </cell>
          <cell r="T94" t="str">
            <v>problématique LLS MV diffus | parcellaire ?</v>
          </cell>
          <cell r="U94" t="str">
            <v>MEUNIER</v>
          </cell>
          <cell r="V94" t="str">
            <v>L - CHANTIER EN COURS</v>
          </cell>
          <cell r="W94">
            <v>39615</v>
          </cell>
          <cell r="X94" t="str">
            <v>d</v>
          </cell>
          <cell r="Y94" t="str">
            <v>974407A0057</v>
          </cell>
          <cell r="Z94">
            <v>39702</v>
          </cell>
          <cell r="AA94" t="str">
            <v>o</v>
          </cell>
          <cell r="AB94">
            <v>39566</v>
          </cell>
          <cell r="AC94" t="str">
            <v>v</v>
          </cell>
          <cell r="AD94">
            <v>39597</v>
          </cell>
          <cell r="AE94">
            <v>39615</v>
          </cell>
          <cell r="AF94" t="str">
            <v>f</v>
          </cell>
          <cell r="AH94">
            <v>39387</v>
          </cell>
          <cell r="AI94" t="str">
            <v>ao</v>
          </cell>
          <cell r="AJ94">
            <v>39690</v>
          </cell>
          <cell r="AK94" t="str">
            <v>ch</v>
          </cell>
          <cell r="AL94">
            <v>9.9618621778011569</v>
          </cell>
          <cell r="AM94">
            <v>2008</v>
          </cell>
          <cell r="AN94">
            <v>9</v>
          </cell>
          <cell r="AO94">
            <v>39963</v>
          </cell>
          <cell r="AP94">
            <v>39978</v>
          </cell>
          <cell r="AQ94" t="str">
            <v/>
          </cell>
          <cell r="AR94">
            <v>2009</v>
          </cell>
          <cell r="BK94">
            <v>0</v>
          </cell>
          <cell r="BL94">
            <v>4.5</v>
          </cell>
          <cell r="BO94" t="str">
            <v>à faire</v>
          </cell>
          <cell r="BQ94" t="str">
            <v>à faire</v>
          </cell>
          <cell r="CE94" t="str">
            <v>ECS ind</v>
          </cell>
          <cell r="CJ94" t="str">
            <v>-</v>
          </cell>
          <cell r="CK94" t="str">
            <v>-</v>
          </cell>
          <cell r="CL94">
            <v>39650</v>
          </cell>
          <cell r="CM94" t="str">
            <v>-</v>
          </cell>
          <cell r="CN94">
            <v>0</v>
          </cell>
          <cell r="CO94" t="str">
            <v>217 undercies</v>
          </cell>
          <cell r="CQ94" t="str">
            <v>non</v>
          </cell>
          <cell r="CX94">
            <v>0</v>
          </cell>
          <cell r="DE94">
            <v>0</v>
          </cell>
          <cell r="DJ94">
            <v>0</v>
          </cell>
          <cell r="DO94">
            <v>0</v>
          </cell>
          <cell r="DS94">
            <v>0</v>
          </cell>
          <cell r="DT94">
            <v>0</v>
          </cell>
          <cell r="DU94">
            <v>0</v>
          </cell>
          <cell r="ED94" t="str">
            <v>G:\Habitat\OPERATIONNEL HABITAT\02- Operations\Photothèque\image non disponible.jpg</v>
          </cell>
          <cell r="EE94" t="str">
            <v>G:\Habitat\OPERATIONNEL HABITAT\02- Operations\Photothèque\image non disponible.jpg</v>
          </cell>
        </row>
        <row r="95">
          <cell r="A95" t="str">
            <v>FIDJI 2 IND</v>
          </cell>
          <cell r="C95" t="str">
            <v>OUEST</v>
          </cell>
          <cell r="D95" t="str">
            <v>Port</v>
          </cell>
          <cell r="E95" t="str">
            <v>RHI SAY PISCINE</v>
          </cell>
          <cell r="F95">
            <v>15</v>
          </cell>
          <cell r="G95" t="str">
            <v>LLTS</v>
          </cell>
          <cell r="J95" t="str">
            <v>IND</v>
          </cell>
          <cell r="K95" t="str">
            <v>CF</v>
          </cell>
          <cell r="L95" t="str">
            <v>SIDR</v>
          </cell>
          <cell r="M95" t="str">
            <v>maitrisé</v>
          </cell>
          <cell r="N95" t="str">
            <v>PC</v>
          </cell>
          <cell r="O95" t="str">
            <v>FG</v>
          </cell>
          <cell r="P95" t="str">
            <v>CS</v>
          </cell>
          <cell r="Q95" t="str">
            <v>OP</v>
          </cell>
          <cell r="R95">
            <v>2008</v>
          </cell>
          <cell r="U95" t="str">
            <v>MEUNIER</v>
          </cell>
          <cell r="V95" t="str">
            <v>L - CHANTIER EN COURS</v>
          </cell>
          <cell r="W95">
            <v>39645</v>
          </cell>
          <cell r="X95" t="str">
            <v>d</v>
          </cell>
          <cell r="Z95">
            <v>39657</v>
          </cell>
          <cell r="AA95" t="str">
            <v>o</v>
          </cell>
          <cell r="AB95">
            <v>39566</v>
          </cell>
          <cell r="AC95" t="str">
            <v>v</v>
          </cell>
          <cell r="AD95">
            <v>39597</v>
          </cell>
          <cell r="AE95">
            <v>39659</v>
          </cell>
          <cell r="AF95" t="str">
            <v>f</v>
          </cell>
          <cell r="AH95">
            <v>39387</v>
          </cell>
          <cell r="AI95" t="str">
            <v>ao</v>
          </cell>
          <cell r="AJ95">
            <v>39690</v>
          </cell>
          <cell r="AK95" t="str">
            <v/>
          </cell>
          <cell r="AL95">
            <v>9.9618621778011569</v>
          </cell>
          <cell r="AM95">
            <v>2008</v>
          </cell>
          <cell r="AN95">
            <v>7</v>
          </cell>
          <cell r="AO95">
            <v>39902</v>
          </cell>
          <cell r="AP95">
            <v>39917</v>
          </cell>
          <cell r="AQ95" t="str">
            <v>li</v>
          </cell>
          <cell r="AR95">
            <v>2009</v>
          </cell>
          <cell r="BL95">
            <v>5.32</v>
          </cell>
          <cell r="CJ95" t="str">
            <v>-</v>
          </cell>
          <cell r="CK95" t="str">
            <v>-</v>
          </cell>
          <cell r="CL95">
            <v>39650</v>
          </cell>
          <cell r="CM95" t="str">
            <v>-</v>
          </cell>
          <cell r="CN95">
            <v>0</v>
          </cell>
          <cell r="CO95" t="str">
            <v>217 undercies</v>
          </cell>
          <cell r="CQ95" t="str">
            <v>non</v>
          </cell>
          <cell r="CX95">
            <v>0</v>
          </cell>
          <cell r="DE95">
            <v>0</v>
          </cell>
          <cell r="DJ95">
            <v>0</v>
          </cell>
          <cell r="DO95">
            <v>0</v>
          </cell>
          <cell r="DS95">
            <v>0</v>
          </cell>
          <cell r="DT95">
            <v>0</v>
          </cell>
          <cell r="DU95">
            <v>0</v>
          </cell>
          <cell r="ED95" t="str">
            <v>G:\Habitat\OPERATIONNEL HABITAT\02- Operations\Photothèque\image non disponible.jpg</v>
          </cell>
          <cell r="EE95" t="str">
            <v>G:\Habitat\OPERATIONNEL HABITAT\02- Operations\Photothèque\image non disponible.jpg</v>
          </cell>
        </row>
        <row r="96">
          <cell r="A96" t="str">
            <v>FIDJI 3</v>
          </cell>
          <cell r="C96" t="str">
            <v>OUEST</v>
          </cell>
          <cell r="D96" t="str">
            <v>Port</v>
          </cell>
          <cell r="E96" t="str">
            <v>RHI SAY PISCINE</v>
          </cell>
          <cell r="F96">
            <v>20</v>
          </cell>
          <cell r="G96" t="str">
            <v>LLTS</v>
          </cell>
          <cell r="J96" t="str">
            <v>MV</v>
          </cell>
          <cell r="K96" t="str">
            <v>CF</v>
          </cell>
          <cell r="L96" t="str">
            <v>SIDR</v>
          </cell>
          <cell r="M96" t="str">
            <v>non maitrisé</v>
          </cell>
          <cell r="N96" t="str">
            <v>EC</v>
          </cell>
          <cell r="Q96" t="str">
            <v>OP</v>
          </cell>
          <cell r="R96">
            <v>2010</v>
          </cell>
          <cell r="S96">
            <v>0</v>
          </cell>
          <cell r="T96" t="str">
            <v>problématique LLS MV diffus | parcellaire non callable</v>
          </cell>
          <cell r="U96">
            <v>-210000</v>
          </cell>
          <cell r="V96" t="str">
            <v>D - ESQUISSES</v>
          </cell>
          <cell r="X96" t="str">
            <v/>
          </cell>
          <cell r="AA96" t="str">
            <v/>
          </cell>
          <cell r="AC96" t="str">
            <v/>
          </cell>
          <cell r="AF96" t="str">
            <v/>
          </cell>
          <cell r="AI96" t="str">
            <v/>
          </cell>
          <cell r="AK96" t="str">
            <v/>
          </cell>
          <cell r="AL96">
            <v>0</v>
          </cell>
          <cell r="AM96" t="str">
            <v/>
          </cell>
          <cell r="AQ96" t="str">
            <v/>
          </cell>
          <cell r="BK96">
            <v>0</v>
          </cell>
          <cell r="BO96" t="str">
            <v>à faire</v>
          </cell>
          <cell r="BQ96" t="str">
            <v>à faire</v>
          </cell>
          <cell r="CE96" t="str">
            <v>ECS ind</v>
          </cell>
          <cell r="CJ96" t="str">
            <v>-</v>
          </cell>
          <cell r="CK96" t="str">
            <v>-</v>
          </cell>
          <cell r="CL96" t="str">
            <v>-</v>
          </cell>
          <cell r="CM96" t="str">
            <v>-</v>
          </cell>
          <cell r="CN96">
            <v>0</v>
          </cell>
          <cell r="CQ96" t="str">
            <v>non</v>
          </cell>
          <cell r="CX96">
            <v>0</v>
          </cell>
          <cell r="DE96">
            <v>0</v>
          </cell>
          <cell r="DJ96">
            <v>0</v>
          </cell>
          <cell r="DO96">
            <v>0</v>
          </cell>
          <cell r="DS96">
            <v>0</v>
          </cell>
          <cell r="DT96">
            <v>0</v>
          </cell>
          <cell r="DU96">
            <v>0</v>
          </cell>
          <cell r="ED96" t="str">
            <v>G:\Habitat\OPERATIONNEL HABITAT\02- Operations\Photothèque\image non disponible.jpg</v>
          </cell>
          <cell r="EE96" t="str">
            <v>G:\Habitat\OPERATIONNEL HABITAT\02- Operations\Photothèque\image non disponible.jpg</v>
          </cell>
        </row>
        <row r="97">
          <cell r="A97" t="str">
            <v>FIDJI 4</v>
          </cell>
          <cell r="C97" t="str">
            <v>OUEST</v>
          </cell>
          <cell r="D97" t="str">
            <v>Port</v>
          </cell>
          <cell r="E97" t="str">
            <v>RHI SAY PISCINE</v>
          </cell>
          <cell r="F97">
            <v>20</v>
          </cell>
          <cell r="G97" t="str">
            <v>LLTS</v>
          </cell>
          <cell r="J97" t="str">
            <v>MV</v>
          </cell>
          <cell r="K97" t="str">
            <v>CF</v>
          </cell>
          <cell r="L97" t="str">
            <v>SIDR</v>
          </cell>
          <cell r="N97" t="str">
            <v>EC</v>
          </cell>
          <cell r="R97">
            <v>2012</v>
          </cell>
          <cell r="T97" t="str">
            <v>problématique LLS MV diffus | parcellaire non callable</v>
          </cell>
          <cell r="AA97" t="str">
            <v/>
          </cell>
          <cell r="AC97" t="str">
            <v/>
          </cell>
          <cell r="AI97" t="str">
            <v/>
          </cell>
          <cell r="AK97" t="str">
            <v/>
          </cell>
          <cell r="AL97">
            <v>0</v>
          </cell>
          <cell r="AQ97" t="str">
            <v/>
          </cell>
          <cell r="CJ97" t="str">
            <v>-</v>
          </cell>
          <cell r="CK97" t="str">
            <v>-</v>
          </cell>
          <cell r="CL97" t="str">
            <v>-</v>
          </cell>
          <cell r="CM97" t="str">
            <v>-</v>
          </cell>
          <cell r="CN97">
            <v>0</v>
          </cell>
          <cell r="CQ97" t="str">
            <v>non</v>
          </cell>
          <cell r="CX97">
            <v>0</v>
          </cell>
          <cell r="DE97">
            <v>0</v>
          </cell>
          <cell r="DJ97">
            <v>0</v>
          </cell>
          <cell r="DO97">
            <v>0</v>
          </cell>
          <cell r="DS97">
            <v>0</v>
          </cell>
          <cell r="DT97">
            <v>0</v>
          </cell>
          <cell r="DU97">
            <v>0</v>
          </cell>
          <cell r="ED97" t="str">
            <v>G:\Habitat\OPERATIONNEL HABITAT\02- Operations\Photothèque\image non disponible.jpg</v>
          </cell>
          <cell r="EE97" t="str">
            <v>G:\Habitat\OPERATIONNEL HABITAT\02- Operations\Photothèque\image non disponible.jpg</v>
          </cell>
        </row>
        <row r="98">
          <cell r="A98" t="str">
            <v>FJT</v>
          </cell>
          <cell r="B98">
            <v>9584</v>
          </cell>
          <cell r="C98" t="str">
            <v>SUD</v>
          </cell>
          <cell r="D98" t="str">
            <v>Saint-Pierre</v>
          </cell>
          <cell r="E98" t="str">
            <v>CENTRE VILLE</v>
          </cell>
          <cell r="F98">
            <v>26</v>
          </cell>
          <cell r="G98" t="str">
            <v>LLTS</v>
          </cell>
          <cell r="J98" t="str">
            <v>COL</v>
          </cell>
          <cell r="K98" t="str">
            <v>RF</v>
          </cell>
          <cell r="M98" t="str">
            <v>maitrisé</v>
          </cell>
          <cell r="N98" t="str">
            <v>DA</v>
          </cell>
          <cell r="R98">
            <v>2006</v>
          </cell>
          <cell r="V98" t="str">
            <v>L - CHANTIER EN COURS</v>
          </cell>
          <cell r="Z98" t="str">
            <v>obtenu</v>
          </cell>
          <cell r="AA98" t="str">
            <v/>
          </cell>
          <cell r="AC98" t="str">
            <v/>
          </cell>
          <cell r="AI98" t="str">
            <v/>
          </cell>
          <cell r="AJ98">
            <v>39498</v>
          </cell>
          <cell r="AK98" t="str">
            <v/>
          </cell>
          <cell r="AL98">
            <v>1298.5928458705944</v>
          </cell>
          <cell r="AM98">
            <v>2008</v>
          </cell>
          <cell r="AN98">
            <v>12</v>
          </cell>
          <cell r="AO98">
            <v>39864</v>
          </cell>
          <cell r="AP98">
            <v>39879</v>
          </cell>
          <cell r="AQ98" t="str">
            <v>li</v>
          </cell>
          <cell r="AR98">
            <v>2009</v>
          </cell>
          <cell r="CL98" t="str">
            <v>-</v>
          </cell>
          <cell r="CN98">
            <v>0</v>
          </cell>
          <cell r="CQ98" t="str">
            <v>non</v>
          </cell>
          <cell r="CX98">
            <v>0</v>
          </cell>
          <cell r="DE98">
            <v>0</v>
          </cell>
          <cell r="DJ98">
            <v>0</v>
          </cell>
          <cell r="DO98">
            <v>0</v>
          </cell>
          <cell r="DS98">
            <v>0</v>
          </cell>
          <cell r="DT98">
            <v>0</v>
          </cell>
          <cell r="DU98">
            <v>0</v>
          </cell>
          <cell r="ED98" t="str">
            <v>G:\Habitat\OPERATIONNEL HABITAT\02- Operations\Photothèque\image non disponible.jpg</v>
          </cell>
          <cell r="EE98" t="str">
            <v>G:\Habitat\OPERATIONNEL HABITAT\02- Operations\Photothèque\image non disponible.jpg</v>
          </cell>
        </row>
        <row r="99">
          <cell r="A99" t="str">
            <v>FLEUR DE VANILLE</v>
          </cell>
          <cell r="B99">
            <v>9599</v>
          </cell>
          <cell r="C99" t="str">
            <v>NORD</v>
          </cell>
          <cell r="D99" t="str">
            <v>Saint-Denis</v>
          </cell>
          <cell r="E99" t="str">
            <v>CHAMP FLEURI</v>
          </cell>
          <cell r="F99">
            <v>26</v>
          </cell>
          <cell r="G99" t="str">
            <v>PLS</v>
          </cell>
          <cell r="J99" t="str">
            <v>COL</v>
          </cell>
          <cell r="K99" t="str">
            <v>RF</v>
          </cell>
          <cell r="N99" t="str">
            <v>JPM</v>
          </cell>
          <cell r="O99" t="str">
            <v>SV</v>
          </cell>
          <cell r="P99" t="str">
            <v>CC</v>
          </cell>
          <cell r="R99">
            <v>2005</v>
          </cell>
          <cell r="T99" t="str">
            <v>DAT ok</v>
          </cell>
          <cell r="U99" t="str">
            <v>BOCQUEE</v>
          </cell>
          <cell r="V99" t="str">
            <v>M - LIVRE/GPA</v>
          </cell>
          <cell r="W99">
            <v>38461</v>
          </cell>
          <cell r="X99" t="str">
            <v>d</v>
          </cell>
          <cell r="Y99" t="str">
            <v>97441105A0188</v>
          </cell>
          <cell r="Z99">
            <v>38637</v>
          </cell>
          <cell r="AA99" t="str">
            <v>o</v>
          </cell>
          <cell r="AB99" t="str">
            <v>validé</v>
          </cell>
          <cell r="AC99" t="str">
            <v/>
          </cell>
          <cell r="AE99">
            <v>38615</v>
          </cell>
          <cell r="AF99" t="str">
            <v>f</v>
          </cell>
          <cell r="AG99">
            <v>38805</v>
          </cell>
          <cell r="AH99">
            <v>38621</v>
          </cell>
          <cell r="AI99" t="str">
            <v>ao</v>
          </cell>
          <cell r="AJ99">
            <v>38825</v>
          </cell>
          <cell r="AK99" t="str">
            <v/>
          </cell>
          <cell r="AL99">
            <v>6.706996317727512</v>
          </cell>
          <cell r="AM99">
            <v>2006</v>
          </cell>
          <cell r="AN99">
            <v>16</v>
          </cell>
          <cell r="AO99">
            <v>39294</v>
          </cell>
          <cell r="AP99">
            <v>39309</v>
          </cell>
          <cell r="AQ99" t="str">
            <v>li</v>
          </cell>
          <cell r="AR99">
            <v>2007</v>
          </cell>
          <cell r="AS99">
            <v>3</v>
          </cell>
          <cell r="AT99">
            <v>33</v>
          </cell>
          <cell r="AW99">
            <v>7</v>
          </cell>
          <cell r="AX99">
            <v>65.86</v>
          </cell>
          <cell r="BA99">
            <v>10</v>
          </cell>
          <cell r="BB99">
            <v>69.900000000000006</v>
          </cell>
          <cell r="BE99">
            <v>4</v>
          </cell>
          <cell r="BF99">
            <v>79.5</v>
          </cell>
          <cell r="BI99">
            <v>2</v>
          </cell>
          <cell r="BJ99">
            <v>98.5</v>
          </cell>
          <cell r="BK99">
            <v>26</v>
          </cell>
          <cell r="BL99">
            <v>8.5</v>
          </cell>
          <cell r="BM99">
            <v>0.8</v>
          </cell>
          <cell r="BN99">
            <v>0.2</v>
          </cell>
          <cell r="BO99" t="str">
            <v>signée</v>
          </cell>
          <cell r="BP99">
            <v>0.8</v>
          </cell>
          <cell r="BQ99" t="str">
            <v>signée</v>
          </cell>
          <cell r="BX99" t="str">
            <v>signé</v>
          </cell>
          <cell r="BY99">
            <v>1862</v>
          </cell>
          <cell r="BZ99">
            <v>3442</v>
          </cell>
          <cell r="CA99">
            <v>2024</v>
          </cell>
          <cell r="CE99" t="str">
            <v>ECS ind</v>
          </cell>
          <cell r="CJ99" t="str">
            <v>-</v>
          </cell>
          <cell r="CK99" t="str">
            <v>-</v>
          </cell>
          <cell r="CL99" t="str">
            <v>-</v>
          </cell>
          <cell r="CM99" t="str">
            <v>-</v>
          </cell>
          <cell r="CN99">
            <v>0</v>
          </cell>
          <cell r="CQ99" t="str">
            <v>oui</v>
          </cell>
          <cell r="CR99">
            <v>190589</v>
          </cell>
          <cell r="CT99">
            <v>1801730</v>
          </cell>
          <cell r="CX99">
            <v>1992319</v>
          </cell>
          <cell r="DE99">
            <v>0</v>
          </cell>
          <cell r="DJ99">
            <v>0</v>
          </cell>
          <cell r="DO99">
            <v>0</v>
          </cell>
          <cell r="DQ99">
            <v>64300</v>
          </cell>
          <cell r="DR99">
            <v>23825</v>
          </cell>
          <cell r="DS99">
            <v>88125</v>
          </cell>
          <cell r="DT99">
            <v>176250</v>
          </cell>
          <cell r="DU99">
            <v>-1816069</v>
          </cell>
          <cell r="ED99" t="str">
            <v>G:\Habitat\OPERATIONNEL HABITAT\02- Operations\Photothèque\images locatifs\Fleur de vanille\INSERTION FLEUR DE VANILLE 2.jpg</v>
          </cell>
          <cell r="EE99" t="str">
            <v>G:\Habitat\OPERATIONNEL HABITAT\02- Operations\Photothèque\image non disponible.jpg</v>
          </cell>
        </row>
        <row r="100">
          <cell r="A100" t="str">
            <v>FLEUR JAUNE</v>
          </cell>
          <cell r="B100">
            <v>9548</v>
          </cell>
          <cell r="C100" t="str">
            <v>EST</v>
          </cell>
          <cell r="D100" t="str">
            <v>Saint-André</v>
          </cell>
          <cell r="E100" t="str">
            <v>ZAC CRESSONIERE</v>
          </cell>
          <cell r="F100">
            <v>23</v>
          </cell>
          <cell r="G100" t="str">
            <v>LLTS</v>
          </cell>
          <cell r="J100" t="str">
            <v>COL</v>
          </cell>
          <cell r="K100" t="str">
            <v>CF</v>
          </cell>
          <cell r="L100" t="str">
            <v>SIDR</v>
          </cell>
          <cell r="N100" t="str">
            <v>JPM</v>
          </cell>
          <cell r="O100" t="str">
            <v>JMO</v>
          </cell>
          <cell r="P100" t="str">
            <v>CC</v>
          </cell>
          <cell r="Q100" t="str">
            <v>SPG</v>
          </cell>
          <cell r="R100">
            <v>2004</v>
          </cell>
          <cell r="U100" t="str">
            <v>BOCQUEE</v>
          </cell>
          <cell r="V100" t="str">
            <v>M - LIVRE/GPA</v>
          </cell>
          <cell r="W100">
            <v>38229</v>
          </cell>
          <cell r="X100" t="str">
            <v>d</v>
          </cell>
          <cell r="Y100" t="str">
            <v>97440904A0412</v>
          </cell>
          <cell r="Z100">
            <v>38471</v>
          </cell>
          <cell r="AA100" t="str">
            <v>o</v>
          </cell>
          <cell r="AB100" t="str">
            <v>validé</v>
          </cell>
          <cell r="AC100" t="str">
            <v/>
          </cell>
          <cell r="AE100">
            <v>38238</v>
          </cell>
          <cell r="AF100" t="str">
            <v>f</v>
          </cell>
          <cell r="AG100">
            <v>38556</v>
          </cell>
          <cell r="AH100">
            <v>38460</v>
          </cell>
          <cell r="AI100" t="str">
            <v>ao</v>
          </cell>
          <cell r="AJ100">
            <v>38930</v>
          </cell>
          <cell r="AK100" t="str">
            <v/>
          </cell>
          <cell r="AL100">
            <v>15.452393477117306</v>
          </cell>
          <cell r="AM100">
            <v>2006</v>
          </cell>
          <cell r="AN100">
            <v>16</v>
          </cell>
          <cell r="AO100">
            <v>39413</v>
          </cell>
          <cell r="AP100">
            <v>39413</v>
          </cell>
          <cell r="AQ100" t="str">
            <v>li</v>
          </cell>
          <cell r="AR100">
            <v>2007</v>
          </cell>
          <cell r="AS100">
            <v>1</v>
          </cell>
          <cell r="AT100">
            <v>31.71</v>
          </cell>
          <cell r="AW100">
            <v>4</v>
          </cell>
          <cell r="AX100">
            <v>56.75</v>
          </cell>
          <cell r="BA100">
            <v>12</v>
          </cell>
          <cell r="BB100">
            <v>66.48</v>
          </cell>
          <cell r="BE100">
            <v>4</v>
          </cell>
          <cell r="BF100">
            <v>79.38</v>
          </cell>
          <cell r="BI100">
            <v>2</v>
          </cell>
          <cell r="BJ100">
            <v>93.15</v>
          </cell>
          <cell r="BK100">
            <v>23</v>
          </cell>
          <cell r="BL100">
            <v>4.07</v>
          </cell>
          <cell r="BM100">
            <v>0.67</v>
          </cell>
          <cell r="BN100">
            <v>0.4</v>
          </cell>
          <cell r="BO100" t="str">
            <v>signée</v>
          </cell>
          <cell r="BP100">
            <v>0.6</v>
          </cell>
          <cell r="BQ100" t="str">
            <v>signée</v>
          </cell>
          <cell r="BR100" t="str">
            <v>CAF</v>
          </cell>
          <cell r="BS100">
            <v>0.15</v>
          </cell>
          <cell r="BT100" t="str">
            <v>signée</v>
          </cell>
          <cell r="BX100" t="str">
            <v>signé</v>
          </cell>
          <cell r="BY100">
            <v>1495</v>
          </cell>
          <cell r="BZ100">
            <v>1822</v>
          </cell>
          <cell r="CA100">
            <v>1572</v>
          </cell>
          <cell r="CE100" t="str">
            <v>ECS ind</v>
          </cell>
          <cell r="CF100">
            <v>78050</v>
          </cell>
          <cell r="CG100">
            <v>23415</v>
          </cell>
          <cell r="CH100">
            <v>35122.5</v>
          </cell>
          <cell r="CI100">
            <v>19512.5</v>
          </cell>
          <cell r="CJ100" t="str">
            <v>-</v>
          </cell>
          <cell r="CK100" t="str">
            <v>-</v>
          </cell>
          <cell r="CL100" t="str">
            <v>-</v>
          </cell>
          <cell r="CM100" t="str">
            <v>-</v>
          </cell>
          <cell r="CN100">
            <v>0</v>
          </cell>
          <cell r="CQ100" t="str">
            <v>oui</v>
          </cell>
          <cell r="CR100">
            <v>232640</v>
          </cell>
          <cell r="CT100">
            <v>1136265</v>
          </cell>
          <cell r="CX100">
            <v>1368905</v>
          </cell>
          <cell r="DE100">
            <v>58537.5</v>
          </cell>
          <cell r="DJ100">
            <v>58537.5</v>
          </cell>
          <cell r="DO100">
            <v>0</v>
          </cell>
          <cell r="DQ100">
            <v>38700</v>
          </cell>
          <cell r="DR100">
            <v>20125</v>
          </cell>
          <cell r="DS100">
            <v>58825</v>
          </cell>
          <cell r="DT100">
            <v>117650</v>
          </cell>
          <cell r="DU100">
            <v>-1192717.5</v>
          </cell>
          <cell r="ED100" t="str">
            <v>G:\Habitat\OPERATIONNEL HABITAT\02- Operations\Photothèque\images locatifs\Fleurs Jaunes\FLEUR_JAUNE_MODIFIE.jpg</v>
          </cell>
          <cell r="EE100" t="str">
            <v>G:\Habitat\OPERATIONNEL HABITAT\02- Operations\Photothèque\images locatifs\Fleurs Jaunes\fleurs jaunes 2 .jpg</v>
          </cell>
        </row>
        <row r="101">
          <cell r="A101" t="str">
            <v>FLEURS DE CRESSON</v>
          </cell>
          <cell r="B101">
            <v>9449</v>
          </cell>
          <cell r="C101" t="str">
            <v>EST</v>
          </cell>
          <cell r="D101" t="str">
            <v>Saint-André</v>
          </cell>
          <cell r="E101" t="str">
            <v>ZAC CRESSONIERE</v>
          </cell>
          <cell r="F101">
            <v>24</v>
          </cell>
          <cell r="G101" t="str">
            <v>LESG</v>
          </cell>
          <cell r="J101" t="str">
            <v>IND</v>
          </cell>
          <cell r="K101" t="str">
            <v>CF</v>
          </cell>
          <cell r="L101" t="str">
            <v>SIDR</v>
          </cell>
          <cell r="N101" t="str">
            <v>EC</v>
          </cell>
          <cell r="O101" t="str">
            <v>OS</v>
          </cell>
          <cell r="P101" t="str">
            <v>LV</v>
          </cell>
          <cell r="Q101" t="str">
            <v>SPG</v>
          </cell>
          <cell r="R101">
            <v>2002</v>
          </cell>
          <cell r="U101" t="str">
            <v>ATELIER GAZUT</v>
          </cell>
          <cell r="V101" t="str">
            <v>M - LIVRE/GPA</v>
          </cell>
          <cell r="W101">
            <v>37455</v>
          </cell>
          <cell r="X101" t="str">
            <v>d</v>
          </cell>
          <cell r="Z101">
            <v>37574</v>
          </cell>
          <cell r="AA101" t="str">
            <v>o</v>
          </cell>
          <cell r="AB101" t="str">
            <v>validé</v>
          </cell>
          <cell r="AC101" t="str">
            <v/>
          </cell>
          <cell r="AD101">
            <v>0</v>
          </cell>
          <cell r="AE101">
            <v>37554</v>
          </cell>
          <cell r="AF101" t="str">
            <v>f</v>
          </cell>
          <cell r="AG101">
            <v>37614</v>
          </cell>
          <cell r="AH101">
            <v>37756</v>
          </cell>
          <cell r="AI101" t="str">
            <v>ao</v>
          </cell>
          <cell r="AJ101">
            <v>37834</v>
          </cell>
          <cell r="AK101" t="str">
            <v/>
          </cell>
          <cell r="AL101">
            <v>2.5644397685428721</v>
          </cell>
          <cell r="AM101">
            <v>2003</v>
          </cell>
          <cell r="AN101">
            <v>14</v>
          </cell>
          <cell r="AO101">
            <v>38261</v>
          </cell>
          <cell r="AP101">
            <v>38518</v>
          </cell>
          <cell r="AQ101" t="str">
            <v>li</v>
          </cell>
          <cell r="AR101">
            <v>2005</v>
          </cell>
          <cell r="CJ101" t="str">
            <v>-</v>
          </cell>
          <cell r="CK101" t="str">
            <v>-</v>
          </cell>
          <cell r="CL101" t="str">
            <v>-</v>
          </cell>
          <cell r="CM101" t="str">
            <v>-</v>
          </cell>
          <cell r="CN101">
            <v>0</v>
          </cell>
          <cell r="CQ101" t="str">
            <v>oui</v>
          </cell>
          <cell r="CX101">
            <v>0</v>
          </cell>
          <cell r="DE101">
            <v>0</v>
          </cell>
          <cell r="DJ101">
            <v>0</v>
          </cell>
          <cell r="DO101">
            <v>0</v>
          </cell>
          <cell r="DS101">
            <v>0</v>
          </cell>
          <cell r="DT101">
            <v>0</v>
          </cell>
          <cell r="DU101">
            <v>0</v>
          </cell>
          <cell r="ED101" t="str">
            <v>G:\Habitat\OPERATIONNEL HABITAT\02- Operations\Photothèque\images casevo\Fleur de cresson\fleurs de cresson.jpg</v>
          </cell>
          <cell r="EE101" t="str">
            <v>G:\Habitat\OPERATIONNEL HABITAT\02- Operations\Photothèque\images casevo\Fleur de cresson\fleurs de cresson (1).jpg</v>
          </cell>
        </row>
        <row r="102">
          <cell r="A102" t="str">
            <v>FORT DAUPHIN</v>
          </cell>
          <cell r="B102">
            <v>9700</v>
          </cell>
          <cell r="C102" t="str">
            <v>EST</v>
          </cell>
          <cell r="D102" t="str">
            <v>Saint-André</v>
          </cell>
          <cell r="E102" t="str">
            <v>ZAC PORTES DES SALAZES</v>
          </cell>
          <cell r="F102">
            <v>53</v>
          </cell>
          <cell r="G102" t="str">
            <v>LLTS</v>
          </cell>
          <cell r="J102" t="str">
            <v>COL</v>
          </cell>
          <cell r="K102" t="str">
            <v>CF</v>
          </cell>
          <cell r="L102" t="str">
            <v>SEMAC</v>
          </cell>
          <cell r="M102" t="str">
            <v>non maitrisé</v>
          </cell>
          <cell r="N102" t="str">
            <v>CLa</v>
          </cell>
          <cell r="O102" t="str">
            <v>JMO</v>
          </cell>
          <cell r="P102" t="str">
            <v>CC</v>
          </cell>
          <cell r="R102">
            <v>2007</v>
          </cell>
          <cell r="S102">
            <v>1</v>
          </cell>
          <cell r="U102" t="str">
            <v>BERTIN LEBEIGLE</v>
          </cell>
          <cell r="V102" t="str">
            <v>H - APPEL D'OFFRES</v>
          </cell>
          <cell r="W102">
            <v>39352</v>
          </cell>
          <cell r="X102" t="str">
            <v>d</v>
          </cell>
          <cell r="Y102" t="str">
            <v>97440907a0533</v>
          </cell>
          <cell r="Z102">
            <v>39457</v>
          </cell>
          <cell r="AA102" t="str">
            <v>o</v>
          </cell>
          <cell r="AB102">
            <v>39337</v>
          </cell>
          <cell r="AC102" t="str">
            <v>v</v>
          </cell>
          <cell r="AD102">
            <v>39597</v>
          </cell>
          <cell r="AE102">
            <v>39353</v>
          </cell>
          <cell r="AF102" t="str">
            <v>f</v>
          </cell>
          <cell r="AG102">
            <v>39464</v>
          </cell>
          <cell r="AH102">
            <v>39722</v>
          </cell>
          <cell r="AI102" t="str">
            <v>ao</v>
          </cell>
          <cell r="AJ102">
            <v>39864</v>
          </cell>
          <cell r="AK102" t="str">
            <v>ch</v>
          </cell>
          <cell r="AL102">
            <v>4.6685954760652288</v>
          </cell>
          <cell r="AM102">
            <v>2009</v>
          </cell>
          <cell r="AN102">
            <v>18</v>
          </cell>
          <cell r="AO102">
            <v>40410</v>
          </cell>
          <cell r="AP102">
            <v>40425</v>
          </cell>
          <cell r="AQ102" t="str">
            <v/>
          </cell>
          <cell r="AR102">
            <v>2010</v>
          </cell>
          <cell r="BL102">
            <v>5.17</v>
          </cell>
          <cell r="CJ102" t="str">
            <v>SCI Saint Pierre</v>
          </cell>
          <cell r="CK102" t="str">
            <v>INFI</v>
          </cell>
          <cell r="CL102">
            <v>39773</v>
          </cell>
          <cell r="CM102" t="str">
            <v>-</v>
          </cell>
          <cell r="CN102">
            <v>0</v>
          </cell>
          <cell r="CO102" t="str">
            <v>199 undecies A</v>
          </cell>
          <cell r="CQ102" t="str">
            <v>non</v>
          </cell>
          <cell r="CX102">
            <v>0</v>
          </cell>
          <cell r="DE102">
            <v>0</v>
          </cell>
          <cell r="DJ102">
            <v>0</v>
          </cell>
          <cell r="DO102">
            <v>0</v>
          </cell>
          <cell r="DS102">
            <v>0</v>
          </cell>
          <cell r="DT102">
            <v>0</v>
          </cell>
          <cell r="DU102">
            <v>0</v>
          </cell>
          <cell r="ED102" t="str">
            <v>G:\Habitat\OPERATIONNEL HABITAT\02- Operations\Photothèque\image non disponible.jpg</v>
          </cell>
          <cell r="EE102" t="str">
            <v>G:\Habitat\OPERATIONNEL HABITAT\02- Operations\Photothèque\image non disponible.jpg</v>
          </cell>
        </row>
        <row r="103">
          <cell r="A103" t="str">
            <v>FRANGIPANIER</v>
          </cell>
          <cell r="B103">
            <v>9547</v>
          </cell>
          <cell r="C103" t="str">
            <v>EST</v>
          </cell>
          <cell r="D103" t="str">
            <v>Saint-André</v>
          </cell>
          <cell r="E103" t="str">
            <v>ZAC CRESSONIERE</v>
          </cell>
          <cell r="F103">
            <v>28</v>
          </cell>
          <cell r="G103" t="str">
            <v>LLTS</v>
          </cell>
          <cell r="J103" t="str">
            <v>COL</v>
          </cell>
          <cell r="K103" t="str">
            <v>CF</v>
          </cell>
          <cell r="L103" t="str">
            <v>SIDR</v>
          </cell>
          <cell r="N103" t="str">
            <v>JPM</v>
          </cell>
          <cell r="O103" t="str">
            <v>JMO</v>
          </cell>
          <cell r="P103" t="str">
            <v>CC</v>
          </cell>
          <cell r="Q103" t="str">
            <v>SPG</v>
          </cell>
          <cell r="R103">
            <v>2004</v>
          </cell>
          <cell r="T103" t="str">
            <v>vente sedre/ sidr OK</v>
          </cell>
          <cell r="U103" t="str">
            <v>BERTIN LEBEIGLE</v>
          </cell>
          <cell r="V103" t="str">
            <v>M - LIVRE/GPA</v>
          </cell>
          <cell r="W103">
            <v>38181</v>
          </cell>
          <cell r="X103" t="str">
            <v>d</v>
          </cell>
          <cell r="Y103" t="str">
            <v>97440904A0339</v>
          </cell>
          <cell r="Z103">
            <v>38530</v>
          </cell>
          <cell r="AA103" t="str">
            <v>o</v>
          </cell>
          <cell r="AB103" t="str">
            <v>validé</v>
          </cell>
          <cell r="AC103" t="str">
            <v/>
          </cell>
          <cell r="AE103">
            <v>38236</v>
          </cell>
          <cell r="AF103" t="str">
            <v>f</v>
          </cell>
          <cell r="AG103">
            <v>38575</v>
          </cell>
          <cell r="AH103">
            <v>38327</v>
          </cell>
          <cell r="AI103" t="str">
            <v>ao</v>
          </cell>
          <cell r="AJ103">
            <v>38574</v>
          </cell>
          <cell r="AK103" t="str">
            <v/>
          </cell>
          <cell r="AL103">
            <v>8.1207259337190951</v>
          </cell>
          <cell r="AM103">
            <v>2005</v>
          </cell>
          <cell r="AN103">
            <v>14</v>
          </cell>
          <cell r="AO103">
            <v>39000</v>
          </cell>
          <cell r="AP103">
            <v>39027</v>
          </cell>
          <cell r="AQ103" t="str">
            <v>li</v>
          </cell>
          <cell r="AR103">
            <v>2006</v>
          </cell>
          <cell r="AS103">
            <v>4</v>
          </cell>
          <cell r="AT103">
            <v>28.91</v>
          </cell>
          <cell r="AW103">
            <v>8</v>
          </cell>
          <cell r="AX103">
            <v>56.6</v>
          </cell>
          <cell r="BA103">
            <v>9</v>
          </cell>
          <cell r="BB103">
            <v>67.709999999999994</v>
          </cell>
          <cell r="BE103">
            <v>6</v>
          </cell>
          <cell r="BF103">
            <v>82.25</v>
          </cell>
          <cell r="BI103">
            <v>1</v>
          </cell>
          <cell r="BJ103">
            <v>97.42</v>
          </cell>
          <cell r="BK103">
            <v>28</v>
          </cell>
          <cell r="BL103">
            <v>4.21</v>
          </cell>
          <cell r="BM103">
            <v>0.67</v>
          </cell>
          <cell r="BN103">
            <v>0.4</v>
          </cell>
          <cell r="BO103" t="str">
            <v>signée</v>
          </cell>
          <cell r="BP103">
            <v>0.6</v>
          </cell>
          <cell r="BQ103" t="str">
            <v>signée</v>
          </cell>
          <cell r="BR103" t="str">
            <v>CAF</v>
          </cell>
          <cell r="BS103">
            <v>0.15</v>
          </cell>
          <cell r="BT103" t="str">
            <v>signée</v>
          </cell>
          <cell r="BX103" t="str">
            <v>signé</v>
          </cell>
          <cell r="BY103">
            <v>2153</v>
          </cell>
          <cell r="BZ103">
            <v>2183</v>
          </cell>
          <cell r="CA103">
            <v>1821.61</v>
          </cell>
          <cell r="CE103" t="str">
            <v>ECS ind</v>
          </cell>
          <cell r="CF103">
            <v>102633.61</v>
          </cell>
          <cell r="CG103">
            <v>30790.083000000002</v>
          </cell>
          <cell r="CH103">
            <v>46185.124499999998</v>
          </cell>
          <cell r="CI103">
            <v>25658.4025</v>
          </cell>
          <cell r="CJ103" t="str">
            <v>-</v>
          </cell>
          <cell r="CK103" t="str">
            <v>-</v>
          </cell>
          <cell r="CL103" t="str">
            <v>-</v>
          </cell>
          <cell r="CM103" t="str">
            <v>-</v>
          </cell>
          <cell r="CN103">
            <v>0</v>
          </cell>
          <cell r="CQ103" t="str">
            <v>oui</v>
          </cell>
          <cell r="CR103">
            <v>251755</v>
          </cell>
          <cell r="CT103">
            <v>1571577</v>
          </cell>
          <cell r="CX103">
            <v>1823332</v>
          </cell>
          <cell r="DE103">
            <v>76975.207500000004</v>
          </cell>
          <cell r="DJ103">
            <v>76975.207500000004</v>
          </cell>
          <cell r="DO103">
            <v>0</v>
          </cell>
          <cell r="DQ103">
            <v>45500</v>
          </cell>
          <cell r="DR103">
            <v>24500</v>
          </cell>
          <cell r="DS103">
            <v>70000</v>
          </cell>
          <cell r="DT103">
            <v>140000</v>
          </cell>
          <cell r="DU103">
            <v>-1606356.7925</v>
          </cell>
          <cell r="ED103" t="str">
            <v>G:\Habitat\OPERATIONNEL HABITAT\02- Operations\Photothèque\images locatifs\frangipaniers\PERS FRANGIPANIERS .jpg</v>
          </cell>
          <cell r="EE103" t="str">
            <v>G:\Habitat\OPERATIONNEL HABITAT\02- Operations\Photothèque\images locatifs\frangipaniers\MONTAGE INSERTIONSFRANG .jpg</v>
          </cell>
        </row>
        <row r="104">
          <cell r="A104" t="str">
            <v>FUTUNA</v>
          </cell>
          <cell r="B104">
            <v>9642</v>
          </cell>
          <cell r="C104" t="str">
            <v>SUD</v>
          </cell>
          <cell r="D104" t="str">
            <v>Saint-Pierre</v>
          </cell>
          <cell r="E104" t="str">
            <v>RHI BASSE TERRE</v>
          </cell>
          <cell r="F104">
            <v>18</v>
          </cell>
          <cell r="G104" t="str">
            <v>LLTS</v>
          </cell>
          <cell r="J104" t="str">
            <v>COL</v>
          </cell>
          <cell r="K104" t="str">
            <v>CF</v>
          </cell>
          <cell r="L104" t="str">
            <v>SIDR</v>
          </cell>
          <cell r="M104" t="str">
            <v>maitrisé</v>
          </cell>
          <cell r="N104" t="str">
            <v>LC</v>
          </cell>
          <cell r="O104" t="str">
            <v>OS</v>
          </cell>
          <cell r="P104" t="str">
            <v>AM</v>
          </cell>
          <cell r="Q104" t="str">
            <v>HBM</v>
          </cell>
          <cell r="R104">
            <v>2006</v>
          </cell>
          <cell r="S104">
            <v>1</v>
          </cell>
          <cell r="T104" t="str">
            <v>dépassement budget 300 K€ financer RHI 250K€</v>
          </cell>
          <cell r="U104" t="str">
            <v>FAESSEL BOHE</v>
          </cell>
          <cell r="V104" t="str">
            <v>K - OS TRAVAUX</v>
          </cell>
          <cell r="W104">
            <v>38958</v>
          </cell>
          <cell r="X104" t="str">
            <v>d</v>
          </cell>
          <cell r="Y104" t="str">
            <v>97441606A0689</v>
          </cell>
          <cell r="Z104">
            <v>39098</v>
          </cell>
          <cell r="AA104" t="str">
            <v>o</v>
          </cell>
          <cell r="AB104">
            <v>38974</v>
          </cell>
          <cell r="AC104" t="str">
            <v>v</v>
          </cell>
          <cell r="AD104">
            <v>39030</v>
          </cell>
          <cell r="AE104">
            <v>38967</v>
          </cell>
          <cell r="AF104" t="str">
            <v>f</v>
          </cell>
          <cell r="AG104">
            <v>39078</v>
          </cell>
          <cell r="AH104">
            <v>39248</v>
          </cell>
          <cell r="AI104" t="str">
            <v>ao</v>
          </cell>
          <cell r="AJ104">
            <v>39800</v>
          </cell>
          <cell r="AK104" t="str">
            <v>ch</v>
          </cell>
          <cell r="AL104">
            <v>18.148342977380327</v>
          </cell>
          <cell r="AM104">
            <v>2008</v>
          </cell>
          <cell r="AN104">
            <v>14</v>
          </cell>
          <cell r="AO104">
            <v>40227</v>
          </cell>
          <cell r="AP104">
            <v>40242</v>
          </cell>
          <cell r="AQ104" t="str">
            <v/>
          </cell>
          <cell r="AR104">
            <v>2010</v>
          </cell>
          <cell r="AS104">
            <v>1</v>
          </cell>
          <cell r="AT104">
            <v>29</v>
          </cell>
          <cell r="BA104">
            <v>10</v>
          </cell>
          <cell r="BB104">
            <v>68</v>
          </cell>
          <cell r="BE104">
            <v>7</v>
          </cell>
          <cell r="BF104">
            <v>89</v>
          </cell>
          <cell r="BK104">
            <v>18</v>
          </cell>
          <cell r="BL104">
            <v>4.22</v>
          </cell>
          <cell r="BM104">
            <v>0.82</v>
          </cell>
          <cell r="BO104" t="str">
            <v>signée</v>
          </cell>
          <cell r="BQ104" t="str">
            <v>signée</v>
          </cell>
          <cell r="BX104" t="str">
            <v>signé</v>
          </cell>
          <cell r="BY104">
            <v>1277</v>
          </cell>
          <cell r="BZ104">
            <v>1731</v>
          </cell>
          <cell r="CA104">
            <v>1340.47</v>
          </cell>
          <cell r="CE104" t="str">
            <v>ECS ind</v>
          </cell>
          <cell r="CI104" t="str">
            <v>D a faire</v>
          </cell>
          <cell r="CJ104" t="str">
            <v>SCI Saint André</v>
          </cell>
          <cell r="CK104" t="str">
            <v>INFI</v>
          </cell>
          <cell r="CL104">
            <v>39773</v>
          </cell>
          <cell r="CM104" t="str">
            <v>-</v>
          </cell>
          <cell r="CN104">
            <v>0</v>
          </cell>
          <cell r="CO104" t="str">
            <v>199 undecies A</v>
          </cell>
          <cell r="CQ104" t="str">
            <v>non</v>
          </cell>
          <cell r="CX104">
            <v>0</v>
          </cell>
          <cell r="DE104">
            <v>0</v>
          </cell>
          <cell r="DJ104">
            <v>0</v>
          </cell>
          <cell r="DO104">
            <v>0</v>
          </cell>
          <cell r="DQ104">
            <v>54755</v>
          </cell>
          <cell r="DR104">
            <v>17073</v>
          </cell>
          <cell r="DS104">
            <v>71828</v>
          </cell>
          <cell r="DT104">
            <v>143656</v>
          </cell>
          <cell r="DU104">
            <v>143656</v>
          </cell>
          <cell r="ED104" t="str">
            <v>G:\Habitat\OPERATIONNEL HABITAT\02- Operations\Photothèque\images locatifs\wallis futuna\SIDR_FUTUNA 02.jpg</v>
          </cell>
          <cell r="EE104" t="str">
            <v>G:\Habitat\OPERATIONNEL HABITAT\02- Operations\Photothèque\images locatifs\wallis futuna\SIDR_FUTUNA 01.jpg</v>
          </cell>
        </row>
        <row r="105">
          <cell r="A105" t="str">
            <v>GENDARMERIE st anne</v>
          </cell>
          <cell r="C105" t="str">
            <v>EST</v>
          </cell>
          <cell r="D105" t="str">
            <v>Saint-Benoît</v>
          </cell>
          <cell r="E105" t="str">
            <v>ZAC ST ANNE</v>
          </cell>
          <cell r="F105">
            <v>10</v>
          </cell>
          <cell r="G105" t="str">
            <v>nd</v>
          </cell>
          <cell r="J105" t="str">
            <v>COL</v>
          </cell>
          <cell r="K105" t="str">
            <v>CF</v>
          </cell>
          <cell r="L105" t="str">
            <v>SIDR</v>
          </cell>
          <cell r="M105" t="str">
            <v>maitrisé</v>
          </cell>
          <cell r="N105" t="str">
            <v>JPM</v>
          </cell>
          <cell r="O105" t="str">
            <v>JMO</v>
          </cell>
          <cell r="P105" t="str">
            <v>CC</v>
          </cell>
          <cell r="Q105" t="str">
            <v>AR</v>
          </cell>
          <cell r="R105">
            <v>2008</v>
          </cell>
          <cell r="T105" t="str">
            <v>CA creation SCI OK</v>
          </cell>
          <cell r="U105" t="str">
            <v>DPV architecture</v>
          </cell>
          <cell r="V105" t="str">
            <v>J - PREPARATION MARCHES</v>
          </cell>
          <cell r="W105">
            <v>39507</v>
          </cell>
          <cell r="X105" t="str">
            <v>d</v>
          </cell>
          <cell r="Y105" t="str">
            <v>97441008AO141</v>
          </cell>
          <cell r="Z105">
            <v>39645</v>
          </cell>
          <cell r="AA105" t="str">
            <v>o</v>
          </cell>
          <cell r="AB105">
            <v>39568</v>
          </cell>
          <cell r="AC105" t="str">
            <v>v</v>
          </cell>
          <cell r="AD105">
            <v>39597</v>
          </cell>
          <cell r="AH105">
            <v>39644</v>
          </cell>
          <cell r="AI105" t="str">
            <v>ao</v>
          </cell>
          <cell r="AJ105">
            <v>39801</v>
          </cell>
          <cell r="AK105" t="str">
            <v>ch</v>
          </cell>
          <cell r="AL105">
            <v>5.161756970015781</v>
          </cell>
          <cell r="AM105">
            <v>2008</v>
          </cell>
          <cell r="AN105">
            <v>12</v>
          </cell>
          <cell r="AO105">
            <v>40166</v>
          </cell>
          <cell r="AP105">
            <v>40181</v>
          </cell>
          <cell r="AQ105" t="str">
            <v/>
          </cell>
          <cell r="AR105">
            <v>2010</v>
          </cell>
          <cell r="CJ105" t="str">
            <v>SCI Gendarmerie</v>
          </cell>
          <cell r="CK105" t="str">
            <v>OUTREMER FINANCE</v>
          </cell>
          <cell r="CL105" t="str">
            <v>S.O.</v>
          </cell>
          <cell r="CM105" t="str">
            <v>-</v>
          </cell>
          <cell r="CN105">
            <v>0</v>
          </cell>
          <cell r="CQ105" t="str">
            <v>non</v>
          </cell>
          <cell r="CX105">
            <v>0</v>
          </cell>
          <cell r="DE105">
            <v>0</v>
          </cell>
          <cell r="DJ105">
            <v>0</v>
          </cell>
          <cell r="DO105">
            <v>0</v>
          </cell>
          <cell r="DS105">
            <v>0</v>
          </cell>
          <cell r="DT105">
            <v>0</v>
          </cell>
          <cell r="DU105">
            <v>0</v>
          </cell>
          <cell r="ED105" t="str">
            <v>G:\Habitat\OPERATIONNEL HABITAT\02- Operations\Photothèque\image non disponible.jpg</v>
          </cell>
          <cell r="EE105" t="str">
            <v>G:\Habitat\OPERATIONNEL HABITAT\02- Operations\Photothèque\image non disponible.jpg</v>
          </cell>
        </row>
        <row r="106">
          <cell r="A106" t="str">
            <v>GILBERT DELGARD 1(ex OUESSANT)</v>
          </cell>
          <cell r="B106">
            <v>9541</v>
          </cell>
          <cell r="C106" t="str">
            <v>SUD</v>
          </cell>
          <cell r="D106" t="str">
            <v>Saint-Louis</v>
          </cell>
          <cell r="E106" t="str">
            <v>ZAC AVENIR</v>
          </cell>
          <cell r="F106">
            <v>24</v>
          </cell>
          <cell r="G106" t="str">
            <v>LLTS</v>
          </cell>
          <cell r="H106" t="str">
            <v>signé</v>
          </cell>
          <cell r="I106" t="str">
            <v>CG3</v>
          </cell>
          <cell r="J106" t="str">
            <v>COL</v>
          </cell>
          <cell r="K106" t="str">
            <v>CF</v>
          </cell>
          <cell r="L106" t="str">
            <v>SIDR</v>
          </cell>
          <cell r="N106" t="str">
            <v>PC</v>
          </cell>
          <cell r="O106" t="str">
            <v>DL</v>
          </cell>
          <cell r="P106" t="str">
            <v>CS</v>
          </cell>
          <cell r="Q106" t="str">
            <v>HBM</v>
          </cell>
          <cell r="R106">
            <v>2004</v>
          </cell>
          <cell r="T106" t="str">
            <v>livraison 2 T</v>
          </cell>
          <cell r="U106" t="str">
            <v>DPV architecture</v>
          </cell>
          <cell r="V106" t="str">
            <v>M - LIVRE/GPA</v>
          </cell>
          <cell r="W106">
            <v>38174</v>
          </cell>
          <cell r="X106" t="str">
            <v>d</v>
          </cell>
          <cell r="Y106" t="str">
            <v>97441404A0313</v>
          </cell>
          <cell r="Z106">
            <v>38421</v>
          </cell>
          <cell r="AA106" t="str">
            <v>o</v>
          </cell>
          <cell r="AB106" t="str">
            <v>validé</v>
          </cell>
          <cell r="AC106" t="str">
            <v/>
          </cell>
          <cell r="AD106">
            <v>38265</v>
          </cell>
          <cell r="AE106">
            <v>38223</v>
          </cell>
          <cell r="AF106" t="str">
            <v>f</v>
          </cell>
          <cell r="AG106">
            <v>38450</v>
          </cell>
          <cell r="AH106">
            <v>38583</v>
          </cell>
          <cell r="AI106" t="str">
            <v>ao</v>
          </cell>
          <cell r="AJ106">
            <v>38768</v>
          </cell>
          <cell r="AK106" t="str">
            <v/>
          </cell>
          <cell r="AL106">
            <v>6.0823250920568119</v>
          </cell>
          <cell r="AM106">
            <v>2006</v>
          </cell>
          <cell r="AN106">
            <v>17</v>
          </cell>
          <cell r="AO106">
            <v>39215</v>
          </cell>
          <cell r="AP106">
            <v>39230</v>
          </cell>
          <cell r="AQ106" t="str">
            <v>li</v>
          </cell>
          <cell r="AR106">
            <v>2007</v>
          </cell>
          <cell r="AS106">
            <v>0</v>
          </cell>
          <cell r="AU106">
            <v>0</v>
          </cell>
          <cell r="AW106">
            <v>19</v>
          </cell>
          <cell r="AX106">
            <v>60</v>
          </cell>
          <cell r="BA106">
            <v>16</v>
          </cell>
          <cell r="BB106">
            <v>70</v>
          </cell>
          <cell r="BC106">
            <v>4</v>
          </cell>
          <cell r="BD106">
            <v>70</v>
          </cell>
          <cell r="BE106">
            <v>9</v>
          </cell>
          <cell r="BF106">
            <v>78</v>
          </cell>
          <cell r="BG106">
            <v>1</v>
          </cell>
          <cell r="BH106">
            <v>80</v>
          </cell>
          <cell r="BI106">
            <v>2</v>
          </cell>
          <cell r="BJ106">
            <v>91</v>
          </cell>
          <cell r="BK106">
            <v>51</v>
          </cell>
          <cell r="BL106">
            <v>4.0999999999999996</v>
          </cell>
          <cell r="BM106">
            <v>0.82</v>
          </cell>
          <cell r="BN106">
            <v>0.8</v>
          </cell>
          <cell r="BO106" t="str">
            <v>signée</v>
          </cell>
          <cell r="BP106">
            <v>0.2</v>
          </cell>
          <cell r="BQ106" t="str">
            <v>signée</v>
          </cell>
          <cell r="BR106" t="str">
            <v>CAF</v>
          </cell>
          <cell r="BT106" t="str">
            <v>signée</v>
          </cell>
          <cell r="BX106" t="str">
            <v>signé</v>
          </cell>
          <cell r="BY106">
            <v>4048</v>
          </cell>
          <cell r="BZ106">
            <v>4994</v>
          </cell>
          <cell r="CA106">
            <v>3601.75</v>
          </cell>
          <cell r="CE106" t="str">
            <v>ECS ind</v>
          </cell>
          <cell r="CF106">
            <v>200000</v>
          </cell>
          <cell r="CG106">
            <v>60000</v>
          </cell>
          <cell r="CH106">
            <v>90000</v>
          </cell>
          <cell r="CI106">
            <v>50000</v>
          </cell>
          <cell r="CJ106" t="str">
            <v>-</v>
          </cell>
          <cell r="CK106" t="str">
            <v>-</v>
          </cell>
          <cell r="CL106" t="str">
            <v>-</v>
          </cell>
          <cell r="CM106" t="str">
            <v>-</v>
          </cell>
          <cell r="CN106">
            <v>0</v>
          </cell>
          <cell r="CQ106" t="str">
            <v>oui</v>
          </cell>
          <cell r="CR106">
            <v>308820</v>
          </cell>
          <cell r="CT106">
            <v>3051779</v>
          </cell>
          <cell r="CX106">
            <v>3360599</v>
          </cell>
          <cell r="DE106">
            <v>150000</v>
          </cell>
          <cell r="DJ106">
            <v>150000</v>
          </cell>
          <cell r="DO106">
            <v>0</v>
          </cell>
          <cell r="DQ106">
            <v>108400</v>
          </cell>
          <cell r="DR106">
            <v>48855</v>
          </cell>
          <cell r="DS106">
            <v>157255</v>
          </cell>
          <cell r="DT106">
            <v>314510</v>
          </cell>
          <cell r="DU106">
            <v>-2896089</v>
          </cell>
          <cell r="ED106" t="str">
            <v>G:\Habitat\OPERATIONNEL HABITAT\02- Operations\Photothèque\images locatifs\Ouessant\ouessant.jpg</v>
          </cell>
          <cell r="EE106" t="str">
            <v>G:\Habitat\OPERATIONNEL HABITAT\02- Operations\Photothèque\image non disponible.jpg</v>
          </cell>
        </row>
        <row r="107">
          <cell r="A107" t="str">
            <v>GILBERT DELGARD 2</v>
          </cell>
          <cell r="B107">
            <v>9541</v>
          </cell>
          <cell r="C107" t="str">
            <v>SUD</v>
          </cell>
          <cell r="D107" t="str">
            <v>Saint-Louis</v>
          </cell>
          <cell r="E107" t="str">
            <v>ZAC AVENIR</v>
          </cell>
          <cell r="F107">
            <v>27</v>
          </cell>
          <cell r="G107" t="str">
            <v>LLTS</v>
          </cell>
          <cell r="H107" t="str">
            <v>signé</v>
          </cell>
          <cell r="I107" t="str">
            <v>CG3</v>
          </cell>
          <cell r="J107" t="str">
            <v>COL</v>
          </cell>
          <cell r="K107" t="str">
            <v>CF</v>
          </cell>
          <cell r="L107" t="str">
            <v>SIDR</v>
          </cell>
          <cell r="N107" t="str">
            <v>PC</v>
          </cell>
          <cell r="O107" t="str">
            <v>DL</v>
          </cell>
          <cell r="P107" t="str">
            <v>CS</v>
          </cell>
          <cell r="Q107" t="str">
            <v>HBM</v>
          </cell>
          <cell r="R107">
            <v>2004</v>
          </cell>
          <cell r="T107" t="str">
            <v>livraison 2 T</v>
          </cell>
          <cell r="U107" t="str">
            <v>DPV architecture</v>
          </cell>
          <cell r="V107" t="str">
            <v>M - LIVRE/GPA</v>
          </cell>
          <cell r="W107">
            <v>38174</v>
          </cell>
          <cell r="X107" t="str">
            <v>d</v>
          </cell>
          <cell r="Y107" t="str">
            <v>97441404A0313</v>
          </cell>
          <cell r="Z107">
            <v>38421</v>
          </cell>
          <cell r="AA107" t="str">
            <v>o</v>
          </cell>
          <cell r="AB107" t="str">
            <v>validé</v>
          </cell>
          <cell r="AC107" t="str">
            <v/>
          </cell>
          <cell r="AD107">
            <v>38265</v>
          </cell>
          <cell r="AE107">
            <v>38223</v>
          </cell>
          <cell r="AF107" t="str">
            <v>f</v>
          </cell>
          <cell r="AG107">
            <v>38450</v>
          </cell>
          <cell r="AH107">
            <v>38583</v>
          </cell>
          <cell r="AI107" t="str">
            <v>ao</v>
          </cell>
          <cell r="AJ107">
            <v>38768</v>
          </cell>
          <cell r="AK107" t="str">
            <v/>
          </cell>
          <cell r="AL107">
            <v>6.0823250920568119</v>
          </cell>
          <cell r="AM107">
            <v>2006</v>
          </cell>
          <cell r="AN107">
            <v>17</v>
          </cell>
          <cell r="AO107">
            <v>39322</v>
          </cell>
          <cell r="AP107">
            <v>39341</v>
          </cell>
          <cell r="AQ107" t="str">
            <v>li</v>
          </cell>
          <cell r="AR107">
            <v>2007</v>
          </cell>
          <cell r="BO107" t="str">
            <v>signée</v>
          </cell>
          <cell r="BQ107" t="str">
            <v>signée</v>
          </cell>
          <cell r="BX107" t="str">
            <v>signé</v>
          </cell>
          <cell r="CE107" t="str">
            <v>ECS ind</v>
          </cell>
          <cell r="CJ107" t="str">
            <v>-</v>
          </cell>
          <cell r="CK107" t="str">
            <v>-</v>
          </cell>
          <cell r="CL107" t="str">
            <v>-</v>
          </cell>
          <cell r="CM107" t="str">
            <v>-</v>
          </cell>
          <cell r="CN107">
            <v>0</v>
          </cell>
          <cell r="CQ107" t="str">
            <v>oui</v>
          </cell>
          <cell r="CX107">
            <v>0</v>
          </cell>
          <cell r="DE107">
            <v>0</v>
          </cell>
          <cell r="DJ107">
            <v>0</v>
          </cell>
          <cell r="DO107">
            <v>0</v>
          </cell>
          <cell r="DS107">
            <v>0</v>
          </cell>
          <cell r="DT107">
            <v>0</v>
          </cell>
          <cell r="DU107">
            <v>0</v>
          </cell>
          <cell r="ED107" t="str">
            <v>G:\Habitat\OPERATIONNEL HABITAT\02- Operations\Photothèque\image non disponible.jpg</v>
          </cell>
          <cell r="EE107" t="str">
            <v>G:\Habitat\OPERATIONNEL HABITAT\02- Operations\Photothèque\image non disponible.jpg</v>
          </cell>
        </row>
        <row r="108">
          <cell r="A108" t="str">
            <v>GOYAVES</v>
          </cell>
          <cell r="B108">
            <v>9406</v>
          </cell>
          <cell r="C108" t="str">
            <v>SUD</v>
          </cell>
          <cell r="D108" t="str">
            <v>Saint-Louis</v>
          </cell>
          <cell r="E108" t="str">
            <v>CENTRE VILLE</v>
          </cell>
          <cell r="F108">
            <v>36</v>
          </cell>
          <cell r="G108" t="str">
            <v>LLTS</v>
          </cell>
          <cell r="J108" t="str">
            <v>COL</v>
          </cell>
          <cell r="K108" t="str">
            <v>RF</v>
          </cell>
          <cell r="N108" t="str">
            <v>JPM</v>
          </cell>
          <cell r="O108" t="str">
            <v>Jmo</v>
          </cell>
          <cell r="P108" t="str">
            <v>CS</v>
          </cell>
          <cell r="R108">
            <v>2002</v>
          </cell>
          <cell r="T108" t="str">
            <v>ras</v>
          </cell>
          <cell r="U108" t="str">
            <v>VALENTIN/REYNAUD</v>
          </cell>
          <cell r="V108" t="str">
            <v>M - LIVRE/GPA</v>
          </cell>
          <cell r="W108">
            <v>37448</v>
          </cell>
          <cell r="X108" t="str">
            <v>d</v>
          </cell>
          <cell r="Y108" t="str">
            <v>97441402A0290</v>
          </cell>
          <cell r="Z108">
            <v>37554</v>
          </cell>
          <cell r="AA108" t="str">
            <v>o</v>
          </cell>
          <cell r="AB108" t="str">
            <v>validé</v>
          </cell>
          <cell r="AC108" t="str">
            <v/>
          </cell>
          <cell r="AE108">
            <v>37540</v>
          </cell>
          <cell r="AF108" t="str">
            <v>f</v>
          </cell>
          <cell r="AG108" t="str">
            <v>O</v>
          </cell>
          <cell r="AH108">
            <v>37783</v>
          </cell>
          <cell r="AI108" t="str">
            <v>ao</v>
          </cell>
          <cell r="AJ108">
            <v>38062</v>
          </cell>
          <cell r="AK108" t="str">
            <v/>
          </cell>
          <cell r="AL108">
            <v>9.172803787480273</v>
          </cell>
          <cell r="AM108">
            <v>2004</v>
          </cell>
          <cell r="AN108">
            <v>16</v>
          </cell>
          <cell r="AO108">
            <v>38549</v>
          </cell>
          <cell r="AP108">
            <v>38586</v>
          </cell>
          <cell r="AQ108" t="str">
            <v>li</v>
          </cell>
          <cell r="AR108">
            <v>2005</v>
          </cell>
          <cell r="BO108" t="str">
            <v>signée</v>
          </cell>
          <cell r="BQ108" t="str">
            <v>signée</v>
          </cell>
          <cell r="BX108" t="str">
            <v>signé</v>
          </cell>
          <cell r="CA108">
            <v>2675</v>
          </cell>
          <cell r="CE108" t="str">
            <v>ECS ind</v>
          </cell>
          <cell r="CF108">
            <v>93752</v>
          </cell>
          <cell r="CG108">
            <v>28125</v>
          </cell>
          <cell r="CH108">
            <v>42188</v>
          </cell>
          <cell r="CI108">
            <v>23438</v>
          </cell>
          <cell r="CJ108" t="str">
            <v>-</v>
          </cell>
          <cell r="CK108" t="str">
            <v>-</v>
          </cell>
          <cell r="CL108" t="str">
            <v>-</v>
          </cell>
          <cell r="CM108" t="str">
            <v>-</v>
          </cell>
          <cell r="CN108">
            <v>0</v>
          </cell>
          <cell r="CQ108" t="str">
            <v>oui</v>
          </cell>
          <cell r="CR108">
            <v>414856</v>
          </cell>
          <cell r="CT108">
            <v>2033791</v>
          </cell>
          <cell r="CX108">
            <v>2448647</v>
          </cell>
          <cell r="DE108">
            <v>70313</v>
          </cell>
          <cell r="DJ108">
            <v>70313</v>
          </cell>
          <cell r="DO108">
            <v>0</v>
          </cell>
          <cell r="DQ108">
            <v>197894</v>
          </cell>
          <cell r="DR108">
            <v>23438</v>
          </cell>
          <cell r="DS108">
            <v>221332</v>
          </cell>
          <cell r="DT108">
            <v>442664</v>
          </cell>
          <cell r="DU108">
            <v>-1935670</v>
          </cell>
          <cell r="ED108" t="str">
            <v>G:\Habitat\OPERATIONNEL HABITAT\02- Operations\Photothèque\images locatifs\goyaves\DSC01761.jpg</v>
          </cell>
          <cell r="EE108" t="str">
            <v>G:\Habitat\OPERATIONNEL HABITAT\02- Operations\Photothèque\images locatifs\goyaves\DSC01763.jpg</v>
          </cell>
        </row>
        <row r="109">
          <cell r="A109" t="str">
            <v>GUERNESEY</v>
          </cell>
          <cell r="C109" t="str">
            <v>NORD</v>
          </cell>
          <cell r="D109" t="str">
            <v>Saint-Denis</v>
          </cell>
          <cell r="E109" t="str">
            <v xml:space="preserve">ZAC  PENTE ZANANAS </v>
          </cell>
          <cell r="F109">
            <v>60</v>
          </cell>
          <cell r="G109" t="str">
            <v>LLTS</v>
          </cell>
          <cell r="J109" t="str">
            <v>COL</v>
          </cell>
          <cell r="K109" t="str">
            <v>CF</v>
          </cell>
          <cell r="L109" t="str">
            <v>SIDR</v>
          </cell>
          <cell r="N109" t="str">
            <v>JPM</v>
          </cell>
          <cell r="Q109" t="str">
            <v>AR</v>
          </cell>
          <cell r="R109">
            <v>2011</v>
          </cell>
          <cell r="V109" t="str">
            <v>A - NON LANCE</v>
          </cell>
          <cell r="AA109" t="str">
            <v/>
          </cell>
          <cell r="AC109" t="str">
            <v/>
          </cell>
          <cell r="AI109" t="str">
            <v/>
          </cell>
          <cell r="AK109" t="str">
            <v/>
          </cell>
          <cell r="AL109">
            <v>0</v>
          </cell>
          <cell r="AQ109" t="str">
            <v/>
          </cell>
          <cell r="CJ109" t="str">
            <v>-</v>
          </cell>
          <cell r="CK109" t="str">
            <v>-</v>
          </cell>
          <cell r="CL109" t="str">
            <v>-</v>
          </cell>
          <cell r="CM109" t="str">
            <v>-</v>
          </cell>
          <cell r="CN109">
            <v>0</v>
          </cell>
          <cell r="CQ109" t="str">
            <v>non</v>
          </cell>
          <cell r="CX109">
            <v>0</v>
          </cell>
          <cell r="DE109">
            <v>0</v>
          </cell>
          <cell r="DJ109">
            <v>0</v>
          </cell>
          <cell r="DO109">
            <v>0</v>
          </cell>
          <cell r="DS109">
            <v>0</v>
          </cell>
          <cell r="DT109">
            <v>0</v>
          </cell>
          <cell r="DU109">
            <v>0</v>
          </cell>
          <cell r="ED109" t="str">
            <v>G:\Habitat\OPERATIONNEL HABITAT\02- Operations\Photothèque\image non disponible.jpg</v>
          </cell>
          <cell r="EE109" t="str">
            <v>G:\Habitat\OPERATIONNEL HABITAT\02- Operations\Photothèque\image non disponible.jpg</v>
          </cell>
        </row>
        <row r="110">
          <cell r="A110" t="str">
            <v>HEBRIDES</v>
          </cell>
          <cell r="B110">
            <v>9640</v>
          </cell>
          <cell r="C110" t="str">
            <v>NORD</v>
          </cell>
          <cell r="D110" t="str">
            <v>Saint-Denis</v>
          </cell>
          <cell r="E110" t="str">
            <v>BELLEPIERRE - RHI PAVADE</v>
          </cell>
          <cell r="F110">
            <v>33</v>
          </cell>
          <cell r="G110" t="str">
            <v>LLS</v>
          </cell>
          <cell r="H110" t="str">
            <v>à compléter</v>
          </cell>
          <cell r="I110" t="str">
            <v>CG4</v>
          </cell>
          <cell r="J110" t="str">
            <v>COL</v>
          </cell>
          <cell r="K110" t="str">
            <v>RF</v>
          </cell>
          <cell r="M110" t="str">
            <v>maitrisé</v>
          </cell>
          <cell r="N110" t="str">
            <v>PC</v>
          </cell>
          <cell r="O110" t="str">
            <v>CA</v>
          </cell>
          <cell r="P110" t="str">
            <v>AM</v>
          </cell>
          <cell r="R110">
            <v>2006</v>
          </cell>
          <cell r="S110">
            <v>0</v>
          </cell>
          <cell r="T110" t="str">
            <v>pb PCok | accès par RD  ok/SNC salazie fin 2009</v>
          </cell>
          <cell r="U110" t="str">
            <v>MARAIS TESSIER</v>
          </cell>
          <cell r="V110" t="str">
            <v>L - CHANTIER EN COURS</v>
          </cell>
          <cell r="W110">
            <v>38938</v>
          </cell>
          <cell r="X110" t="str">
            <v>d</v>
          </cell>
          <cell r="Y110" t="str">
            <v>97441106A0405</v>
          </cell>
          <cell r="Z110">
            <v>39317</v>
          </cell>
          <cell r="AA110" t="str">
            <v>o</v>
          </cell>
          <cell r="AB110">
            <v>38974</v>
          </cell>
          <cell r="AC110" t="str">
            <v>v</v>
          </cell>
          <cell r="AD110">
            <v>39030</v>
          </cell>
          <cell r="AE110">
            <v>38945</v>
          </cell>
          <cell r="AF110" t="str">
            <v>f</v>
          </cell>
          <cell r="AG110">
            <v>39093</v>
          </cell>
          <cell r="AH110">
            <v>39401</v>
          </cell>
          <cell r="AI110" t="str">
            <v>ao</v>
          </cell>
          <cell r="AJ110">
            <v>39644</v>
          </cell>
          <cell r="AK110" t="str">
            <v>ch</v>
          </cell>
          <cell r="AL110">
            <v>7.9892162019989481</v>
          </cell>
          <cell r="AM110">
            <v>2008</v>
          </cell>
          <cell r="AN110">
            <v>16</v>
          </cell>
          <cell r="AO110">
            <v>40132</v>
          </cell>
          <cell r="AP110">
            <v>40147</v>
          </cell>
          <cell r="AQ110" t="str">
            <v/>
          </cell>
          <cell r="AR110">
            <v>2009</v>
          </cell>
          <cell r="AS110">
            <v>1</v>
          </cell>
          <cell r="AT110">
            <v>31</v>
          </cell>
          <cell r="AW110">
            <v>2</v>
          </cell>
          <cell r="AX110">
            <v>58</v>
          </cell>
          <cell r="AY110">
            <v>1</v>
          </cell>
          <cell r="AZ110">
            <v>57</v>
          </cell>
          <cell r="BA110">
            <v>14</v>
          </cell>
          <cell r="BB110">
            <v>69</v>
          </cell>
          <cell r="BE110">
            <v>15</v>
          </cell>
          <cell r="BF110">
            <v>79</v>
          </cell>
          <cell r="BK110">
            <v>33</v>
          </cell>
          <cell r="BL110">
            <v>6.26</v>
          </cell>
          <cell r="BM110">
            <v>0.82</v>
          </cell>
          <cell r="BN110">
            <v>0.2</v>
          </cell>
          <cell r="BO110" t="str">
            <v xml:space="preserve">transmis </v>
          </cell>
          <cell r="BP110">
            <v>0.8</v>
          </cell>
          <cell r="BQ110" t="str">
            <v xml:space="preserve">transmis </v>
          </cell>
          <cell r="BX110" t="str">
            <v>en attente garanties emprunts</v>
          </cell>
          <cell r="BY110">
            <v>2168</v>
          </cell>
          <cell r="BZ110">
            <v>3936</v>
          </cell>
          <cell r="CA110">
            <v>2712.16</v>
          </cell>
          <cell r="CE110" t="str">
            <v>ECS ind</v>
          </cell>
          <cell r="CJ110" t="str">
            <v>Hebrides</v>
          </cell>
          <cell r="CK110" t="str">
            <v>INFI</v>
          </cell>
          <cell r="CL110">
            <v>39650</v>
          </cell>
          <cell r="CM110" t="str">
            <v>-</v>
          </cell>
          <cell r="CN110">
            <v>0</v>
          </cell>
          <cell r="CO110" t="str">
            <v>217 undercies</v>
          </cell>
          <cell r="CQ110" t="str">
            <v>non</v>
          </cell>
          <cell r="CX110">
            <v>0</v>
          </cell>
          <cell r="DE110">
            <v>0</v>
          </cell>
          <cell r="DJ110">
            <v>0</v>
          </cell>
          <cell r="DO110">
            <v>0</v>
          </cell>
          <cell r="DQ110">
            <v>126274</v>
          </cell>
          <cell r="DR110">
            <v>33000</v>
          </cell>
          <cell r="DS110">
            <v>159274</v>
          </cell>
          <cell r="DT110">
            <v>318548</v>
          </cell>
          <cell r="DU110">
            <v>318548</v>
          </cell>
          <cell r="ED110" t="str">
            <v>G:\Habitat\OPERATIONNEL HABITAT\02- Operations\Photothèque\images locatifs\HEBRIDES\Hebrides Pers 1.jpg</v>
          </cell>
          <cell r="EE110" t="str">
            <v>G:\Habitat\OPERATIONNEL HABITAT\02- Operations\Photothèque\images locatifs\HEBRIDES\Hebrides.jpg</v>
          </cell>
          <cell r="EJ110">
            <v>135000</v>
          </cell>
          <cell r="EL110">
            <v>5</v>
          </cell>
          <cell r="EM110">
            <v>100000</v>
          </cell>
          <cell r="EN110" t="str">
            <v>signée</v>
          </cell>
        </row>
        <row r="111">
          <cell r="A111" t="str">
            <v>HESPERIDES SUITE</v>
          </cell>
          <cell r="C111" t="str">
            <v>NORD</v>
          </cell>
          <cell r="D111" t="str">
            <v>Saint-Denis</v>
          </cell>
          <cell r="F111">
            <v>9</v>
          </cell>
          <cell r="G111" t="str">
            <v>LESG</v>
          </cell>
          <cell r="J111" t="str">
            <v>IND</v>
          </cell>
          <cell r="K111" t="str">
            <v>CF</v>
          </cell>
          <cell r="L111" t="str">
            <v>SIDR</v>
          </cell>
          <cell r="N111" t="str">
            <v>BS</v>
          </cell>
          <cell r="O111" t="str">
            <v>OS</v>
          </cell>
          <cell r="P111" t="str">
            <v>LV</v>
          </cell>
          <cell r="Q111" t="str">
            <v>HBM</v>
          </cell>
          <cell r="R111">
            <v>2002</v>
          </cell>
          <cell r="T111" t="str">
            <v>suite op après expro/actualisation en cours</v>
          </cell>
          <cell r="U111" t="str">
            <v>SOAA MEUNIER</v>
          </cell>
          <cell r="V111" t="str">
            <v>I - ACT</v>
          </cell>
          <cell r="AA111" t="str">
            <v/>
          </cell>
          <cell r="AC111" t="str">
            <v/>
          </cell>
          <cell r="AE111">
            <v>39736</v>
          </cell>
          <cell r="AH111">
            <v>39695</v>
          </cell>
          <cell r="AI111" t="str">
            <v>ao</v>
          </cell>
          <cell r="AJ111">
            <v>39859</v>
          </cell>
          <cell r="AK111" t="str">
            <v>ch</v>
          </cell>
          <cell r="AL111">
            <v>5.3918990005260392</v>
          </cell>
          <cell r="AM111">
            <v>2009</v>
          </cell>
          <cell r="AN111">
            <v>12</v>
          </cell>
          <cell r="AO111">
            <v>40224</v>
          </cell>
          <cell r="AP111">
            <v>40239</v>
          </cell>
          <cell r="AQ111" t="str">
            <v/>
          </cell>
          <cell r="AR111">
            <v>2010</v>
          </cell>
          <cell r="CJ111" t="str">
            <v>-</v>
          </cell>
          <cell r="CK111" t="str">
            <v>-</v>
          </cell>
          <cell r="CL111" t="str">
            <v>-</v>
          </cell>
          <cell r="CM111" t="str">
            <v>-</v>
          </cell>
          <cell r="CN111">
            <v>0</v>
          </cell>
          <cell r="CQ111" t="str">
            <v>non</v>
          </cell>
          <cell r="CX111">
            <v>0</v>
          </cell>
          <cell r="DE111">
            <v>0</v>
          </cell>
          <cell r="DJ111">
            <v>0</v>
          </cell>
          <cell r="DO111">
            <v>0</v>
          </cell>
          <cell r="DS111">
            <v>0</v>
          </cell>
          <cell r="DT111">
            <v>0</v>
          </cell>
          <cell r="DU111">
            <v>0</v>
          </cell>
          <cell r="ED111" t="str">
            <v>G:\Habitat\OPERATIONNEL HABITAT\02- Operations\Photothèque\image non disponible.jpg</v>
          </cell>
          <cell r="EE111" t="str">
            <v>G:\Habitat\OPERATIONNEL HABITAT\02- Operations\Photothèque\image non disponible.jpg</v>
          </cell>
        </row>
        <row r="112">
          <cell r="A112" t="str">
            <v>IBIZA</v>
          </cell>
          <cell r="B112">
            <v>9684</v>
          </cell>
          <cell r="C112" t="str">
            <v>EST</v>
          </cell>
          <cell r="D112" t="str">
            <v>Saint-Benoît</v>
          </cell>
          <cell r="E112" t="str">
            <v>RUE AMIRAL BOUVET</v>
          </cell>
          <cell r="F112">
            <v>60</v>
          </cell>
          <cell r="G112" t="str">
            <v>LLTS</v>
          </cell>
          <cell r="J112" t="str">
            <v>COL</v>
          </cell>
          <cell r="K112" t="str">
            <v>RF</v>
          </cell>
          <cell r="M112" t="str">
            <v>autres</v>
          </cell>
          <cell r="N112" t="str">
            <v>JPM</v>
          </cell>
          <cell r="O112" t="str">
            <v>JMO</v>
          </cell>
          <cell r="R112">
            <v>2009</v>
          </cell>
          <cell r="S112">
            <v>0</v>
          </cell>
          <cell r="T112" t="str">
            <v>Deliberation  de la commune pour une expulsion qui n'a pas encore ete effectué - proposition d'agir en 2 tanches pour un depot de dossier 20009 (sur la ere tranche), la ville souhaite voir une présentation du projet global avant dépôt dossier PC</v>
          </cell>
          <cell r="U112" t="str">
            <v>ARCHITECTES DE L'EPERON</v>
          </cell>
          <cell r="V112" t="str">
            <v>C - PROGRAMME</v>
          </cell>
          <cell r="W112">
            <v>39979</v>
          </cell>
          <cell r="X112" t="str">
            <v/>
          </cell>
          <cell r="AA112" t="str">
            <v/>
          </cell>
          <cell r="AC112" t="str">
            <v/>
          </cell>
          <cell r="AE112">
            <v>40055</v>
          </cell>
          <cell r="AF112" t="str">
            <v/>
          </cell>
          <cell r="AH112">
            <v>40040</v>
          </cell>
          <cell r="AI112" t="str">
            <v/>
          </cell>
          <cell r="AJ112">
            <v>40224</v>
          </cell>
          <cell r="AK112" t="str">
            <v/>
          </cell>
          <cell r="AL112">
            <v>6.0494476591267752</v>
          </cell>
          <cell r="AM112">
            <v>2010</v>
          </cell>
          <cell r="AN112">
            <v>16</v>
          </cell>
          <cell r="AO112">
            <v>40709</v>
          </cell>
          <cell r="AP112">
            <v>40724</v>
          </cell>
          <cell r="AQ112" t="str">
            <v/>
          </cell>
          <cell r="AR112">
            <v>2011</v>
          </cell>
          <cell r="CJ112" t="str">
            <v>-</v>
          </cell>
          <cell r="CK112" t="str">
            <v>-</v>
          </cell>
          <cell r="CL112" t="str">
            <v>-</v>
          </cell>
          <cell r="CM112" t="str">
            <v>-</v>
          </cell>
          <cell r="CN112">
            <v>0</v>
          </cell>
          <cell r="CQ112" t="str">
            <v>non</v>
          </cell>
          <cell r="CX112">
            <v>0</v>
          </cell>
          <cell r="DE112">
            <v>0</v>
          </cell>
          <cell r="DJ112">
            <v>0</v>
          </cell>
          <cell r="DO112">
            <v>0</v>
          </cell>
          <cell r="DS112">
            <v>0</v>
          </cell>
          <cell r="DT112">
            <v>0</v>
          </cell>
          <cell r="DU112">
            <v>0</v>
          </cell>
          <cell r="ED112" t="str">
            <v>G:\Habitat\OPERATIONNEL HABITAT\02- Operations\Photothèque\image non disponible.jpg</v>
          </cell>
          <cell r="EE112" t="str">
            <v>G:\Habitat\OPERATIONNEL HABITAT\02- Operations\Photothèque\image non disponible.jpg</v>
          </cell>
        </row>
        <row r="113">
          <cell r="A113" t="str">
            <v>ILES EPARSES</v>
          </cell>
          <cell r="B113">
            <v>9446</v>
          </cell>
          <cell r="C113" t="str">
            <v>NORD</v>
          </cell>
          <cell r="D113" t="str">
            <v>Saint-Denis</v>
          </cell>
          <cell r="E113" t="str">
            <v>AME ILE EPARSES</v>
          </cell>
          <cell r="F113">
            <v>0</v>
          </cell>
          <cell r="G113" t="str">
            <v>OPA</v>
          </cell>
          <cell r="J113" t="str">
            <v>OPA</v>
          </cell>
          <cell r="K113" t="str">
            <v>RF</v>
          </cell>
          <cell r="N113" t="str">
            <v>EC</v>
          </cell>
          <cell r="O113" t="str">
            <v>SV</v>
          </cell>
          <cell r="P113" t="str">
            <v>CC</v>
          </cell>
          <cell r="R113">
            <v>2002</v>
          </cell>
          <cell r="T113" t="str">
            <v>sub frafu non versée 80% | pb conformité/retroccession</v>
          </cell>
          <cell r="U113" t="str">
            <v>DELCOURT</v>
          </cell>
          <cell r="V113" t="str">
            <v>M - LIVRE/GPA</v>
          </cell>
          <cell r="X113" t="str">
            <v>d</v>
          </cell>
          <cell r="AA113" t="str">
            <v/>
          </cell>
          <cell r="AB113" t="str">
            <v>validé</v>
          </cell>
          <cell r="AC113" t="str">
            <v/>
          </cell>
          <cell r="AF113" t="str">
            <v/>
          </cell>
          <cell r="AG113" t="str">
            <v>O</v>
          </cell>
          <cell r="AH113">
            <v>37665</v>
          </cell>
          <cell r="AI113" t="str">
            <v>ao</v>
          </cell>
          <cell r="AJ113">
            <v>37837</v>
          </cell>
          <cell r="AK113" t="str">
            <v/>
          </cell>
          <cell r="AL113">
            <v>5.6549184639663332</v>
          </cell>
          <cell r="AM113">
            <v>2003</v>
          </cell>
          <cell r="AN113">
            <v>19</v>
          </cell>
          <cell r="AO113">
            <v>38415</v>
          </cell>
          <cell r="AP113">
            <v>38564</v>
          </cell>
          <cell r="AQ113" t="str">
            <v>li</v>
          </cell>
          <cell r="AR113">
            <v>2005</v>
          </cell>
          <cell r="BO113" t="str">
            <v>signée</v>
          </cell>
          <cell r="BQ113" t="str">
            <v>signée</v>
          </cell>
          <cell r="BX113" t="str">
            <v>signé</v>
          </cell>
          <cell r="CJ113" t="str">
            <v>-</v>
          </cell>
          <cell r="CK113" t="str">
            <v>-</v>
          </cell>
          <cell r="CL113" t="str">
            <v>-</v>
          </cell>
          <cell r="CM113" t="str">
            <v>-</v>
          </cell>
          <cell r="CN113">
            <v>0</v>
          </cell>
          <cell r="CQ113" t="str">
            <v>oui</v>
          </cell>
          <cell r="CX113">
            <v>0</v>
          </cell>
          <cell r="DE113">
            <v>0</v>
          </cell>
          <cell r="DJ113">
            <v>0</v>
          </cell>
          <cell r="DO113">
            <v>0</v>
          </cell>
          <cell r="DS113">
            <v>0</v>
          </cell>
          <cell r="DT113">
            <v>0</v>
          </cell>
          <cell r="DU113">
            <v>0</v>
          </cell>
          <cell r="ED113" t="str">
            <v>G:\Habitat\OPERATIONNEL HABITAT\02- Operations\Photothèque\images locatifs\iles eparses\iles eparses chantiers (2) (Large).jpg</v>
          </cell>
          <cell r="EE113" t="str">
            <v>G:\Habitat\OPERATIONNEL HABITAT\02- Operations\Photothèque\images locatifs\iles eparses\iles eparses chantiers (8).jpg</v>
          </cell>
        </row>
        <row r="114">
          <cell r="A114" t="str">
            <v>ILET A VIDOT</v>
          </cell>
          <cell r="B114" t="str">
            <v>xxxx</v>
          </cell>
          <cell r="C114" t="str">
            <v>EST</v>
          </cell>
          <cell r="D114" t="str">
            <v>Salazie</v>
          </cell>
          <cell r="E114" t="str">
            <v>HELL BOURG</v>
          </cell>
          <cell r="F114">
            <v>16</v>
          </cell>
          <cell r="G114" t="str">
            <v>LESG</v>
          </cell>
          <cell r="J114" t="str">
            <v>IND</v>
          </cell>
          <cell r="N114" t="str">
            <v>BB</v>
          </cell>
          <cell r="R114">
            <v>2012</v>
          </cell>
          <cell r="AA114" t="str">
            <v/>
          </cell>
          <cell r="AC114" t="str">
            <v/>
          </cell>
          <cell r="AI114" t="str">
            <v/>
          </cell>
          <cell r="AK114" t="str">
            <v/>
          </cell>
          <cell r="AL114">
            <v>0</v>
          </cell>
          <cell r="AQ114" t="str">
            <v/>
          </cell>
          <cell r="CJ114" t="str">
            <v>-</v>
          </cell>
          <cell r="CK114" t="str">
            <v>-</v>
          </cell>
          <cell r="CL114" t="str">
            <v>-</v>
          </cell>
          <cell r="CM114" t="str">
            <v>-</v>
          </cell>
          <cell r="CN114">
            <v>0</v>
          </cell>
          <cell r="CQ114" t="str">
            <v>non</v>
          </cell>
          <cell r="CX114">
            <v>0</v>
          </cell>
          <cell r="DE114">
            <v>0</v>
          </cell>
          <cell r="DJ114">
            <v>0</v>
          </cell>
          <cell r="DO114">
            <v>0</v>
          </cell>
          <cell r="DS114">
            <v>0</v>
          </cell>
          <cell r="DT114">
            <v>0</v>
          </cell>
          <cell r="DU114">
            <v>0</v>
          </cell>
          <cell r="ED114" t="str">
            <v>G:\Habitat\OPERATIONNEL HABITAT\02- Operations\Photothèque\image non disponible.jpg</v>
          </cell>
          <cell r="EE114" t="str">
            <v>G:\Habitat\OPERATIONNEL HABITAT\02- Operations\Photothèque\image non disponible.jpg</v>
          </cell>
        </row>
        <row r="115">
          <cell r="A115" t="str">
            <v>ILOT  O</v>
          </cell>
          <cell r="C115" t="str">
            <v>SUD</v>
          </cell>
          <cell r="D115" t="str">
            <v>Saint-Pierre</v>
          </cell>
          <cell r="E115" t="str">
            <v>RAVINE BLANCHE</v>
          </cell>
          <cell r="F115">
            <v>18</v>
          </cell>
          <cell r="G115" t="str">
            <v>LLS</v>
          </cell>
          <cell r="J115" t="str">
            <v>COL</v>
          </cell>
          <cell r="K115" t="str">
            <v>CF</v>
          </cell>
          <cell r="L115" t="str">
            <v>SIDR</v>
          </cell>
          <cell r="N115" t="str">
            <v>LC</v>
          </cell>
          <cell r="Q115" t="str">
            <v>HBM</v>
          </cell>
          <cell r="R115">
            <v>2010</v>
          </cell>
          <cell r="T115" t="str">
            <v>Voie non modifiée</v>
          </cell>
          <cell r="V115" t="str">
            <v>A - NON LANCE</v>
          </cell>
          <cell r="X115" t="str">
            <v/>
          </cell>
          <cell r="AA115" t="str">
            <v/>
          </cell>
          <cell r="AC115" t="str">
            <v/>
          </cell>
          <cell r="AF115" t="str">
            <v/>
          </cell>
          <cell r="AI115" t="str">
            <v/>
          </cell>
          <cell r="AK115" t="str">
            <v/>
          </cell>
          <cell r="AL115">
            <v>0</v>
          </cell>
          <cell r="AM115" t="str">
            <v/>
          </cell>
          <cell r="AO115" t="str">
            <v/>
          </cell>
          <cell r="AP115" t="str">
            <v/>
          </cell>
          <cell r="AQ115" t="str">
            <v/>
          </cell>
          <cell r="CJ115" t="str">
            <v>-</v>
          </cell>
          <cell r="CK115" t="str">
            <v>-</v>
          </cell>
          <cell r="CL115" t="str">
            <v>-</v>
          </cell>
          <cell r="CM115" t="str">
            <v>-</v>
          </cell>
          <cell r="CN115">
            <v>0</v>
          </cell>
          <cell r="CP115" t="str">
            <v>ANRU St Pierre</v>
          </cell>
          <cell r="CQ115" t="str">
            <v>non</v>
          </cell>
          <cell r="CX115">
            <v>0</v>
          </cell>
          <cell r="DE115">
            <v>0</v>
          </cell>
          <cell r="DJ115">
            <v>0</v>
          </cell>
          <cell r="DO115">
            <v>0</v>
          </cell>
          <cell r="DS115">
            <v>0</v>
          </cell>
          <cell r="DT115">
            <v>0</v>
          </cell>
          <cell r="DU115">
            <v>0</v>
          </cell>
          <cell r="ED115" t="str">
            <v>G:\Habitat\OPERATIONNEL HABITAT\02- Operations\Photothèque\image non disponible.jpg</v>
          </cell>
          <cell r="EE115" t="str">
            <v>G:\Habitat\OPERATIONNEL HABITAT\02- Operations\Photothèque\image non disponible.jpg</v>
          </cell>
        </row>
        <row r="116">
          <cell r="A116" t="str">
            <v>ILOT 6,2</v>
          </cell>
          <cell r="C116" t="str">
            <v>SUD</v>
          </cell>
          <cell r="D116" t="str">
            <v>Saint-Pierre</v>
          </cell>
          <cell r="E116" t="str">
            <v>MAIL CENTRE VILLE</v>
          </cell>
          <cell r="F116">
            <v>42</v>
          </cell>
          <cell r="G116" t="str">
            <v>PLS</v>
          </cell>
          <cell r="J116" t="str">
            <v>COL</v>
          </cell>
          <cell r="K116" t="str">
            <v>CF</v>
          </cell>
          <cell r="L116" t="str">
            <v>SIDR</v>
          </cell>
          <cell r="N116" t="str">
            <v>N.A.</v>
          </cell>
          <cell r="Q116" t="str">
            <v>HBM</v>
          </cell>
          <cell r="R116" t="str">
            <v>non prog</v>
          </cell>
          <cell r="T116" t="str">
            <v>Attribution remise en cause par la ville</v>
          </cell>
          <cell r="AA116" t="str">
            <v/>
          </cell>
          <cell r="AC116" t="str">
            <v/>
          </cell>
          <cell r="AI116" t="str">
            <v/>
          </cell>
          <cell r="AK116" t="str">
            <v/>
          </cell>
          <cell r="AL116">
            <v>0</v>
          </cell>
          <cell r="AQ116" t="str">
            <v/>
          </cell>
          <cell r="CJ116" t="str">
            <v>-</v>
          </cell>
          <cell r="CK116" t="str">
            <v>-</v>
          </cell>
          <cell r="CL116" t="str">
            <v>-</v>
          </cell>
          <cell r="CM116" t="str">
            <v>-</v>
          </cell>
          <cell r="CN116">
            <v>0</v>
          </cell>
          <cell r="CQ116" t="str">
            <v>non</v>
          </cell>
          <cell r="CX116">
            <v>0</v>
          </cell>
          <cell r="DE116">
            <v>0</v>
          </cell>
          <cell r="DJ116">
            <v>0</v>
          </cell>
          <cell r="DO116">
            <v>0</v>
          </cell>
          <cell r="DS116">
            <v>0</v>
          </cell>
          <cell r="DT116">
            <v>0</v>
          </cell>
          <cell r="DU116">
            <v>0</v>
          </cell>
          <cell r="ED116" t="str">
            <v>G:\Habitat\OPERATIONNEL HABITAT\02- Operations\Photothèque\image non disponible.jpg</v>
          </cell>
          <cell r="EE116" t="str">
            <v>G:\Habitat\OPERATIONNEL HABITAT\02- Operations\Photothèque\image non disponible.jpg</v>
          </cell>
        </row>
        <row r="117">
          <cell r="A117" t="str">
            <v>ILOT 6.3</v>
          </cell>
          <cell r="C117" t="str">
            <v>SUD</v>
          </cell>
          <cell r="D117" t="str">
            <v>Saint-Pierre</v>
          </cell>
          <cell r="E117" t="str">
            <v>MAIL CENTRE VILLE</v>
          </cell>
          <cell r="F117">
            <v>34</v>
          </cell>
          <cell r="G117" t="str">
            <v>LLTS</v>
          </cell>
          <cell r="J117" t="str">
            <v>COL</v>
          </cell>
          <cell r="K117" t="str">
            <v>CF</v>
          </cell>
          <cell r="L117" t="str">
            <v>SIDR</v>
          </cell>
          <cell r="N117" t="str">
            <v>N.A.</v>
          </cell>
          <cell r="Q117" t="str">
            <v>HBM</v>
          </cell>
          <cell r="R117" t="str">
            <v>non prog</v>
          </cell>
          <cell r="T117" t="str">
            <v>Attribution remise en cause par la ville</v>
          </cell>
          <cell r="AA117" t="str">
            <v/>
          </cell>
          <cell r="AC117" t="str">
            <v/>
          </cell>
          <cell r="AI117" t="str">
            <v/>
          </cell>
          <cell r="AK117" t="str">
            <v/>
          </cell>
          <cell r="AL117">
            <v>0</v>
          </cell>
          <cell r="AQ117" t="str">
            <v/>
          </cell>
          <cell r="CJ117" t="str">
            <v>-</v>
          </cell>
          <cell r="CK117" t="str">
            <v>-</v>
          </cell>
          <cell r="CL117" t="str">
            <v>-</v>
          </cell>
          <cell r="CM117" t="str">
            <v>-</v>
          </cell>
          <cell r="CN117">
            <v>0</v>
          </cell>
          <cell r="CQ117" t="str">
            <v>non</v>
          </cell>
          <cell r="CX117">
            <v>0</v>
          </cell>
          <cell r="DE117">
            <v>0</v>
          </cell>
          <cell r="DJ117">
            <v>0</v>
          </cell>
          <cell r="DO117">
            <v>0</v>
          </cell>
          <cell r="DS117">
            <v>0</v>
          </cell>
          <cell r="DT117">
            <v>0</v>
          </cell>
          <cell r="DU117">
            <v>0</v>
          </cell>
          <cell r="ED117" t="str">
            <v>G:\Habitat\OPERATIONNEL HABITAT\02- Operations\Photothèque\image non disponible.jpg</v>
          </cell>
          <cell r="EE117" t="str">
            <v>G:\Habitat\OPERATIONNEL HABITAT\02- Operations\Photothèque\image non disponible.jpg</v>
          </cell>
        </row>
        <row r="118">
          <cell r="A118" t="str">
            <v>ILOT E</v>
          </cell>
          <cell r="C118" t="str">
            <v>SUD</v>
          </cell>
          <cell r="D118" t="str">
            <v>Saint-Pierre</v>
          </cell>
          <cell r="E118" t="str">
            <v>RAVINE BLANCHE</v>
          </cell>
          <cell r="F118">
            <v>18</v>
          </cell>
          <cell r="G118" t="str">
            <v>LLS</v>
          </cell>
          <cell r="J118" t="str">
            <v>COL</v>
          </cell>
          <cell r="K118" t="str">
            <v>CF</v>
          </cell>
          <cell r="L118" t="str">
            <v>SIDR</v>
          </cell>
          <cell r="N118" t="str">
            <v>LC</v>
          </cell>
          <cell r="R118">
            <v>2012</v>
          </cell>
          <cell r="AA118" t="str">
            <v/>
          </cell>
          <cell r="AC118" t="str">
            <v/>
          </cell>
          <cell r="AI118" t="str">
            <v/>
          </cell>
          <cell r="AK118" t="str">
            <v/>
          </cell>
          <cell r="AL118">
            <v>0</v>
          </cell>
          <cell r="AQ118" t="str">
            <v/>
          </cell>
          <cell r="CJ118" t="str">
            <v>-</v>
          </cell>
          <cell r="CK118" t="str">
            <v>-</v>
          </cell>
          <cell r="CL118" t="str">
            <v>-</v>
          </cell>
          <cell r="CM118" t="str">
            <v>-</v>
          </cell>
          <cell r="CN118">
            <v>0</v>
          </cell>
          <cell r="CP118" t="str">
            <v>ANRU St Pierre</v>
          </cell>
          <cell r="CQ118" t="str">
            <v>non</v>
          </cell>
          <cell r="CX118">
            <v>0</v>
          </cell>
          <cell r="DE118">
            <v>0</v>
          </cell>
          <cell r="DJ118">
            <v>0</v>
          </cell>
          <cell r="DO118">
            <v>0</v>
          </cell>
          <cell r="DS118">
            <v>0</v>
          </cell>
          <cell r="DT118">
            <v>0</v>
          </cell>
          <cell r="DU118">
            <v>0</v>
          </cell>
          <cell r="ED118" t="str">
            <v>G:\Habitat\OPERATIONNEL HABITAT\02- Operations\Photothèque\image non disponible.jpg</v>
          </cell>
          <cell r="EE118" t="str">
            <v>G:\Habitat\OPERATIONNEL HABITAT\02- Operations\Photothèque\image non disponible.jpg</v>
          </cell>
        </row>
        <row r="119">
          <cell r="A119" t="str">
            <v>ILOT F</v>
          </cell>
          <cell r="C119" t="str">
            <v>SUD</v>
          </cell>
          <cell r="D119" t="str">
            <v>Saint-Pierre</v>
          </cell>
          <cell r="E119" t="str">
            <v>RAVINE BLANCHE</v>
          </cell>
          <cell r="F119">
            <v>40</v>
          </cell>
          <cell r="G119" t="str">
            <v>LLS</v>
          </cell>
          <cell r="J119" t="str">
            <v>COL</v>
          </cell>
          <cell r="K119" t="str">
            <v>CF</v>
          </cell>
          <cell r="L119" t="str">
            <v>SIDR</v>
          </cell>
          <cell r="N119" t="str">
            <v>LC</v>
          </cell>
          <cell r="Q119" t="str">
            <v>HBM</v>
          </cell>
          <cell r="R119">
            <v>2011</v>
          </cell>
          <cell r="S119">
            <v>0</v>
          </cell>
          <cell r="T119" t="str">
            <v>Faisabilté lié à la réhabilitation du canal SORMEA</v>
          </cell>
          <cell r="V119" t="str">
            <v>A - NON LANCE</v>
          </cell>
          <cell r="X119" t="str">
            <v/>
          </cell>
          <cell r="AA119" t="str">
            <v/>
          </cell>
          <cell r="AC119" t="str">
            <v/>
          </cell>
          <cell r="AF119" t="str">
            <v/>
          </cell>
          <cell r="AI119" t="str">
            <v/>
          </cell>
          <cell r="AK119" t="str">
            <v/>
          </cell>
          <cell r="AL119">
            <v>0</v>
          </cell>
          <cell r="AM119" t="str">
            <v/>
          </cell>
          <cell r="AO119" t="str">
            <v/>
          </cell>
          <cell r="AP119" t="str">
            <v/>
          </cell>
          <cell r="AQ119" t="str">
            <v/>
          </cell>
          <cell r="BK119">
            <v>0</v>
          </cell>
          <cell r="CJ119" t="str">
            <v>-</v>
          </cell>
          <cell r="CK119" t="str">
            <v>-</v>
          </cell>
          <cell r="CL119" t="str">
            <v>-</v>
          </cell>
          <cell r="CM119" t="str">
            <v>-</v>
          </cell>
          <cell r="CN119">
            <v>0</v>
          </cell>
          <cell r="CP119" t="str">
            <v>ANRU St Pierre</v>
          </cell>
          <cell r="CQ119" t="str">
            <v>non</v>
          </cell>
          <cell r="CX119">
            <v>0</v>
          </cell>
          <cell r="DE119">
            <v>0</v>
          </cell>
          <cell r="DJ119">
            <v>0</v>
          </cell>
          <cell r="DO119">
            <v>0</v>
          </cell>
          <cell r="DS119">
            <v>0</v>
          </cell>
          <cell r="DT119">
            <v>0</v>
          </cell>
          <cell r="DU119">
            <v>0</v>
          </cell>
          <cell r="ED119" t="str">
            <v>G:\Habitat\OPERATIONNEL HABITAT\02- Operations\Photothèque\image non disponible.jpg</v>
          </cell>
          <cell r="EE119" t="str">
            <v>G:\Habitat\OPERATIONNEL HABITAT\02- Operations\Photothèque\image non disponible.jpg</v>
          </cell>
        </row>
        <row r="120">
          <cell r="A120" t="str">
            <v xml:space="preserve">ILOT G </v>
          </cell>
          <cell r="C120" t="str">
            <v>SUD</v>
          </cell>
          <cell r="D120" t="str">
            <v>Saint-Pierre</v>
          </cell>
          <cell r="E120" t="str">
            <v>RAVINE BLANCHE</v>
          </cell>
          <cell r="F120">
            <v>32</v>
          </cell>
          <cell r="G120" t="str">
            <v>LLS</v>
          </cell>
          <cell r="J120" t="str">
            <v>COL</v>
          </cell>
          <cell r="K120" t="str">
            <v>CF</v>
          </cell>
          <cell r="L120" t="str">
            <v>SIDR</v>
          </cell>
          <cell r="N120" t="str">
            <v>LC</v>
          </cell>
          <cell r="Q120" t="str">
            <v>HBM</v>
          </cell>
          <cell r="R120">
            <v>2011</v>
          </cell>
          <cell r="S120">
            <v>0</v>
          </cell>
          <cell r="V120" t="str">
            <v>A - NON LANCE</v>
          </cell>
          <cell r="X120" t="str">
            <v/>
          </cell>
          <cell r="AA120" t="str">
            <v/>
          </cell>
          <cell r="AC120" t="str">
            <v/>
          </cell>
          <cell r="AF120" t="str">
            <v/>
          </cell>
          <cell r="AI120" t="str">
            <v/>
          </cell>
          <cell r="AK120" t="str">
            <v/>
          </cell>
          <cell r="AL120">
            <v>0</v>
          </cell>
          <cell r="AM120" t="str">
            <v/>
          </cell>
          <cell r="AO120" t="str">
            <v/>
          </cell>
          <cell r="AP120" t="str">
            <v/>
          </cell>
          <cell r="AQ120" t="str">
            <v/>
          </cell>
          <cell r="BK120">
            <v>0</v>
          </cell>
          <cell r="CJ120" t="str">
            <v>-</v>
          </cell>
          <cell r="CK120" t="str">
            <v>-</v>
          </cell>
          <cell r="CL120" t="str">
            <v>-</v>
          </cell>
          <cell r="CM120" t="str">
            <v>-</v>
          </cell>
          <cell r="CN120">
            <v>0</v>
          </cell>
          <cell r="CP120" t="str">
            <v>ANRU St Pierre</v>
          </cell>
          <cell r="CQ120" t="str">
            <v>non</v>
          </cell>
          <cell r="CX120">
            <v>0</v>
          </cell>
          <cell r="DE120">
            <v>0</v>
          </cell>
          <cell r="DJ120">
            <v>0</v>
          </cell>
          <cell r="DO120">
            <v>0</v>
          </cell>
          <cell r="DS120">
            <v>0</v>
          </cell>
          <cell r="DT120">
            <v>0</v>
          </cell>
          <cell r="DU120">
            <v>0</v>
          </cell>
          <cell r="ED120" t="str">
            <v>G:\Habitat\OPERATIONNEL HABITAT\02- Operations\Photothèque\image non disponible.jpg</v>
          </cell>
          <cell r="EE120" t="str">
            <v>G:\Habitat\OPERATIONNEL HABITAT\02- Operations\Photothèque\image non disponible.jpg</v>
          </cell>
        </row>
        <row r="121">
          <cell r="A121" t="str">
            <v>ILOT L</v>
          </cell>
          <cell r="C121" t="str">
            <v>SUD</v>
          </cell>
          <cell r="D121" t="str">
            <v>Saint-Pierre</v>
          </cell>
          <cell r="E121" t="str">
            <v>RAVINE BLANCHE</v>
          </cell>
          <cell r="F121">
            <v>18</v>
          </cell>
          <cell r="G121" t="str">
            <v>LLS</v>
          </cell>
          <cell r="J121" t="str">
            <v>COL</v>
          </cell>
          <cell r="K121" t="str">
            <v>CF</v>
          </cell>
          <cell r="L121" t="str">
            <v>SIDR</v>
          </cell>
          <cell r="M121" t="str">
            <v>maitrisé</v>
          </cell>
          <cell r="N121" t="str">
            <v>LC</v>
          </cell>
          <cell r="O121" t="str">
            <v>DL</v>
          </cell>
          <cell r="Q121" t="str">
            <v>HBM</v>
          </cell>
          <cell r="R121">
            <v>2012</v>
          </cell>
          <cell r="S121">
            <v>0</v>
          </cell>
          <cell r="T121" t="str">
            <v>Foncier SIDR modifier dans le cadre de l'aménagement global</v>
          </cell>
          <cell r="U121" t="str">
            <v>procedure formalisée</v>
          </cell>
          <cell r="V121" t="str">
            <v>A - NON LANCE</v>
          </cell>
          <cell r="X121" t="str">
            <v/>
          </cell>
          <cell r="AA121" t="str">
            <v/>
          </cell>
          <cell r="AC121" t="str">
            <v/>
          </cell>
          <cell r="AF121" t="str">
            <v/>
          </cell>
          <cell r="AI121" t="str">
            <v/>
          </cell>
          <cell r="AK121" t="str">
            <v/>
          </cell>
          <cell r="AL121">
            <v>0</v>
          </cell>
          <cell r="AM121" t="str">
            <v/>
          </cell>
          <cell r="AO121" t="str">
            <v/>
          </cell>
          <cell r="AP121" t="str">
            <v/>
          </cell>
          <cell r="AQ121" t="str">
            <v/>
          </cell>
          <cell r="CJ121" t="str">
            <v>-</v>
          </cell>
          <cell r="CK121" t="str">
            <v>-</v>
          </cell>
          <cell r="CL121" t="str">
            <v>-</v>
          </cell>
          <cell r="CM121" t="str">
            <v>-</v>
          </cell>
          <cell r="CN121">
            <v>0</v>
          </cell>
          <cell r="CP121" t="str">
            <v>ANRU St Pierre</v>
          </cell>
          <cell r="CQ121" t="str">
            <v>non</v>
          </cell>
          <cell r="CX121">
            <v>0</v>
          </cell>
          <cell r="DE121">
            <v>0</v>
          </cell>
          <cell r="DJ121">
            <v>0</v>
          </cell>
          <cell r="DO121">
            <v>0</v>
          </cell>
          <cell r="DS121">
            <v>0</v>
          </cell>
          <cell r="DT121">
            <v>0</v>
          </cell>
          <cell r="DU121">
            <v>0</v>
          </cell>
          <cell r="ED121" t="str">
            <v>G:\Habitat\OPERATIONNEL HABITAT\02- Operations\Photothèque\image non disponible.jpg</v>
          </cell>
          <cell r="EE121" t="str">
            <v>G:\Habitat\OPERATIONNEL HABITAT\02- Operations\Photothèque\image non disponible.jpg</v>
          </cell>
        </row>
        <row r="122">
          <cell r="A122" t="str">
            <v>ILOT  M</v>
          </cell>
          <cell r="C122" t="str">
            <v>SUD</v>
          </cell>
          <cell r="D122" t="str">
            <v>Saint-Pierre</v>
          </cell>
          <cell r="E122" t="str">
            <v>RAVINE BLANCHE</v>
          </cell>
          <cell r="F122">
            <v>18</v>
          </cell>
          <cell r="G122" t="str">
            <v>LLS</v>
          </cell>
          <cell r="J122" t="str">
            <v>COL</v>
          </cell>
          <cell r="K122" t="str">
            <v>CF</v>
          </cell>
          <cell r="L122" t="str">
            <v>SIDR</v>
          </cell>
          <cell r="M122" t="str">
            <v>maitrisé</v>
          </cell>
          <cell r="N122" t="str">
            <v>LC</v>
          </cell>
          <cell r="O122" t="str">
            <v>DL</v>
          </cell>
          <cell r="Q122" t="str">
            <v>HBM</v>
          </cell>
          <cell r="R122">
            <v>2012</v>
          </cell>
          <cell r="T122" t="str">
            <v>Foncier SIDR modifier dans le cadre de l'aménagement global</v>
          </cell>
          <cell r="U122" t="str">
            <v>procedure formalisée</v>
          </cell>
          <cell r="V122" t="str">
            <v>A - NON LANCE</v>
          </cell>
          <cell r="X122" t="str">
            <v/>
          </cell>
          <cell r="AA122" t="str">
            <v/>
          </cell>
          <cell r="AC122" t="str">
            <v/>
          </cell>
          <cell r="AF122" t="str">
            <v/>
          </cell>
          <cell r="AI122" t="str">
            <v/>
          </cell>
          <cell r="AK122" t="str">
            <v/>
          </cell>
          <cell r="AL122">
            <v>0</v>
          </cell>
          <cell r="AM122" t="str">
            <v/>
          </cell>
          <cell r="AO122" t="str">
            <v/>
          </cell>
          <cell r="AP122" t="str">
            <v/>
          </cell>
          <cell r="AQ122" t="str">
            <v/>
          </cell>
          <cell r="CJ122" t="str">
            <v>-</v>
          </cell>
          <cell r="CK122" t="str">
            <v>-</v>
          </cell>
          <cell r="CL122" t="str">
            <v>-</v>
          </cell>
          <cell r="CM122" t="str">
            <v>-</v>
          </cell>
          <cell r="CN122">
            <v>0</v>
          </cell>
          <cell r="CP122" t="str">
            <v>ANRU St Pierre</v>
          </cell>
          <cell r="CQ122" t="str">
            <v>non</v>
          </cell>
          <cell r="CX122">
            <v>0</v>
          </cell>
          <cell r="DE122">
            <v>0</v>
          </cell>
          <cell r="DJ122">
            <v>0</v>
          </cell>
          <cell r="DO122">
            <v>0</v>
          </cell>
          <cell r="DS122">
            <v>0</v>
          </cell>
          <cell r="DT122">
            <v>0</v>
          </cell>
          <cell r="DU122">
            <v>0</v>
          </cell>
          <cell r="ED122" t="str">
            <v>G:\Habitat\OPERATIONNEL HABITAT\02- Operations\Photothèque\image non disponible.jpg</v>
          </cell>
          <cell r="EE122" t="str">
            <v>G:\Habitat\OPERATIONNEL HABITAT\02- Operations\Photothèque\image non disponible.jpg</v>
          </cell>
        </row>
        <row r="123">
          <cell r="A123" t="str">
            <v>ILOT N</v>
          </cell>
          <cell r="C123" t="str">
            <v>SUD</v>
          </cell>
          <cell r="D123" t="str">
            <v>Saint-Pierre</v>
          </cell>
          <cell r="E123" t="str">
            <v>RAVINE BLANCHE</v>
          </cell>
          <cell r="F123">
            <v>18</v>
          </cell>
          <cell r="G123" t="str">
            <v>LLS</v>
          </cell>
          <cell r="J123" t="str">
            <v>COL</v>
          </cell>
          <cell r="K123" t="str">
            <v>CF</v>
          </cell>
          <cell r="L123" t="str">
            <v>SIDR</v>
          </cell>
          <cell r="N123" t="str">
            <v>LC</v>
          </cell>
          <cell r="Q123" t="str">
            <v>HBM</v>
          </cell>
          <cell r="R123">
            <v>2012</v>
          </cell>
          <cell r="T123" t="str">
            <v>Foncier SIDR modifier dans le cadre de l'aménagement global</v>
          </cell>
          <cell r="V123" t="str">
            <v>A - NON LANCE</v>
          </cell>
          <cell r="AA123" t="str">
            <v/>
          </cell>
          <cell r="AC123" t="str">
            <v/>
          </cell>
          <cell r="AI123" t="str">
            <v/>
          </cell>
          <cell r="AK123" t="str">
            <v/>
          </cell>
          <cell r="AL123">
            <v>0</v>
          </cell>
          <cell r="AQ123" t="str">
            <v/>
          </cell>
          <cell r="CJ123" t="str">
            <v>-</v>
          </cell>
          <cell r="CK123" t="str">
            <v>-</v>
          </cell>
          <cell r="CL123" t="str">
            <v>-</v>
          </cell>
          <cell r="CM123" t="str">
            <v>-</v>
          </cell>
          <cell r="CN123">
            <v>0</v>
          </cell>
          <cell r="CP123" t="str">
            <v>ANRU St Pierre</v>
          </cell>
          <cell r="CQ123" t="str">
            <v>non</v>
          </cell>
          <cell r="CX123">
            <v>0</v>
          </cell>
          <cell r="DE123">
            <v>0</v>
          </cell>
          <cell r="DJ123">
            <v>0</v>
          </cell>
          <cell r="DO123">
            <v>0</v>
          </cell>
          <cell r="DS123">
            <v>0</v>
          </cell>
          <cell r="DT123">
            <v>0</v>
          </cell>
          <cell r="DU123">
            <v>0</v>
          </cell>
          <cell r="ED123" t="str">
            <v>G:\Habitat\OPERATIONNEL HABITAT\02- Operations\Photothèque\image non disponible.jpg</v>
          </cell>
          <cell r="EE123" t="str">
            <v>G:\Habitat\OPERATIONNEL HABITAT\02- Operations\Photothèque\image non disponible.jpg</v>
          </cell>
        </row>
        <row r="124">
          <cell r="A124" t="str">
            <v>ILOT TEST(KARLY 1)</v>
          </cell>
          <cell r="C124" t="str">
            <v>OUEST</v>
          </cell>
          <cell r="D124" t="str">
            <v>Saint-Paul</v>
          </cell>
          <cell r="E124" t="str">
            <v>TOURNAN KARLY</v>
          </cell>
          <cell r="F124">
            <v>180</v>
          </cell>
          <cell r="G124" t="str">
            <v>nd</v>
          </cell>
          <cell r="J124" t="str">
            <v>COL</v>
          </cell>
          <cell r="K124" t="str">
            <v>CF</v>
          </cell>
          <cell r="L124" t="str">
            <v>SIDR</v>
          </cell>
          <cell r="M124" t="str">
            <v>maitrisé</v>
          </cell>
          <cell r="N124" t="str">
            <v>PC</v>
          </cell>
          <cell r="O124" t="str">
            <v>DL</v>
          </cell>
          <cell r="Q124" t="str">
            <v>CP</v>
          </cell>
          <cell r="R124">
            <v>2011</v>
          </cell>
          <cell r="S124">
            <v>0</v>
          </cell>
          <cell r="T124" t="str">
            <v>Attente dossier aménageur pour mi juin 2010 - (attention absence de PLU validé sur la zone)</v>
          </cell>
          <cell r="U124" t="str">
            <v>procedure formalisée</v>
          </cell>
          <cell r="V124" t="str">
            <v>C - PROGRAMME</v>
          </cell>
          <cell r="X124" t="str">
            <v/>
          </cell>
          <cell r="AA124" t="str">
            <v/>
          </cell>
          <cell r="AC124" t="str">
            <v/>
          </cell>
          <cell r="AF124" t="str">
            <v/>
          </cell>
          <cell r="AI124" t="str">
            <v/>
          </cell>
          <cell r="AK124" t="str">
            <v/>
          </cell>
          <cell r="AL124">
            <v>0</v>
          </cell>
          <cell r="AM124" t="str">
            <v/>
          </cell>
          <cell r="AO124" t="str">
            <v/>
          </cell>
          <cell r="AP124" t="str">
            <v/>
          </cell>
          <cell r="AQ124" t="str">
            <v/>
          </cell>
          <cell r="CJ124" t="str">
            <v>-</v>
          </cell>
          <cell r="CK124" t="str">
            <v>-</v>
          </cell>
          <cell r="CL124" t="str">
            <v>-</v>
          </cell>
          <cell r="CM124" t="str">
            <v>-</v>
          </cell>
          <cell r="CN124">
            <v>0</v>
          </cell>
          <cell r="CP124" t="str">
            <v>ANRU St Pierre</v>
          </cell>
          <cell r="CQ124" t="str">
            <v>non</v>
          </cell>
          <cell r="CX124">
            <v>0</v>
          </cell>
          <cell r="DE124">
            <v>0</v>
          </cell>
          <cell r="DJ124">
            <v>0</v>
          </cell>
          <cell r="DO124">
            <v>0</v>
          </cell>
          <cell r="DS124">
            <v>0</v>
          </cell>
          <cell r="DT124">
            <v>0</v>
          </cell>
          <cell r="DU124">
            <v>0</v>
          </cell>
          <cell r="ED124" t="str">
            <v>G:\Habitat\OPERATIONNEL HABITAT\02- Operations\Photothèque\image non disponible.jpg</v>
          </cell>
          <cell r="EE124" t="str">
            <v>G:\Habitat\OPERATIONNEL HABITAT\02- Operations\Photothèque\image non disponible.jpg</v>
          </cell>
        </row>
        <row r="125">
          <cell r="A125" t="str">
            <v>ILOT X</v>
          </cell>
          <cell r="C125" t="str">
            <v>SUD</v>
          </cell>
          <cell r="D125" t="str">
            <v>Saint-Pierre</v>
          </cell>
          <cell r="E125" t="str">
            <v>RAVINE BLANCHE</v>
          </cell>
          <cell r="F125">
            <v>18</v>
          </cell>
          <cell r="G125" t="str">
            <v>LLS</v>
          </cell>
          <cell r="J125" t="str">
            <v>COL</v>
          </cell>
          <cell r="K125" t="str">
            <v>CF</v>
          </cell>
          <cell r="L125" t="str">
            <v>SIDR</v>
          </cell>
          <cell r="N125" t="str">
            <v>LC</v>
          </cell>
          <cell r="Q125" t="str">
            <v>HBM</v>
          </cell>
          <cell r="R125">
            <v>2010</v>
          </cell>
          <cell r="T125" t="str">
            <v>Voie non modifiée</v>
          </cell>
          <cell r="V125" t="str">
            <v>A - NON LANCE</v>
          </cell>
          <cell r="X125" t="str">
            <v/>
          </cell>
          <cell r="AA125" t="str">
            <v/>
          </cell>
          <cell r="AC125" t="str">
            <v/>
          </cell>
          <cell r="AF125" t="str">
            <v/>
          </cell>
          <cell r="AI125" t="str">
            <v/>
          </cell>
          <cell r="AK125" t="str">
            <v/>
          </cell>
          <cell r="AL125">
            <v>0</v>
          </cell>
          <cell r="AM125" t="str">
            <v/>
          </cell>
          <cell r="AO125" t="str">
            <v/>
          </cell>
          <cell r="AP125" t="str">
            <v/>
          </cell>
          <cell r="AQ125" t="str">
            <v/>
          </cell>
          <cell r="CJ125" t="str">
            <v>-</v>
          </cell>
          <cell r="CK125" t="str">
            <v>-</v>
          </cell>
          <cell r="CL125" t="str">
            <v>-</v>
          </cell>
          <cell r="CM125" t="str">
            <v>-</v>
          </cell>
          <cell r="CN125">
            <v>0</v>
          </cell>
          <cell r="CP125" t="str">
            <v>ANRU St Pierre</v>
          </cell>
          <cell r="CQ125" t="str">
            <v>non</v>
          </cell>
          <cell r="CX125">
            <v>0</v>
          </cell>
          <cell r="DE125">
            <v>0</v>
          </cell>
          <cell r="DJ125">
            <v>0</v>
          </cell>
          <cell r="DO125">
            <v>0</v>
          </cell>
          <cell r="DS125">
            <v>0</v>
          </cell>
          <cell r="DT125">
            <v>0</v>
          </cell>
          <cell r="DU125">
            <v>0</v>
          </cell>
          <cell r="ED125" t="str">
            <v>G:\Habitat\OPERATIONNEL HABITAT\02- Operations\Photothèque\image non disponible.jpg</v>
          </cell>
          <cell r="EE125" t="str">
            <v>G:\Habitat\OPERATIONNEL HABITAT\02- Operations\Photothèque\image non disponible.jpg</v>
          </cell>
        </row>
        <row r="126">
          <cell r="A126" t="str">
            <v>ILOT H</v>
          </cell>
          <cell r="B126" t="str">
            <v>xxxx</v>
          </cell>
          <cell r="C126" t="str">
            <v>SUD</v>
          </cell>
          <cell r="D126" t="str">
            <v>Saint-Pierre</v>
          </cell>
          <cell r="E126" t="str">
            <v>RAVINE BLANCHE</v>
          </cell>
          <cell r="F126">
            <v>30</v>
          </cell>
          <cell r="G126" t="str">
            <v>LLS</v>
          </cell>
          <cell r="J126" t="str">
            <v>COL</v>
          </cell>
          <cell r="K126" t="str">
            <v>CF</v>
          </cell>
          <cell r="L126" t="str">
            <v>SIDR</v>
          </cell>
          <cell r="M126" t="str">
            <v>maitrisé</v>
          </cell>
          <cell r="N126" t="str">
            <v>LC</v>
          </cell>
          <cell r="O126" t="str">
            <v>DL</v>
          </cell>
          <cell r="P126" t="str">
            <v>AM</v>
          </cell>
          <cell r="Q126" t="str">
            <v>HBM</v>
          </cell>
          <cell r="R126">
            <v>2011</v>
          </cell>
          <cell r="S126">
            <v>0.25</v>
          </cell>
          <cell r="T126" t="str">
            <v>Dation commerces</v>
          </cell>
          <cell r="U126" t="str">
            <v>procedure formalisée</v>
          </cell>
          <cell r="V126" t="str">
            <v>A - NON LANCE</v>
          </cell>
          <cell r="W126">
            <v>39994</v>
          </cell>
          <cell r="X126" t="str">
            <v/>
          </cell>
          <cell r="Z126">
            <v>40071</v>
          </cell>
          <cell r="AA126" t="str">
            <v/>
          </cell>
          <cell r="AB126">
            <v>39598</v>
          </cell>
          <cell r="AC126" t="str">
            <v/>
          </cell>
          <cell r="AE126">
            <v>40082</v>
          </cell>
          <cell r="AF126" t="str">
            <v/>
          </cell>
          <cell r="AH126">
            <v>40040</v>
          </cell>
          <cell r="AI126" t="str">
            <v/>
          </cell>
          <cell r="AJ126">
            <v>40224</v>
          </cell>
          <cell r="AK126" t="str">
            <v/>
          </cell>
          <cell r="AL126">
            <v>0</v>
          </cell>
          <cell r="AM126" t="str">
            <v/>
          </cell>
          <cell r="AN126">
            <v>17</v>
          </cell>
          <cell r="AO126" t="str">
            <v/>
          </cell>
          <cell r="AP126" t="str">
            <v/>
          </cell>
          <cell r="AQ126" t="str">
            <v/>
          </cell>
          <cell r="AR126">
            <v>2011</v>
          </cell>
          <cell r="BK126">
            <v>0</v>
          </cell>
          <cell r="BL126">
            <v>6.13</v>
          </cell>
          <cell r="CJ126" t="str">
            <v>-</v>
          </cell>
          <cell r="CK126" t="str">
            <v>-</v>
          </cell>
          <cell r="CL126" t="str">
            <v>-</v>
          </cell>
          <cell r="CM126" t="str">
            <v>-</v>
          </cell>
          <cell r="CN126">
            <v>0</v>
          </cell>
          <cell r="CP126" t="str">
            <v>ANRU St Pierre</v>
          </cell>
          <cell r="CQ126" t="str">
            <v>non</v>
          </cell>
          <cell r="CX126">
            <v>0</v>
          </cell>
          <cell r="DE126">
            <v>0</v>
          </cell>
          <cell r="DJ126">
            <v>0</v>
          </cell>
          <cell r="DO126">
            <v>0</v>
          </cell>
          <cell r="DS126">
            <v>0</v>
          </cell>
          <cell r="DT126">
            <v>0</v>
          </cell>
          <cell r="DU126">
            <v>0</v>
          </cell>
          <cell r="ED126" t="str">
            <v>G:\Habitat\OPERATIONNEL HABITAT\02- Operations\Photothèque\image non disponible.jpg</v>
          </cell>
          <cell r="EE126" t="str">
            <v>G:\Habitat\OPERATIONNEL HABITAT\02- Operations\Photothèque\image non disponible.jpg</v>
          </cell>
        </row>
        <row r="127">
          <cell r="A127" t="str">
            <v>ILOT I</v>
          </cell>
          <cell r="C127" t="str">
            <v>SUD</v>
          </cell>
          <cell r="D127" t="str">
            <v>Saint-Pierre</v>
          </cell>
          <cell r="E127" t="str">
            <v>RAVINE BLANCHE</v>
          </cell>
          <cell r="F127">
            <v>51</v>
          </cell>
          <cell r="G127" t="str">
            <v>PLS</v>
          </cell>
          <cell r="J127" t="str">
            <v>COL</v>
          </cell>
          <cell r="K127" t="str">
            <v>CF</v>
          </cell>
          <cell r="L127" t="str">
            <v>SIDR</v>
          </cell>
          <cell r="N127" t="str">
            <v>LC</v>
          </cell>
          <cell r="Q127" t="str">
            <v>HBM</v>
          </cell>
          <cell r="R127">
            <v>2011</v>
          </cell>
          <cell r="T127" t="str">
            <v>Attribution remise en cause par la ville</v>
          </cell>
          <cell r="V127" t="str">
            <v>A - NON LANCE</v>
          </cell>
          <cell r="X127" t="str">
            <v/>
          </cell>
          <cell r="AA127" t="str">
            <v/>
          </cell>
          <cell r="AC127" t="str">
            <v/>
          </cell>
          <cell r="AF127" t="str">
            <v/>
          </cell>
          <cell r="AI127" t="str">
            <v/>
          </cell>
          <cell r="AK127" t="str">
            <v/>
          </cell>
          <cell r="AL127">
            <v>0</v>
          </cell>
          <cell r="AM127" t="str">
            <v/>
          </cell>
          <cell r="AO127" t="str">
            <v/>
          </cell>
          <cell r="AP127" t="str">
            <v/>
          </cell>
          <cell r="AQ127" t="str">
            <v/>
          </cell>
          <cell r="CJ127" t="str">
            <v>-</v>
          </cell>
          <cell r="CK127" t="str">
            <v>-</v>
          </cell>
          <cell r="CL127" t="str">
            <v>-</v>
          </cell>
          <cell r="CM127" t="str">
            <v>-</v>
          </cell>
          <cell r="CN127">
            <v>0</v>
          </cell>
          <cell r="CP127" t="str">
            <v>ANRU St Pierre</v>
          </cell>
          <cell r="CQ127" t="str">
            <v>non</v>
          </cell>
          <cell r="CX127">
            <v>0</v>
          </cell>
          <cell r="DE127">
            <v>0</v>
          </cell>
          <cell r="DJ127">
            <v>0</v>
          </cell>
          <cell r="DO127">
            <v>0</v>
          </cell>
          <cell r="DS127">
            <v>0</v>
          </cell>
          <cell r="DT127">
            <v>0</v>
          </cell>
          <cell r="DU127">
            <v>0</v>
          </cell>
          <cell r="ED127" t="str">
            <v>G:\Habitat\OPERATIONNEL HABITAT\02- Operations\Photothèque\image non disponible.jpg</v>
          </cell>
          <cell r="EE127" t="str">
            <v>G:\Habitat\OPERATIONNEL HABITAT\02- Operations\Photothèque\image non disponible.jpg</v>
          </cell>
        </row>
        <row r="128">
          <cell r="A128" t="str">
            <v>ILOT Y</v>
          </cell>
          <cell r="C128" t="str">
            <v>SUD</v>
          </cell>
          <cell r="D128" t="str">
            <v>Saint-Pierre</v>
          </cell>
          <cell r="E128" t="str">
            <v>RAVINE BLANCHE</v>
          </cell>
          <cell r="F128">
            <v>30</v>
          </cell>
          <cell r="G128" t="str">
            <v>LLS</v>
          </cell>
          <cell r="J128" t="str">
            <v>COL</v>
          </cell>
          <cell r="K128" t="str">
            <v>CF</v>
          </cell>
          <cell r="L128" t="str">
            <v>SIDR</v>
          </cell>
          <cell r="N128" t="str">
            <v>LC</v>
          </cell>
          <cell r="P128" t="str">
            <v>NA</v>
          </cell>
          <cell r="Q128" t="str">
            <v>HBM</v>
          </cell>
          <cell r="R128">
            <v>2012</v>
          </cell>
          <cell r="T128" t="str">
            <v>Foncier SIDR modifier dans le cadre de l'aménagement global</v>
          </cell>
          <cell r="U128" t="str">
            <v>2APMR</v>
          </cell>
          <cell r="V128" t="str">
            <v>A - NON LANCE</v>
          </cell>
          <cell r="W128">
            <v>39902</v>
          </cell>
          <cell r="X128" t="str">
            <v/>
          </cell>
          <cell r="AA128" t="str">
            <v/>
          </cell>
          <cell r="AB128">
            <v>39887</v>
          </cell>
          <cell r="AC128" t="str">
            <v/>
          </cell>
          <cell r="AD128">
            <v>39963</v>
          </cell>
          <cell r="AE128">
            <v>40024</v>
          </cell>
          <cell r="AF128" t="str">
            <v/>
          </cell>
          <cell r="AH128">
            <v>40009</v>
          </cell>
          <cell r="AI128" t="str">
            <v/>
          </cell>
          <cell r="AJ128">
            <v>40193</v>
          </cell>
          <cell r="AK128" t="str">
            <v/>
          </cell>
          <cell r="AL128">
            <v>0</v>
          </cell>
          <cell r="AM128" t="str">
            <v/>
          </cell>
          <cell r="AN128">
            <v>15</v>
          </cell>
          <cell r="AO128" t="str">
            <v/>
          </cell>
          <cell r="AP128" t="str">
            <v/>
          </cell>
          <cell r="AQ128" t="str">
            <v/>
          </cell>
          <cell r="AR128">
            <v>2011</v>
          </cell>
          <cell r="CJ128" t="str">
            <v>-</v>
          </cell>
          <cell r="CK128" t="str">
            <v>-</v>
          </cell>
          <cell r="CL128" t="str">
            <v>-</v>
          </cell>
          <cell r="CM128" t="str">
            <v>-</v>
          </cell>
          <cell r="CN128">
            <v>0</v>
          </cell>
          <cell r="CP128" t="str">
            <v>ANRU St Pierre</v>
          </cell>
          <cell r="CQ128" t="str">
            <v>non</v>
          </cell>
          <cell r="CX128">
            <v>0</v>
          </cell>
          <cell r="DE128">
            <v>0</v>
          </cell>
          <cell r="DJ128">
            <v>0</v>
          </cell>
          <cell r="DO128">
            <v>0</v>
          </cell>
          <cell r="DS128">
            <v>0</v>
          </cell>
          <cell r="DT128">
            <v>0</v>
          </cell>
          <cell r="DU128">
            <v>0</v>
          </cell>
          <cell r="ED128" t="str">
            <v>G:\Habitat\OPERATIONNEL HABITAT\02- Operations\Photothèque\image non disponible.jpg</v>
          </cell>
          <cell r="EE128" t="str">
            <v>G:\Habitat\OPERATIONNEL HABITAT\02- Operations\Photothèque\image non disponible.jpg</v>
          </cell>
        </row>
        <row r="129">
          <cell r="A129" t="str">
            <v>ILOTS 2.2 ALDABRA</v>
          </cell>
          <cell r="B129">
            <v>9540</v>
          </cell>
          <cell r="C129" t="str">
            <v>SUD</v>
          </cell>
          <cell r="D129" t="str">
            <v>Saint-Pierre</v>
          </cell>
          <cell r="E129" t="str">
            <v>MAIL CENTRE VILLE</v>
          </cell>
          <cell r="F129">
            <v>42</v>
          </cell>
          <cell r="G129" t="str">
            <v>LLS</v>
          </cell>
          <cell r="J129" t="str">
            <v>COL</v>
          </cell>
          <cell r="K129" t="str">
            <v>CF</v>
          </cell>
          <cell r="L129" t="str">
            <v>SIDR</v>
          </cell>
          <cell r="M129" t="str">
            <v>maitrisé</v>
          </cell>
          <cell r="N129" t="str">
            <v>LC</v>
          </cell>
          <cell r="O129" t="str">
            <v>CA</v>
          </cell>
          <cell r="P129" t="str">
            <v>AM</v>
          </cell>
          <cell r="Q129" t="str">
            <v>HBM</v>
          </cell>
          <cell r="R129">
            <v>2009</v>
          </cell>
          <cell r="S129">
            <v>0.25</v>
          </cell>
          <cell r="T129" t="str">
            <v>Dation commerces</v>
          </cell>
          <cell r="U129" t="str">
            <v>procedure formalisée</v>
          </cell>
          <cell r="V129" t="str">
            <v>C - PROGRAMME</v>
          </cell>
          <cell r="W129">
            <v>39994</v>
          </cell>
          <cell r="X129" t="str">
            <v/>
          </cell>
          <cell r="Y129" t="str">
            <v>97441404A0304</v>
          </cell>
          <cell r="Z129">
            <v>40071</v>
          </cell>
          <cell r="AA129" t="str">
            <v/>
          </cell>
          <cell r="AB129">
            <v>39598</v>
          </cell>
          <cell r="AC129" t="str">
            <v>v</v>
          </cell>
          <cell r="AD129">
            <v>38511</v>
          </cell>
          <cell r="AE129">
            <v>40082</v>
          </cell>
          <cell r="AF129" t="str">
            <v/>
          </cell>
          <cell r="AG129">
            <v>38450</v>
          </cell>
          <cell r="AH129">
            <v>40040</v>
          </cell>
          <cell r="AI129" t="str">
            <v/>
          </cell>
          <cell r="AJ129">
            <v>40224</v>
          </cell>
          <cell r="AK129" t="str">
            <v/>
          </cell>
          <cell r="AL129">
            <v>6.0494476591267752</v>
          </cell>
          <cell r="AM129">
            <v>2010</v>
          </cell>
          <cell r="AN129">
            <v>17</v>
          </cell>
          <cell r="AO129">
            <v>40739</v>
          </cell>
          <cell r="AP129">
            <v>40754</v>
          </cell>
          <cell r="AQ129" t="str">
            <v/>
          </cell>
          <cell r="AR129">
            <v>2011</v>
          </cell>
          <cell r="AW129">
            <v>19</v>
          </cell>
          <cell r="AX129">
            <v>57</v>
          </cell>
          <cell r="BA129">
            <v>24</v>
          </cell>
          <cell r="BB129">
            <v>69</v>
          </cell>
          <cell r="BE129">
            <v>9</v>
          </cell>
          <cell r="BF129">
            <v>79</v>
          </cell>
          <cell r="BI129">
            <v>3</v>
          </cell>
          <cell r="BJ129">
            <v>92</v>
          </cell>
          <cell r="BK129">
            <v>0</v>
          </cell>
          <cell r="BL129">
            <v>6.13</v>
          </cell>
          <cell r="BM129">
            <v>0.82</v>
          </cell>
          <cell r="BN129">
            <v>0.2</v>
          </cell>
          <cell r="BO129" t="str">
            <v>signée</v>
          </cell>
          <cell r="BP129">
            <v>0.8</v>
          </cell>
          <cell r="BQ129" t="str">
            <v>signée</v>
          </cell>
          <cell r="BR129" t="str">
            <v>CAF</v>
          </cell>
          <cell r="BT129" t="str">
            <v>signée</v>
          </cell>
          <cell r="BX129" t="str">
            <v>signé</v>
          </cell>
          <cell r="BY129">
            <v>4105</v>
          </cell>
          <cell r="BZ129">
            <v>5546</v>
          </cell>
          <cell r="CA129">
            <v>3801.22</v>
          </cell>
          <cell r="CE129" t="str">
            <v>ECS ind</v>
          </cell>
          <cell r="CF129">
            <v>141813.66</v>
          </cell>
          <cell r="CG129">
            <v>42544.097999999998</v>
          </cell>
          <cell r="CH129">
            <v>63816.146999999997</v>
          </cell>
          <cell r="CI129">
            <v>35453.415000000001</v>
          </cell>
          <cell r="CJ129" t="str">
            <v>A déterminer</v>
          </cell>
          <cell r="CK129" t="str">
            <v>INFI</v>
          </cell>
          <cell r="CL129" t="str">
            <v>-</v>
          </cell>
          <cell r="CM129" t="str">
            <v>-</v>
          </cell>
          <cell r="CN129">
            <v>0</v>
          </cell>
          <cell r="CQ129" t="str">
            <v>non</v>
          </cell>
          <cell r="CR129">
            <v>423055</v>
          </cell>
          <cell r="CT129">
            <v>2927051</v>
          </cell>
          <cell r="CX129">
            <v>0</v>
          </cell>
          <cell r="DE129">
            <v>0</v>
          </cell>
          <cell r="DJ129">
            <v>0</v>
          </cell>
          <cell r="DO129">
            <v>0</v>
          </cell>
          <cell r="DQ129">
            <v>107500</v>
          </cell>
          <cell r="DR129">
            <v>40453</v>
          </cell>
          <cell r="DS129">
            <v>0</v>
          </cell>
          <cell r="DT129">
            <v>0</v>
          </cell>
          <cell r="DU129">
            <v>0</v>
          </cell>
          <cell r="ED129" t="str">
            <v>G:\Habitat\OPERATIONNEL HABITAT\02- Operations\Photothèque\image non disponible.jpg</v>
          </cell>
          <cell r="EE129" t="str">
            <v>G:\Habitat\OPERATIONNEL HABITAT\02- Operations\Photothèque\image non disponible.jpg</v>
          </cell>
        </row>
        <row r="130">
          <cell r="A130" t="str">
            <v>ILOTS ACC</v>
          </cell>
          <cell r="B130">
            <v>9686</v>
          </cell>
          <cell r="C130" t="str">
            <v>SUD</v>
          </cell>
          <cell r="D130" t="str">
            <v>Saint-Pierre</v>
          </cell>
          <cell r="E130" t="str">
            <v>MAIL CENTRE VILLE</v>
          </cell>
          <cell r="F130">
            <v>24</v>
          </cell>
          <cell r="G130" t="str">
            <v>ACC</v>
          </cell>
          <cell r="J130" t="str">
            <v>COL</v>
          </cell>
          <cell r="K130" t="str">
            <v>CF</v>
          </cell>
          <cell r="L130" t="str">
            <v>SIDR</v>
          </cell>
          <cell r="M130" t="str">
            <v>maitrisé</v>
          </cell>
          <cell r="N130" t="str">
            <v>N.A.</v>
          </cell>
          <cell r="O130" t="str">
            <v>DL</v>
          </cell>
          <cell r="P130" t="str">
            <v>NA</v>
          </cell>
          <cell r="Q130" t="str">
            <v>HBM</v>
          </cell>
          <cell r="R130" t="str">
            <v>non prog</v>
          </cell>
          <cell r="S130">
            <v>1</v>
          </cell>
          <cell r="T130" t="str">
            <v>Attribution remise en cause par la ville</v>
          </cell>
          <cell r="U130" t="str">
            <v>2APMR</v>
          </cell>
          <cell r="V130" t="str">
            <v>C - PROGRAMME</v>
          </cell>
          <cell r="W130">
            <v>39902</v>
          </cell>
          <cell r="X130" t="str">
            <v>d</v>
          </cell>
          <cell r="Y130" t="str">
            <v>97441407A0200</v>
          </cell>
          <cell r="Z130">
            <v>39385</v>
          </cell>
          <cell r="AA130" t="str">
            <v/>
          </cell>
          <cell r="AB130">
            <v>39887</v>
          </cell>
          <cell r="AC130" t="str">
            <v>v</v>
          </cell>
          <cell r="AD130">
            <v>39963</v>
          </cell>
          <cell r="AE130">
            <v>40024</v>
          </cell>
          <cell r="AF130" t="str">
            <v>f</v>
          </cell>
          <cell r="AG130">
            <v>39429</v>
          </cell>
          <cell r="AH130">
            <v>40009</v>
          </cell>
          <cell r="AI130" t="str">
            <v/>
          </cell>
          <cell r="AJ130">
            <v>40193</v>
          </cell>
          <cell r="AK130" t="str">
            <v/>
          </cell>
          <cell r="AL130">
            <v>6.0494476591267752</v>
          </cell>
          <cell r="AM130">
            <v>2010</v>
          </cell>
          <cell r="AN130">
            <v>15</v>
          </cell>
          <cell r="AO130">
            <v>40648</v>
          </cell>
          <cell r="AP130">
            <v>40663</v>
          </cell>
          <cell r="AQ130" t="str">
            <v/>
          </cell>
          <cell r="AR130">
            <v>2011</v>
          </cell>
          <cell r="BK130">
            <v>0</v>
          </cell>
          <cell r="BL130">
            <v>4.79</v>
          </cell>
          <cell r="BO130" t="str">
            <v>à faire</v>
          </cell>
          <cell r="BQ130" t="str">
            <v>à faire</v>
          </cell>
          <cell r="BX130" t="str">
            <v>En attente accord de principe</v>
          </cell>
          <cell r="CJ130" t="str">
            <v>-</v>
          </cell>
          <cell r="CK130" t="str">
            <v>-</v>
          </cell>
          <cell r="CL130" t="str">
            <v>-</v>
          </cell>
          <cell r="CM130" t="str">
            <v>-</v>
          </cell>
          <cell r="CN130">
            <v>0</v>
          </cell>
          <cell r="CO130" t="str">
            <v>217 undercies</v>
          </cell>
          <cell r="CQ130" t="str">
            <v>non</v>
          </cell>
          <cell r="CX130">
            <v>0</v>
          </cell>
          <cell r="DE130">
            <v>0</v>
          </cell>
          <cell r="DJ130">
            <v>0</v>
          </cell>
          <cell r="DO130">
            <v>0</v>
          </cell>
          <cell r="DS130">
            <v>0</v>
          </cell>
          <cell r="DT130">
            <v>0</v>
          </cell>
          <cell r="DU130">
            <v>0</v>
          </cell>
          <cell r="ED130" t="str">
            <v>G:\Habitat\OPERATIONNEL HABITAT\02- Operations\Photothèque\image non disponible.jpg</v>
          </cell>
          <cell r="EE130" t="str">
            <v>G:\Habitat\OPERATIONNEL HABITAT\02- Operations\Photothèque\image non disponible.jpg</v>
          </cell>
        </row>
        <row r="131">
          <cell r="A131" t="str">
            <v>INDIRA GANDHI(ex GROIX)</v>
          </cell>
          <cell r="B131">
            <v>9540</v>
          </cell>
          <cell r="C131" t="str">
            <v>SUD</v>
          </cell>
          <cell r="D131" t="str">
            <v>Saint-Louis</v>
          </cell>
          <cell r="E131" t="str">
            <v>ZAC AVENIR</v>
          </cell>
          <cell r="F131">
            <v>55</v>
          </cell>
          <cell r="G131" t="str">
            <v>LLTS</v>
          </cell>
          <cell r="J131" t="str">
            <v>COL</v>
          </cell>
          <cell r="K131" t="str">
            <v>CF</v>
          </cell>
          <cell r="L131" t="str">
            <v>SIDR</v>
          </cell>
          <cell r="N131" t="str">
            <v>PC</v>
          </cell>
          <cell r="O131" t="str">
            <v>DL</v>
          </cell>
          <cell r="P131" t="str">
            <v>CS</v>
          </cell>
          <cell r="Q131" t="str">
            <v>HBM</v>
          </cell>
          <cell r="R131">
            <v>2004</v>
          </cell>
          <cell r="T131" t="str">
            <v>VISITE GPA le 27/11/2007</v>
          </cell>
          <cell r="U131" t="str">
            <v>ESPACE CREATION</v>
          </cell>
          <cell r="V131" t="str">
            <v>M - LIVRE/GPA</v>
          </cell>
          <cell r="W131">
            <v>38170</v>
          </cell>
          <cell r="X131" t="str">
            <v>d</v>
          </cell>
          <cell r="Y131" t="str">
            <v>97441404A0304</v>
          </cell>
          <cell r="Z131">
            <v>38421</v>
          </cell>
          <cell r="AA131" t="str">
            <v>o</v>
          </cell>
          <cell r="AB131" t="str">
            <v>validé</v>
          </cell>
          <cell r="AC131" t="str">
            <v/>
          </cell>
          <cell r="AD131">
            <v>38511</v>
          </cell>
          <cell r="AE131">
            <v>38223</v>
          </cell>
          <cell r="AF131" t="str">
            <v>f</v>
          </cell>
          <cell r="AG131">
            <v>38450</v>
          </cell>
          <cell r="AH131">
            <v>38313</v>
          </cell>
          <cell r="AI131" t="str">
            <v>ao</v>
          </cell>
          <cell r="AJ131">
            <v>38523</v>
          </cell>
          <cell r="AK131" t="str">
            <v/>
          </cell>
          <cell r="AL131">
            <v>6.9042609153077326</v>
          </cell>
          <cell r="AM131">
            <v>2005</v>
          </cell>
          <cell r="AN131">
            <v>16</v>
          </cell>
          <cell r="AO131">
            <v>39010</v>
          </cell>
          <cell r="AP131">
            <v>39065</v>
          </cell>
          <cell r="AQ131" t="str">
            <v>li</v>
          </cell>
          <cell r="AR131">
            <v>2006</v>
          </cell>
          <cell r="AW131">
            <v>19</v>
          </cell>
          <cell r="AX131">
            <v>57</v>
          </cell>
          <cell r="BA131">
            <v>24</v>
          </cell>
          <cell r="BB131">
            <v>69</v>
          </cell>
          <cell r="BE131">
            <v>9</v>
          </cell>
          <cell r="BF131">
            <v>79</v>
          </cell>
          <cell r="BI131">
            <v>3</v>
          </cell>
          <cell r="BJ131">
            <v>92</v>
          </cell>
          <cell r="BK131">
            <v>55</v>
          </cell>
          <cell r="BL131">
            <v>4.09</v>
          </cell>
          <cell r="BM131">
            <v>0.82</v>
          </cell>
          <cell r="BN131">
            <v>0.2</v>
          </cell>
          <cell r="BO131" t="str">
            <v>signée</v>
          </cell>
          <cell r="BP131">
            <v>0.8</v>
          </cell>
          <cell r="BQ131" t="str">
            <v>signée</v>
          </cell>
          <cell r="BR131" t="str">
            <v>CAF</v>
          </cell>
          <cell r="BT131" t="str">
            <v>signée</v>
          </cell>
          <cell r="BX131" t="str">
            <v>signé</v>
          </cell>
          <cell r="BY131">
            <v>4105</v>
          </cell>
          <cell r="BZ131">
            <v>5546</v>
          </cell>
          <cell r="CA131">
            <v>3801.22</v>
          </cell>
          <cell r="CE131" t="str">
            <v>ECS ind</v>
          </cell>
          <cell r="CF131">
            <v>141813.66</v>
          </cell>
          <cell r="CG131">
            <v>42544.097999999998</v>
          </cell>
          <cell r="CH131">
            <v>63816.146999999997</v>
          </cell>
          <cell r="CI131">
            <v>35453.415000000001</v>
          </cell>
          <cell r="CJ131" t="str">
            <v>-</v>
          </cell>
          <cell r="CK131" t="str">
            <v>-</v>
          </cell>
          <cell r="CL131" t="str">
            <v>-</v>
          </cell>
          <cell r="CM131" t="str">
            <v>-</v>
          </cell>
          <cell r="CN131">
            <v>0</v>
          </cell>
          <cell r="CQ131" t="str">
            <v>oui</v>
          </cell>
          <cell r="CR131">
            <v>423055</v>
          </cell>
          <cell r="CT131">
            <v>2927051</v>
          </cell>
          <cell r="CX131">
            <v>3350106</v>
          </cell>
          <cell r="DE131">
            <v>106360.245</v>
          </cell>
          <cell r="DJ131">
            <v>106360.245</v>
          </cell>
          <cell r="DO131">
            <v>0</v>
          </cell>
          <cell r="DQ131">
            <v>107500</v>
          </cell>
          <cell r="DR131">
            <v>40453</v>
          </cell>
          <cell r="DS131">
            <v>147953</v>
          </cell>
          <cell r="DT131">
            <v>295906</v>
          </cell>
          <cell r="DU131">
            <v>-2947839.7549999999</v>
          </cell>
          <cell r="ED131" t="str">
            <v>G:\Habitat\OPERATIONNEL HABITAT\02- Operations\Photothèque\images locatifs\Groix\insertion groix 24-06-04.jpg</v>
          </cell>
          <cell r="EE131" t="str">
            <v>G:\Habitat\OPERATIONNEL HABITAT\02- Operations\Photothèque\image non disponible.jpg</v>
          </cell>
        </row>
        <row r="132">
          <cell r="A132" t="str">
            <v>JAVA</v>
          </cell>
          <cell r="B132">
            <v>9686</v>
          </cell>
          <cell r="C132" t="str">
            <v>SUD</v>
          </cell>
          <cell r="D132" t="str">
            <v>Saint-Louis</v>
          </cell>
          <cell r="E132" t="str">
            <v>ZAC AVENIR</v>
          </cell>
          <cell r="F132">
            <v>27</v>
          </cell>
          <cell r="G132" t="str">
            <v>LLTS</v>
          </cell>
          <cell r="J132" t="str">
            <v>COL</v>
          </cell>
          <cell r="K132" t="str">
            <v>CF</v>
          </cell>
          <cell r="L132" t="str">
            <v>SIDR</v>
          </cell>
          <cell r="M132" t="str">
            <v>maitrisé</v>
          </cell>
          <cell r="N132" t="str">
            <v>JEM</v>
          </cell>
          <cell r="O132" t="str">
            <v>DL</v>
          </cell>
          <cell r="P132" t="str">
            <v>CS</v>
          </cell>
          <cell r="Q132" t="str">
            <v>HBM</v>
          </cell>
          <cell r="R132">
            <v>2007</v>
          </cell>
          <cell r="S132">
            <v>1</v>
          </cell>
          <cell r="U132" t="str">
            <v>BERTIN LEBEIGLE</v>
          </cell>
          <cell r="V132" t="str">
            <v>L - CHANTIER EN COURS</v>
          </cell>
          <cell r="W132">
            <v>39130</v>
          </cell>
          <cell r="X132" t="str">
            <v>d</v>
          </cell>
          <cell r="Y132" t="str">
            <v>97441407A0200</v>
          </cell>
          <cell r="Z132">
            <v>39385</v>
          </cell>
          <cell r="AA132" t="str">
            <v>o</v>
          </cell>
          <cell r="AB132">
            <v>39170</v>
          </cell>
          <cell r="AC132" t="str">
            <v>v</v>
          </cell>
          <cell r="AD132">
            <v>39231</v>
          </cell>
          <cell r="AE132">
            <v>39314</v>
          </cell>
          <cell r="AF132" t="str">
            <v>f</v>
          </cell>
          <cell r="AG132">
            <v>39429</v>
          </cell>
          <cell r="AH132">
            <v>39568</v>
          </cell>
          <cell r="AI132" t="str">
            <v>ao</v>
          </cell>
          <cell r="AJ132">
            <v>39738</v>
          </cell>
          <cell r="AK132" t="str">
            <v>ch</v>
          </cell>
          <cell r="AL132">
            <v>5.5891635981062597</v>
          </cell>
          <cell r="AM132">
            <v>2008</v>
          </cell>
          <cell r="AN132">
            <v>16</v>
          </cell>
          <cell r="AO132">
            <v>40226</v>
          </cell>
          <cell r="AP132">
            <v>40241</v>
          </cell>
          <cell r="AQ132" t="str">
            <v/>
          </cell>
          <cell r="AR132">
            <v>2010</v>
          </cell>
          <cell r="BK132">
            <v>0</v>
          </cell>
          <cell r="BL132">
            <v>4.79</v>
          </cell>
          <cell r="BO132" t="str">
            <v>à faire</v>
          </cell>
          <cell r="BQ132" t="str">
            <v>à faire</v>
          </cell>
          <cell r="BX132" t="str">
            <v>En attente accord de principe</v>
          </cell>
          <cell r="CA132">
            <v>2560</v>
          </cell>
          <cell r="CE132" t="str">
            <v>ECS ind</v>
          </cell>
          <cell r="CF132">
            <v>76059</v>
          </cell>
          <cell r="CG132">
            <v>22817</v>
          </cell>
          <cell r="CH132">
            <v>34226</v>
          </cell>
          <cell r="CI132">
            <v>19014</v>
          </cell>
          <cell r="CJ132" t="str">
            <v>SNC Salazie 2</v>
          </cell>
          <cell r="CK132" t="str">
            <v>INFI</v>
          </cell>
          <cell r="CL132">
            <v>39650</v>
          </cell>
          <cell r="CM132" t="str">
            <v>-</v>
          </cell>
          <cell r="CN132">
            <v>0</v>
          </cell>
          <cell r="CO132" t="str">
            <v>217 undercies</v>
          </cell>
          <cell r="CQ132" t="str">
            <v>non</v>
          </cell>
          <cell r="CT132">
            <v>2003205</v>
          </cell>
          <cell r="CX132">
            <v>0</v>
          </cell>
          <cell r="DE132">
            <v>0</v>
          </cell>
          <cell r="DJ132">
            <v>0</v>
          </cell>
          <cell r="DO132">
            <v>0</v>
          </cell>
          <cell r="DQ132">
            <v>169000</v>
          </cell>
          <cell r="DR132">
            <v>19015</v>
          </cell>
          <cell r="DS132">
            <v>0</v>
          </cell>
          <cell r="DT132">
            <v>0</v>
          </cell>
          <cell r="DU132">
            <v>0</v>
          </cell>
          <cell r="ED132" t="str">
            <v>G:\Habitat\OPERATIONNEL HABITAT\02- Operations\Photothèque\image non disponible.jpg</v>
          </cell>
          <cell r="EE132" t="str">
            <v>G:\Habitat\OPERATIONNEL HABITAT\02- Operations\Photothèque\image non disponible.jpg</v>
          </cell>
        </row>
        <row r="133">
          <cell r="A133" t="str">
            <v>JERSEY</v>
          </cell>
          <cell r="B133">
            <v>9503</v>
          </cell>
          <cell r="C133" t="str">
            <v>NORD</v>
          </cell>
          <cell r="D133" t="str">
            <v>Saint-Denis</v>
          </cell>
          <cell r="E133" t="str">
            <v xml:space="preserve">ZAC  PENTE ZANANAS </v>
          </cell>
          <cell r="F133">
            <v>40</v>
          </cell>
          <cell r="G133" t="str">
            <v>LLS</v>
          </cell>
          <cell r="J133" t="str">
            <v>COL</v>
          </cell>
          <cell r="K133" t="str">
            <v>CF</v>
          </cell>
          <cell r="L133" t="str">
            <v>SIDR</v>
          </cell>
          <cell r="N133" t="str">
            <v>JPM</v>
          </cell>
          <cell r="O133" t="str">
            <v>DL</v>
          </cell>
          <cell r="P133" t="str">
            <v>CS</v>
          </cell>
          <cell r="Q133" t="str">
            <v>AR</v>
          </cell>
          <cell r="R133">
            <v>2011</v>
          </cell>
          <cell r="T133" t="str">
            <v>Etude sur zone AUI lancé / En attente de lancement de procédure de création de ZAC</v>
          </cell>
          <cell r="U133" t="str">
            <v>REYNAUD</v>
          </cell>
          <cell r="V133" t="str">
            <v>A - NON LANCE</v>
          </cell>
          <cell r="W133">
            <v>37875</v>
          </cell>
          <cell r="X133" t="str">
            <v/>
          </cell>
          <cell r="Y133" t="str">
            <v>97441403A0447</v>
          </cell>
          <cell r="Z133">
            <v>38107</v>
          </cell>
          <cell r="AA133" t="str">
            <v/>
          </cell>
          <cell r="AB133" t="str">
            <v>validé</v>
          </cell>
          <cell r="AC133" t="str">
            <v/>
          </cell>
          <cell r="AD133">
            <v>38265</v>
          </cell>
          <cell r="AE133">
            <v>38231</v>
          </cell>
          <cell r="AF133" t="str">
            <v/>
          </cell>
          <cell r="AG133">
            <v>38344</v>
          </cell>
          <cell r="AH133">
            <v>38313</v>
          </cell>
          <cell r="AI133" t="str">
            <v/>
          </cell>
          <cell r="AJ133">
            <v>38518</v>
          </cell>
          <cell r="AK133" t="str">
            <v/>
          </cell>
          <cell r="AL133">
            <v>0</v>
          </cell>
          <cell r="AM133" t="str">
            <v/>
          </cell>
          <cell r="AN133">
            <v>17</v>
          </cell>
          <cell r="AO133" t="str">
            <v/>
          </cell>
          <cell r="AP133" t="str">
            <v/>
          </cell>
          <cell r="AQ133" t="str">
            <v/>
          </cell>
          <cell r="AR133">
            <v>2006</v>
          </cell>
          <cell r="AW133">
            <v>12</v>
          </cell>
          <cell r="AX133">
            <v>56</v>
          </cell>
          <cell r="BA133">
            <v>31</v>
          </cell>
          <cell r="BB133">
            <v>72</v>
          </cell>
          <cell r="BE133">
            <v>12</v>
          </cell>
          <cell r="BF133">
            <v>81</v>
          </cell>
          <cell r="BI133">
            <v>6</v>
          </cell>
          <cell r="BJ133">
            <v>92</v>
          </cell>
          <cell r="BK133">
            <v>61</v>
          </cell>
          <cell r="BL133">
            <v>5.2</v>
          </cell>
          <cell r="BM133">
            <v>0.28999999999999998</v>
          </cell>
          <cell r="BN133">
            <v>0.2</v>
          </cell>
          <cell r="BO133" t="str">
            <v>signée</v>
          </cell>
          <cell r="BP133">
            <v>0.8</v>
          </cell>
          <cell r="BQ133" t="str">
            <v>signée</v>
          </cell>
          <cell r="BX133" t="str">
            <v>signé</v>
          </cell>
          <cell r="BY133">
            <v>4263</v>
          </cell>
          <cell r="BZ133">
            <v>5120</v>
          </cell>
          <cell r="CA133">
            <v>4508.21</v>
          </cell>
          <cell r="CE133" t="str">
            <v>ECS ind</v>
          </cell>
          <cell r="CF133">
            <v>188240</v>
          </cell>
          <cell r="CG133">
            <v>56472</v>
          </cell>
          <cell r="CH133">
            <v>84708</v>
          </cell>
          <cell r="CI133">
            <v>47060</v>
          </cell>
          <cell r="CJ133" t="str">
            <v>-</v>
          </cell>
          <cell r="CK133" t="str">
            <v>-</v>
          </cell>
          <cell r="CL133" t="str">
            <v>-</v>
          </cell>
          <cell r="CM133" t="str">
            <v>-</v>
          </cell>
          <cell r="CN133">
            <v>0</v>
          </cell>
          <cell r="CQ133" t="str">
            <v>non</v>
          </cell>
          <cell r="CR133">
            <v>440820</v>
          </cell>
          <cell r="CT133">
            <v>3504672</v>
          </cell>
          <cell r="CX133">
            <v>0</v>
          </cell>
          <cell r="DE133">
            <v>0</v>
          </cell>
          <cell r="DJ133">
            <v>0</v>
          </cell>
          <cell r="DO133">
            <v>0</v>
          </cell>
          <cell r="DQ133">
            <v>122000</v>
          </cell>
          <cell r="DR133">
            <v>45250</v>
          </cell>
          <cell r="DS133">
            <v>0</v>
          </cell>
          <cell r="DT133">
            <v>0</v>
          </cell>
          <cell r="DU133">
            <v>0</v>
          </cell>
          <cell r="ED133" t="str">
            <v>G:\Habitat\OPERATIONNEL HABITAT\02- Operations\Photothèque\image non disponible.jpg</v>
          </cell>
          <cell r="EE133" t="str">
            <v>G:\Habitat\OPERATIONNEL HABITAT\02- Operations\Photothèque\image non disponible.jpg</v>
          </cell>
        </row>
        <row r="134">
          <cell r="A134" t="str">
            <v>JUAN DE NOVA</v>
          </cell>
          <cell r="B134">
            <v>9320</v>
          </cell>
          <cell r="C134" t="str">
            <v>NORD</v>
          </cell>
          <cell r="D134" t="str">
            <v>Saint-Denis</v>
          </cell>
          <cell r="E134" t="str">
            <v>AME ILE EPARSES</v>
          </cell>
          <cell r="F134">
            <v>31</v>
          </cell>
          <cell r="G134" t="str">
            <v>LLS</v>
          </cell>
          <cell r="J134" t="str">
            <v>MV</v>
          </cell>
          <cell r="K134" t="str">
            <v>RF</v>
          </cell>
          <cell r="L134" t="str">
            <v>SIDR</v>
          </cell>
          <cell r="N134" t="str">
            <v>JPM</v>
          </cell>
          <cell r="O134" t="str">
            <v>SV</v>
          </cell>
          <cell r="P134" t="str">
            <v>CC</v>
          </cell>
          <cell r="Q134" t="str">
            <v>HBM</v>
          </cell>
          <cell r="R134">
            <v>2002</v>
          </cell>
          <cell r="T134" t="str">
            <v>visite GPA 4/12/2007</v>
          </cell>
          <cell r="U134" t="str">
            <v>DELCOURT</v>
          </cell>
          <cell r="V134" t="str">
            <v>M - LIVRE/GPA</v>
          </cell>
          <cell r="W134">
            <v>37469</v>
          </cell>
          <cell r="X134" t="str">
            <v>d</v>
          </cell>
          <cell r="Y134" t="str">
            <v>97441102A0341</v>
          </cell>
          <cell r="Z134">
            <v>37575</v>
          </cell>
          <cell r="AA134" t="str">
            <v>o</v>
          </cell>
          <cell r="AB134" t="str">
            <v>validé</v>
          </cell>
          <cell r="AC134" t="str">
            <v/>
          </cell>
          <cell r="AE134">
            <v>37546</v>
          </cell>
          <cell r="AF134" t="str">
            <v>f</v>
          </cell>
          <cell r="AG134" t="str">
            <v>O</v>
          </cell>
          <cell r="AH134">
            <v>37665</v>
          </cell>
          <cell r="AI134" t="str">
            <v>ao</v>
          </cell>
          <cell r="AJ134">
            <v>37837</v>
          </cell>
          <cell r="AK134" t="str">
            <v/>
          </cell>
          <cell r="AL134">
            <v>5.6549184639663332</v>
          </cell>
          <cell r="AM134">
            <v>2003</v>
          </cell>
          <cell r="AN134">
            <v>19</v>
          </cell>
          <cell r="AO134">
            <v>38415</v>
          </cell>
          <cell r="AP134">
            <v>38564</v>
          </cell>
          <cell r="AQ134" t="str">
            <v>li</v>
          </cell>
          <cell r="AR134">
            <v>2005</v>
          </cell>
          <cell r="BK134">
            <v>0</v>
          </cell>
          <cell r="BO134" t="str">
            <v>signée</v>
          </cell>
          <cell r="BQ134" t="str">
            <v>signée</v>
          </cell>
          <cell r="BX134" t="str">
            <v>signé</v>
          </cell>
          <cell r="CA134">
            <v>2560</v>
          </cell>
          <cell r="CE134" t="str">
            <v>ECS ind</v>
          </cell>
          <cell r="CF134">
            <v>76059</v>
          </cell>
          <cell r="CG134">
            <v>22817</v>
          </cell>
          <cell r="CH134">
            <v>34226</v>
          </cell>
          <cell r="CI134">
            <v>19014</v>
          </cell>
          <cell r="CJ134" t="str">
            <v>-</v>
          </cell>
          <cell r="CK134" t="str">
            <v>-</v>
          </cell>
          <cell r="CL134" t="str">
            <v>-</v>
          </cell>
          <cell r="CM134" t="str">
            <v>-</v>
          </cell>
          <cell r="CN134">
            <v>0</v>
          </cell>
          <cell r="CQ134" t="str">
            <v>oui</v>
          </cell>
          <cell r="CT134">
            <v>2003205</v>
          </cell>
          <cell r="CX134">
            <v>2003205</v>
          </cell>
          <cell r="DE134">
            <v>57043</v>
          </cell>
          <cell r="DJ134">
            <v>57043</v>
          </cell>
          <cell r="DO134">
            <v>0</v>
          </cell>
          <cell r="DQ134">
            <v>169000</v>
          </cell>
          <cell r="DR134">
            <v>19015</v>
          </cell>
          <cell r="DS134">
            <v>188015</v>
          </cell>
          <cell r="DT134">
            <v>376030</v>
          </cell>
          <cell r="DU134">
            <v>-1570132</v>
          </cell>
          <cell r="ED134" t="str">
            <v>G:\Habitat\OPERATIONNEL HABITAT\02- Operations\Photothèque\image non disponible.jpg</v>
          </cell>
          <cell r="EE134" t="str">
            <v>G:\Habitat\OPERATIONNEL HABITAT\02- Operations\Photothèque\image non disponible.jpg</v>
          </cell>
        </row>
        <row r="135">
          <cell r="A135" t="str">
            <v>JULES JORON 1(ex GLENAN)</v>
          </cell>
          <cell r="B135">
            <v>9503</v>
          </cell>
          <cell r="C135" t="str">
            <v>SUD</v>
          </cell>
          <cell r="D135" t="str">
            <v>Saint-Louis</v>
          </cell>
          <cell r="E135" t="str">
            <v>ZAC AVENIR</v>
          </cell>
          <cell r="F135">
            <v>14</v>
          </cell>
          <cell r="G135" t="str">
            <v>LLS</v>
          </cell>
          <cell r="J135" t="str">
            <v>MV</v>
          </cell>
          <cell r="K135" t="str">
            <v>CF</v>
          </cell>
          <cell r="L135" t="str">
            <v>SIDR</v>
          </cell>
          <cell r="N135" t="str">
            <v>PC</v>
          </cell>
          <cell r="O135" t="str">
            <v>DL</v>
          </cell>
          <cell r="P135" t="str">
            <v>CS</v>
          </cell>
          <cell r="Q135" t="str">
            <v>HBM</v>
          </cell>
          <cell r="R135">
            <v>2004</v>
          </cell>
          <cell r="T135" t="str">
            <v>visite GPA 4/12/2007</v>
          </cell>
          <cell r="U135" t="str">
            <v>REYNAUD</v>
          </cell>
          <cell r="V135" t="str">
            <v>M - LIVRE/GPA</v>
          </cell>
          <cell r="W135">
            <v>37875</v>
          </cell>
          <cell r="X135" t="str">
            <v>d</v>
          </cell>
          <cell r="Y135" t="str">
            <v>97441403A0447</v>
          </cell>
          <cell r="Z135">
            <v>38107</v>
          </cell>
          <cell r="AA135" t="str">
            <v>o</v>
          </cell>
          <cell r="AB135" t="str">
            <v>validé</v>
          </cell>
          <cell r="AC135" t="str">
            <v/>
          </cell>
          <cell r="AD135">
            <v>38265</v>
          </cell>
          <cell r="AE135">
            <v>38231</v>
          </cell>
          <cell r="AF135" t="str">
            <v>f</v>
          </cell>
          <cell r="AG135">
            <v>38344</v>
          </cell>
          <cell r="AH135">
            <v>38313</v>
          </cell>
          <cell r="AI135" t="str">
            <v>ao</v>
          </cell>
          <cell r="AJ135">
            <v>38518</v>
          </cell>
          <cell r="AK135" t="str">
            <v/>
          </cell>
          <cell r="AL135">
            <v>6.7398737506575488</v>
          </cell>
          <cell r="AM135">
            <v>2005</v>
          </cell>
          <cell r="AN135">
            <v>17</v>
          </cell>
          <cell r="AO135">
            <v>39036</v>
          </cell>
          <cell r="AP135">
            <v>38902</v>
          </cell>
          <cell r="AQ135" t="str">
            <v>li</v>
          </cell>
          <cell r="AR135">
            <v>2006</v>
          </cell>
          <cell r="AW135">
            <v>12</v>
          </cell>
          <cell r="AX135">
            <v>56</v>
          </cell>
          <cell r="BA135">
            <v>31</v>
          </cell>
          <cell r="BB135">
            <v>72</v>
          </cell>
          <cell r="BE135">
            <v>12</v>
          </cell>
          <cell r="BF135">
            <v>81</v>
          </cell>
          <cell r="BI135">
            <v>6</v>
          </cell>
          <cell r="BJ135">
            <v>92</v>
          </cell>
          <cell r="BK135">
            <v>61</v>
          </cell>
          <cell r="BL135">
            <v>5.2</v>
          </cell>
          <cell r="BM135">
            <v>0.28999999999999998</v>
          </cell>
          <cell r="BN135">
            <v>0.2</v>
          </cell>
          <cell r="BO135" t="str">
            <v>signée</v>
          </cell>
          <cell r="BP135">
            <v>0.8</v>
          </cell>
          <cell r="BQ135" t="str">
            <v>signée</v>
          </cell>
          <cell r="BX135" t="str">
            <v>signé</v>
          </cell>
          <cell r="BY135">
            <v>4263</v>
          </cell>
          <cell r="BZ135">
            <v>5120</v>
          </cell>
          <cell r="CA135">
            <v>4508.21</v>
          </cell>
          <cell r="CE135" t="str">
            <v>ECS ind</v>
          </cell>
          <cell r="CF135">
            <v>188240</v>
          </cell>
          <cell r="CG135">
            <v>56472</v>
          </cell>
          <cell r="CH135">
            <v>84708</v>
          </cell>
          <cell r="CI135">
            <v>47060</v>
          </cell>
          <cell r="CJ135" t="str">
            <v>-</v>
          </cell>
          <cell r="CK135" t="str">
            <v>-</v>
          </cell>
          <cell r="CL135" t="str">
            <v>-</v>
          </cell>
          <cell r="CM135" t="str">
            <v>-</v>
          </cell>
          <cell r="CN135">
            <v>0</v>
          </cell>
          <cell r="CQ135" t="str">
            <v>oui</v>
          </cell>
          <cell r="CR135">
            <v>440820</v>
          </cell>
          <cell r="CT135">
            <v>3504672</v>
          </cell>
          <cell r="CX135">
            <v>3945492</v>
          </cell>
          <cell r="DE135">
            <v>141180</v>
          </cell>
          <cell r="DJ135">
            <v>141180</v>
          </cell>
          <cell r="DO135">
            <v>0</v>
          </cell>
          <cell r="DQ135">
            <v>122000</v>
          </cell>
          <cell r="DR135">
            <v>45250</v>
          </cell>
          <cell r="DS135">
            <v>167250</v>
          </cell>
          <cell r="DT135">
            <v>334500</v>
          </cell>
          <cell r="DU135">
            <v>-3469812</v>
          </cell>
          <cell r="ED135" t="str">
            <v>G:\Habitat\OPERATIONNEL HABITAT\02- Operations\Photothèque\images locatifs\Glenan\glenan - st louis 05.jpg</v>
          </cell>
          <cell r="EE135" t="str">
            <v>G:\Habitat\OPERATIONNEL HABITAT\02- Operations\Photothèque\images locatifs\Glenan\Photo GLENANS 035.jpg</v>
          </cell>
        </row>
        <row r="136">
          <cell r="A136" t="str">
            <v>JULES JORON 2</v>
          </cell>
          <cell r="B136">
            <v>9503</v>
          </cell>
          <cell r="C136" t="str">
            <v>SUD</v>
          </cell>
          <cell r="D136" t="str">
            <v>Saint-Louis</v>
          </cell>
          <cell r="E136" t="str">
            <v>ZAC AVENIR</v>
          </cell>
          <cell r="F136">
            <v>32</v>
          </cell>
          <cell r="G136" t="str">
            <v>LLS</v>
          </cell>
          <cell r="J136" t="str">
            <v>MV</v>
          </cell>
          <cell r="K136" t="str">
            <v>CF</v>
          </cell>
          <cell r="L136" t="str">
            <v>SIDR</v>
          </cell>
          <cell r="N136" t="str">
            <v>PC</v>
          </cell>
          <cell r="O136" t="str">
            <v>DL</v>
          </cell>
          <cell r="P136" t="str">
            <v>CS</v>
          </cell>
          <cell r="Q136" t="str">
            <v>HBM</v>
          </cell>
          <cell r="R136">
            <v>2004</v>
          </cell>
          <cell r="T136" t="str">
            <v>visite GPA 4/12/2007</v>
          </cell>
          <cell r="U136" t="str">
            <v>REYNAUD</v>
          </cell>
          <cell r="V136" t="str">
            <v>M - LIVRE/GPA</v>
          </cell>
          <cell r="W136">
            <v>37875</v>
          </cell>
          <cell r="X136" t="str">
            <v>d</v>
          </cell>
          <cell r="Y136" t="str">
            <v>97441403A0447</v>
          </cell>
          <cell r="Z136">
            <v>38107</v>
          </cell>
          <cell r="AA136" t="str">
            <v>o</v>
          </cell>
          <cell r="AB136" t="str">
            <v>validé</v>
          </cell>
          <cell r="AC136" t="str">
            <v/>
          </cell>
          <cell r="AE136">
            <v>38231</v>
          </cell>
          <cell r="AF136" t="str">
            <v>f</v>
          </cell>
          <cell r="AG136">
            <v>38344</v>
          </cell>
          <cell r="AH136">
            <v>38313</v>
          </cell>
          <cell r="AI136" t="str">
            <v>ao</v>
          </cell>
          <cell r="AJ136">
            <v>38518</v>
          </cell>
          <cell r="AK136" t="str">
            <v/>
          </cell>
          <cell r="AL136">
            <v>6.7398737506575488</v>
          </cell>
          <cell r="AM136">
            <v>2005</v>
          </cell>
          <cell r="AN136">
            <v>17</v>
          </cell>
          <cell r="AO136">
            <v>39036</v>
          </cell>
          <cell r="AP136">
            <v>39041</v>
          </cell>
          <cell r="AQ136" t="str">
            <v>li</v>
          </cell>
          <cell r="AR136">
            <v>2006</v>
          </cell>
          <cell r="BK136">
            <v>0</v>
          </cell>
          <cell r="BO136" t="str">
            <v>signée</v>
          </cell>
          <cell r="BQ136" t="str">
            <v>signée</v>
          </cell>
          <cell r="BX136" t="str">
            <v>signé</v>
          </cell>
          <cell r="CE136" t="str">
            <v>ECS ind</v>
          </cell>
          <cell r="CJ136" t="str">
            <v>-</v>
          </cell>
          <cell r="CK136" t="str">
            <v>-</v>
          </cell>
          <cell r="CL136" t="str">
            <v>-</v>
          </cell>
          <cell r="CM136" t="str">
            <v>-</v>
          </cell>
          <cell r="CN136">
            <v>0</v>
          </cell>
          <cell r="CQ136" t="str">
            <v>oui</v>
          </cell>
          <cell r="CX136">
            <v>0</v>
          </cell>
          <cell r="DE136">
            <v>0</v>
          </cell>
          <cell r="DJ136">
            <v>0</v>
          </cell>
          <cell r="DO136">
            <v>0</v>
          </cell>
          <cell r="DS136">
            <v>0</v>
          </cell>
          <cell r="DT136">
            <v>0</v>
          </cell>
          <cell r="DU136">
            <v>0</v>
          </cell>
          <cell r="ED136" t="str">
            <v>G:\Habitat\OPERATIONNEL HABITAT\02- Operations\Photothèque\image non disponible.jpg</v>
          </cell>
          <cell r="EE136" t="str">
            <v>G:\Habitat\OPERATIONNEL HABITAT\02- Operations\Photothèque\image non disponible.jpg</v>
          </cell>
        </row>
        <row r="137">
          <cell r="A137" t="str">
            <v>JULES JORON 3</v>
          </cell>
          <cell r="B137">
            <v>9503</v>
          </cell>
          <cell r="C137" t="str">
            <v>SUD</v>
          </cell>
          <cell r="D137" t="str">
            <v>Saint-Louis</v>
          </cell>
          <cell r="E137" t="str">
            <v>ZAC AVENIR</v>
          </cell>
          <cell r="F137">
            <v>15</v>
          </cell>
          <cell r="G137" t="str">
            <v>LLS</v>
          </cell>
          <cell r="J137" t="str">
            <v>MV</v>
          </cell>
          <cell r="K137" t="str">
            <v>CF</v>
          </cell>
          <cell r="L137" t="str">
            <v>SIDR</v>
          </cell>
          <cell r="N137" t="str">
            <v>PC</v>
          </cell>
          <cell r="O137" t="str">
            <v>DL</v>
          </cell>
          <cell r="P137" t="str">
            <v>CS</v>
          </cell>
          <cell r="Q137" t="str">
            <v>HBM</v>
          </cell>
          <cell r="R137">
            <v>2004</v>
          </cell>
          <cell r="T137" t="str">
            <v>visite GPA 4/12/2007</v>
          </cell>
          <cell r="U137" t="str">
            <v>REYNAUD</v>
          </cell>
          <cell r="V137" t="str">
            <v>M - LIVRE/GPA</v>
          </cell>
          <cell r="W137">
            <v>37875</v>
          </cell>
          <cell r="X137" t="str">
            <v>d</v>
          </cell>
          <cell r="Y137" t="str">
            <v>97441403A0447</v>
          </cell>
          <cell r="Z137">
            <v>38107</v>
          </cell>
          <cell r="AA137" t="str">
            <v>o</v>
          </cell>
          <cell r="AB137" t="str">
            <v>validé</v>
          </cell>
          <cell r="AC137" t="str">
            <v/>
          </cell>
          <cell r="AE137">
            <v>38231</v>
          </cell>
          <cell r="AF137" t="str">
            <v>f</v>
          </cell>
          <cell r="AG137">
            <v>38344</v>
          </cell>
          <cell r="AH137">
            <v>38313</v>
          </cell>
          <cell r="AI137" t="str">
            <v>ao</v>
          </cell>
          <cell r="AJ137">
            <v>38518</v>
          </cell>
          <cell r="AK137" t="str">
            <v/>
          </cell>
          <cell r="AL137">
            <v>6.7398737506575488</v>
          </cell>
          <cell r="AM137">
            <v>2005</v>
          </cell>
          <cell r="AN137">
            <v>17</v>
          </cell>
          <cell r="AO137">
            <v>39036</v>
          </cell>
          <cell r="AP137">
            <v>39057</v>
          </cell>
          <cell r="AQ137" t="str">
            <v>li</v>
          </cell>
          <cell r="AR137">
            <v>2006</v>
          </cell>
          <cell r="BK137">
            <v>0</v>
          </cell>
          <cell r="BO137" t="str">
            <v>signée</v>
          </cell>
          <cell r="BQ137" t="str">
            <v>signée</v>
          </cell>
          <cell r="BX137" t="str">
            <v>signé</v>
          </cell>
          <cell r="CE137" t="str">
            <v>ECS ind</v>
          </cell>
          <cell r="CJ137" t="str">
            <v>-</v>
          </cell>
          <cell r="CK137" t="str">
            <v>-</v>
          </cell>
          <cell r="CL137" t="str">
            <v>-</v>
          </cell>
          <cell r="CM137" t="str">
            <v>-</v>
          </cell>
          <cell r="CN137">
            <v>0</v>
          </cell>
          <cell r="CQ137" t="str">
            <v>oui</v>
          </cell>
          <cell r="CX137">
            <v>0</v>
          </cell>
          <cell r="DE137">
            <v>0</v>
          </cell>
          <cell r="DJ137">
            <v>0</v>
          </cell>
          <cell r="DO137">
            <v>0</v>
          </cell>
          <cell r="DS137">
            <v>0</v>
          </cell>
          <cell r="DT137">
            <v>0</v>
          </cell>
          <cell r="DU137">
            <v>0</v>
          </cell>
          <cell r="ED137" t="str">
            <v>G:\Habitat\OPERATIONNEL HABITAT\02- Operations\Photothèque\image non disponible.jpg</v>
          </cell>
          <cell r="EE137" t="str">
            <v>G:\Habitat\OPERATIONNEL HABITAT\02- Operations\Photothèque\image non disponible.jpg</v>
          </cell>
        </row>
        <row r="138">
          <cell r="A138" t="str">
            <v>LA CAYENNE</v>
          </cell>
          <cell r="B138">
            <v>9445</v>
          </cell>
          <cell r="C138" t="str">
            <v>SUD</v>
          </cell>
          <cell r="D138" t="str">
            <v>Saint-Joseph</v>
          </cell>
          <cell r="E138" t="str">
            <v>AME LA CAYENNE</v>
          </cell>
          <cell r="F138">
            <v>0</v>
          </cell>
          <cell r="G138" t="str">
            <v>OPA</v>
          </cell>
          <cell r="J138" t="str">
            <v>OPA</v>
          </cell>
          <cell r="K138" t="str">
            <v>RF</v>
          </cell>
          <cell r="L138" t="str">
            <v>SIDR</v>
          </cell>
          <cell r="N138" t="str">
            <v>EC</v>
          </cell>
          <cell r="O138" t="str">
            <v>GG</v>
          </cell>
          <cell r="P138" t="str">
            <v>CC</v>
          </cell>
          <cell r="Q138" t="str">
            <v>HBM</v>
          </cell>
          <cell r="R138">
            <v>2002</v>
          </cell>
          <cell r="T138" t="str">
            <v>sub frafu non versée 80% | pb conformité/retroccession</v>
          </cell>
          <cell r="U138" t="str">
            <v>ARCHITECTES DE L'EPERON</v>
          </cell>
          <cell r="V138" t="str">
            <v>M - LIVRE/GPA</v>
          </cell>
          <cell r="X138" t="str">
            <v>d</v>
          </cell>
          <cell r="AA138" t="str">
            <v/>
          </cell>
          <cell r="AB138" t="str">
            <v>validé</v>
          </cell>
          <cell r="AC138" t="str">
            <v/>
          </cell>
          <cell r="AF138" t="str">
            <v/>
          </cell>
          <cell r="AG138" t="str">
            <v>O</v>
          </cell>
          <cell r="AH138">
            <v>37669</v>
          </cell>
          <cell r="AI138" t="str">
            <v>ao</v>
          </cell>
          <cell r="AJ138">
            <v>37792</v>
          </cell>
          <cell r="AK138" t="str">
            <v/>
          </cell>
          <cell r="AL138">
            <v>4.0439242503945287</v>
          </cell>
          <cell r="AM138">
            <v>2003</v>
          </cell>
          <cell r="AN138">
            <v>16</v>
          </cell>
          <cell r="AO138">
            <v>38280</v>
          </cell>
          <cell r="AP138">
            <v>38323</v>
          </cell>
          <cell r="AQ138" t="str">
            <v>li</v>
          </cell>
          <cell r="AR138">
            <v>2004</v>
          </cell>
          <cell r="BO138" t="str">
            <v>signée</v>
          </cell>
          <cell r="BQ138" t="str">
            <v>signée</v>
          </cell>
          <cell r="BX138" t="str">
            <v>signé</v>
          </cell>
          <cell r="CJ138" t="str">
            <v>-</v>
          </cell>
          <cell r="CK138" t="str">
            <v>-</v>
          </cell>
          <cell r="CL138" t="str">
            <v>-</v>
          </cell>
          <cell r="CM138" t="str">
            <v>-</v>
          </cell>
          <cell r="CN138">
            <v>0</v>
          </cell>
          <cell r="CQ138" t="str">
            <v>oui</v>
          </cell>
          <cell r="CX138">
            <v>0</v>
          </cell>
          <cell r="DE138">
            <v>0</v>
          </cell>
          <cell r="DJ138">
            <v>0</v>
          </cell>
          <cell r="DO138">
            <v>0</v>
          </cell>
          <cell r="DS138">
            <v>0</v>
          </cell>
          <cell r="DT138">
            <v>0</v>
          </cell>
          <cell r="DU138">
            <v>0</v>
          </cell>
          <cell r="ED138" t="str">
            <v>G:\Habitat\OPERATIONNEL HABITAT\02- Operations\Photothèque\images locatifs\La cayenne\cayenne - st joseph 01.jpg</v>
          </cell>
          <cell r="EE138" t="str">
            <v>G:\Habitat\OPERATIONNEL HABITAT\02- Operations\Photothèque\image non disponible.jpg</v>
          </cell>
        </row>
        <row r="139">
          <cell r="A139" t="str">
            <v>LA DIGUE</v>
          </cell>
          <cell r="C139" t="str">
            <v>NORD</v>
          </cell>
          <cell r="D139" t="str">
            <v>Saint-Denis</v>
          </cell>
          <cell r="E139" t="str">
            <v>RHI HYACINTHE CARAMBOLES</v>
          </cell>
          <cell r="F139">
            <v>22</v>
          </cell>
          <cell r="G139" t="str">
            <v>LLTS</v>
          </cell>
          <cell r="J139" t="str">
            <v>MIXT</v>
          </cell>
          <cell r="K139" t="str">
            <v>CF</v>
          </cell>
          <cell r="L139" t="str">
            <v>SIDR</v>
          </cell>
          <cell r="N139" t="str">
            <v>JEM</v>
          </cell>
          <cell r="P139" t="str">
            <v>CS</v>
          </cell>
          <cell r="Q139" t="str">
            <v>AR</v>
          </cell>
          <cell r="R139">
            <v>2011</v>
          </cell>
          <cell r="V139" t="str">
            <v>A - NON LANCE</v>
          </cell>
          <cell r="X139" t="str">
            <v/>
          </cell>
          <cell r="AA139" t="str">
            <v/>
          </cell>
          <cell r="AC139" t="str">
            <v/>
          </cell>
          <cell r="AF139" t="str">
            <v/>
          </cell>
          <cell r="AI139" t="str">
            <v/>
          </cell>
          <cell r="AK139" t="str">
            <v/>
          </cell>
          <cell r="AL139">
            <v>0</v>
          </cell>
          <cell r="AM139" t="str">
            <v/>
          </cell>
          <cell r="AQ139" t="str">
            <v/>
          </cell>
          <cell r="CJ139" t="str">
            <v>-</v>
          </cell>
          <cell r="CK139" t="str">
            <v>-</v>
          </cell>
          <cell r="CL139" t="str">
            <v>-</v>
          </cell>
          <cell r="CM139" t="str">
            <v>-</v>
          </cell>
          <cell r="CN139">
            <v>0</v>
          </cell>
          <cell r="CQ139" t="str">
            <v>non</v>
          </cell>
          <cell r="CX139">
            <v>0</v>
          </cell>
          <cell r="DE139">
            <v>0</v>
          </cell>
          <cell r="DJ139">
            <v>0</v>
          </cell>
          <cell r="DO139">
            <v>0</v>
          </cell>
          <cell r="DS139">
            <v>0</v>
          </cell>
          <cell r="DT139">
            <v>0</v>
          </cell>
          <cell r="DU139">
            <v>0</v>
          </cell>
          <cell r="ED139" t="str">
            <v>G:\Habitat\OPERATIONNEL HABITAT\02- Operations\Photothèque\image non disponible.jpg</v>
          </cell>
          <cell r="EE139" t="str">
            <v>G:\Habitat\OPERATIONNEL HABITAT\02- Operations\Photothèque\image non disponible.jpg</v>
          </cell>
          <cell r="EX139" t="str">
            <v>SECTION DS</v>
          </cell>
        </row>
        <row r="140">
          <cell r="A140" t="str">
            <v>LA PLAINE</v>
          </cell>
          <cell r="C140" t="str">
            <v>SUD</v>
          </cell>
          <cell r="D140" t="str">
            <v>Saint-Louis</v>
          </cell>
          <cell r="F140">
            <v>100</v>
          </cell>
          <cell r="G140" t="str">
            <v>LLS</v>
          </cell>
          <cell r="J140" t="str">
            <v>MIXT</v>
          </cell>
          <cell r="K140" t="str">
            <v>CF</v>
          </cell>
          <cell r="L140" t="str">
            <v>SIDR</v>
          </cell>
          <cell r="N140" t="str">
            <v>N.A.</v>
          </cell>
          <cell r="Q140" t="str">
            <v>HBM</v>
          </cell>
          <cell r="R140">
            <v>2012</v>
          </cell>
          <cell r="AA140" t="str">
            <v/>
          </cell>
          <cell r="AC140" t="str">
            <v/>
          </cell>
          <cell r="AI140" t="str">
            <v/>
          </cell>
          <cell r="AK140" t="str">
            <v/>
          </cell>
          <cell r="AL140">
            <v>0</v>
          </cell>
          <cell r="AQ140" t="str">
            <v/>
          </cell>
          <cell r="CJ140" t="str">
            <v>-</v>
          </cell>
          <cell r="CK140" t="str">
            <v>-</v>
          </cell>
          <cell r="CL140" t="str">
            <v>-</v>
          </cell>
          <cell r="CM140" t="str">
            <v>-</v>
          </cell>
          <cell r="CN140">
            <v>0</v>
          </cell>
          <cell r="CQ140" t="str">
            <v>non</v>
          </cell>
          <cell r="CX140">
            <v>0</v>
          </cell>
          <cell r="DE140">
            <v>0</v>
          </cell>
          <cell r="DJ140">
            <v>0</v>
          </cell>
          <cell r="DO140">
            <v>0</v>
          </cell>
          <cell r="DS140">
            <v>0</v>
          </cell>
          <cell r="DT140">
            <v>0</v>
          </cell>
          <cell r="DU140">
            <v>0</v>
          </cell>
          <cell r="ED140" t="str">
            <v>G:\Habitat\OPERATIONNEL HABITAT\02- Operations\Photothèque\image non disponible.jpg</v>
          </cell>
          <cell r="EE140" t="str">
            <v>G:\Habitat\OPERATIONNEL HABITAT\02- Operations\Photothèque\image non disponible.jpg</v>
          </cell>
        </row>
        <row r="141">
          <cell r="A141" t="str">
            <v>LA PLAINE 1</v>
          </cell>
          <cell r="B141">
            <v>9593</v>
          </cell>
          <cell r="C141" t="str">
            <v>SUD</v>
          </cell>
          <cell r="D141" t="str">
            <v>Saint-Louis</v>
          </cell>
          <cell r="E141" t="str">
            <v>STE CLOTILDE</v>
          </cell>
          <cell r="F141">
            <v>100</v>
          </cell>
          <cell r="G141" t="str">
            <v>LLTS</v>
          </cell>
          <cell r="J141" t="str">
            <v>COL</v>
          </cell>
          <cell r="K141" t="str">
            <v>RF</v>
          </cell>
          <cell r="M141" t="str">
            <v>maitrisé</v>
          </cell>
          <cell r="N141" t="str">
            <v>N.A.</v>
          </cell>
          <cell r="O141" t="str">
            <v>SV</v>
          </cell>
          <cell r="P141" t="str">
            <v>CS</v>
          </cell>
          <cell r="R141">
            <v>2011</v>
          </cell>
          <cell r="T141" t="str">
            <v xml:space="preserve"> PC modif parking ok/pas de FT</v>
          </cell>
          <cell r="U141" t="str">
            <v>ARCHITECTES DE L'EPERON</v>
          </cell>
          <cell r="V141" t="str">
            <v>M - LIVRE/GPA</v>
          </cell>
          <cell r="W141">
            <v>38349</v>
          </cell>
          <cell r="X141" t="str">
            <v>d</v>
          </cell>
          <cell r="Y141" t="str">
            <v>97441104A0617</v>
          </cell>
          <cell r="Z141">
            <v>38475</v>
          </cell>
          <cell r="AA141" t="str">
            <v/>
          </cell>
          <cell r="AB141" t="str">
            <v>validé</v>
          </cell>
          <cell r="AC141" t="str">
            <v/>
          </cell>
          <cell r="AD141">
            <v>38624</v>
          </cell>
          <cell r="AE141">
            <v>38505</v>
          </cell>
          <cell r="AF141" t="str">
            <v>f</v>
          </cell>
          <cell r="AG141">
            <v>38722</v>
          </cell>
          <cell r="AH141">
            <v>38614</v>
          </cell>
          <cell r="AI141" t="str">
            <v/>
          </cell>
          <cell r="AJ141">
            <v>38789</v>
          </cell>
          <cell r="AK141" t="str">
            <v/>
          </cell>
          <cell r="AL141">
            <v>0</v>
          </cell>
          <cell r="AM141">
            <v>2006</v>
          </cell>
          <cell r="AN141">
            <v>19</v>
          </cell>
          <cell r="AO141">
            <v>39368</v>
          </cell>
          <cell r="AP141">
            <v>39431</v>
          </cell>
          <cell r="AQ141" t="str">
            <v/>
          </cell>
          <cell r="AR141">
            <v>2007</v>
          </cell>
          <cell r="AW141">
            <v>12</v>
          </cell>
          <cell r="AX141">
            <v>59</v>
          </cell>
          <cell r="BA141">
            <v>18</v>
          </cell>
          <cell r="BB141">
            <v>73</v>
          </cell>
          <cell r="BE141">
            <v>6</v>
          </cell>
          <cell r="BF141">
            <v>81</v>
          </cell>
          <cell r="BI141">
            <v>3</v>
          </cell>
          <cell r="BJ141">
            <v>102</v>
          </cell>
          <cell r="BK141">
            <v>39</v>
          </cell>
          <cell r="BL141">
            <v>4.6900000000000004</v>
          </cell>
          <cell r="BM141">
            <v>0.82</v>
          </cell>
          <cell r="BN141">
            <v>0.2</v>
          </cell>
          <cell r="BO141" t="str">
            <v>signée</v>
          </cell>
          <cell r="BP141">
            <v>0.8</v>
          </cell>
          <cell r="BQ141" t="str">
            <v>signée</v>
          </cell>
          <cell r="BX141" t="str">
            <v>signé</v>
          </cell>
          <cell r="BY141">
            <v>3186</v>
          </cell>
          <cell r="BZ141">
            <v>5775</v>
          </cell>
          <cell r="CA141">
            <v>3461.1</v>
          </cell>
          <cell r="CE141" t="str">
            <v>ECS ind</v>
          </cell>
          <cell r="CF141">
            <v>155400</v>
          </cell>
          <cell r="CG141">
            <v>46620</v>
          </cell>
          <cell r="CH141">
            <v>69930</v>
          </cell>
          <cell r="CI141" t="str">
            <v>C 21/01/2008</v>
          </cell>
          <cell r="CJ141" t="str">
            <v>-</v>
          </cell>
          <cell r="CK141" t="str">
            <v>-</v>
          </cell>
          <cell r="CL141" t="str">
            <v>-</v>
          </cell>
          <cell r="CM141" t="str">
            <v>-</v>
          </cell>
          <cell r="CN141">
            <v>0</v>
          </cell>
          <cell r="CQ141" t="str">
            <v>non</v>
          </cell>
          <cell r="CR141">
            <v>178488</v>
          </cell>
          <cell r="CT141">
            <v>3039899</v>
          </cell>
          <cell r="CX141">
            <v>0</v>
          </cell>
          <cell r="DE141">
            <v>0</v>
          </cell>
          <cell r="DJ141">
            <v>0</v>
          </cell>
          <cell r="DO141">
            <v>0</v>
          </cell>
          <cell r="DQ141">
            <v>100700</v>
          </cell>
          <cell r="DR141">
            <v>34346</v>
          </cell>
          <cell r="DS141">
            <v>0</v>
          </cell>
          <cell r="DT141">
            <v>0</v>
          </cell>
          <cell r="DU141">
            <v>0</v>
          </cell>
          <cell r="ED141" t="str">
            <v>G:\Habitat\OPERATIONNEL HABITAT\02- Operations\Photothèque\image non disponible.jpg</v>
          </cell>
          <cell r="EE141" t="str">
            <v>G:\Habitat\OPERATIONNEL HABITAT\02- Operations\Photothèque\image non disponible.jpg</v>
          </cell>
        </row>
        <row r="142">
          <cell r="A142" t="str">
            <v>LA PLAINE 2</v>
          </cell>
          <cell r="B142">
            <v>9549</v>
          </cell>
          <cell r="C142" t="str">
            <v>SUD</v>
          </cell>
          <cell r="D142" t="str">
            <v>Saint-Louis</v>
          </cell>
          <cell r="E142" t="str">
            <v>ZAC CRESSONIERE</v>
          </cell>
          <cell r="F142">
            <v>200</v>
          </cell>
          <cell r="G142" t="str">
            <v>LLS</v>
          </cell>
          <cell r="J142" t="str">
            <v>MV</v>
          </cell>
          <cell r="K142" t="str">
            <v>CF</v>
          </cell>
          <cell r="L142" t="str">
            <v>SIDR</v>
          </cell>
          <cell r="N142" t="str">
            <v>N.A.</v>
          </cell>
          <cell r="O142" t="str">
            <v>JMO</v>
          </cell>
          <cell r="P142" t="str">
            <v>CC</v>
          </cell>
          <cell r="Q142" t="str">
            <v>SPG</v>
          </cell>
          <cell r="R142">
            <v>2011</v>
          </cell>
          <cell r="T142" t="str">
            <v>VISITE GPA le 27/11/2007</v>
          </cell>
          <cell r="U142" t="str">
            <v>BERTIN LEBEIGLE</v>
          </cell>
          <cell r="V142" t="str">
            <v>M - LIVRE/GPA</v>
          </cell>
          <cell r="W142">
            <v>38181</v>
          </cell>
          <cell r="X142" t="str">
            <v>d</v>
          </cell>
          <cell r="Y142" t="str">
            <v>97440904A0340</v>
          </cell>
          <cell r="Z142">
            <v>38530</v>
          </cell>
          <cell r="AA142" t="str">
            <v/>
          </cell>
          <cell r="AB142" t="str">
            <v>validé</v>
          </cell>
          <cell r="AC142" t="str">
            <v/>
          </cell>
          <cell r="AE142">
            <v>38187</v>
          </cell>
          <cell r="AF142" t="str">
            <v>f</v>
          </cell>
          <cell r="AG142">
            <v>38575</v>
          </cell>
          <cell r="AH142">
            <v>38327</v>
          </cell>
          <cell r="AI142" t="str">
            <v/>
          </cell>
          <cell r="AJ142">
            <v>38574</v>
          </cell>
          <cell r="AK142" t="str">
            <v/>
          </cell>
          <cell r="AL142">
            <v>0</v>
          </cell>
          <cell r="AM142">
            <v>2005</v>
          </cell>
          <cell r="AN142">
            <v>14</v>
          </cell>
          <cell r="AO142">
            <v>39000</v>
          </cell>
          <cell r="AP142">
            <v>38961</v>
          </cell>
          <cell r="AQ142" t="str">
            <v/>
          </cell>
          <cell r="AR142">
            <v>2006</v>
          </cell>
          <cell r="BA142">
            <v>12</v>
          </cell>
          <cell r="BB142">
            <v>66.37</v>
          </cell>
          <cell r="BE142">
            <v>6</v>
          </cell>
          <cell r="BF142">
            <v>76.38</v>
          </cell>
          <cell r="BI142">
            <v>2</v>
          </cell>
          <cell r="BJ142">
            <v>96.07</v>
          </cell>
          <cell r="BK142">
            <v>20</v>
          </cell>
          <cell r="BL142">
            <v>5.23</v>
          </cell>
          <cell r="BM142">
            <v>0.67</v>
          </cell>
          <cell r="BN142">
            <v>0.4</v>
          </cell>
          <cell r="BO142" t="str">
            <v>transmis</v>
          </cell>
          <cell r="BP142">
            <v>0.6</v>
          </cell>
          <cell r="BQ142" t="str">
            <v>signée</v>
          </cell>
          <cell r="BX142" t="str">
            <v>signé</v>
          </cell>
          <cell r="BY142">
            <v>1686</v>
          </cell>
          <cell r="BZ142">
            <v>1722</v>
          </cell>
          <cell r="CA142">
            <v>1453</v>
          </cell>
          <cell r="CE142" t="str">
            <v>ECS ind</v>
          </cell>
          <cell r="CF142">
            <v>49896.14</v>
          </cell>
          <cell r="CG142">
            <v>14968.841999999999</v>
          </cell>
          <cell r="CH142">
            <v>22453.262999999995</v>
          </cell>
          <cell r="CI142">
            <v>12474.035</v>
          </cell>
          <cell r="CJ142" t="str">
            <v>-</v>
          </cell>
          <cell r="CK142" t="str">
            <v>-</v>
          </cell>
          <cell r="CL142" t="str">
            <v>-</v>
          </cell>
          <cell r="CM142" t="str">
            <v>-</v>
          </cell>
          <cell r="CN142">
            <v>0</v>
          </cell>
          <cell r="CQ142" t="str">
            <v>non</v>
          </cell>
          <cell r="CR142">
            <v>150000</v>
          </cell>
          <cell r="CT142">
            <v>1019834</v>
          </cell>
          <cell r="CX142">
            <v>0</v>
          </cell>
          <cell r="DE142">
            <v>0</v>
          </cell>
          <cell r="DJ142">
            <v>0</v>
          </cell>
          <cell r="DO142">
            <v>0</v>
          </cell>
          <cell r="DQ142">
            <v>37100</v>
          </cell>
          <cell r="DR142">
            <v>17500</v>
          </cell>
          <cell r="DS142">
            <v>0</v>
          </cell>
          <cell r="DT142">
            <v>0</v>
          </cell>
          <cell r="DU142">
            <v>0</v>
          </cell>
          <cell r="ED142" t="str">
            <v>G:\Habitat\OPERATIONNEL HABITAT\02- Operations\Photothèque\image non disponible.jpg</v>
          </cell>
          <cell r="EE142" t="str">
            <v>G:\Habitat\OPERATIONNEL HABITAT\02- Operations\Photothèque\image non disponible.jpg</v>
          </cell>
        </row>
        <row r="143">
          <cell r="A143" t="str">
            <v>LACROIX</v>
          </cell>
          <cell r="B143">
            <v>9593</v>
          </cell>
          <cell r="C143" t="str">
            <v>NORD</v>
          </cell>
          <cell r="D143" t="str">
            <v>Saint-Denis</v>
          </cell>
          <cell r="E143" t="str">
            <v>STE CLOTILDE</v>
          </cell>
          <cell r="F143">
            <v>42</v>
          </cell>
          <cell r="G143" t="str">
            <v>LLTS</v>
          </cell>
          <cell r="J143" t="str">
            <v>COL</v>
          </cell>
          <cell r="K143" t="str">
            <v>RF</v>
          </cell>
          <cell r="M143" t="str">
            <v>maitrisé</v>
          </cell>
          <cell r="N143" t="str">
            <v>BZ</v>
          </cell>
          <cell r="O143" t="str">
            <v>SV</v>
          </cell>
          <cell r="P143" t="str">
            <v>CS</v>
          </cell>
          <cell r="R143">
            <v>2005</v>
          </cell>
          <cell r="T143" t="str">
            <v xml:space="preserve"> PC modif parking ok/pas de FT</v>
          </cell>
          <cell r="U143" t="str">
            <v>ARCHITECTES DE L'EPERON</v>
          </cell>
          <cell r="V143" t="str">
            <v>M - LIVRE/GPA</v>
          </cell>
          <cell r="W143">
            <v>38349</v>
          </cell>
          <cell r="X143" t="str">
            <v>d</v>
          </cell>
          <cell r="Y143" t="str">
            <v>97441104A0617</v>
          </cell>
          <cell r="Z143">
            <v>38475</v>
          </cell>
          <cell r="AA143" t="str">
            <v>o</v>
          </cell>
          <cell r="AB143" t="str">
            <v>validé</v>
          </cell>
          <cell r="AC143" t="str">
            <v/>
          </cell>
          <cell r="AD143">
            <v>38624</v>
          </cell>
          <cell r="AE143">
            <v>38505</v>
          </cell>
          <cell r="AF143" t="str">
            <v>f</v>
          </cell>
          <cell r="AG143">
            <v>38722</v>
          </cell>
          <cell r="AH143">
            <v>38614</v>
          </cell>
          <cell r="AI143" t="str">
            <v>ao</v>
          </cell>
          <cell r="AJ143">
            <v>38789</v>
          </cell>
          <cell r="AK143" t="str">
            <v/>
          </cell>
          <cell r="AL143">
            <v>5.7535507627564435</v>
          </cell>
          <cell r="AM143">
            <v>2006</v>
          </cell>
          <cell r="AN143">
            <v>19</v>
          </cell>
          <cell r="AO143">
            <v>39368</v>
          </cell>
          <cell r="AP143">
            <v>39431</v>
          </cell>
          <cell r="AQ143" t="str">
            <v>li</v>
          </cell>
          <cell r="AR143">
            <v>2007</v>
          </cell>
          <cell r="AS143">
            <v>2</v>
          </cell>
          <cell r="AT143">
            <v>29</v>
          </cell>
          <cell r="AW143">
            <v>12</v>
          </cell>
          <cell r="AX143">
            <v>59</v>
          </cell>
          <cell r="BA143">
            <v>18</v>
          </cell>
          <cell r="BB143">
            <v>73</v>
          </cell>
          <cell r="BE143">
            <v>6</v>
          </cell>
          <cell r="BF143">
            <v>81</v>
          </cell>
          <cell r="BI143">
            <v>3</v>
          </cell>
          <cell r="BJ143">
            <v>102</v>
          </cell>
          <cell r="BK143">
            <v>39</v>
          </cell>
          <cell r="BL143">
            <v>4.6900000000000004</v>
          </cell>
          <cell r="BM143">
            <v>0.82</v>
          </cell>
          <cell r="BN143">
            <v>0.2</v>
          </cell>
          <cell r="BO143" t="str">
            <v>signée</v>
          </cell>
          <cell r="BP143">
            <v>0.8</v>
          </cell>
          <cell r="BQ143" t="str">
            <v>signée</v>
          </cell>
          <cell r="BR143" t="str">
            <v>CG</v>
          </cell>
          <cell r="BU143" t="str">
            <v>CAF</v>
          </cell>
          <cell r="BX143" t="str">
            <v>signé</v>
          </cell>
          <cell r="BY143">
            <v>3186</v>
          </cell>
          <cell r="BZ143">
            <v>5775</v>
          </cell>
          <cell r="CA143">
            <v>3461.1</v>
          </cell>
          <cell r="CE143" t="str">
            <v>ECS ind</v>
          </cell>
          <cell r="CF143">
            <v>155400</v>
          </cell>
          <cell r="CG143">
            <v>46620</v>
          </cell>
          <cell r="CH143">
            <v>69930</v>
          </cell>
          <cell r="CI143" t="str">
            <v>C 21/01/2008</v>
          </cell>
          <cell r="CJ143" t="str">
            <v>-</v>
          </cell>
          <cell r="CK143" t="str">
            <v>-</v>
          </cell>
          <cell r="CL143" t="str">
            <v>-</v>
          </cell>
          <cell r="CM143" t="str">
            <v>-</v>
          </cell>
          <cell r="CN143">
            <v>0</v>
          </cell>
          <cell r="CO143" t="str">
            <v>199 undecies A</v>
          </cell>
          <cell r="CQ143" t="str">
            <v>oui</v>
          </cell>
          <cell r="CR143">
            <v>178488</v>
          </cell>
          <cell r="CT143">
            <v>3039899</v>
          </cell>
          <cell r="CX143">
            <v>3218387</v>
          </cell>
          <cell r="DE143">
            <v>116550</v>
          </cell>
          <cell r="DJ143">
            <v>116550</v>
          </cell>
          <cell r="DO143">
            <v>0</v>
          </cell>
          <cell r="DQ143">
            <v>100700</v>
          </cell>
          <cell r="DR143">
            <v>34346</v>
          </cell>
          <cell r="DS143">
            <v>135046</v>
          </cell>
          <cell r="DT143">
            <v>270092</v>
          </cell>
          <cell r="DU143">
            <v>-2831745</v>
          </cell>
          <cell r="ED143" t="str">
            <v>G:\Habitat\OPERATIONNEL HABITAT\02- Operations\Photothèque\images locatifs\Lacroix\La Croix.jpg</v>
          </cell>
          <cell r="EE143" t="str">
            <v>G:\Habitat\OPERATIONNEL HABITAT\02- Operations\Photothèque\images locatifs\Lacroix\La Croix a.jpg</v>
          </cell>
        </row>
        <row r="144">
          <cell r="A144" t="str">
            <v>LATANIER</v>
          </cell>
          <cell r="B144">
            <v>9549</v>
          </cell>
          <cell r="C144" t="str">
            <v>EST</v>
          </cell>
          <cell r="D144" t="str">
            <v>Saint-André</v>
          </cell>
          <cell r="E144" t="str">
            <v>ZAC CRESSONIERE</v>
          </cell>
          <cell r="F144">
            <v>20</v>
          </cell>
          <cell r="G144" t="str">
            <v>LLS</v>
          </cell>
          <cell r="H144" t="str">
            <v>à déposer</v>
          </cell>
          <cell r="I144" t="str">
            <v>30CG5</v>
          </cell>
          <cell r="J144" t="str">
            <v>MV</v>
          </cell>
          <cell r="K144" t="str">
            <v>CF</v>
          </cell>
          <cell r="L144" t="str">
            <v>SIDR</v>
          </cell>
          <cell r="M144" t="str">
            <v>non maitrisé</v>
          </cell>
          <cell r="N144" t="str">
            <v>JPM</v>
          </cell>
          <cell r="O144" t="str">
            <v>JMO</v>
          </cell>
          <cell r="P144" t="str">
            <v>CC</v>
          </cell>
          <cell r="Q144" t="str">
            <v>SPG</v>
          </cell>
          <cell r="R144">
            <v>2004</v>
          </cell>
          <cell r="T144" t="str">
            <v>VISITE GPA le 27/11/2007</v>
          </cell>
          <cell r="U144" t="str">
            <v>BERTIN LEBEIGLE</v>
          </cell>
          <cell r="V144" t="str">
            <v>M - LIVRE/GPA</v>
          </cell>
          <cell r="W144">
            <v>38181</v>
          </cell>
          <cell r="X144" t="str">
            <v>d</v>
          </cell>
          <cell r="Y144" t="str">
            <v>97440904A0340</v>
          </cell>
          <cell r="Z144">
            <v>38530</v>
          </cell>
          <cell r="AA144" t="str">
            <v>o</v>
          </cell>
          <cell r="AB144" t="str">
            <v>validé</v>
          </cell>
          <cell r="AC144" t="str">
            <v/>
          </cell>
          <cell r="AD144" t="str">
            <v>v</v>
          </cell>
          <cell r="AE144">
            <v>38187</v>
          </cell>
          <cell r="AF144" t="str">
            <v>f</v>
          </cell>
          <cell r="AG144">
            <v>38575</v>
          </cell>
          <cell r="AH144">
            <v>38327</v>
          </cell>
          <cell r="AI144" t="str">
            <v>ao</v>
          </cell>
          <cell r="AJ144">
            <v>38574</v>
          </cell>
          <cell r="AK144" t="str">
            <v/>
          </cell>
          <cell r="AL144">
            <v>8.1207259337190951</v>
          </cell>
          <cell r="AM144">
            <v>2005</v>
          </cell>
          <cell r="AN144">
            <v>14</v>
          </cell>
          <cell r="AO144">
            <v>39000</v>
          </cell>
          <cell r="AP144">
            <v>38961</v>
          </cell>
          <cell r="AQ144" t="str">
            <v>li</v>
          </cell>
          <cell r="AR144">
            <v>2006</v>
          </cell>
          <cell r="AW144">
            <v>22</v>
          </cell>
          <cell r="AX144">
            <v>57</v>
          </cell>
          <cell r="BA144">
            <v>12</v>
          </cell>
          <cell r="BB144">
            <v>66.37</v>
          </cell>
          <cell r="BE144">
            <v>6</v>
          </cell>
          <cell r="BF144">
            <v>76.38</v>
          </cell>
          <cell r="BI144">
            <v>2</v>
          </cell>
          <cell r="BJ144">
            <v>96.07</v>
          </cell>
          <cell r="BK144">
            <v>20</v>
          </cell>
          <cell r="BL144">
            <v>5.23</v>
          </cell>
          <cell r="BM144">
            <v>0.67</v>
          </cell>
          <cell r="BN144">
            <v>0.4</v>
          </cell>
          <cell r="BO144" t="str">
            <v>transmis</v>
          </cell>
          <cell r="BP144">
            <v>0.6</v>
          </cell>
          <cell r="BQ144" t="str">
            <v>signée</v>
          </cell>
          <cell r="BX144" t="str">
            <v>signé</v>
          </cell>
          <cell r="BY144">
            <v>1686</v>
          </cell>
          <cell r="BZ144">
            <v>1722</v>
          </cell>
          <cell r="CA144">
            <v>1453</v>
          </cell>
          <cell r="CE144" t="str">
            <v>ECS ind</v>
          </cell>
          <cell r="CF144">
            <v>49896.14</v>
          </cell>
          <cell r="CG144">
            <v>14968.841999999999</v>
          </cell>
          <cell r="CH144">
            <v>22453.262999999995</v>
          </cell>
          <cell r="CI144">
            <v>12474.035</v>
          </cell>
          <cell r="CJ144" t="str">
            <v>-</v>
          </cell>
          <cell r="CK144" t="str">
            <v>-</v>
          </cell>
          <cell r="CL144" t="str">
            <v>-</v>
          </cell>
          <cell r="CM144" t="str">
            <v>-</v>
          </cell>
          <cell r="CN144">
            <v>0</v>
          </cell>
          <cell r="CO144" t="str">
            <v>199 undecies A</v>
          </cell>
          <cell r="CQ144" t="str">
            <v>oui</v>
          </cell>
          <cell r="CR144">
            <v>150000</v>
          </cell>
          <cell r="CT144">
            <v>1019834</v>
          </cell>
          <cell r="CX144">
            <v>1169834</v>
          </cell>
          <cell r="DE144">
            <v>37422.104999999996</v>
          </cell>
          <cell r="DJ144">
            <v>37422.104999999996</v>
          </cell>
          <cell r="DO144">
            <v>0</v>
          </cell>
          <cell r="DQ144">
            <v>37100</v>
          </cell>
          <cell r="DR144">
            <v>17500</v>
          </cell>
          <cell r="DS144">
            <v>54600</v>
          </cell>
          <cell r="DT144">
            <v>109200</v>
          </cell>
          <cell r="DU144">
            <v>-1023211.895</v>
          </cell>
          <cell r="ED144" t="str">
            <v>G:\Habitat\OPERATIONNEL HABITAT\02- Operations\Photothèque\images locatifs\Lataniers\MONTAGE INSERTIONSLATANIERS .jpg</v>
          </cell>
          <cell r="EE144" t="str">
            <v>G:\Habitat\OPERATIONNEL HABITAT\02- Operations\Photothèque\images locatifs\Lataniers\PERS LATANIERS .jpg</v>
          </cell>
        </row>
        <row r="145">
          <cell r="A145" t="str">
            <v>LAVOIR 1</v>
          </cell>
          <cell r="B145">
            <v>9652</v>
          </cell>
          <cell r="C145" t="str">
            <v>SUD</v>
          </cell>
          <cell r="D145" t="str">
            <v>Saint-Pierre</v>
          </cell>
          <cell r="E145" t="str">
            <v>LE LAVOIR CENTRE VILLE</v>
          </cell>
          <cell r="F145">
            <v>32</v>
          </cell>
          <cell r="G145" t="str">
            <v>LLS</v>
          </cell>
          <cell r="J145" t="str">
            <v>COL</v>
          </cell>
          <cell r="K145" t="str">
            <v>ACQ</v>
          </cell>
          <cell r="M145" t="str">
            <v>non maitrisé</v>
          </cell>
          <cell r="N145" t="str">
            <v>PC</v>
          </cell>
          <cell r="O145" t="str">
            <v>CA</v>
          </cell>
          <cell r="P145" t="str">
            <v>CS</v>
          </cell>
          <cell r="R145">
            <v>2006</v>
          </cell>
          <cell r="T145" t="str">
            <v>dossier complexe lié au foncier</v>
          </cell>
          <cell r="U145" t="str">
            <v>M REYNAUD</v>
          </cell>
          <cell r="V145" t="str">
            <v>L - CHANTIER EN COURS</v>
          </cell>
          <cell r="W145">
            <v>38919</v>
          </cell>
          <cell r="X145" t="str">
            <v>d</v>
          </cell>
          <cell r="Y145" t="str">
            <v>97441606A0576</v>
          </cell>
          <cell r="Z145">
            <v>39211</v>
          </cell>
          <cell r="AA145" t="str">
            <v>o</v>
          </cell>
          <cell r="AB145">
            <v>38974</v>
          </cell>
          <cell r="AC145" t="str">
            <v>v</v>
          </cell>
          <cell r="AD145" t="str">
            <v>v</v>
          </cell>
          <cell r="AE145">
            <v>38967</v>
          </cell>
          <cell r="AF145" t="str">
            <v>f</v>
          </cell>
          <cell r="AG145">
            <v>39458</v>
          </cell>
          <cell r="AH145">
            <v>39659</v>
          </cell>
          <cell r="AI145" t="str">
            <v>ao</v>
          </cell>
          <cell r="AJ145">
            <v>39799</v>
          </cell>
          <cell r="AK145" t="str">
            <v>ch</v>
          </cell>
          <cell r="AL145">
            <v>4.6028406102051553</v>
          </cell>
          <cell r="AM145">
            <v>2008</v>
          </cell>
          <cell r="AN145">
            <v>18</v>
          </cell>
          <cell r="AO145">
            <v>40346</v>
          </cell>
          <cell r="AP145">
            <v>40361</v>
          </cell>
          <cell r="AQ145" t="str">
            <v/>
          </cell>
          <cell r="AR145">
            <v>2010</v>
          </cell>
          <cell r="AS145">
            <v>2</v>
          </cell>
          <cell r="AT145">
            <v>29</v>
          </cell>
          <cell r="AW145">
            <v>7</v>
          </cell>
          <cell r="AX145">
            <v>57</v>
          </cell>
          <cell r="BA145">
            <v>8</v>
          </cell>
          <cell r="BB145">
            <v>67</v>
          </cell>
          <cell r="BE145">
            <v>13</v>
          </cell>
          <cell r="BF145">
            <v>77</v>
          </cell>
          <cell r="BI145">
            <v>2</v>
          </cell>
          <cell r="BJ145">
            <v>88</v>
          </cell>
          <cell r="BK145">
            <v>32</v>
          </cell>
          <cell r="BL145">
            <v>6.31</v>
          </cell>
          <cell r="BM145">
            <v>0.31</v>
          </cell>
          <cell r="BO145" t="str">
            <v>à faire</v>
          </cell>
          <cell r="BQ145" t="str">
            <v>à faire</v>
          </cell>
          <cell r="BR145" t="str">
            <v>CG</v>
          </cell>
          <cell r="BU145" t="str">
            <v>CAF</v>
          </cell>
          <cell r="BX145" t="str">
            <v>En attente accord de principe</v>
          </cell>
          <cell r="BY145">
            <v>2131</v>
          </cell>
          <cell r="BZ145">
            <v>2945</v>
          </cell>
          <cell r="CA145">
            <v>2510.11</v>
          </cell>
          <cell r="CE145" t="str">
            <v>ECS ind</v>
          </cell>
          <cell r="CJ145" t="str">
            <v>SCI Saint Pierre</v>
          </cell>
          <cell r="CK145" t="str">
            <v>INFI</v>
          </cell>
          <cell r="CL145">
            <v>39773</v>
          </cell>
          <cell r="CM145" t="str">
            <v>-</v>
          </cell>
          <cell r="CN145">
            <v>0</v>
          </cell>
          <cell r="CO145" t="str">
            <v>199 undecies A</v>
          </cell>
          <cell r="CQ145" t="str">
            <v>non</v>
          </cell>
          <cell r="CX145">
            <v>0</v>
          </cell>
          <cell r="DE145">
            <v>0</v>
          </cell>
          <cell r="DJ145">
            <v>0</v>
          </cell>
          <cell r="DO145">
            <v>0</v>
          </cell>
          <cell r="DQ145">
            <v>143053</v>
          </cell>
          <cell r="DR145">
            <v>30352</v>
          </cell>
          <cell r="DS145">
            <v>173405</v>
          </cell>
          <cell r="DT145">
            <v>346810</v>
          </cell>
          <cell r="DU145">
            <v>346810</v>
          </cell>
          <cell r="ED145" t="str">
            <v>G:\Habitat\OPERATIONNEL HABITAT\02- Operations\Photothèque\images locatifs\LE LAVOIR PRE OP\insertion lavoir.jpg</v>
          </cell>
          <cell r="EE145" t="str">
            <v>G:\Habitat\OPERATIONNEL HABITAT\02- Operations\Photothèque\images locatifs\LE LAVOIR PRE OP\Masse le lavoir copie.jpg</v>
          </cell>
        </row>
        <row r="146">
          <cell r="A146" t="str">
            <v>LAVOIR 2</v>
          </cell>
          <cell r="B146">
            <v>9685</v>
          </cell>
          <cell r="C146" t="str">
            <v>SUD</v>
          </cell>
          <cell r="D146" t="str">
            <v>Saint-Pierre</v>
          </cell>
          <cell r="E146" t="str">
            <v>LE LAVOIR CENTRE VILLE</v>
          </cell>
          <cell r="F146">
            <v>48</v>
          </cell>
          <cell r="G146" t="str">
            <v>LLTS</v>
          </cell>
          <cell r="H146" t="str">
            <v>à déposer</v>
          </cell>
          <cell r="I146" t="str">
            <v>30CG5</v>
          </cell>
          <cell r="J146" t="str">
            <v>COL</v>
          </cell>
          <cell r="K146" t="str">
            <v>ACQ</v>
          </cell>
          <cell r="L146" t="str">
            <v>autres</v>
          </cell>
          <cell r="M146" t="str">
            <v>non maitrisé</v>
          </cell>
          <cell r="N146" t="str">
            <v>PC</v>
          </cell>
          <cell r="O146" t="str">
            <v>CA</v>
          </cell>
          <cell r="P146" t="str">
            <v>CS</v>
          </cell>
          <cell r="R146">
            <v>2006</v>
          </cell>
          <cell r="T146" t="str">
            <v>dossier complexe lié au foncier/surcout vrd/surcharge foncière</v>
          </cell>
          <cell r="U146" t="str">
            <v>M REYNAUD</v>
          </cell>
          <cell r="V146" t="str">
            <v>L - CHANTIER EN COURS</v>
          </cell>
          <cell r="W146">
            <v>38919</v>
          </cell>
          <cell r="X146" t="str">
            <v>d</v>
          </cell>
          <cell r="Y146" t="str">
            <v>97441606A0576</v>
          </cell>
          <cell r="Z146">
            <v>39211</v>
          </cell>
          <cell r="AA146" t="str">
            <v>o</v>
          </cell>
          <cell r="AB146">
            <v>38974</v>
          </cell>
          <cell r="AC146" t="str">
            <v>v</v>
          </cell>
          <cell r="AD146" t="str">
            <v>v</v>
          </cell>
          <cell r="AE146">
            <v>38967</v>
          </cell>
          <cell r="AF146" t="str">
            <v>f</v>
          </cell>
          <cell r="AG146">
            <v>39458</v>
          </cell>
          <cell r="AH146">
            <v>39659</v>
          </cell>
          <cell r="AI146" t="str">
            <v>ao</v>
          </cell>
          <cell r="AJ146">
            <v>39799</v>
          </cell>
          <cell r="AK146" t="str">
            <v>ch</v>
          </cell>
          <cell r="AL146">
            <v>4.6028406102051553</v>
          </cell>
          <cell r="AM146">
            <v>2008</v>
          </cell>
          <cell r="AN146">
            <v>18</v>
          </cell>
          <cell r="AO146">
            <v>40346</v>
          </cell>
          <cell r="AP146">
            <v>40361</v>
          </cell>
          <cell r="AQ146" t="str">
            <v/>
          </cell>
          <cell r="AR146">
            <v>2010</v>
          </cell>
          <cell r="AW146">
            <v>22</v>
          </cell>
          <cell r="AX146">
            <v>57</v>
          </cell>
          <cell r="BA146">
            <v>25</v>
          </cell>
          <cell r="BB146">
            <v>70</v>
          </cell>
          <cell r="BE146">
            <v>1</v>
          </cell>
          <cell r="BF146">
            <v>78</v>
          </cell>
          <cell r="BK146">
            <v>48</v>
          </cell>
          <cell r="BL146">
            <v>4.87</v>
          </cell>
          <cell r="BM146">
            <v>1.1100000000000001</v>
          </cell>
          <cell r="BO146" t="str">
            <v>à faire</v>
          </cell>
          <cell r="BQ146" t="str">
            <v>à faire</v>
          </cell>
          <cell r="BX146" t="str">
            <v>En attente accord de principe</v>
          </cell>
          <cell r="BY146">
            <v>2879</v>
          </cell>
          <cell r="BZ146">
            <v>6206</v>
          </cell>
          <cell r="CA146">
            <v>3588.07</v>
          </cell>
          <cell r="CE146" t="str">
            <v>ECS ind</v>
          </cell>
          <cell r="CJ146" t="str">
            <v>SCI Saint Pierre</v>
          </cell>
          <cell r="CK146" t="str">
            <v>INFI</v>
          </cell>
          <cell r="CL146">
            <v>39773</v>
          </cell>
          <cell r="CM146" t="str">
            <v>-</v>
          </cell>
          <cell r="CN146">
            <v>0</v>
          </cell>
          <cell r="CO146" t="str">
            <v>199 undecies A</v>
          </cell>
          <cell r="CQ146" t="str">
            <v>non</v>
          </cell>
          <cell r="CX146">
            <v>0</v>
          </cell>
          <cell r="DE146">
            <v>0</v>
          </cell>
          <cell r="DJ146">
            <v>0</v>
          </cell>
          <cell r="DO146">
            <v>0</v>
          </cell>
          <cell r="DQ146">
            <v>176556</v>
          </cell>
          <cell r="DR146">
            <v>45528</v>
          </cell>
          <cell r="DS146">
            <v>222084</v>
          </cell>
          <cell r="DT146">
            <v>444168</v>
          </cell>
          <cell r="DU146">
            <v>444168</v>
          </cell>
          <cell r="DV146" t="str">
            <v>OCEANIS</v>
          </cell>
          <cell r="ED146" t="str">
            <v>G:\Habitat\OPERATIONNEL HABITAT\02- Operations\Photothèque\images locatifs\LE LAVOIR PRE OP\insertion lavoir.jpg</v>
          </cell>
          <cell r="EE146" t="str">
            <v>G:\Habitat\OPERATIONNEL HABITAT\02- Operations\Photothèque\images locatifs\LE LAVOIR PRE OP\Masse le lavoir copie.jpg</v>
          </cell>
        </row>
        <row r="147">
          <cell r="A147" t="str">
            <v>LAVOIR 3</v>
          </cell>
          <cell r="B147" t="str">
            <v>xxxx</v>
          </cell>
          <cell r="C147" t="str">
            <v>SUD</v>
          </cell>
          <cell r="D147" t="str">
            <v>Saint-Pierre</v>
          </cell>
          <cell r="E147" t="str">
            <v>LE LAVOIR CENTRE VILLE</v>
          </cell>
          <cell r="F147">
            <v>18</v>
          </cell>
          <cell r="G147" t="str">
            <v>PLS</v>
          </cell>
          <cell r="J147" t="str">
            <v>COL</v>
          </cell>
          <cell r="K147" t="str">
            <v>ACQ</v>
          </cell>
          <cell r="L147" t="str">
            <v>SIDR</v>
          </cell>
          <cell r="M147" t="str">
            <v>non maitrisé</v>
          </cell>
          <cell r="N147" t="str">
            <v>PC</v>
          </cell>
          <cell r="O147" t="str">
            <v>CA</v>
          </cell>
          <cell r="P147" t="str">
            <v>CS</v>
          </cell>
          <cell r="Q147" t="str">
            <v>HBM</v>
          </cell>
          <cell r="R147" t="str">
            <v>non prog</v>
          </cell>
          <cell r="T147" t="str">
            <v>terrain communaux à acquérir</v>
          </cell>
          <cell r="U147" t="str">
            <v>M REYNAUD</v>
          </cell>
          <cell r="V147" t="str">
            <v>D - ESQUISSES</v>
          </cell>
          <cell r="W147">
            <v>37449</v>
          </cell>
          <cell r="X147" t="str">
            <v/>
          </cell>
          <cell r="Z147">
            <v>37552</v>
          </cell>
          <cell r="AA147" t="str">
            <v/>
          </cell>
          <cell r="AB147" t="str">
            <v>validé</v>
          </cell>
          <cell r="AC147" t="str">
            <v/>
          </cell>
          <cell r="AD147" t="str">
            <v>v</v>
          </cell>
          <cell r="AE147">
            <v>37551</v>
          </cell>
          <cell r="AF147" t="str">
            <v/>
          </cell>
          <cell r="AG147">
            <v>37607</v>
          </cell>
          <cell r="AH147">
            <v>37544</v>
          </cell>
          <cell r="AI147" t="str">
            <v/>
          </cell>
          <cell r="AJ147">
            <v>37895</v>
          </cell>
          <cell r="AK147" t="str">
            <v/>
          </cell>
          <cell r="AL147">
            <v>0</v>
          </cell>
          <cell r="AM147" t="str">
            <v/>
          </cell>
          <cell r="AN147">
            <v>13</v>
          </cell>
          <cell r="AO147">
            <v>0</v>
          </cell>
          <cell r="AP147">
            <v>38275</v>
          </cell>
          <cell r="AQ147" t="str">
            <v/>
          </cell>
          <cell r="AR147">
            <v>2004</v>
          </cell>
          <cell r="BK147">
            <v>0</v>
          </cell>
          <cell r="CJ147" t="str">
            <v>-</v>
          </cell>
          <cell r="CK147" t="str">
            <v>-</v>
          </cell>
          <cell r="CL147" t="str">
            <v>-</v>
          </cell>
          <cell r="CM147" t="str">
            <v>-</v>
          </cell>
          <cell r="CN147">
            <v>0</v>
          </cell>
          <cell r="CQ147" t="str">
            <v>non</v>
          </cell>
          <cell r="CX147">
            <v>0</v>
          </cell>
          <cell r="DE147">
            <v>0</v>
          </cell>
          <cell r="DJ147">
            <v>0</v>
          </cell>
          <cell r="DO147">
            <v>0</v>
          </cell>
          <cell r="DS147">
            <v>0</v>
          </cell>
          <cell r="DT147">
            <v>0</v>
          </cell>
          <cell r="DU147">
            <v>0</v>
          </cell>
          <cell r="ED147" t="str">
            <v>G:\Habitat\OPERATIONNEL HABITAT\02- Operations\Photothèque\images locatifs\LE LAVOIR PRE OP\insertion lavoir.jpg</v>
          </cell>
          <cell r="EE147" t="str">
            <v>G:\Habitat\OPERATIONNEL HABITAT\02- Operations\Photothèque\images locatifs\LE LAVOIR PRE OP\Masse le lavoir copie.jpg</v>
          </cell>
        </row>
        <row r="148">
          <cell r="A148" t="str">
            <v>LE FLORENTIN</v>
          </cell>
          <cell r="B148">
            <v>9749</v>
          </cell>
          <cell r="C148" t="str">
            <v>NORD</v>
          </cell>
          <cell r="D148" t="str">
            <v>Saint-Denis</v>
          </cell>
          <cell r="E148" t="str">
            <v>VRD COMMUN /FRAFU 2</v>
          </cell>
          <cell r="F148">
            <v>65</v>
          </cell>
          <cell r="G148" t="str">
            <v>LLS</v>
          </cell>
          <cell r="J148" t="str">
            <v>COL</v>
          </cell>
          <cell r="K148" t="str">
            <v>ACQ</v>
          </cell>
          <cell r="L148" t="str">
            <v>autres</v>
          </cell>
          <cell r="M148" t="str">
            <v>autres</v>
          </cell>
          <cell r="N148" t="str">
            <v>JEM</v>
          </cell>
          <cell r="O148" t="str">
            <v>FG</v>
          </cell>
          <cell r="P148" t="str">
            <v>CS</v>
          </cell>
          <cell r="Q148" t="str">
            <v>EC</v>
          </cell>
          <cell r="R148">
            <v>2008</v>
          </cell>
          <cell r="T148" t="str">
            <v>OCEANIS</v>
          </cell>
          <cell r="U148" t="str">
            <v>Goetz</v>
          </cell>
          <cell r="V148" t="str">
            <v>J - PREPARATION MARCHES</v>
          </cell>
          <cell r="W148">
            <v>37819</v>
          </cell>
          <cell r="X148" t="str">
            <v/>
          </cell>
          <cell r="Z148" t="str">
            <v>obtenu</v>
          </cell>
          <cell r="AA148" t="str">
            <v/>
          </cell>
          <cell r="AB148">
            <v>39708</v>
          </cell>
          <cell r="AC148" t="str">
            <v>v</v>
          </cell>
          <cell r="AD148">
            <v>39710</v>
          </cell>
          <cell r="AE148">
            <v>39715</v>
          </cell>
          <cell r="AF148" t="str">
            <v>f</v>
          </cell>
          <cell r="AG148">
            <v>37978</v>
          </cell>
          <cell r="AH148">
            <v>39598</v>
          </cell>
          <cell r="AI148" t="str">
            <v>ao</v>
          </cell>
          <cell r="AJ148">
            <v>39845</v>
          </cell>
          <cell r="AK148" t="str">
            <v>ch</v>
          </cell>
          <cell r="AL148">
            <v>8.1207259337190951</v>
          </cell>
          <cell r="AM148">
            <v>2009</v>
          </cell>
          <cell r="AN148">
            <v>15</v>
          </cell>
          <cell r="AO148">
            <v>40299</v>
          </cell>
          <cell r="AP148">
            <v>40314</v>
          </cell>
          <cell r="AQ148" t="str">
            <v/>
          </cell>
          <cell r="AR148">
            <v>2010</v>
          </cell>
          <cell r="BX148" t="str">
            <v>En attente accord de principe</v>
          </cell>
          <cell r="CJ148" t="str">
            <v>SNC Florentin</v>
          </cell>
          <cell r="CK148" t="str">
            <v>ALCYOM</v>
          </cell>
          <cell r="CL148" t="str">
            <v>-</v>
          </cell>
          <cell r="CM148" t="str">
            <v>-</v>
          </cell>
          <cell r="CN148">
            <v>0</v>
          </cell>
          <cell r="CQ148" t="str">
            <v>non</v>
          </cell>
          <cell r="CX148">
            <v>0</v>
          </cell>
          <cell r="DE148">
            <v>0</v>
          </cell>
          <cell r="DJ148">
            <v>0</v>
          </cell>
          <cell r="DO148">
            <v>0</v>
          </cell>
          <cell r="DS148">
            <v>0</v>
          </cell>
          <cell r="DT148">
            <v>0</v>
          </cell>
          <cell r="DU148">
            <v>0</v>
          </cell>
          <cell r="DV148" t="str">
            <v>OCEANIS</v>
          </cell>
          <cell r="ED148" t="str">
            <v>G:\Habitat\OPERATIONNEL HABITAT\02- Operations\Photothèque\image non disponible.jpg</v>
          </cell>
          <cell r="EE148" t="str">
            <v>G:\Habitat\OPERATIONNEL HABITAT\02- Operations\Photothèque\image non disponible.jpg</v>
          </cell>
          <cell r="EL148">
            <v>5</v>
          </cell>
          <cell r="EM148">
            <v>100000</v>
          </cell>
          <cell r="EN148" t="str">
            <v>signée</v>
          </cell>
        </row>
        <row r="149">
          <cell r="A149" t="str">
            <v>LES CANOTS</v>
          </cell>
          <cell r="B149">
            <v>9447</v>
          </cell>
          <cell r="C149" t="str">
            <v>SUD</v>
          </cell>
          <cell r="D149" t="str">
            <v>Saint-Joseph</v>
          </cell>
          <cell r="E149" t="str">
            <v>LA CAYENNE</v>
          </cell>
          <cell r="F149">
            <v>20</v>
          </cell>
          <cell r="G149" t="str">
            <v>LESG</v>
          </cell>
          <cell r="J149" t="str">
            <v>IND</v>
          </cell>
          <cell r="K149" t="str">
            <v>CF</v>
          </cell>
          <cell r="L149" t="str">
            <v>SIDR</v>
          </cell>
          <cell r="N149" t="str">
            <v>EC</v>
          </cell>
          <cell r="O149" t="str">
            <v>FG</v>
          </cell>
          <cell r="P149" t="str">
            <v>LV</v>
          </cell>
          <cell r="Q149" t="str">
            <v>HBM</v>
          </cell>
          <cell r="R149">
            <v>2002</v>
          </cell>
          <cell r="U149" t="str">
            <v>MEUNIER</v>
          </cell>
          <cell r="V149" t="str">
            <v>M - LIVRE/GPA</v>
          </cell>
          <cell r="W149">
            <v>37449</v>
          </cell>
          <cell r="X149" t="str">
            <v>d</v>
          </cell>
          <cell r="Z149">
            <v>37552</v>
          </cell>
          <cell r="AA149" t="str">
            <v>o</v>
          </cell>
          <cell r="AB149" t="str">
            <v>validé</v>
          </cell>
          <cell r="AC149" t="str">
            <v/>
          </cell>
          <cell r="AD149" t="str">
            <v/>
          </cell>
          <cell r="AE149">
            <v>37551</v>
          </cell>
          <cell r="AF149" t="str">
            <v>f</v>
          </cell>
          <cell r="AG149">
            <v>37607</v>
          </cell>
          <cell r="AH149">
            <v>37544</v>
          </cell>
          <cell r="AI149" t="str">
            <v>ao</v>
          </cell>
          <cell r="AJ149">
            <v>37895</v>
          </cell>
          <cell r="AK149" t="str">
            <v/>
          </cell>
          <cell r="AL149">
            <v>11.539978958442925</v>
          </cell>
          <cell r="AM149">
            <v>2003</v>
          </cell>
          <cell r="AN149">
            <v>13</v>
          </cell>
          <cell r="AO149">
            <v>38292</v>
          </cell>
          <cell r="AP149">
            <v>38275</v>
          </cell>
          <cell r="AQ149" t="str">
            <v>li</v>
          </cell>
          <cell r="AR149">
            <v>2004</v>
          </cell>
          <cell r="CJ149" t="str">
            <v>-</v>
          </cell>
          <cell r="CK149" t="str">
            <v>-</v>
          </cell>
          <cell r="CL149" t="str">
            <v>-</v>
          </cell>
          <cell r="CM149" t="str">
            <v>-</v>
          </cell>
          <cell r="CN149">
            <v>0</v>
          </cell>
          <cell r="CQ149" t="str">
            <v>oui</v>
          </cell>
          <cell r="CX149">
            <v>0</v>
          </cell>
          <cell r="DE149">
            <v>0</v>
          </cell>
          <cell r="DJ149">
            <v>0</v>
          </cell>
          <cell r="DO149">
            <v>0</v>
          </cell>
          <cell r="DS149">
            <v>0</v>
          </cell>
          <cell r="DT149">
            <v>0</v>
          </cell>
          <cell r="DU149">
            <v>0</v>
          </cell>
          <cell r="ED149" t="str">
            <v>G:\Habitat\OPERATIONNEL HABITAT\02- Operations\Photothèque\image non disponible.jpg</v>
          </cell>
          <cell r="EE149" t="str">
            <v>G:\Habitat\OPERATIONNEL HABITAT\02- Operations\Photothèque\image non disponible.jpg</v>
          </cell>
        </row>
        <row r="150">
          <cell r="A150" t="str">
            <v>LES GERANIUMS</v>
          </cell>
          <cell r="B150">
            <v>9309</v>
          </cell>
          <cell r="C150" t="str">
            <v>OUEST</v>
          </cell>
          <cell r="D150" t="str">
            <v>Trois-Bassins</v>
          </cell>
          <cell r="E150" t="str">
            <v>VRD COMMUN /FRAFU 2</v>
          </cell>
          <cell r="F150">
            <v>12</v>
          </cell>
          <cell r="G150" t="str">
            <v>LESG</v>
          </cell>
          <cell r="J150" t="str">
            <v>IND</v>
          </cell>
          <cell r="K150" t="str">
            <v>CF</v>
          </cell>
          <cell r="L150" t="str">
            <v>SIDR</v>
          </cell>
          <cell r="N150" t="str">
            <v>EC</v>
          </cell>
          <cell r="O150" t="str">
            <v>FG</v>
          </cell>
          <cell r="P150" t="str">
            <v>LV</v>
          </cell>
          <cell r="Q150" t="str">
            <v>EC</v>
          </cell>
          <cell r="R150">
            <v>2003</v>
          </cell>
          <cell r="U150" t="str">
            <v>SOAA MEUNIER</v>
          </cell>
          <cell r="V150" t="str">
            <v>M - LIVRE/GPA</v>
          </cell>
          <cell r="W150">
            <v>37819</v>
          </cell>
          <cell r="X150" t="str">
            <v>d</v>
          </cell>
          <cell r="Z150">
            <v>37935</v>
          </cell>
          <cell r="AA150" t="str">
            <v>o</v>
          </cell>
          <cell r="AB150" t="str">
            <v>validé</v>
          </cell>
          <cell r="AC150" t="str">
            <v/>
          </cell>
          <cell r="AD150" t="str">
            <v/>
          </cell>
          <cell r="AE150">
            <v>37909</v>
          </cell>
          <cell r="AF150" t="str">
            <v>f</v>
          </cell>
          <cell r="AG150">
            <v>37978</v>
          </cell>
          <cell r="AH150">
            <v>38061</v>
          </cell>
          <cell r="AI150" t="str">
            <v>ao</v>
          </cell>
          <cell r="AJ150">
            <v>38139</v>
          </cell>
          <cell r="AK150" t="str">
            <v/>
          </cell>
          <cell r="AL150">
            <v>2.5644397685428721</v>
          </cell>
          <cell r="AM150">
            <v>2004</v>
          </cell>
          <cell r="AN150">
            <v>12</v>
          </cell>
          <cell r="AO150">
            <v>38504</v>
          </cell>
          <cell r="AP150">
            <v>38716</v>
          </cell>
          <cell r="AQ150" t="str">
            <v>li</v>
          </cell>
          <cell r="AR150">
            <v>2005</v>
          </cell>
          <cell r="CJ150" t="str">
            <v>-</v>
          </cell>
          <cell r="CK150" t="str">
            <v>-</v>
          </cell>
          <cell r="CL150" t="str">
            <v>-</v>
          </cell>
          <cell r="CM150" t="str">
            <v>-</v>
          </cell>
          <cell r="CN150">
            <v>0</v>
          </cell>
          <cell r="CQ150" t="str">
            <v>oui</v>
          </cell>
          <cell r="CX150">
            <v>0</v>
          </cell>
          <cell r="DE150">
            <v>0</v>
          </cell>
          <cell r="DJ150">
            <v>0</v>
          </cell>
          <cell r="DO150">
            <v>0</v>
          </cell>
          <cell r="DS150">
            <v>0</v>
          </cell>
          <cell r="DT150">
            <v>0</v>
          </cell>
          <cell r="DU150">
            <v>0</v>
          </cell>
          <cell r="ED150" t="str">
            <v>G:\Habitat\OPERATIONNEL HABITAT\02- Operations\Photothèque\images casevo\Geranium\geraniums (1).jpg</v>
          </cell>
          <cell r="EE150" t="str">
            <v>G:\Habitat\OPERATIONNEL HABITAT\02- Operations\Photothèque\images casevo\Geranium\geraniums (2).jpg</v>
          </cell>
        </row>
        <row r="151">
          <cell r="A151" t="str">
            <v>LES GERANIUMS</v>
          </cell>
          <cell r="B151">
            <v>9450</v>
          </cell>
          <cell r="C151" t="str">
            <v>OUEST</v>
          </cell>
          <cell r="D151" t="str">
            <v>Trois-Bassins</v>
          </cell>
          <cell r="E151" t="str">
            <v>CENTRE VILLE</v>
          </cell>
          <cell r="F151">
            <v>53</v>
          </cell>
          <cell r="G151" t="str">
            <v>LLS</v>
          </cell>
          <cell r="J151" t="str">
            <v>IND</v>
          </cell>
          <cell r="K151" t="str">
            <v>CF</v>
          </cell>
          <cell r="L151" t="str">
            <v>SIDR</v>
          </cell>
          <cell r="N151" t="str">
            <v>BS</v>
          </cell>
          <cell r="O151" t="str">
            <v>OS</v>
          </cell>
          <cell r="P151" t="str">
            <v>LV</v>
          </cell>
          <cell r="Q151" t="str">
            <v>HBM</v>
          </cell>
          <cell r="R151">
            <v>2012</v>
          </cell>
          <cell r="U151" t="str">
            <v>SOAA MEUNIER</v>
          </cell>
          <cell r="V151" t="str">
            <v>A - NON LANCE</v>
          </cell>
          <cell r="W151">
            <v>37449</v>
          </cell>
          <cell r="X151" t="str">
            <v/>
          </cell>
          <cell r="Z151">
            <v>37543</v>
          </cell>
          <cell r="AA151" t="str">
            <v/>
          </cell>
          <cell r="AB151" t="str">
            <v>validé</v>
          </cell>
          <cell r="AC151" t="str">
            <v/>
          </cell>
          <cell r="AD151" t="str">
            <v>v</v>
          </cell>
          <cell r="AE151">
            <v>37554</v>
          </cell>
          <cell r="AF151" t="str">
            <v/>
          </cell>
          <cell r="AG151">
            <v>37613</v>
          </cell>
          <cell r="AH151">
            <v>37726</v>
          </cell>
          <cell r="AI151" t="str">
            <v/>
          </cell>
          <cell r="AJ151">
            <v>37834</v>
          </cell>
          <cell r="AK151" t="str">
            <v/>
          </cell>
          <cell r="AL151">
            <v>0</v>
          </cell>
          <cell r="AM151" t="str">
            <v/>
          </cell>
          <cell r="AN151">
            <v>18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CJ151" t="str">
            <v>-</v>
          </cell>
          <cell r="CK151" t="str">
            <v>-</v>
          </cell>
          <cell r="CL151" t="str">
            <v>-</v>
          </cell>
          <cell r="CM151" t="str">
            <v>-</v>
          </cell>
          <cell r="CN151">
            <v>0</v>
          </cell>
          <cell r="CQ151" t="str">
            <v>non</v>
          </cell>
          <cell r="CX151">
            <v>0</v>
          </cell>
          <cell r="DE151">
            <v>0</v>
          </cell>
          <cell r="DJ151">
            <v>0</v>
          </cell>
          <cell r="DO151">
            <v>0</v>
          </cell>
          <cell r="DS151">
            <v>0</v>
          </cell>
          <cell r="DT151">
            <v>0</v>
          </cell>
          <cell r="DU151">
            <v>0</v>
          </cell>
          <cell r="ED151" t="str">
            <v>G:\Habitat\OPERATIONNEL HABITAT\02- Operations\Photothèque\images casevo\Geranium\geraniums (1).jpg</v>
          </cell>
          <cell r="EE151" t="str">
            <v>G:\Habitat\OPERATIONNEL HABITAT\02- Operations\Photothèque\images casevo\Geranium\geraniums (2).jpg</v>
          </cell>
        </row>
        <row r="152">
          <cell r="A152" t="str">
            <v>LES GLORIEUSES</v>
          </cell>
          <cell r="B152">
            <v>9436</v>
          </cell>
          <cell r="C152" t="str">
            <v>NORD</v>
          </cell>
          <cell r="D152" t="str">
            <v>Saint-Denis</v>
          </cell>
          <cell r="E152" t="str">
            <v>ILES EPARSES</v>
          </cell>
          <cell r="F152">
            <v>8</v>
          </cell>
          <cell r="G152" t="str">
            <v>PTZ</v>
          </cell>
          <cell r="J152" t="str">
            <v>IND</v>
          </cell>
          <cell r="K152" t="str">
            <v>CF</v>
          </cell>
          <cell r="L152" t="str">
            <v>SIDR</v>
          </cell>
          <cell r="M152" t="str">
            <v>maitrisé</v>
          </cell>
          <cell r="N152" t="str">
            <v>EC</v>
          </cell>
          <cell r="O152" t="str">
            <v>FG</v>
          </cell>
          <cell r="P152" t="str">
            <v>LV</v>
          </cell>
          <cell r="Q152" t="str">
            <v>ALG</v>
          </cell>
          <cell r="R152">
            <v>2002</v>
          </cell>
          <cell r="S152">
            <v>0.25</v>
          </cell>
          <cell r="T152" t="str">
            <v xml:space="preserve">retard amenagt </v>
          </cell>
          <cell r="U152" t="str">
            <v>ATELIER GAZUT</v>
          </cell>
          <cell r="V152" t="str">
            <v>M - LIVRE/GPA</v>
          </cell>
          <cell r="W152">
            <v>37609</v>
          </cell>
          <cell r="X152" t="str">
            <v>d</v>
          </cell>
          <cell r="Z152">
            <v>37706</v>
          </cell>
          <cell r="AA152" t="str">
            <v>o</v>
          </cell>
          <cell r="AB152" t="str">
            <v>validé</v>
          </cell>
          <cell r="AC152" t="str">
            <v/>
          </cell>
          <cell r="AD152">
            <v>0</v>
          </cell>
          <cell r="AE152">
            <v>40071</v>
          </cell>
          <cell r="AF152" t="str">
            <v/>
          </cell>
          <cell r="AH152">
            <v>38122</v>
          </cell>
          <cell r="AI152" t="str">
            <v>ao</v>
          </cell>
          <cell r="AJ152">
            <v>38200</v>
          </cell>
          <cell r="AK152" t="str">
            <v/>
          </cell>
          <cell r="AL152">
            <v>2.5644397685428721</v>
          </cell>
          <cell r="AM152">
            <v>2004</v>
          </cell>
          <cell r="AN152">
            <v>12</v>
          </cell>
          <cell r="AO152">
            <v>38565</v>
          </cell>
          <cell r="AP152">
            <v>39187</v>
          </cell>
          <cell r="AQ152" t="str">
            <v>li</v>
          </cell>
          <cell r="AR152">
            <v>2007</v>
          </cell>
          <cell r="CJ152" t="str">
            <v>-</v>
          </cell>
          <cell r="CK152" t="str">
            <v>-</v>
          </cell>
          <cell r="CL152" t="str">
            <v>-</v>
          </cell>
          <cell r="CM152" t="str">
            <v>-</v>
          </cell>
          <cell r="CN152">
            <v>0</v>
          </cell>
          <cell r="CQ152" t="str">
            <v>oui</v>
          </cell>
          <cell r="CX152">
            <v>0</v>
          </cell>
          <cell r="DE152">
            <v>0</v>
          </cell>
          <cell r="DJ152">
            <v>0</v>
          </cell>
          <cell r="DO152">
            <v>0</v>
          </cell>
          <cell r="DS152">
            <v>0</v>
          </cell>
          <cell r="DT152">
            <v>0</v>
          </cell>
          <cell r="DU152">
            <v>0</v>
          </cell>
          <cell r="ED152" t="str">
            <v>G:\Habitat\OPERATIONNEL HABITAT\02- Operations\Photothèque\image non disponible.jpg</v>
          </cell>
          <cell r="EE152" t="str">
            <v>G:\Habitat\OPERATIONNEL HABITAT\02- Operations\Photothèque\image non disponible.jpg</v>
          </cell>
        </row>
        <row r="153">
          <cell r="A153" t="str">
            <v>LES HESPERIDES 1-2-3</v>
          </cell>
          <cell r="B153">
            <v>9450</v>
          </cell>
          <cell r="C153" t="str">
            <v>SUD</v>
          </cell>
          <cell r="D153" t="str">
            <v>Saint-Pierre</v>
          </cell>
          <cell r="E153" t="str">
            <v>RHI BASSE TERRE</v>
          </cell>
          <cell r="F153">
            <v>43</v>
          </cell>
          <cell r="G153" t="str">
            <v>LESG</v>
          </cell>
          <cell r="J153" t="str">
            <v>IND</v>
          </cell>
          <cell r="K153" t="str">
            <v>CF</v>
          </cell>
          <cell r="L153" t="str">
            <v>SIDR</v>
          </cell>
          <cell r="N153" t="str">
            <v>EC</v>
          </cell>
          <cell r="O153" t="str">
            <v>OS</v>
          </cell>
          <cell r="P153" t="str">
            <v>LV</v>
          </cell>
          <cell r="Q153" t="str">
            <v>HBM</v>
          </cell>
          <cell r="R153">
            <v>2002</v>
          </cell>
          <cell r="T153" t="str">
            <v>dépend du relogement sur l'opération COCO</v>
          </cell>
          <cell r="U153" t="str">
            <v>SOAA MEUNIER</v>
          </cell>
          <cell r="V153" t="str">
            <v>M - LIVRE/GPA</v>
          </cell>
          <cell r="W153">
            <v>37449</v>
          </cell>
          <cell r="X153" t="str">
            <v>d</v>
          </cell>
          <cell r="Z153">
            <v>37543</v>
          </cell>
          <cell r="AA153" t="str">
            <v>o</v>
          </cell>
          <cell r="AB153" t="str">
            <v>validé</v>
          </cell>
          <cell r="AC153" t="str">
            <v/>
          </cell>
          <cell r="AD153" t="str">
            <v/>
          </cell>
          <cell r="AE153">
            <v>37554</v>
          </cell>
          <cell r="AF153" t="str">
            <v>f</v>
          </cell>
          <cell r="AG153">
            <v>37613</v>
          </cell>
          <cell r="AH153">
            <v>37726</v>
          </cell>
          <cell r="AI153" t="str">
            <v>ao</v>
          </cell>
          <cell r="AJ153">
            <v>37834</v>
          </cell>
          <cell r="AK153" t="str">
            <v/>
          </cell>
          <cell r="AL153">
            <v>3.550762756443977</v>
          </cell>
          <cell r="AM153">
            <v>2003</v>
          </cell>
          <cell r="AN153">
            <v>18</v>
          </cell>
          <cell r="AO153">
            <v>38384</v>
          </cell>
          <cell r="AP153">
            <v>38701</v>
          </cell>
          <cell r="AQ153" t="str">
            <v>li</v>
          </cell>
          <cell r="AR153">
            <v>2005</v>
          </cell>
          <cell r="CJ153" t="str">
            <v>-</v>
          </cell>
          <cell r="CK153" t="str">
            <v>-</v>
          </cell>
          <cell r="CL153" t="str">
            <v>-</v>
          </cell>
          <cell r="CM153" t="str">
            <v>-</v>
          </cell>
          <cell r="CN153">
            <v>0</v>
          </cell>
          <cell r="CQ153" t="str">
            <v>oui</v>
          </cell>
          <cell r="CX153">
            <v>0</v>
          </cell>
          <cell r="DE153">
            <v>0</v>
          </cell>
          <cell r="DJ153">
            <v>0</v>
          </cell>
          <cell r="DO153">
            <v>0</v>
          </cell>
          <cell r="DS153">
            <v>0</v>
          </cell>
          <cell r="DT153">
            <v>0</v>
          </cell>
          <cell r="DU153">
            <v>0</v>
          </cell>
          <cell r="ED153" t="str">
            <v>G:\Habitat\OPERATIONNEL HABITAT\02- Operations\Photothèque\image non disponible.jpg</v>
          </cell>
          <cell r="EE153" t="str">
            <v>G:\Habitat\OPERATIONNEL HABITAT\02- Operations\Photothèque\image non disponible.jpg</v>
          </cell>
        </row>
        <row r="154">
          <cell r="A154" t="str">
            <v>BADAMIER (exLES HYACINTHE CARMABOLES)</v>
          </cell>
          <cell r="B154">
            <v>9678</v>
          </cell>
          <cell r="C154" t="str">
            <v>NORD</v>
          </cell>
          <cell r="D154" t="str">
            <v>Saint-Denis</v>
          </cell>
          <cell r="E154" t="str">
            <v>RHI HYACINTHE CARAMBOLES</v>
          </cell>
          <cell r="F154">
            <v>13</v>
          </cell>
          <cell r="G154" t="str">
            <v>LESG</v>
          </cell>
          <cell r="J154" t="str">
            <v>IND</v>
          </cell>
          <cell r="K154" t="str">
            <v>CF</v>
          </cell>
          <cell r="L154" t="str">
            <v>SIDR</v>
          </cell>
          <cell r="M154" t="str">
            <v>maitrisé</v>
          </cell>
          <cell r="N154" t="str">
            <v>JEM</v>
          </cell>
          <cell r="O154" t="str">
            <v>PE</v>
          </cell>
          <cell r="P154" t="str">
            <v>LV</v>
          </cell>
          <cell r="Q154" t="str">
            <v>AR</v>
          </cell>
          <cell r="R154">
            <v>2009</v>
          </cell>
          <cell r="S154">
            <v>0.25</v>
          </cell>
          <cell r="T154" t="str">
            <v xml:space="preserve">retard amenagt </v>
          </cell>
          <cell r="U154" t="str">
            <v>GAZUT</v>
          </cell>
          <cell r="V154" t="str">
            <v>D - ESQUISSES</v>
          </cell>
          <cell r="W154">
            <v>39933</v>
          </cell>
          <cell r="X154" t="str">
            <v/>
          </cell>
          <cell r="Y154" t="str">
            <v>97440906a0542</v>
          </cell>
          <cell r="Z154">
            <v>39143</v>
          </cell>
          <cell r="AA154" t="str">
            <v/>
          </cell>
          <cell r="AB154">
            <v>40040</v>
          </cell>
          <cell r="AC154" t="str">
            <v/>
          </cell>
          <cell r="AD154">
            <v>0</v>
          </cell>
          <cell r="AE154">
            <v>40071</v>
          </cell>
          <cell r="AF154" t="str">
            <v/>
          </cell>
          <cell r="AG154">
            <v>39080</v>
          </cell>
          <cell r="AH154">
            <v>40084</v>
          </cell>
          <cell r="AI154" t="str">
            <v/>
          </cell>
          <cell r="AJ154">
            <v>40265</v>
          </cell>
          <cell r="AK154" t="str">
            <v/>
          </cell>
          <cell r="AL154">
            <v>5.9508153603366649</v>
          </cell>
          <cell r="AM154">
            <v>2010</v>
          </cell>
          <cell r="AN154">
            <v>14</v>
          </cell>
          <cell r="AO154">
            <v>40691</v>
          </cell>
          <cell r="AP154">
            <v>40706</v>
          </cell>
          <cell r="AQ154" t="str">
            <v/>
          </cell>
          <cell r="AR154">
            <v>2011</v>
          </cell>
          <cell r="CJ154" t="str">
            <v>-</v>
          </cell>
          <cell r="CK154" t="str">
            <v>-</v>
          </cell>
          <cell r="CL154" t="str">
            <v>-</v>
          </cell>
          <cell r="CM154" t="str">
            <v>-</v>
          </cell>
          <cell r="CN154">
            <v>0</v>
          </cell>
          <cell r="CQ154" t="str">
            <v>non</v>
          </cell>
          <cell r="CX154">
            <v>0</v>
          </cell>
          <cell r="DE154">
            <v>0</v>
          </cell>
          <cell r="DJ154">
            <v>0</v>
          </cell>
          <cell r="DO154">
            <v>0</v>
          </cell>
          <cell r="DS154">
            <v>0</v>
          </cell>
          <cell r="DT154">
            <v>0</v>
          </cell>
          <cell r="DU154">
            <v>0</v>
          </cell>
          <cell r="ED154" t="str">
            <v>G:\Habitat\OPERATIONNEL HABITAT\02- Operations\Photothèque\image non disponible.jpg</v>
          </cell>
          <cell r="EE154" t="str">
            <v>G:\Habitat\OPERATIONNEL HABITAT\02- Operations\Photothèque\image non disponible.jpg</v>
          </cell>
        </row>
        <row r="155">
          <cell r="A155" t="str">
            <v>LONGANIS (LES HYACINTHE CARMABOLES)</v>
          </cell>
          <cell r="C155" t="str">
            <v>NORD</v>
          </cell>
          <cell r="D155" t="str">
            <v>Saint-Denis</v>
          </cell>
          <cell r="E155" t="str">
            <v>RHI HYACINTHE CARAMBOLES</v>
          </cell>
          <cell r="F155">
            <v>16</v>
          </cell>
          <cell r="G155" t="str">
            <v>LESG</v>
          </cell>
          <cell r="J155" t="str">
            <v>IND</v>
          </cell>
          <cell r="K155" t="str">
            <v>CF</v>
          </cell>
          <cell r="L155" t="str">
            <v>SIDR</v>
          </cell>
          <cell r="M155" t="str">
            <v>autres</v>
          </cell>
          <cell r="N155" t="str">
            <v>JEM</v>
          </cell>
          <cell r="P155" t="str">
            <v>CS</v>
          </cell>
          <cell r="Q155" t="str">
            <v>AR</v>
          </cell>
          <cell r="R155">
            <v>2010</v>
          </cell>
          <cell r="T155" t="str">
            <v>dépend du relogement sur l'opération COCO</v>
          </cell>
          <cell r="V155" t="str">
            <v>A - NON LANCE</v>
          </cell>
          <cell r="X155" t="str">
            <v/>
          </cell>
          <cell r="Z155" t="str">
            <v>obtenu</v>
          </cell>
          <cell r="AA155" t="str">
            <v/>
          </cell>
          <cell r="AB155">
            <v>39708</v>
          </cell>
          <cell r="AC155" t="str">
            <v/>
          </cell>
          <cell r="AD155">
            <v>39710</v>
          </cell>
          <cell r="AE155">
            <v>39715</v>
          </cell>
          <cell r="AF155" t="str">
            <v>f</v>
          </cell>
          <cell r="AH155">
            <v>39568</v>
          </cell>
          <cell r="AI155" t="str">
            <v/>
          </cell>
          <cell r="AJ155">
            <v>39751</v>
          </cell>
          <cell r="AK155" t="str">
            <v/>
          </cell>
          <cell r="AL155">
            <v>0</v>
          </cell>
          <cell r="AM155">
            <v>2008</v>
          </cell>
          <cell r="AN155">
            <v>15</v>
          </cell>
          <cell r="AO155" t="str">
            <v/>
          </cell>
          <cell r="AP155" t="str">
            <v/>
          </cell>
          <cell r="AQ155" t="str">
            <v/>
          </cell>
          <cell r="AR155">
            <v>2010</v>
          </cell>
          <cell r="CJ155" t="str">
            <v>-</v>
          </cell>
          <cell r="CK155" t="str">
            <v>-</v>
          </cell>
          <cell r="CL155" t="str">
            <v>-</v>
          </cell>
          <cell r="CM155" t="str">
            <v>-</v>
          </cell>
          <cell r="CN155">
            <v>0</v>
          </cell>
          <cell r="CQ155" t="str">
            <v>non</v>
          </cell>
          <cell r="CX155">
            <v>0</v>
          </cell>
          <cell r="DE155">
            <v>0</v>
          </cell>
          <cell r="DJ155">
            <v>0</v>
          </cell>
          <cell r="DO155">
            <v>0</v>
          </cell>
          <cell r="DS155">
            <v>0</v>
          </cell>
          <cell r="DT155">
            <v>0</v>
          </cell>
          <cell r="DU155">
            <v>0</v>
          </cell>
          <cell r="DV155" t="str">
            <v>OCEANIS</v>
          </cell>
          <cell r="ED155" t="str">
            <v>G:\Habitat\OPERATIONNEL HABITAT\02- Operations\Photothèque\image non disponible.jpg</v>
          </cell>
          <cell r="EE155" t="str">
            <v>G:\Habitat\OPERATIONNEL HABITAT\02- Operations\Photothèque\image non disponible.jpg</v>
          </cell>
        </row>
        <row r="156">
          <cell r="A156" t="str">
            <v>LES JACQUES</v>
          </cell>
          <cell r="B156">
            <v>9678</v>
          </cell>
          <cell r="C156" t="str">
            <v>EST</v>
          </cell>
          <cell r="D156" t="str">
            <v>Saint-André</v>
          </cell>
          <cell r="E156" t="str">
            <v>ZAC CRESSONIERE</v>
          </cell>
          <cell r="F156">
            <v>9</v>
          </cell>
          <cell r="G156" t="str">
            <v>LESG</v>
          </cell>
          <cell r="H156" t="str">
            <v>déposé</v>
          </cell>
          <cell r="I156" t="str">
            <v xml:space="preserve">CG5 </v>
          </cell>
          <cell r="J156" t="str">
            <v>IND</v>
          </cell>
          <cell r="K156" t="str">
            <v>CF</v>
          </cell>
          <cell r="L156" t="str">
            <v>SIDR</v>
          </cell>
          <cell r="M156" t="str">
            <v>maitrisé</v>
          </cell>
          <cell r="N156" t="str">
            <v>BS</v>
          </cell>
          <cell r="O156" t="str">
            <v>OS</v>
          </cell>
          <cell r="P156" t="str">
            <v>LV</v>
          </cell>
          <cell r="Q156" t="str">
            <v>SPG</v>
          </cell>
          <cell r="R156">
            <v>2006</v>
          </cell>
          <cell r="S156">
            <v>0.5</v>
          </cell>
          <cell r="T156" t="str">
            <v>Mur avec riverains</v>
          </cell>
          <cell r="U156" t="str">
            <v>ROUX</v>
          </cell>
          <cell r="V156" t="str">
            <v>L - CHANTIER EN COURS</v>
          </cell>
          <cell r="W156">
            <v>38975</v>
          </cell>
          <cell r="X156" t="str">
            <v>d</v>
          </cell>
          <cell r="Y156" t="str">
            <v>97440906a0542</v>
          </cell>
          <cell r="Z156">
            <v>39143</v>
          </cell>
          <cell r="AA156" t="str">
            <v>o</v>
          </cell>
          <cell r="AB156">
            <v>40040</v>
          </cell>
          <cell r="AC156" t="str">
            <v/>
          </cell>
          <cell r="AD156">
            <v>0</v>
          </cell>
          <cell r="AE156">
            <v>40071</v>
          </cell>
          <cell r="AF156" t="str">
            <v/>
          </cell>
          <cell r="AG156">
            <v>39080</v>
          </cell>
          <cell r="AH156">
            <v>39363</v>
          </cell>
          <cell r="AI156" t="str">
            <v>ao</v>
          </cell>
          <cell r="AJ156">
            <v>39545</v>
          </cell>
          <cell r="AK156" t="str">
            <v>ch</v>
          </cell>
          <cell r="AL156">
            <v>5.9836927932667017</v>
          </cell>
          <cell r="AM156">
            <v>2008</v>
          </cell>
          <cell r="AN156">
            <v>12</v>
          </cell>
          <cell r="AO156">
            <v>39910</v>
          </cell>
          <cell r="AP156">
            <v>39925</v>
          </cell>
          <cell r="AQ156" t="str">
            <v/>
          </cell>
          <cell r="AR156">
            <v>2009</v>
          </cell>
          <cell r="AW156">
            <v>34</v>
          </cell>
          <cell r="AX156">
            <v>57</v>
          </cell>
          <cell r="BA156">
            <v>2</v>
          </cell>
          <cell r="BB156">
            <v>66</v>
          </cell>
          <cell r="BK156">
            <v>36</v>
          </cell>
          <cell r="BL156">
            <v>5.23</v>
          </cell>
          <cell r="BM156">
            <v>1.1100000000000001</v>
          </cell>
          <cell r="BO156" t="str">
            <v>à faire</v>
          </cell>
          <cell r="BQ156" t="str">
            <v>à faire</v>
          </cell>
          <cell r="CE156" t="str">
            <v>ECS ind</v>
          </cell>
          <cell r="CJ156" t="str">
            <v>-</v>
          </cell>
          <cell r="CK156" t="str">
            <v>-</v>
          </cell>
          <cell r="CL156" t="str">
            <v>-</v>
          </cell>
          <cell r="CM156" t="str">
            <v>-</v>
          </cell>
          <cell r="CN156">
            <v>0</v>
          </cell>
          <cell r="CQ156" t="str">
            <v>non</v>
          </cell>
          <cell r="CX156">
            <v>0</v>
          </cell>
          <cell r="DE156">
            <v>0</v>
          </cell>
          <cell r="DJ156">
            <v>0</v>
          </cell>
          <cell r="DO156">
            <v>0</v>
          </cell>
          <cell r="DQ156">
            <v>118102</v>
          </cell>
          <cell r="DR156">
            <v>43200</v>
          </cell>
          <cell r="DS156">
            <v>0</v>
          </cell>
          <cell r="DT156">
            <v>0</v>
          </cell>
          <cell r="DU156">
            <v>0</v>
          </cell>
          <cell r="ED156" t="str">
            <v>G:\Habitat\OPERATIONNEL HABITAT\02- Operations\Photothèque\image non disponible.jpg</v>
          </cell>
          <cell r="EE156" t="str">
            <v>G:\Habitat\OPERATIONNEL HABITAT\02- Operations\Photothèque\image non disponible.jpg</v>
          </cell>
        </row>
        <row r="157">
          <cell r="A157" t="str">
            <v>LES JACQUIERS</v>
          </cell>
          <cell r="B157">
            <v>9451</v>
          </cell>
          <cell r="C157" t="str">
            <v>NORD</v>
          </cell>
          <cell r="D157" t="str">
            <v>Saint-Denis</v>
          </cell>
          <cell r="E157" t="str">
            <v>TERRE SAINTE</v>
          </cell>
          <cell r="F157">
            <v>63</v>
          </cell>
          <cell r="G157" t="str">
            <v>LLS</v>
          </cell>
          <cell r="J157" t="str">
            <v>COL</v>
          </cell>
          <cell r="K157" t="str">
            <v>ACQ</v>
          </cell>
          <cell r="L157" t="str">
            <v>autres</v>
          </cell>
          <cell r="M157" t="str">
            <v>autres</v>
          </cell>
          <cell r="N157" t="str">
            <v>JEM</v>
          </cell>
          <cell r="O157" t="str">
            <v>OS</v>
          </cell>
          <cell r="P157" t="str">
            <v>CS</v>
          </cell>
          <cell r="R157">
            <v>2008</v>
          </cell>
          <cell r="T157" t="str">
            <v>Estimation des domaines inférieur au prix de d'acquisition</v>
          </cell>
          <cell r="U157" t="str">
            <v>SOAA MEUNIER</v>
          </cell>
          <cell r="V157" t="str">
            <v>I - ACT</v>
          </cell>
          <cell r="W157">
            <v>37449</v>
          </cell>
          <cell r="X157" t="str">
            <v/>
          </cell>
          <cell r="Z157" t="str">
            <v>obtenu</v>
          </cell>
          <cell r="AA157" t="str">
            <v/>
          </cell>
          <cell r="AB157">
            <v>39708</v>
          </cell>
          <cell r="AC157" t="str">
            <v>v</v>
          </cell>
          <cell r="AD157">
            <v>39710</v>
          </cell>
          <cell r="AE157">
            <v>39715</v>
          </cell>
          <cell r="AF157" t="str">
            <v>f</v>
          </cell>
          <cell r="AG157">
            <v>37609</v>
          </cell>
          <cell r="AH157">
            <v>39568</v>
          </cell>
          <cell r="AI157" t="str">
            <v>ao</v>
          </cell>
          <cell r="AJ157">
            <v>39751</v>
          </cell>
          <cell r="AK157" t="str">
            <v>ch</v>
          </cell>
          <cell r="AL157">
            <v>6.0165702261967384</v>
          </cell>
          <cell r="AM157">
            <v>2008</v>
          </cell>
          <cell r="AN157">
            <v>15</v>
          </cell>
          <cell r="AO157">
            <v>40208</v>
          </cell>
          <cell r="AP157">
            <v>40223</v>
          </cell>
          <cell r="AQ157" t="str">
            <v/>
          </cell>
          <cell r="AR157">
            <v>2010</v>
          </cell>
          <cell r="CJ157" t="str">
            <v>SNC Jacquier</v>
          </cell>
          <cell r="CK157" t="str">
            <v>ALCYOM</v>
          </cell>
          <cell r="CL157" t="str">
            <v>-</v>
          </cell>
          <cell r="CM157" t="str">
            <v>-</v>
          </cell>
          <cell r="CN157">
            <v>0</v>
          </cell>
          <cell r="CQ157" t="str">
            <v>non</v>
          </cell>
          <cell r="CX157">
            <v>0</v>
          </cell>
          <cell r="DE157">
            <v>0</v>
          </cell>
          <cell r="DJ157">
            <v>0</v>
          </cell>
          <cell r="DO157">
            <v>0</v>
          </cell>
          <cell r="DS157">
            <v>0</v>
          </cell>
          <cell r="DT157">
            <v>0</v>
          </cell>
          <cell r="DU157">
            <v>0</v>
          </cell>
          <cell r="DV157" t="str">
            <v>OCEANIS</v>
          </cell>
          <cell r="ED157" t="str">
            <v>G:\Habitat\OPERATIONNEL HABITAT\02- Operations\Photothèque\image non disponible.jpg</v>
          </cell>
          <cell r="EE157" t="str">
            <v>G:\Habitat\OPERATIONNEL HABITAT\02- Operations\Photothèque\image non disponible.jpg</v>
          </cell>
        </row>
        <row r="158">
          <cell r="A158" t="str">
            <v>LES JARDINS D' AUBINAYex AKIRIBATI 1 (PA)</v>
          </cell>
          <cell r="B158">
            <v>9689</v>
          </cell>
          <cell r="C158" t="str">
            <v>NORD</v>
          </cell>
          <cell r="D158" t="str">
            <v>Saint-Denis</v>
          </cell>
          <cell r="E158" t="str">
            <v>BAS DE LA RIVIERE ARMOS</v>
          </cell>
          <cell r="F158">
            <v>78</v>
          </cell>
          <cell r="G158" t="str">
            <v>LLTS</v>
          </cell>
          <cell r="H158" t="str">
            <v>déposé</v>
          </cell>
          <cell r="I158" t="str">
            <v xml:space="preserve">CG5 </v>
          </cell>
          <cell r="J158" t="str">
            <v>COL</v>
          </cell>
          <cell r="K158" t="str">
            <v>RF</v>
          </cell>
          <cell r="L158" t="str">
            <v>SIDR</v>
          </cell>
          <cell r="M158" t="str">
            <v>sous compromis</v>
          </cell>
          <cell r="N158" t="str">
            <v>JPM</v>
          </cell>
          <cell r="O158" t="str">
            <v>PE</v>
          </cell>
          <cell r="P158" t="str">
            <v>LV</v>
          </cell>
          <cell r="Q158" t="str">
            <v>CP</v>
          </cell>
          <cell r="R158">
            <v>2010</v>
          </cell>
          <cell r="S158">
            <v>0.5</v>
          </cell>
          <cell r="T158" t="str">
            <v>pb maitrise foncière libération lieu de culte - ppri : zone innondable et mouvement de terrain, travaux d'endiguement initialement prévu en 2007, démarrage en 2009 - Falaise à conforter - Initialement une partie prévue pour personnes agées. - projet à pré</v>
          </cell>
          <cell r="U158" t="str">
            <v>DELCOURT</v>
          </cell>
          <cell r="V158" t="str">
            <v>E - APS / PC</v>
          </cell>
          <cell r="W158">
            <v>39870</v>
          </cell>
          <cell r="X158" t="str">
            <v>d</v>
          </cell>
          <cell r="Z158">
            <v>38453</v>
          </cell>
          <cell r="AA158" t="str">
            <v/>
          </cell>
          <cell r="AB158">
            <v>39798</v>
          </cell>
          <cell r="AC158" t="str">
            <v>v</v>
          </cell>
          <cell r="AD158">
            <v>0</v>
          </cell>
          <cell r="AE158">
            <v>40344</v>
          </cell>
          <cell r="AF158" t="str">
            <v/>
          </cell>
          <cell r="AH158">
            <v>40344</v>
          </cell>
          <cell r="AI158" t="str">
            <v/>
          </cell>
          <cell r="AJ158">
            <v>40527</v>
          </cell>
          <cell r="AK158" t="str">
            <v/>
          </cell>
          <cell r="AL158">
            <v>6.0165702261967384</v>
          </cell>
          <cell r="AM158">
            <v>2010</v>
          </cell>
          <cell r="AN158">
            <v>18</v>
          </cell>
          <cell r="AO158">
            <v>41075</v>
          </cell>
          <cell r="AP158">
            <v>41090</v>
          </cell>
          <cell r="AQ158" t="str">
            <v/>
          </cell>
          <cell r="AR158">
            <v>2012</v>
          </cell>
          <cell r="AW158">
            <v>34</v>
          </cell>
          <cell r="AX158">
            <v>57</v>
          </cell>
          <cell r="BA158">
            <v>2</v>
          </cell>
          <cell r="BB158">
            <v>66</v>
          </cell>
          <cell r="BK158">
            <v>36</v>
          </cell>
          <cell r="BL158">
            <v>5.23</v>
          </cell>
          <cell r="BM158">
            <v>1.1100000000000001</v>
          </cell>
          <cell r="BO158" t="str">
            <v>à faire</v>
          </cell>
          <cell r="BQ158" t="str">
            <v>à faire</v>
          </cell>
          <cell r="CE158" t="str">
            <v>ECS ind</v>
          </cell>
          <cell r="CJ158" t="str">
            <v>-</v>
          </cell>
          <cell r="CK158" t="str">
            <v>-</v>
          </cell>
          <cell r="CL158" t="str">
            <v>-</v>
          </cell>
          <cell r="CM158" t="str">
            <v>-</v>
          </cell>
          <cell r="CN158">
            <v>0</v>
          </cell>
          <cell r="CQ158" t="str">
            <v>non</v>
          </cell>
          <cell r="CX158">
            <v>0</v>
          </cell>
          <cell r="DE158">
            <v>0</v>
          </cell>
          <cell r="DJ158">
            <v>0</v>
          </cell>
          <cell r="DO158">
            <v>0</v>
          </cell>
          <cell r="DQ158">
            <v>118102</v>
          </cell>
          <cell r="DR158">
            <v>43200</v>
          </cell>
          <cell r="DS158">
            <v>161302</v>
          </cell>
          <cell r="DT158">
            <v>322604</v>
          </cell>
          <cell r="DU158">
            <v>322604</v>
          </cell>
          <cell r="ED158" t="str">
            <v>G:\Habitat\OPERATIONNEL HABITAT\02- Operations\Photothèque\image non disponible.jpg</v>
          </cell>
          <cell r="EE158" t="str">
            <v>G:\Habitat\OPERATIONNEL HABITAT\02- Operations\Photothèque\image non disponible.jpg</v>
          </cell>
          <cell r="EX158" t="str">
            <v>AH 136</v>
          </cell>
        </row>
        <row r="159">
          <cell r="A159" t="str">
            <v>LES LAVES 1&amp;2</v>
          </cell>
          <cell r="B159">
            <v>9451</v>
          </cell>
          <cell r="C159" t="str">
            <v>SUD</v>
          </cell>
          <cell r="D159" t="str">
            <v>Saint-Pierre</v>
          </cell>
          <cell r="E159" t="str">
            <v>TERRE SAINTE</v>
          </cell>
          <cell r="F159">
            <v>16</v>
          </cell>
          <cell r="G159" t="str">
            <v>LESG</v>
          </cell>
          <cell r="J159" t="str">
            <v>IND</v>
          </cell>
          <cell r="K159" t="str">
            <v>RF</v>
          </cell>
          <cell r="L159" t="str">
            <v>SIDR</v>
          </cell>
          <cell r="N159" t="str">
            <v>EC</v>
          </cell>
          <cell r="O159" t="str">
            <v>OS</v>
          </cell>
          <cell r="P159" t="str">
            <v>LV</v>
          </cell>
          <cell r="Q159" t="str">
            <v>SPG</v>
          </cell>
          <cell r="R159">
            <v>2002</v>
          </cell>
          <cell r="T159" t="str">
            <v>Problématique de la livraison de la station d'épuration (livraison annoncée octobre 2011) alors que l'opération doit se terminer fin 2010 !!!!</v>
          </cell>
          <cell r="U159" t="str">
            <v>SOAA MEUNIER</v>
          </cell>
          <cell r="V159" t="str">
            <v>M - LIVRE/GPA</v>
          </cell>
          <cell r="W159">
            <v>37449</v>
          </cell>
          <cell r="X159" t="str">
            <v>d</v>
          </cell>
          <cell r="Y159" t="str">
            <v>97440903A0469</v>
          </cell>
          <cell r="Z159">
            <v>37543</v>
          </cell>
          <cell r="AA159" t="str">
            <v>o</v>
          </cell>
          <cell r="AB159" t="str">
            <v>validé</v>
          </cell>
          <cell r="AC159" t="str">
            <v/>
          </cell>
          <cell r="AD159" t="str">
            <v/>
          </cell>
          <cell r="AE159">
            <v>37554</v>
          </cell>
          <cell r="AF159" t="str">
            <v>f</v>
          </cell>
          <cell r="AG159">
            <v>37609</v>
          </cell>
          <cell r="AH159">
            <v>37575</v>
          </cell>
          <cell r="AI159" t="str">
            <v>ao</v>
          </cell>
          <cell r="AJ159">
            <v>37681</v>
          </cell>
          <cell r="AK159" t="str">
            <v/>
          </cell>
          <cell r="AL159">
            <v>3.485007890583903</v>
          </cell>
          <cell r="AM159">
            <v>2003</v>
          </cell>
          <cell r="AN159">
            <v>12</v>
          </cell>
          <cell r="AO159">
            <v>38047</v>
          </cell>
          <cell r="AP159">
            <v>38336</v>
          </cell>
          <cell r="AQ159" t="str">
            <v>li</v>
          </cell>
          <cell r="AR159">
            <v>2004</v>
          </cell>
          <cell r="BN159">
            <v>0.2</v>
          </cell>
          <cell r="BO159" t="str">
            <v>signée</v>
          </cell>
          <cell r="BP159">
            <v>0.8</v>
          </cell>
          <cell r="BQ159" t="str">
            <v>signée</v>
          </cell>
          <cell r="BX159" t="str">
            <v>signé</v>
          </cell>
          <cell r="CE159" t="str">
            <v>ECS ind</v>
          </cell>
          <cell r="CJ159" t="str">
            <v>-</v>
          </cell>
          <cell r="CK159" t="str">
            <v>-</v>
          </cell>
          <cell r="CL159" t="str">
            <v>-</v>
          </cell>
          <cell r="CM159" t="str">
            <v>-</v>
          </cell>
          <cell r="CN159">
            <v>0</v>
          </cell>
          <cell r="CQ159" t="str">
            <v>oui</v>
          </cell>
          <cell r="CX159">
            <v>0</v>
          </cell>
          <cell r="DE159">
            <v>0</v>
          </cell>
          <cell r="DJ159">
            <v>0</v>
          </cell>
          <cell r="DO159">
            <v>0</v>
          </cell>
          <cell r="DS159">
            <v>0</v>
          </cell>
          <cell r="DT159">
            <v>0</v>
          </cell>
          <cell r="DU159">
            <v>0</v>
          </cell>
          <cell r="ED159" t="str">
            <v>G:\Habitat\OPERATIONNEL HABITAT\02- Operations\Photothèque\image non disponible.jpg</v>
          </cell>
          <cell r="EE159" t="str">
            <v>G:\Habitat\OPERATIONNEL HABITAT\02- Operations\Photothèque\image non disponible.jpg</v>
          </cell>
        </row>
        <row r="160">
          <cell r="A160" t="str">
            <v>LES MAISONS DE L'OCEAN</v>
          </cell>
          <cell r="B160">
            <v>9492</v>
          </cell>
          <cell r="C160" t="str">
            <v>OUEST</v>
          </cell>
          <cell r="D160" t="str">
            <v>Port</v>
          </cell>
          <cell r="E160" t="str">
            <v>PRU LE PORT</v>
          </cell>
          <cell r="F160">
            <v>18</v>
          </cell>
          <cell r="G160" t="str">
            <v>PTZ</v>
          </cell>
          <cell r="J160" t="str">
            <v>MV</v>
          </cell>
          <cell r="K160" t="str">
            <v>CF</v>
          </cell>
          <cell r="L160" t="str">
            <v>SIDR</v>
          </cell>
          <cell r="M160" t="str">
            <v>maitrisé</v>
          </cell>
          <cell r="N160" t="str">
            <v>JEM</v>
          </cell>
          <cell r="O160" t="str">
            <v>FG</v>
          </cell>
          <cell r="P160" t="str">
            <v>LV</v>
          </cell>
          <cell r="Q160" t="str">
            <v>CP</v>
          </cell>
          <cell r="R160">
            <v>2003</v>
          </cell>
          <cell r="T160" t="str">
            <v>Validationliste 7 attributaires par la ville</v>
          </cell>
          <cell r="U160" t="str">
            <v>ATELIER GAZUT</v>
          </cell>
          <cell r="V160" t="str">
            <v>L - CHANTIER EN COURS</v>
          </cell>
          <cell r="W160">
            <v>38118</v>
          </cell>
          <cell r="X160" t="str">
            <v>d</v>
          </cell>
          <cell r="Y160" t="str">
            <v>97440903A0469</v>
          </cell>
          <cell r="Z160">
            <v>38453</v>
          </cell>
          <cell r="AA160" t="str">
            <v>o</v>
          </cell>
          <cell r="AB160" t="str">
            <v>validé</v>
          </cell>
          <cell r="AC160" t="str">
            <v/>
          </cell>
          <cell r="AD160">
            <v>0</v>
          </cell>
          <cell r="AE160">
            <v>37907</v>
          </cell>
          <cell r="AF160" t="str">
            <v/>
          </cell>
          <cell r="AG160" t="str">
            <v>O</v>
          </cell>
          <cell r="AH160">
            <v>38944</v>
          </cell>
          <cell r="AI160" t="str">
            <v>ao</v>
          </cell>
          <cell r="AJ160">
            <v>39377</v>
          </cell>
          <cell r="AK160" t="str">
            <v/>
          </cell>
          <cell r="AL160">
            <v>14.235928458705944</v>
          </cell>
          <cell r="AM160">
            <v>2007</v>
          </cell>
          <cell r="AN160">
            <v>15</v>
          </cell>
          <cell r="AO160">
            <v>39835</v>
          </cell>
          <cell r="AP160">
            <v>39850</v>
          </cell>
          <cell r="AQ160" t="str">
            <v>li</v>
          </cell>
          <cell r="AR160">
            <v>2009</v>
          </cell>
          <cell r="BN160">
            <v>0.2</v>
          </cell>
          <cell r="BO160" t="str">
            <v>signée</v>
          </cell>
          <cell r="BP160">
            <v>0.8</v>
          </cell>
          <cell r="BQ160" t="str">
            <v>signée</v>
          </cell>
          <cell r="BX160" t="str">
            <v>signé</v>
          </cell>
          <cell r="CA160">
            <v>3556.3</v>
          </cell>
          <cell r="CE160" t="str">
            <v>ECS ind</v>
          </cell>
          <cell r="CF160">
            <v>117055</v>
          </cell>
          <cell r="CG160">
            <v>35116</v>
          </cell>
          <cell r="CH160">
            <v>52675</v>
          </cell>
          <cell r="CI160">
            <v>29263</v>
          </cell>
          <cell r="CJ160" t="str">
            <v>-</v>
          </cell>
          <cell r="CK160" t="str">
            <v>-</v>
          </cell>
          <cell r="CL160" t="str">
            <v>-</v>
          </cell>
          <cell r="CM160" t="str">
            <v>-</v>
          </cell>
          <cell r="CN160">
            <v>0</v>
          </cell>
          <cell r="CQ160" t="str">
            <v>non</v>
          </cell>
          <cell r="CR160">
            <v>284092</v>
          </cell>
          <cell r="CT160">
            <v>2568383</v>
          </cell>
          <cell r="CX160">
            <v>0</v>
          </cell>
          <cell r="DE160">
            <v>0</v>
          </cell>
          <cell r="DJ160">
            <v>0</v>
          </cell>
          <cell r="DO160">
            <v>0</v>
          </cell>
          <cell r="DQ160">
            <v>95088</v>
          </cell>
          <cell r="DR160">
            <v>39375</v>
          </cell>
          <cell r="DS160">
            <v>0</v>
          </cell>
          <cell r="DT160">
            <v>0</v>
          </cell>
          <cell r="DU160">
            <v>0</v>
          </cell>
          <cell r="ED160" t="str">
            <v>G:\Habitat\OPERATIONNEL HABITAT\02- Operations\Photothèque\image non disponible.jpg</v>
          </cell>
          <cell r="EE160" t="str">
            <v>G:\Habitat\OPERATIONNEL HABITAT\02- Operations\Photothèque\image non disponible.jpg</v>
          </cell>
        </row>
        <row r="161">
          <cell r="A161" t="str">
            <v>LES MANGOUSTANS - TR 3</v>
          </cell>
          <cell r="B161">
            <v>9489</v>
          </cell>
          <cell r="C161" t="str">
            <v>EST</v>
          </cell>
          <cell r="D161" t="str">
            <v>Saint-André</v>
          </cell>
          <cell r="E161" t="str">
            <v>ZAC CRESSONIERE</v>
          </cell>
          <cell r="F161">
            <v>15</v>
          </cell>
          <cell r="G161" t="str">
            <v>LLS</v>
          </cell>
          <cell r="J161" t="str">
            <v>MV</v>
          </cell>
          <cell r="K161" t="str">
            <v>CF</v>
          </cell>
          <cell r="L161" t="str">
            <v>SIDR</v>
          </cell>
          <cell r="N161" t="str">
            <v>JPM</v>
          </cell>
          <cell r="O161" t="str">
            <v>DL</v>
          </cell>
          <cell r="P161" t="str">
            <v>CC</v>
          </cell>
          <cell r="Q161" t="str">
            <v>SPG</v>
          </cell>
          <cell r="R161">
            <v>2003</v>
          </cell>
          <cell r="T161" t="str">
            <v>conformitée/solde sub lbu/solaire</v>
          </cell>
          <cell r="U161" t="str">
            <v>BOCQUEE</v>
          </cell>
          <cell r="V161" t="str">
            <v>M - LIVRE/GPA</v>
          </cell>
          <cell r="W161">
            <v>37904</v>
          </cell>
          <cell r="X161" t="str">
            <v>d</v>
          </cell>
          <cell r="Y161" t="str">
            <v>97440903A0469</v>
          </cell>
          <cell r="Z161">
            <v>38001</v>
          </cell>
          <cell r="AA161" t="str">
            <v>o</v>
          </cell>
          <cell r="AB161" t="str">
            <v>validé</v>
          </cell>
          <cell r="AC161" t="str">
            <v/>
          </cell>
          <cell r="AD161">
            <v>0</v>
          </cell>
          <cell r="AE161">
            <v>37907</v>
          </cell>
          <cell r="AF161" t="str">
            <v>f</v>
          </cell>
          <cell r="AG161" t="str">
            <v>O</v>
          </cell>
          <cell r="AH161">
            <v>38085</v>
          </cell>
          <cell r="AI161" t="str">
            <v>ao</v>
          </cell>
          <cell r="AJ161">
            <v>38261</v>
          </cell>
          <cell r="AK161" t="str">
            <v/>
          </cell>
          <cell r="AL161">
            <v>5.7864281956864811</v>
          </cell>
          <cell r="AM161">
            <v>2004</v>
          </cell>
          <cell r="AN161">
            <v>20</v>
          </cell>
          <cell r="AO161">
            <v>38869</v>
          </cell>
          <cell r="AP161">
            <v>38898</v>
          </cell>
          <cell r="AQ161" t="str">
            <v>li</v>
          </cell>
          <cell r="AR161">
            <v>2006</v>
          </cell>
          <cell r="BN161">
            <v>0.2</v>
          </cell>
          <cell r="BO161" t="str">
            <v>signée</v>
          </cell>
          <cell r="BP161">
            <v>0.8</v>
          </cell>
          <cell r="BQ161" t="str">
            <v>signée</v>
          </cell>
          <cell r="BX161" t="str">
            <v>signé</v>
          </cell>
          <cell r="CE161" t="str">
            <v>ECS ind</v>
          </cell>
          <cell r="CJ161" t="str">
            <v>-</v>
          </cell>
          <cell r="CK161" t="str">
            <v>-</v>
          </cell>
          <cell r="CL161" t="str">
            <v>-</v>
          </cell>
          <cell r="CM161" t="str">
            <v>-</v>
          </cell>
          <cell r="CN161">
            <v>0</v>
          </cell>
          <cell r="CQ161" t="str">
            <v>oui</v>
          </cell>
          <cell r="CX161">
            <v>0</v>
          </cell>
          <cell r="DE161">
            <v>0</v>
          </cell>
          <cell r="DJ161">
            <v>0</v>
          </cell>
          <cell r="DO161">
            <v>0</v>
          </cell>
          <cell r="DS161">
            <v>0</v>
          </cell>
          <cell r="DT161">
            <v>0</v>
          </cell>
          <cell r="DU161">
            <v>0</v>
          </cell>
          <cell r="ED161" t="str">
            <v>G:\Habitat\OPERATIONNEL HABITAT\02- Operations\Photothèque\image non disponible.jpg</v>
          </cell>
          <cell r="EE161" t="str">
            <v>G:\Habitat\OPERATIONNEL HABITAT\02- Operations\Photothèque\image non disponible.jpg</v>
          </cell>
        </row>
        <row r="162">
          <cell r="A162" t="str">
            <v>LES MANGOUSTANS - TR1&amp;2</v>
          </cell>
          <cell r="B162">
            <v>9489</v>
          </cell>
          <cell r="C162" t="str">
            <v>EST</v>
          </cell>
          <cell r="D162" t="str">
            <v>Saint-André</v>
          </cell>
          <cell r="E162" t="str">
            <v>ZAC CRESSONIERE</v>
          </cell>
          <cell r="F162">
            <v>32</v>
          </cell>
          <cell r="G162" t="str">
            <v>LLS</v>
          </cell>
          <cell r="J162" t="str">
            <v>MV</v>
          </cell>
          <cell r="K162" t="str">
            <v>CF</v>
          </cell>
          <cell r="L162" t="str">
            <v>SIDR</v>
          </cell>
          <cell r="N162" t="str">
            <v>JPM</v>
          </cell>
          <cell r="O162" t="str">
            <v>DL</v>
          </cell>
          <cell r="P162" t="str">
            <v>CC</v>
          </cell>
          <cell r="Q162" t="str">
            <v>SPG</v>
          </cell>
          <cell r="R162">
            <v>2003</v>
          </cell>
          <cell r="T162" t="str">
            <v>conformitée/solde sub lbu/solaire</v>
          </cell>
          <cell r="U162" t="str">
            <v>BOCQUEE</v>
          </cell>
          <cell r="V162" t="str">
            <v>M - LIVRE/GPA</v>
          </cell>
          <cell r="W162">
            <v>37904</v>
          </cell>
          <cell r="X162" t="str">
            <v>d</v>
          </cell>
          <cell r="Y162" t="str">
            <v>97440903A0469</v>
          </cell>
          <cell r="Z162">
            <v>38001</v>
          </cell>
          <cell r="AA162" t="str">
            <v>o</v>
          </cell>
          <cell r="AB162" t="str">
            <v>validé</v>
          </cell>
          <cell r="AC162" t="str">
            <v/>
          </cell>
          <cell r="AD162">
            <v>0</v>
          </cell>
          <cell r="AE162">
            <v>37907</v>
          </cell>
          <cell r="AF162" t="str">
            <v>f</v>
          </cell>
          <cell r="AG162" t="str">
            <v>O</v>
          </cell>
          <cell r="AH162">
            <v>38085</v>
          </cell>
          <cell r="AI162" t="str">
            <v>ao</v>
          </cell>
          <cell r="AJ162">
            <v>38261</v>
          </cell>
          <cell r="AK162" t="str">
            <v/>
          </cell>
          <cell r="AL162">
            <v>5.7864281956864811</v>
          </cell>
          <cell r="AM162">
            <v>2004</v>
          </cell>
          <cell r="AN162">
            <v>20</v>
          </cell>
          <cell r="AO162">
            <v>38869</v>
          </cell>
          <cell r="AP162">
            <v>38684</v>
          </cell>
          <cell r="AQ162" t="str">
            <v>li</v>
          </cell>
          <cell r="AR162">
            <v>2005</v>
          </cell>
          <cell r="BN162">
            <v>0.2</v>
          </cell>
          <cell r="BO162" t="str">
            <v>signée</v>
          </cell>
          <cell r="BP162">
            <v>0.8</v>
          </cell>
          <cell r="BQ162" t="str">
            <v>signée</v>
          </cell>
          <cell r="BX162" t="str">
            <v>signé</v>
          </cell>
          <cell r="CA162">
            <v>3556.3</v>
          </cell>
          <cell r="CE162" t="str">
            <v>ECS ind</v>
          </cell>
          <cell r="CF162">
            <v>117055</v>
          </cell>
          <cell r="CG162">
            <v>35116</v>
          </cell>
          <cell r="CH162">
            <v>52675</v>
          </cell>
          <cell r="CI162">
            <v>29263</v>
          </cell>
          <cell r="CJ162" t="str">
            <v>-</v>
          </cell>
          <cell r="CK162" t="str">
            <v>-</v>
          </cell>
          <cell r="CL162" t="str">
            <v>-</v>
          </cell>
          <cell r="CM162" t="str">
            <v>-</v>
          </cell>
          <cell r="CN162">
            <v>0</v>
          </cell>
          <cell r="CQ162" t="str">
            <v>oui</v>
          </cell>
          <cell r="CR162">
            <v>284092</v>
          </cell>
          <cell r="CT162">
            <v>2568383</v>
          </cell>
          <cell r="CX162">
            <v>2852475</v>
          </cell>
          <cell r="DE162">
            <v>87791</v>
          </cell>
          <cell r="DJ162">
            <v>87791</v>
          </cell>
          <cell r="DO162">
            <v>0</v>
          </cell>
          <cell r="DQ162">
            <v>95088</v>
          </cell>
          <cell r="DR162">
            <v>39375</v>
          </cell>
          <cell r="DS162">
            <v>134463</v>
          </cell>
          <cell r="DT162">
            <v>268926</v>
          </cell>
          <cell r="DU162">
            <v>-2495758</v>
          </cell>
          <cell r="ED162" t="str">
            <v>G:\Habitat\OPERATIONNEL HABITAT\02- Operations\Photothèque\image non disponible.jpg</v>
          </cell>
          <cell r="EE162" t="str">
            <v>G:\Habitat\OPERATIONNEL HABITAT\02- Operations\Photothèque\image non disponible.jpg</v>
          </cell>
        </row>
        <row r="163">
          <cell r="A163" t="str">
            <v>LES MANGUIERS 1</v>
          </cell>
          <cell r="B163">
            <v>9258</v>
          </cell>
          <cell r="C163" t="str">
            <v>EST</v>
          </cell>
          <cell r="D163" t="str">
            <v>Sainte-Rose</v>
          </cell>
          <cell r="E163" t="str">
            <v>VRD COMMUN /FRAFU 2</v>
          </cell>
          <cell r="F163">
            <v>20</v>
          </cell>
          <cell r="G163" t="str">
            <v>LESG</v>
          </cell>
          <cell r="J163" t="str">
            <v>IND</v>
          </cell>
          <cell r="K163" t="str">
            <v>CF</v>
          </cell>
          <cell r="L163" t="str">
            <v>SIDR</v>
          </cell>
          <cell r="M163" t="str">
            <v>maitrisé</v>
          </cell>
          <cell r="N163" t="str">
            <v>EC</v>
          </cell>
          <cell r="O163" t="str">
            <v>OS</v>
          </cell>
          <cell r="P163" t="str">
            <v>LV</v>
          </cell>
          <cell r="Q163" t="str">
            <v>EC</v>
          </cell>
          <cell r="R163">
            <v>2002</v>
          </cell>
          <cell r="T163" t="str">
            <v>ATTENTION decision ville/port</v>
          </cell>
          <cell r="U163" t="str">
            <v>DUPUIS</v>
          </cell>
          <cell r="V163" t="str">
            <v>M - LIVRE/GPA</v>
          </cell>
          <cell r="W163">
            <v>37043</v>
          </cell>
          <cell r="X163" t="str">
            <v>d</v>
          </cell>
          <cell r="Z163">
            <v>37358</v>
          </cell>
          <cell r="AA163" t="str">
            <v>o</v>
          </cell>
          <cell r="AB163" t="str">
            <v>validé</v>
          </cell>
          <cell r="AC163" t="str">
            <v/>
          </cell>
          <cell r="AD163">
            <v>0</v>
          </cell>
          <cell r="AE163">
            <v>37606</v>
          </cell>
          <cell r="AF163" t="str">
            <v>f</v>
          </cell>
          <cell r="AG163">
            <v>37613</v>
          </cell>
          <cell r="AH163">
            <v>37667</v>
          </cell>
          <cell r="AI163" t="str">
            <v>ao</v>
          </cell>
          <cell r="AJ163">
            <v>37742</v>
          </cell>
          <cell r="AK163" t="str">
            <v/>
          </cell>
          <cell r="AL163">
            <v>2.4658074697527619</v>
          </cell>
          <cell r="AM163">
            <v>2003</v>
          </cell>
          <cell r="AN163">
            <v>14</v>
          </cell>
          <cell r="AO163">
            <v>38169</v>
          </cell>
          <cell r="AP163">
            <v>39202</v>
          </cell>
          <cell r="AQ163" t="str">
            <v>li</v>
          </cell>
          <cell r="AR163">
            <v>2007</v>
          </cell>
          <cell r="CJ163" t="str">
            <v>-</v>
          </cell>
          <cell r="CK163" t="str">
            <v>-</v>
          </cell>
          <cell r="CL163" t="str">
            <v>-</v>
          </cell>
          <cell r="CM163" t="str">
            <v>-</v>
          </cell>
          <cell r="CN163">
            <v>0</v>
          </cell>
          <cell r="CQ163" t="str">
            <v>oui</v>
          </cell>
          <cell r="CX163">
            <v>0</v>
          </cell>
          <cell r="DE163">
            <v>0</v>
          </cell>
          <cell r="DJ163">
            <v>0</v>
          </cell>
          <cell r="DO163">
            <v>0</v>
          </cell>
          <cell r="DS163">
            <v>0</v>
          </cell>
          <cell r="DT163">
            <v>0</v>
          </cell>
          <cell r="DU163">
            <v>0</v>
          </cell>
          <cell r="ED163" t="str">
            <v>G:\Habitat\OPERATIONNEL HABITAT\02- Operations\Photothèque\image non disponible.jpg</v>
          </cell>
          <cell r="EE163" t="str">
            <v>G:\Habitat\OPERATIONNEL HABITAT\02- Operations\Photothèque\image non disponible.jpg</v>
          </cell>
        </row>
        <row r="164">
          <cell r="A164" t="str">
            <v>LES MANGUIERS 2</v>
          </cell>
          <cell r="B164">
            <v>9487</v>
          </cell>
          <cell r="C164" t="str">
            <v>EST</v>
          </cell>
          <cell r="D164" t="str">
            <v>Sainte-Rose</v>
          </cell>
          <cell r="E164" t="str">
            <v>VRD COMMUN /FRAFU 2</v>
          </cell>
          <cell r="F164">
            <v>20</v>
          </cell>
          <cell r="G164" t="str">
            <v>LESG</v>
          </cell>
          <cell r="J164" t="str">
            <v>IND</v>
          </cell>
          <cell r="K164" t="str">
            <v>CF</v>
          </cell>
          <cell r="L164" t="str">
            <v>SIDR</v>
          </cell>
          <cell r="M164" t="str">
            <v>sous compromis</v>
          </cell>
          <cell r="N164" t="str">
            <v>EC</v>
          </cell>
          <cell r="O164" t="str">
            <v>OS</v>
          </cell>
          <cell r="P164" t="str">
            <v>LV</v>
          </cell>
          <cell r="Q164" t="str">
            <v>EC</v>
          </cell>
          <cell r="R164">
            <v>2003</v>
          </cell>
          <cell r="T164" t="str">
            <v>Dation t3+v</v>
          </cell>
          <cell r="U164" t="str">
            <v>DUPUIS</v>
          </cell>
          <cell r="V164" t="str">
            <v>M - LIVRE/GPA</v>
          </cell>
          <cell r="W164">
            <v>37787</v>
          </cell>
          <cell r="X164" t="str">
            <v>d</v>
          </cell>
          <cell r="Z164">
            <v>37911</v>
          </cell>
          <cell r="AA164" t="str">
            <v>o</v>
          </cell>
          <cell r="AB164" t="str">
            <v>validé</v>
          </cell>
          <cell r="AC164" t="str">
            <v/>
          </cell>
          <cell r="AD164">
            <v>0</v>
          </cell>
          <cell r="AE164">
            <v>37914</v>
          </cell>
          <cell r="AF164" t="str">
            <v>f</v>
          </cell>
          <cell r="AG164">
            <v>37967</v>
          </cell>
          <cell r="AH164">
            <v>38092</v>
          </cell>
          <cell r="AI164" t="str">
            <v>ao</v>
          </cell>
          <cell r="AJ164">
            <v>38198</v>
          </cell>
          <cell r="AK164" t="str">
            <v/>
          </cell>
          <cell r="AL164">
            <v>3.485007890583903</v>
          </cell>
          <cell r="AM164">
            <v>2004</v>
          </cell>
          <cell r="AN164">
            <v>14</v>
          </cell>
          <cell r="AO164">
            <v>38625</v>
          </cell>
          <cell r="AP164">
            <v>39355</v>
          </cell>
          <cell r="AQ164" t="str">
            <v>li</v>
          </cell>
          <cell r="AR164">
            <v>2007</v>
          </cell>
          <cell r="CJ164" t="str">
            <v>-</v>
          </cell>
          <cell r="CK164" t="str">
            <v>-</v>
          </cell>
          <cell r="CL164" t="str">
            <v>-</v>
          </cell>
          <cell r="CM164" t="str">
            <v>-</v>
          </cell>
          <cell r="CN164">
            <v>0</v>
          </cell>
          <cell r="CQ164" t="str">
            <v>oui</v>
          </cell>
          <cell r="CX164">
            <v>0</v>
          </cell>
          <cell r="DE164">
            <v>0</v>
          </cell>
          <cell r="DJ164">
            <v>0</v>
          </cell>
          <cell r="DO164">
            <v>0</v>
          </cell>
          <cell r="DS164">
            <v>0</v>
          </cell>
          <cell r="DT164">
            <v>0</v>
          </cell>
          <cell r="DU164">
            <v>0</v>
          </cell>
          <cell r="ED164" t="str">
            <v>G:\Habitat\OPERATIONNEL HABITAT\02- Operations\Photothèque\image non disponible.jpg</v>
          </cell>
          <cell r="EE164" t="str">
            <v>G:\Habitat\OPERATIONNEL HABITAT\02- Operations\Photothèque\image non disponible.jpg</v>
          </cell>
        </row>
        <row r="165">
          <cell r="A165" t="str">
            <v>LES PECHEURS</v>
          </cell>
          <cell r="B165">
            <v>9730</v>
          </cell>
          <cell r="C165" t="str">
            <v>NORD</v>
          </cell>
          <cell r="D165" t="str">
            <v>Saint-Denis</v>
          </cell>
          <cell r="E165" t="str">
            <v xml:space="preserve">BAS DE LA RIVIERE </v>
          </cell>
          <cell r="F165">
            <v>30</v>
          </cell>
          <cell r="G165" t="str">
            <v>LLS</v>
          </cell>
          <cell r="J165" t="str">
            <v>COL</v>
          </cell>
          <cell r="K165" t="str">
            <v>RF</v>
          </cell>
          <cell r="L165" t="str">
            <v>SIDR</v>
          </cell>
          <cell r="M165" t="str">
            <v>maitrisé</v>
          </cell>
          <cell r="N165" t="str">
            <v>JPM</v>
          </cell>
          <cell r="O165" t="str">
            <v>PE</v>
          </cell>
          <cell r="P165" t="str">
            <v>LV</v>
          </cell>
          <cell r="Q165" t="str">
            <v>EC</v>
          </cell>
          <cell r="R165">
            <v>2010</v>
          </cell>
          <cell r="T165" t="str">
            <v>ATTENTION decision ville/port - projet à présenter à la DDE - Programmation décalée suite aux retards des travaux d'endiguement</v>
          </cell>
          <cell r="U165" t="str">
            <v>procedure formalisée</v>
          </cell>
          <cell r="V165" t="str">
            <v>C - PROGRAMME</v>
          </cell>
          <cell r="W165">
            <v>39994</v>
          </cell>
          <cell r="X165" t="str">
            <v>d</v>
          </cell>
          <cell r="Z165">
            <v>37578</v>
          </cell>
          <cell r="AA165" t="str">
            <v/>
          </cell>
          <cell r="AB165">
            <v>39979</v>
          </cell>
          <cell r="AC165" t="str">
            <v/>
          </cell>
          <cell r="AD165" t="str">
            <v>v</v>
          </cell>
          <cell r="AE165">
            <v>40359</v>
          </cell>
          <cell r="AF165" t="str">
            <v>f</v>
          </cell>
          <cell r="AG165">
            <v>37603</v>
          </cell>
          <cell r="AH165">
            <v>40344</v>
          </cell>
          <cell r="AI165" t="str">
            <v/>
          </cell>
          <cell r="AJ165">
            <v>40527</v>
          </cell>
          <cell r="AK165" t="str">
            <v/>
          </cell>
          <cell r="AL165">
            <v>6.0165702261967384</v>
          </cell>
          <cell r="AM165">
            <v>2010</v>
          </cell>
          <cell r="AN165">
            <v>16</v>
          </cell>
          <cell r="AO165">
            <v>41014</v>
          </cell>
          <cell r="AP165">
            <v>41029</v>
          </cell>
          <cell r="AQ165" t="str">
            <v/>
          </cell>
          <cell r="AR165">
            <v>2011</v>
          </cell>
          <cell r="CJ165" t="str">
            <v>-</v>
          </cell>
          <cell r="CK165" t="str">
            <v>-</v>
          </cell>
          <cell r="CL165" t="str">
            <v>-</v>
          </cell>
          <cell r="CM165" t="str">
            <v>-</v>
          </cell>
          <cell r="CN165">
            <v>0</v>
          </cell>
          <cell r="CQ165" t="str">
            <v>non</v>
          </cell>
          <cell r="CX165">
            <v>0</v>
          </cell>
          <cell r="DE165">
            <v>0</v>
          </cell>
          <cell r="DJ165">
            <v>0</v>
          </cell>
          <cell r="DO165">
            <v>0</v>
          </cell>
          <cell r="DS165">
            <v>0</v>
          </cell>
          <cell r="DT165">
            <v>0</v>
          </cell>
          <cell r="DU165">
            <v>0</v>
          </cell>
          <cell r="ED165" t="str">
            <v>G:\Habitat\OPERATIONNEL HABITAT\02- Operations\Photothèque\image non disponible.jpg</v>
          </cell>
          <cell r="EE165" t="str">
            <v>G:\Habitat\OPERATIONNEL HABITAT\02- Operations\Photothèque\image non disponible.jpg</v>
          </cell>
        </row>
        <row r="166">
          <cell r="A166" t="str">
            <v>LES PECHEURS ACC</v>
          </cell>
          <cell r="B166">
            <v>9759</v>
          </cell>
          <cell r="C166" t="str">
            <v>NORD</v>
          </cell>
          <cell r="D166" t="str">
            <v>Saint-Denis</v>
          </cell>
          <cell r="E166" t="str">
            <v xml:space="preserve">BAS DE LA RIVIERE </v>
          </cell>
          <cell r="F166">
            <v>10</v>
          </cell>
          <cell r="G166" t="str">
            <v>ACC</v>
          </cell>
          <cell r="J166" t="str">
            <v>COL</v>
          </cell>
          <cell r="K166" t="str">
            <v>RF</v>
          </cell>
          <cell r="L166" t="str">
            <v>autres</v>
          </cell>
          <cell r="M166" t="str">
            <v>sous compromis</v>
          </cell>
          <cell r="N166" t="str">
            <v>JPM</v>
          </cell>
          <cell r="O166" t="str">
            <v>PE</v>
          </cell>
          <cell r="P166" t="str">
            <v>LV</v>
          </cell>
          <cell r="R166">
            <v>2010</v>
          </cell>
          <cell r="S166">
            <v>0.25</v>
          </cell>
          <cell r="T166" t="str">
            <v>Dation t3+v</v>
          </cell>
          <cell r="U166" t="str">
            <v>procedure formalisée</v>
          </cell>
          <cell r="V166" t="str">
            <v>C - PROGRAMME</v>
          </cell>
          <cell r="W166">
            <v>39994</v>
          </cell>
          <cell r="X166" t="str">
            <v>d</v>
          </cell>
          <cell r="Y166" t="str">
            <v>9741608A0582</v>
          </cell>
          <cell r="Z166">
            <v>39749</v>
          </cell>
          <cell r="AA166" t="str">
            <v/>
          </cell>
          <cell r="AB166">
            <v>39979</v>
          </cell>
          <cell r="AC166" t="str">
            <v/>
          </cell>
          <cell r="AE166">
            <v>40360</v>
          </cell>
          <cell r="AF166" t="str">
            <v>f</v>
          </cell>
          <cell r="AH166">
            <v>40345</v>
          </cell>
          <cell r="AI166" t="str">
            <v/>
          </cell>
          <cell r="AJ166">
            <v>40252</v>
          </cell>
          <cell r="AK166" t="str">
            <v/>
          </cell>
          <cell r="AL166">
            <v>-3.0576012624934243</v>
          </cell>
          <cell r="AM166">
            <v>2010</v>
          </cell>
          <cell r="AN166">
            <v>16</v>
          </cell>
          <cell r="AO166">
            <v>40739</v>
          </cell>
          <cell r="AP166">
            <v>40754</v>
          </cell>
          <cell r="AQ166" t="str">
            <v/>
          </cell>
          <cell r="AR166">
            <v>2011</v>
          </cell>
          <cell r="BX166" t="str">
            <v>En attente accord de principe</v>
          </cell>
          <cell r="CJ166" t="str">
            <v>-</v>
          </cell>
          <cell r="CK166" t="str">
            <v>-</v>
          </cell>
          <cell r="CL166" t="str">
            <v>-</v>
          </cell>
          <cell r="CM166" t="str">
            <v>-</v>
          </cell>
          <cell r="CN166">
            <v>0</v>
          </cell>
          <cell r="CQ166" t="str">
            <v>non</v>
          </cell>
          <cell r="CX166">
            <v>0</v>
          </cell>
          <cell r="DE166">
            <v>0</v>
          </cell>
          <cell r="DJ166">
            <v>0</v>
          </cell>
          <cell r="DO166">
            <v>0</v>
          </cell>
          <cell r="DS166">
            <v>0</v>
          </cell>
          <cell r="DT166">
            <v>0</v>
          </cell>
          <cell r="DU166">
            <v>0</v>
          </cell>
          <cell r="ED166" t="str">
            <v>G:\Habitat\OPERATIONNEL HABITAT\02- Operations\Photothèque\image non disponible.jpg</v>
          </cell>
          <cell r="EE166" t="str">
            <v>G:\Habitat\OPERATIONNEL HABITAT\02- Operations\Photothèque\image non disponible.jpg</v>
          </cell>
        </row>
        <row r="167">
          <cell r="A167" t="str">
            <v>L'ETANG</v>
          </cell>
          <cell r="B167">
            <v>9432</v>
          </cell>
          <cell r="C167" t="str">
            <v>OUEST</v>
          </cell>
          <cell r="D167" t="str">
            <v>Saint-Paul</v>
          </cell>
          <cell r="E167" t="str">
            <v>RHI BOUT DE L'ETANG</v>
          </cell>
          <cell r="F167">
            <v>30</v>
          </cell>
          <cell r="G167" t="str">
            <v>LESG</v>
          </cell>
          <cell r="J167" t="str">
            <v>IND</v>
          </cell>
          <cell r="K167" t="str">
            <v>CF</v>
          </cell>
          <cell r="L167" t="str">
            <v>SIDR</v>
          </cell>
          <cell r="N167" t="str">
            <v>EC</v>
          </cell>
          <cell r="O167" t="str">
            <v>FG</v>
          </cell>
          <cell r="P167" t="str">
            <v>LV</v>
          </cell>
          <cell r="Q167" t="str">
            <v>EC</v>
          </cell>
          <cell r="R167">
            <v>2002</v>
          </cell>
          <cell r="T167" t="str">
            <v>visite GPA 2008</v>
          </cell>
          <cell r="U167" t="str">
            <v>ATELIER GAZUT</v>
          </cell>
          <cell r="V167" t="str">
            <v>M - LIVRE/GPA</v>
          </cell>
          <cell r="W167">
            <v>37432</v>
          </cell>
          <cell r="X167" t="str">
            <v>d</v>
          </cell>
          <cell r="Y167" t="str">
            <v>97441604A0446</v>
          </cell>
          <cell r="Z167">
            <v>37578</v>
          </cell>
          <cell r="AA167" t="str">
            <v>o</v>
          </cell>
          <cell r="AB167" t="str">
            <v>validé</v>
          </cell>
          <cell r="AC167" t="str">
            <v/>
          </cell>
          <cell r="AD167" t="str">
            <v/>
          </cell>
          <cell r="AE167">
            <v>38647</v>
          </cell>
          <cell r="AF167" t="str">
            <v>f</v>
          </cell>
          <cell r="AG167">
            <v>37603</v>
          </cell>
          <cell r="AH167">
            <v>37653</v>
          </cell>
          <cell r="AI167" t="str">
            <v>ao</v>
          </cell>
          <cell r="AJ167">
            <v>37742</v>
          </cell>
          <cell r="AK167" t="str">
            <v/>
          </cell>
          <cell r="AL167">
            <v>2.9260915307732773</v>
          </cell>
          <cell r="AM167">
            <v>2003</v>
          </cell>
          <cell r="AN167">
            <v>14</v>
          </cell>
          <cell r="AO167">
            <v>38169</v>
          </cell>
          <cell r="AP167">
            <v>38261</v>
          </cell>
          <cell r="AQ167" t="str">
            <v>li</v>
          </cell>
          <cell r="AR167">
            <v>2004</v>
          </cell>
          <cell r="AU167">
            <v>5</v>
          </cell>
          <cell r="AV167">
            <v>42</v>
          </cell>
          <cell r="AW167">
            <v>4</v>
          </cell>
          <cell r="AX167">
            <v>56</v>
          </cell>
          <cell r="AY167">
            <v>7</v>
          </cell>
          <cell r="AZ167">
            <v>57</v>
          </cell>
          <cell r="BA167">
            <v>15</v>
          </cell>
          <cell r="BB167">
            <v>68</v>
          </cell>
          <cell r="BE167">
            <v>9</v>
          </cell>
          <cell r="BF167">
            <v>78</v>
          </cell>
          <cell r="BG167">
            <v>3</v>
          </cell>
          <cell r="BH167">
            <v>85</v>
          </cell>
          <cell r="BK167">
            <v>43</v>
          </cell>
          <cell r="BL167">
            <v>6.18</v>
          </cell>
          <cell r="BM167">
            <v>0.82</v>
          </cell>
          <cell r="BN167">
            <v>0.2</v>
          </cell>
          <cell r="BO167" t="str">
            <v>signée</v>
          </cell>
          <cell r="BP167">
            <v>0.8</v>
          </cell>
          <cell r="BQ167" t="str">
            <v>signée</v>
          </cell>
          <cell r="BX167" t="str">
            <v>signé</v>
          </cell>
          <cell r="BY167">
            <v>3283</v>
          </cell>
          <cell r="BZ167">
            <v>4996</v>
          </cell>
          <cell r="CA167">
            <v>3428.77</v>
          </cell>
          <cell r="CE167" t="str">
            <v>ECS ind</v>
          </cell>
          <cell r="CF167">
            <v>147513.45000000001</v>
          </cell>
          <cell r="CG167">
            <v>44254.035000000003</v>
          </cell>
          <cell r="CH167">
            <v>66381.052500000005</v>
          </cell>
          <cell r="CI167">
            <v>36878.362500000003</v>
          </cell>
          <cell r="CJ167" t="str">
            <v>-</v>
          </cell>
          <cell r="CK167" t="str">
            <v>-</v>
          </cell>
          <cell r="CL167" t="str">
            <v>-</v>
          </cell>
          <cell r="CM167" t="str">
            <v>-</v>
          </cell>
          <cell r="CN167">
            <v>0</v>
          </cell>
          <cell r="CQ167" t="str">
            <v>oui</v>
          </cell>
          <cell r="CR167">
            <v>427379</v>
          </cell>
          <cell r="CT167">
            <v>2779329</v>
          </cell>
          <cell r="CX167">
            <v>0</v>
          </cell>
          <cell r="DE167">
            <v>0</v>
          </cell>
          <cell r="DJ167">
            <v>0</v>
          </cell>
          <cell r="DO167">
            <v>0</v>
          </cell>
          <cell r="DQ167">
            <v>93317</v>
          </cell>
          <cell r="DS167">
            <v>0</v>
          </cell>
          <cell r="DT167">
            <v>0</v>
          </cell>
          <cell r="DU167">
            <v>0</v>
          </cell>
          <cell r="ED167" t="str">
            <v>G:\Habitat\OPERATIONNEL HABITAT\02- Operations\Photothèque\image non disponible.jpg</v>
          </cell>
          <cell r="EE167" t="str">
            <v>G:\Habitat\OPERATIONNEL HABITAT\02- Operations\Photothèque\image non disponible.jpg</v>
          </cell>
        </row>
        <row r="168">
          <cell r="A168" t="str">
            <v>LIGNE BAMBOUS</v>
          </cell>
          <cell r="B168">
            <v>9723</v>
          </cell>
          <cell r="C168" t="str">
            <v>SUD</v>
          </cell>
          <cell r="D168" t="str">
            <v>Saint-Pierre</v>
          </cell>
          <cell r="E168" t="str">
            <v>Lotissement communal</v>
          </cell>
          <cell r="F168">
            <v>30</v>
          </cell>
          <cell r="G168" t="str">
            <v>LLTS</v>
          </cell>
          <cell r="H168" t="str">
            <v>à déposer</v>
          </cell>
          <cell r="I168" t="str">
            <v>CG5</v>
          </cell>
          <cell r="J168" t="str">
            <v>COL</v>
          </cell>
          <cell r="K168" t="str">
            <v>CF</v>
          </cell>
          <cell r="L168" t="str">
            <v>autres</v>
          </cell>
          <cell r="M168" t="str">
            <v>autres</v>
          </cell>
          <cell r="N168" t="str">
            <v>LC</v>
          </cell>
          <cell r="O168" t="str">
            <v>CA</v>
          </cell>
          <cell r="P168" t="str">
            <v>CS</v>
          </cell>
          <cell r="R168">
            <v>2008</v>
          </cell>
          <cell r="S168">
            <v>0.25</v>
          </cell>
          <cell r="T168" t="str">
            <v>modif lotissement communal?</v>
          </cell>
          <cell r="U168" t="str">
            <v>PERRAU</v>
          </cell>
          <cell r="V168" t="str">
            <v>E - APS / PC</v>
          </cell>
          <cell r="W168">
            <v>39682</v>
          </cell>
          <cell r="X168" t="str">
            <v>d</v>
          </cell>
          <cell r="Y168" t="str">
            <v>9741608A0582</v>
          </cell>
          <cell r="Z168">
            <v>39749</v>
          </cell>
          <cell r="AA168" t="str">
            <v>o</v>
          </cell>
          <cell r="AB168">
            <v>39639</v>
          </cell>
          <cell r="AC168" t="str">
            <v>v</v>
          </cell>
          <cell r="AE168">
            <v>39706</v>
          </cell>
          <cell r="AF168" t="str">
            <v>f</v>
          </cell>
          <cell r="AH168">
            <v>39995</v>
          </cell>
          <cell r="AI168" t="str">
            <v/>
          </cell>
          <cell r="AJ168">
            <v>40179</v>
          </cell>
          <cell r="AK168" t="str">
            <v/>
          </cell>
          <cell r="AL168">
            <v>6.0494476591267752</v>
          </cell>
          <cell r="AM168">
            <v>2010</v>
          </cell>
          <cell r="AN168">
            <v>14</v>
          </cell>
          <cell r="AO168">
            <v>40603</v>
          </cell>
          <cell r="AP168">
            <v>40618</v>
          </cell>
          <cell r="AQ168" t="str">
            <v/>
          </cell>
          <cell r="AR168">
            <v>2011</v>
          </cell>
          <cell r="AW168">
            <v>8</v>
          </cell>
          <cell r="AX168">
            <v>56</v>
          </cell>
          <cell r="BA168">
            <v>5</v>
          </cell>
          <cell r="BB168">
            <v>73</v>
          </cell>
          <cell r="BE168">
            <v>6</v>
          </cell>
          <cell r="BF168">
            <v>84</v>
          </cell>
          <cell r="BI168">
            <v>3</v>
          </cell>
          <cell r="BJ168">
            <v>91</v>
          </cell>
          <cell r="BK168">
            <v>22</v>
          </cell>
          <cell r="BO168" t="str">
            <v>à faire</v>
          </cell>
          <cell r="BQ168" t="str">
            <v>à faire</v>
          </cell>
          <cell r="BX168" t="str">
            <v>En attente accord de principe</v>
          </cell>
          <cell r="BY168">
            <v>1590.12</v>
          </cell>
          <cell r="BZ168">
            <v>1749</v>
          </cell>
          <cell r="CA168">
            <v>1590</v>
          </cell>
          <cell r="CE168" t="str">
            <v>ECS ind</v>
          </cell>
          <cell r="CF168">
            <v>81400</v>
          </cell>
          <cell r="CG168">
            <v>24420</v>
          </cell>
          <cell r="CH168">
            <v>36630</v>
          </cell>
          <cell r="CI168">
            <v>20350</v>
          </cell>
          <cell r="CJ168" t="str">
            <v>-</v>
          </cell>
          <cell r="CK168" t="str">
            <v>-</v>
          </cell>
          <cell r="CL168" t="str">
            <v>-</v>
          </cell>
          <cell r="CM168" t="str">
            <v>-</v>
          </cell>
          <cell r="CN168">
            <v>0</v>
          </cell>
          <cell r="CQ168" t="str">
            <v>non</v>
          </cell>
          <cell r="CX168">
            <v>0</v>
          </cell>
          <cell r="DE168">
            <v>0</v>
          </cell>
          <cell r="DJ168">
            <v>0</v>
          </cell>
          <cell r="DO168">
            <v>0</v>
          </cell>
          <cell r="DQ168">
            <v>70849</v>
          </cell>
          <cell r="DR168">
            <v>25200</v>
          </cell>
          <cell r="DS168">
            <v>0</v>
          </cell>
          <cell r="DT168">
            <v>0</v>
          </cell>
          <cell r="DU168">
            <v>0</v>
          </cell>
          <cell r="ED168" t="str">
            <v>G:\Habitat\OPERATIONNEL HABITAT\02- Operations\Photothèque\image non disponible.jpg</v>
          </cell>
          <cell r="EE168" t="str">
            <v>G:\Habitat\OPERATIONNEL HABITAT\02- Operations\Photothèque\image non disponible.jpg</v>
          </cell>
        </row>
        <row r="169">
          <cell r="A169" t="str">
            <v>LOFOTEN</v>
          </cell>
          <cell r="B169">
            <v>9504</v>
          </cell>
          <cell r="C169" t="str">
            <v>SUD</v>
          </cell>
          <cell r="D169" t="str">
            <v>Saint-Pierre</v>
          </cell>
          <cell r="E169" t="str">
            <v>CENTRE VILLE</v>
          </cell>
          <cell r="F169">
            <v>43</v>
          </cell>
          <cell r="G169" t="str">
            <v>LLS</v>
          </cell>
          <cell r="J169" t="str">
            <v>COL</v>
          </cell>
          <cell r="K169" t="str">
            <v>RF</v>
          </cell>
          <cell r="L169" t="str">
            <v>SIDR</v>
          </cell>
          <cell r="N169" t="str">
            <v>PC</v>
          </cell>
          <cell r="O169" t="str">
            <v>DL</v>
          </cell>
          <cell r="P169" t="str">
            <v>CS</v>
          </cell>
          <cell r="Q169" t="str">
            <v>AR</v>
          </cell>
          <cell r="R169">
            <v>2004</v>
          </cell>
          <cell r="T169" t="str">
            <v>visite GPA 2008</v>
          </cell>
          <cell r="U169" t="str">
            <v>DPV architecture</v>
          </cell>
          <cell r="V169" t="str">
            <v>M - LIVRE/GPA</v>
          </cell>
          <cell r="W169">
            <v>38174</v>
          </cell>
          <cell r="X169" t="str">
            <v>d</v>
          </cell>
          <cell r="Y169" t="str">
            <v>97441604A0446</v>
          </cell>
          <cell r="Z169">
            <v>38504</v>
          </cell>
          <cell r="AA169" t="str">
            <v>o</v>
          </cell>
          <cell r="AB169" t="str">
            <v>validé</v>
          </cell>
          <cell r="AC169" t="str">
            <v/>
          </cell>
          <cell r="AD169">
            <v>38265</v>
          </cell>
          <cell r="AE169">
            <v>38187</v>
          </cell>
          <cell r="AF169" t="str">
            <v>f</v>
          </cell>
          <cell r="AG169">
            <v>38589</v>
          </cell>
          <cell r="AH169">
            <v>38474</v>
          </cell>
          <cell r="AI169" t="str">
            <v>ao</v>
          </cell>
          <cell r="AJ169">
            <v>38600</v>
          </cell>
          <cell r="AK169" t="str">
            <v/>
          </cell>
          <cell r="AL169">
            <v>4.1425565491846399</v>
          </cell>
          <cell r="AM169">
            <v>2005</v>
          </cell>
          <cell r="AN169">
            <v>16</v>
          </cell>
          <cell r="AO169">
            <v>39087</v>
          </cell>
          <cell r="AP169">
            <v>39062</v>
          </cell>
          <cell r="AQ169" t="str">
            <v>li</v>
          </cell>
          <cell r="AR169">
            <v>2006</v>
          </cell>
          <cell r="AU169">
            <v>5</v>
          </cell>
          <cell r="AV169">
            <v>42</v>
          </cell>
          <cell r="AW169">
            <v>4</v>
          </cell>
          <cell r="AX169">
            <v>56</v>
          </cell>
          <cell r="AY169">
            <v>7</v>
          </cell>
          <cell r="AZ169">
            <v>57</v>
          </cell>
          <cell r="BA169">
            <v>15</v>
          </cell>
          <cell r="BB169">
            <v>68</v>
          </cell>
          <cell r="BE169">
            <v>9</v>
          </cell>
          <cell r="BF169">
            <v>78</v>
          </cell>
          <cell r="BG169">
            <v>3</v>
          </cell>
          <cell r="BH169">
            <v>85</v>
          </cell>
          <cell r="BK169">
            <v>43</v>
          </cell>
          <cell r="BL169">
            <v>6.18</v>
          </cell>
          <cell r="BM169">
            <v>0.82</v>
          </cell>
          <cell r="BN169">
            <v>0.2</v>
          </cell>
          <cell r="BO169" t="str">
            <v>signée</v>
          </cell>
          <cell r="BP169">
            <v>0.8</v>
          </cell>
          <cell r="BQ169" t="str">
            <v>signée</v>
          </cell>
          <cell r="BX169" t="str">
            <v>signé</v>
          </cell>
          <cell r="BY169">
            <v>3283</v>
          </cell>
          <cell r="BZ169">
            <v>4996</v>
          </cell>
          <cell r="CA169">
            <v>3428.77</v>
          </cell>
          <cell r="CE169" t="str">
            <v>ECS ind</v>
          </cell>
          <cell r="CF169">
            <v>147513.45000000001</v>
          </cell>
          <cell r="CG169">
            <v>44254.035000000003</v>
          </cell>
          <cell r="CH169">
            <v>66381.052500000005</v>
          </cell>
          <cell r="CI169">
            <v>36878.362500000003</v>
          </cell>
          <cell r="CJ169" t="str">
            <v>-</v>
          </cell>
          <cell r="CK169" t="str">
            <v>-</v>
          </cell>
          <cell r="CL169" t="str">
            <v>-</v>
          </cell>
          <cell r="CM169" t="str">
            <v>-</v>
          </cell>
          <cell r="CN169">
            <v>0</v>
          </cell>
          <cell r="CQ169" t="str">
            <v>oui</v>
          </cell>
          <cell r="CR169">
            <v>427379</v>
          </cell>
          <cell r="CT169">
            <v>2779329</v>
          </cell>
          <cell r="CX169">
            <v>3206708</v>
          </cell>
          <cell r="DE169">
            <v>110635.08750000001</v>
          </cell>
          <cell r="DJ169">
            <v>110635.08750000001</v>
          </cell>
          <cell r="DO169">
            <v>0</v>
          </cell>
          <cell r="DQ169">
            <v>93317</v>
          </cell>
          <cell r="DS169">
            <v>93317</v>
          </cell>
          <cell r="DT169">
            <v>186634</v>
          </cell>
          <cell r="DU169">
            <v>-2909438.9125000001</v>
          </cell>
          <cell r="ED169" t="str">
            <v>G:\Habitat\OPERATIONNEL HABITAT\02- Operations\Photothèque\images locatifs\Lofoten\Lofoten revu.jpg</v>
          </cell>
          <cell r="EE169" t="str">
            <v>G:\Habitat\OPERATIONNEL HABITAT\02- Operations\Photothèque\images locatifs\Lofoten\Lofoten-pers.jpg</v>
          </cell>
        </row>
        <row r="170">
          <cell r="A170" t="str">
            <v>MADERE</v>
          </cell>
          <cell r="B170">
            <v>9645</v>
          </cell>
          <cell r="C170" t="str">
            <v>OUEST</v>
          </cell>
          <cell r="D170" t="str">
            <v>Possession</v>
          </cell>
          <cell r="E170" t="str">
            <v>DOS D'ANE</v>
          </cell>
          <cell r="F170">
            <v>20</v>
          </cell>
          <cell r="G170" t="str">
            <v>LLTS</v>
          </cell>
          <cell r="H170" t="str">
            <v>à déposer</v>
          </cell>
          <cell r="I170" t="str">
            <v>CG5</v>
          </cell>
          <cell r="J170" t="str">
            <v>MV</v>
          </cell>
          <cell r="K170" t="str">
            <v>ACQ</v>
          </cell>
          <cell r="L170" t="str">
            <v>SIDR</v>
          </cell>
          <cell r="M170" t="str">
            <v>maitrisé</v>
          </cell>
          <cell r="N170" t="str">
            <v>JEM</v>
          </cell>
          <cell r="O170" t="str">
            <v>PE</v>
          </cell>
          <cell r="P170" t="str">
            <v>CS</v>
          </cell>
          <cell r="Q170" t="str">
            <v>RR</v>
          </cell>
          <cell r="R170">
            <v>2009</v>
          </cell>
          <cell r="S170">
            <v>0.5</v>
          </cell>
          <cell r="T170" t="str">
            <v>ppri zone rouge ???/etude idems favorable / attention financement surcout VRD</v>
          </cell>
          <cell r="U170" t="str">
            <v>D JAN</v>
          </cell>
          <cell r="V170" t="str">
            <v>D - ESQUISSES</v>
          </cell>
          <cell r="W170">
            <v>39933</v>
          </cell>
          <cell r="X170" t="str">
            <v/>
          </cell>
          <cell r="AA170" t="str">
            <v/>
          </cell>
          <cell r="AB170">
            <v>39918</v>
          </cell>
          <cell r="AC170" t="str">
            <v>v</v>
          </cell>
          <cell r="AD170">
            <v>39710</v>
          </cell>
          <cell r="AE170">
            <v>40071</v>
          </cell>
          <cell r="AF170" t="str">
            <v/>
          </cell>
          <cell r="AH170">
            <v>40040</v>
          </cell>
          <cell r="AI170" t="str">
            <v/>
          </cell>
          <cell r="AJ170">
            <v>40224</v>
          </cell>
          <cell r="AK170" t="str">
            <v/>
          </cell>
          <cell r="AL170">
            <v>6.0494476591267752</v>
          </cell>
          <cell r="AM170">
            <v>2010</v>
          </cell>
          <cell r="AN170">
            <v>10</v>
          </cell>
          <cell r="AO170">
            <v>40527</v>
          </cell>
          <cell r="AP170">
            <v>40542</v>
          </cell>
          <cell r="AQ170" t="str">
            <v/>
          </cell>
          <cell r="AR170">
            <v>2010</v>
          </cell>
          <cell r="AW170">
            <v>8</v>
          </cell>
          <cell r="AX170">
            <v>56</v>
          </cell>
          <cell r="BA170">
            <v>5</v>
          </cell>
          <cell r="BB170">
            <v>73</v>
          </cell>
          <cell r="BE170">
            <v>6</v>
          </cell>
          <cell r="BF170">
            <v>84</v>
          </cell>
          <cell r="BI170">
            <v>3</v>
          </cell>
          <cell r="BJ170">
            <v>91</v>
          </cell>
          <cell r="BK170">
            <v>22</v>
          </cell>
          <cell r="BL170">
            <v>5.49</v>
          </cell>
          <cell r="BO170" t="str">
            <v>à faire</v>
          </cell>
          <cell r="BQ170" t="str">
            <v>à faire</v>
          </cell>
          <cell r="BY170">
            <v>1590.12</v>
          </cell>
          <cell r="BZ170">
            <v>1749</v>
          </cell>
          <cell r="CA170">
            <v>1590</v>
          </cell>
          <cell r="CE170" t="str">
            <v>ECS ind</v>
          </cell>
          <cell r="CF170">
            <v>81400</v>
          </cell>
          <cell r="CG170">
            <v>24420</v>
          </cell>
          <cell r="CH170">
            <v>36630</v>
          </cell>
          <cell r="CI170">
            <v>20350</v>
          </cell>
          <cell r="CJ170" t="str">
            <v>-</v>
          </cell>
          <cell r="CK170" t="str">
            <v>-</v>
          </cell>
          <cell r="CL170" t="str">
            <v>-</v>
          </cell>
          <cell r="CM170" t="str">
            <v>-</v>
          </cell>
          <cell r="CN170">
            <v>0</v>
          </cell>
          <cell r="CO170" t="str">
            <v>199 undecies A</v>
          </cell>
          <cell r="CQ170" t="str">
            <v>non</v>
          </cell>
          <cell r="CX170">
            <v>0</v>
          </cell>
          <cell r="DE170">
            <v>61050</v>
          </cell>
          <cell r="DJ170">
            <v>61050</v>
          </cell>
          <cell r="DO170">
            <v>0</v>
          </cell>
          <cell r="DQ170">
            <v>70849</v>
          </cell>
          <cell r="DR170">
            <v>25200</v>
          </cell>
          <cell r="DS170">
            <v>96049</v>
          </cell>
          <cell r="DT170">
            <v>192098</v>
          </cell>
          <cell r="DU170">
            <v>253148</v>
          </cell>
          <cell r="ED170" t="str">
            <v>G:\Habitat\OPERATIONNEL HABITAT\02- Operations\Photothèque\image non disponible.jpg</v>
          </cell>
          <cell r="EE170" t="str">
            <v>G:\Habitat\OPERATIONNEL HABITAT\02- Operations\Photothèque\image non disponible.jpg</v>
          </cell>
        </row>
        <row r="171">
          <cell r="A171" t="str">
            <v>MAHE</v>
          </cell>
          <cell r="C171" t="str">
            <v>NORD</v>
          </cell>
          <cell r="D171" t="str">
            <v>Saint-Denis</v>
          </cell>
          <cell r="E171" t="str">
            <v>RHI HYACINTHE CARAMBOLES</v>
          </cell>
          <cell r="F171">
            <v>34</v>
          </cell>
          <cell r="G171" t="str">
            <v>LLTS</v>
          </cell>
          <cell r="J171" t="str">
            <v>MV</v>
          </cell>
          <cell r="K171" t="str">
            <v>CF</v>
          </cell>
          <cell r="L171" t="str">
            <v>SIDR</v>
          </cell>
          <cell r="N171" t="str">
            <v>JEM</v>
          </cell>
          <cell r="P171" t="str">
            <v>CS</v>
          </cell>
          <cell r="Q171" t="str">
            <v>AR</v>
          </cell>
          <cell r="R171">
            <v>2010</v>
          </cell>
          <cell r="T171" t="str">
            <v>dépend du relogement sur l'opération COCO</v>
          </cell>
          <cell r="V171" t="str">
            <v>A - NON LANCE</v>
          </cell>
          <cell r="X171" t="str">
            <v/>
          </cell>
          <cell r="AA171" t="str">
            <v/>
          </cell>
          <cell r="AC171" t="str">
            <v/>
          </cell>
          <cell r="AF171" t="str">
            <v/>
          </cell>
          <cell r="AI171" t="str">
            <v/>
          </cell>
          <cell r="AK171" t="str">
            <v/>
          </cell>
          <cell r="AL171">
            <v>0</v>
          </cell>
          <cell r="AM171" t="str">
            <v/>
          </cell>
          <cell r="AO171" t="str">
            <v/>
          </cell>
          <cell r="AP171" t="str">
            <v/>
          </cell>
          <cell r="AQ171" t="str">
            <v/>
          </cell>
          <cell r="CJ171" t="str">
            <v>-</v>
          </cell>
          <cell r="CK171" t="str">
            <v>-</v>
          </cell>
          <cell r="CL171" t="str">
            <v>-</v>
          </cell>
          <cell r="CM171" t="str">
            <v>-</v>
          </cell>
          <cell r="CN171">
            <v>0</v>
          </cell>
          <cell r="CQ171" t="str">
            <v>non</v>
          </cell>
          <cell r="CX171">
            <v>0</v>
          </cell>
          <cell r="DE171">
            <v>0</v>
          </cell>
          <cell r="DJ171">
            <v>0</v>
          </cell>
          <cell r="DO171">
            <v>0</v>
          </cell>
          <cell r="DS171">
            <v>0</v>
          </cell>
          <cell r="DT171">
            <v>0</v>
          </cell>
          <cell r="DU171">
            <v>0</v>
          </cell>
          <cell r="ED171" t="str">
            <v>G:\Habitat\OPERATIONNEL HABITAT\02- Operations\Photothèque\image non disponible.jpg</v>
          </cell>
          <cell r="EE171" t="str">
            <v>G:\Habitat\OPERATIONNEL HABITAT\02- Operations\Photothèque\image non disponible.jpg</v>
          </cell>
          <cell r="EX171" t="str">
            <v>SECTION DS</v>
          </cell>
        </row>
        <row r="172">
          <cell r="A172" t="str">
            <v>MALTE 1</v>
          </cell>
          <cell r="B172">
            <v>9639</v>
          </cell>
          <cell r="C172" t="str">
            <v>OUEST</v>
          </cell>
          <cell r="D172" t="str">
            <v>Saint-Paul</v>
          </cell>
          <cell r="E172" t="str">
            <v>RHI BOUILLON</v>
          </cell>
          <cell r="F172">
            <v>14</v>
          </cell>
          <cell r="G172" t="str">
            <v>LLTS</v>
          </cell>
          <cell r="J172" t="str">
            <v>COL</v>
          </cell>
          <cell r="K172" t="str">
            <v>CF</v>
          </cell>
          <cell r="L172" t="str">
            <v>SIDR</v>
          </cell>
          <cell r="M172" t="str">
            <v>maitrisé</v>
          </cell>
          <cell r="N172" t="str">
            <v>JEM</v>
          </cell>
          <cell r="O172" t="str">
            <v>FG</v>
          </cell>
          <cell r="P172" t="str">
            <v>CS</v>
          </cell>
          <cell r="Q172" t="str">
            <v>RR</v>
          </cell>
          <cell r="R172">
            <v>2008</v>
          </cell>
          <cell r="S172">
            <v>0.75</v>
          </cell>
          <cell r="T172" t="str">
            <v>attente decision tco/ ville/attention bornage ?</v>
          </cell>
          <cell r="U172" t="str">
            <v>ARCHITECTES DE L'EPERON</v>
          </cell>
          <cell r="V172" t="str">
            <v>G - PROJET</v>
          </cell>
          <cell r="W172">
            <v>39701</v>
          </cell>
          <cell r="X172" t="str">
            <v>d</v>
          </cell>
          <cell r="AA172" t="str">
            <v/>
          </cell>
          <cell r="AB172">
            <v>39595</v>
          </cell>
          <cell r="AC172" t="str">
            <v>v</v>
          </cell>
          <cell r="AD172">
            <v>39710</v>
          </cell>
          <cell r="AE172">
            <v>39717</v>
          </cell>
          <cell r="AF172" t="str">
            <v>f</v>
          </cell>
          <cell r="AH172">
            <v>39859</v>
          </cell>
          <cell r="AI172" t="str">
            <v>ao</v>
          </cell>
          <cell r="AJ172">
            <v>40040</v>
          </cell>
          <cell r="AK172" t="str">
            <v/>
          </cell>
          <cell r="AL172">
            <v>5.9508153603366649</v>
          </cell>
          <cell r="AM172">
            <v>2009</v>
          </cell>
          <cell r="AN172">
            <v>14</v>
          </cell>
          <cell r="AO172">
            <v>40466</v>
          </cell>
          <cell r="AP172">
            <v>40481</v>
          </cell>
          <cell r="AQ172" t="str">
            <v/>
          </cell>
          <cell r="AR172">
            <v>2010</v>
          </cell>
          <cell r="BK172">
            <v>0</v>
          </cell>
          <cell r="BL172">
            <v>5.49</v>
          </cell>
          <cell r="BO172" t="str">
            <v>à faire</v>
          </cell>
          <cell r="BQ172" t="str">
            <v>à faire</v>
          </cell>
          <cell r="CE172" t="str">
            <v>ECS ind</v>
          </cell>
          <cell r="CJ172" t="str">
            <v>SCI Saint Denis</v>
          </cell>
          <cell r="CK172" t="str">
            <v>INFI</v>
          </cell>
          <cell r="CL172">
            <v>39801</v>
          </cell>
          <cell r="CM172" t="str">
            <v>-</v>
          </cell>
          <cell r="CN172">
            <v>0</v>
          </cell>
          <cell r="CO172" t="str">
            <v>199 undecies A</v>
          </cell>
          <cell r="CQ172" t="str">
            <v>non</v>
          </cell>
          <cell r="CX172">
            <v>0</v>
          </cell>
          <cell r="DE172">
            <v>0</v>
          </cell>
          <cell r="DJ172">
            <v>0</v>
          </cell>
          <cell r="DO172">
            <v>0</v>
          </cell>
          <cell r="DQ172">
            <v>79940</v>
          </cell>
          <cell r="DR172">
            <v>18022</v>
          </cell>
          <cell r="DS172">
            <v>97962</v>
          </cell>
          <cell r="DT172">
            <v>195924</v>
          </cell>
          <cell r="DU172">
            <v>195924</v>
          </cell>
          <cell r="ED172" t="str">
            <v>G:\Habitat\OPERATIONNEL HABITAT\02- Operations\Photothèque\images locatifs\Malte\Malte.jpg</v>
          </cell>
          <cell r="EE172" t="str">
            <v>G:\Habitat\OPERATIONNEL HABITAT\02- Operations\Photothèque\images locatifs\Malte\Malte (1).jpg</v>
          </cell>
        </row>
        <row r="173">
          <cell r="A173" t="str">
            <v>MALTE 2</v>
          </cell>
          <cell r="B173">
            <v>9699</v>
          </cell>
          <cell r="C173" t="str">
            <v>OUEST</v>
          </cell>
          <cell r="D173" t="str">
            <v>Saint-Paul</v>
          </cell>
          <cell r="E173" t="str">
            <v>RHI BOUILLON</v>
          </cell>
          <cell r="F173">
            <v>8</v>
          </cell>
          <cell r="G173" t="str">
            <v>LLTS</v>
          </cell>
          <cell r="J173" t="str">
            <v>MV</v>
          </cell>
          <cell r="K173" t="str">
            <v>CF</v>
          </cell>
          <cell r="L173" t="str">
            <v>SIDR</v>
          </cell>
          <cell r="M173" t="str">
            <v>maitrisé</v>
          </cell>
          <cell r="N173" t="str">
            <v>JEM</v>
          </cell>
          <cell r="O173" t="str">
            <v>JH</v>
          </cell>
          <cell r="P173" t="str">
            <v>CC</v>
          </cell>
          <cell r="Q173" t="str">
            <v>RR</v>
          </cell>
          <cell r="R173">
            <v>2010</v>
          </cell>
          <cell r="S173">
            <v>1</v>
          </cell>
          <cell r="T173" t="str">
            <v>bornage judicière  foncier - aménageur SIDR rencontre des difficultés à liberer le terrain</v>
          </cell>
          <cell r="U173" t="str">
            <v>BERTIN LEBEIGLE</v>
          </cell>
          <cell r="V173" t="str">
            <v>A - NON LANCE</v>
          </cell>
          <cell r="W173">
            <v>38989</v>
          </cell>
          <cell r="X173" t="str">
            <v/>
          </cell>
          <cell r="Y173" t="str">
            <v>97442106A0099</v>
          </cell>
          <cell r="Z173">
            <v>39258</v>
          </cell>
          <cell r="AA173" t="str">
            <v/>
          </cell>
          <cell r="AB173">
            <v>39274</v>
          </cell>
          <cell r="AC173" t="str">
            <v/>
          </cell>
          <cell r="AD173">
            <v>39345</v>
          </cell>
          <cell r="AE173">
            <v>39294</v>
          </cell>
          <cell r="AF173" t="str">
            <v/>
          </cell>
          <cell r="AG173">
            <v>39464</v>
          </cell>
          <cell r="AH173">
            <v>39611</v>
          </cell>
          <cell r="AI173" t="str">
            <v/>
          </cell>
          <cell r="AJ173">
            <v>39845</v>
          </cell>
          <cell r="AK173" t="str">
            <v/>
          </cell>
          <cell r="AL173">
            <v>0</v>
          </cell>
          <cell r="AM173" t="str">
            <v/>
          </cell>
          <cell r="AN173">
            <v>14</v>
          </cell>
          <cell r="AO173">
            <v>40269</v>
          </cell>
          <cell r="AP173">
            <v>40284</v>
          </cell>
          <cell r="AQ173" t="str">
            <v/>
          </cell>
          <cell r="AR173">
            <v>2010</v>
          </cell>
          <cell r="BK173">
            <v>0</v>
          </cell>
          <cell r="BL173">
            <v>6.03</v>
          </cell>
          <cell r="CJ173" t="str">
            <v>-</v>
          </cell>
          <cell r="CK173" t="str">
            <v>-</v>
          </cell>
          <cell r="CL173" t="str">
            <v>-</v>
          </cell>
          <cell r="CM173" t="str">
            <v>-</v>
          </cell>
          <cell r="CN173">
            <v>0</v>
          </cell>
          <cell r="CO173" t="str">
            <v>217 undercies</v>
          </cell>
          <cell r="CQ173" t="str">
            <v>non</v>
          </cell>
          <cell r="CX173">
            <v>0</v>
          </cell>
          <cell r="DE173">
            <v>0</v>
          </cell>
          <cell r="DJ173">
            <v>0</v>
          </cell>
          <cell r="DO173">
            <v>0</v>
          </cell>
          <cell r="DS173">
            <v>0</v>
          </cell>
          <cell r="DT173">
            <v>0</v>
          </cell>
          <cell r="DU173">
            <v>0</v>
          </cell>
          <cell r="ED173" t="str">
            <v>G:\Habitat\OPERATIONNEL HABITAT\02- Operations\Photothèque\images locatifs\Malte\Malte.jpg</v>
          </cell>
          <cell r="EE173" t="str">
            <v>G:\Habitat\OPERATIONNEL HABITAT\02- Operations\Photothèque\images locatifs\Malte\Malte (2).jpg</v>
          </cell>
        </row>
        <row r="174">
          <cell r="A174" t="str">
            <v>MALTE 3</v>
          </cell>
          <cell r="C174" t="str">
            <v>OUEST</v>
          </cell>
          <cell r="D174" t="str">
            <v>Saint-Paul</v>
          </cell>
          <cell r="E174" t="str">
            <v>RHI BOUILLON</v>
          </cell>
          <cell r="F174">
            <v>10</v>
          </cell>
          <cell r="G174" t="str">
            <v>LLTS</v>
          </cell>
          <cell r="J174" t="str">
            <v>MV</v>
          </cell>
          <cell r="K174" t="str">
            <v>CF</v>
          </cell>
          <cell r="L174" t="str">
            <v>SIDR</v>
          </cell>
          <cell r="N174" t="str">
            <v>JEM</v>
          </cell>
          <cell r="O174" t="str">
            <v>PE</v>
          </cell>
          <cell r="Q174" t="str">
            <v>AR</v>
          </cell>
          <cell r="R174">
            <v>2010</v>
          </cell>
          <cell r="T174" t="str">
            <v>Aménageur SIDR rencontre des difficultés sur la libération de l'emprise</v>
          </cell>
          <cell r="U174" t="str">
            <v>procedure formalisée</v>
          </cell>
          <cell r="V174" t="str">
            <v>A - NON LANCE</v>
          </cell>
          <cell r="X174" t="str">
            <v/>
          </cell>
          <cell r="AA174" t="str">
            <v/>
          </cell>
          <cell r="AC174" t="str">
            <v/>
          </cell>
          <cell r="AF174" t="str">
            <v/>
          </cell>
          <cell r="AI174" t="str">
            <v/>
          </cell>
          <cell r="AK174" t="str">
            <v/>
          </cell>
          <cell r="AL174">
            <v>0</v>
          </cell>
          <cell r="AM174" t="str">
            <v/>
          </cell>
          <cell r="AO174" t="str">
            <v/>
          </cell>
          <cell r="AP174" t="str">
            <v/>
          </cell>
          <cell r="AQ174" t="str">
            <v/>
          </cell>
          <cell r="CJ174" t="str">
            <v>-</v>
          </cell>
          <cell r="CK174" t="str">
            <v>-</v>
          </cell>
          <cell r="CL174" t="str">
            <v>-</v>
          </cell>
          <cell r="CM174" t="str">
            <v>-</v>
          </cell>
          <cell r="CN174">
            <v>0</v>
          </cell>
          <cell r="CP174" t="str">
            <v>ANRU St Denis</v>
          </cell>
          <cell r="CQ174" t="str">
            <v>non</v>
          </cell>
          <cell r="CX174">
            <v>0</v>
          </cell>
          <cell r="DE174">
            <v>0</v>
          </cell>
          <cell r="DJ174">
            <v>0</v>
          </cell>
          <cell r="DO174">
            <v>0</v>
          </cell>
          <cell r="DS174">
            <v>0</v>
          </cell>
          <cell r="DT174">
            <v>0</v>
          </cell>
          <cell r="DU174">
            <v>0</v>
          </cell>
          <cell r="ED174" t="str">
            <v>G:\Habitat\OPERATIONNEL HABITAT\02- Operations\Photothèque\images locatifs\Malte\Malte.jpg</v>
          </cell>
          <cell r="EE174" t="str">
            <v>G:\Habitat\OPERATIONNEL HABITAT\02- Operations\Photothèque\image non disponible.jpg</v>
          </cell>
        </row>
        <row r="175">
          <cell r="A175" t="str">
            <v>MARE A POULES D'EAU</v>
          </cell>
          <cell r="B175">
            <v>9699</v>
          </cell>
          <cell r="C175" t="str">
            <v>EST</v>
          </cell>
          <cell r="D175" t="str">
            <v>Salazie</v>
          </cell>
          <cell r="E175" t="str">
            <v>MARE A POULES D'EAU</v>
          </cell>
          <cell r="F175">
            <v>14</v>
          </cell>
          <cell r="G175" t="str">
            <v>LLS</v>
          </cell>
          <cell r="J175" t="str">
            <v>MV</v>
          </cell>
          <cell r="K175" t="str">
            <v>ACQ</v>
          </cell>
          <cell r="L175" t="str">
            <v>SIDR</v>
          </cell>
          <cell r="M175" t="str">
            <v>maitrisé</v>
          </cell>
          <cell r="N175" t="str">
            <v>JPM</v>
          </cell>
          <cell r="O175" t="str">
            <v>PE</v>
          </cell>
          <cell r="P175" t="str">
            <v>CC</v>
          </cell>
          <cell r="R175">
            <v>2007</v>
          </cell>
          <cell r="S175">
            <v>1</v>
          </cell>
          <cell r="T175" t="str">
            <v>libération emprise à voir avec aménagement</v>
          </cell>
          <cell r="U175" t="str">
            <v>BERTIN LEBEIGLE</v>
          </cell>
          <cell r="V175" t="str">
            <v>J - PREPARATION MARCHES</v>
          </cell>
          <cell r="W175">
            <v>38989</v>
          </cell>
          <cell r="X175" t="str">
            <v>d</v>
          </cell>
          <cell r="Y175" t="str">
            <v>97442106A0099</v>
          </cell>
          <cell r="Z175">
            <v>39258</v>
          </cell>
          <cell r="AA175" t="str">
            <v>o</v>
          </cell>
          <cell r="AB175">
            <v>39274</v>
          </cell>
          <cell r="AC175" t="str">
            <v>v</v>
          </cell>
          <cell r="AD175">
            <v>39345</v>
          </cell>
          <cell r="AE175">
            <v>39294</v>
          </cell>
          <cell r="AF175" t="str">
            <v>f</v>
          </cell>
          <cell r="AG175">
            <v>39464</v>
          </cell>
          <cell r="AH175">
            <v>39611</v>
          </cell>
          <cell r="AI175" t="str">
            <v>ao</v>
          </cell>
          <cell r="AJ175">
            <v>39845</v>
          </cell>
          <cell r="AK175" t="str">
            <v>ch</v>
          </cell>
          <cell r="AL175">
            <v>7.6933193056286164</v>
          </cell>
          <cell r="AM175">
            <v>2009</v>
          </cell>
          <cell r="AN175">
            <v>14</v>
          </cell>
          <cell r="AO175">
            <v>40269</v>
          </cell>
          <cell r="AP175">
            <v>40284</v>
          </cell>
          <cell r="AQ175" t="str">
            <v/>
          </cell>
          <cell r="AR175">
            <v>2010</v>
          </cell>
          <cell r="BK175">
            <v>0</v>
          </cell>
          <cell r="BL175">
            <v>6.03</v>
          </cell>
          <cell r="CJ175" t="str">
            <v>SNC Salazie 2</v>
          </cell>
          <cell r="CK175" t="str">
            <v>INFI</v>
          </cell>
          <cell r="CL175">
            <v>39650</v>
          </cell>
          <cell r="CM175" t="str">
            <v>-</v>
          </cell>
          <cell r="CN175">
            <v>0</v>
          </cell>
          <cell r="CO175" t="str">
            <v>217 undercies</v>
          </cell>
          <cell r="CQ175" t="str">
            <v>non</v>
          </cell>
          <cell r="CX175">
            <v>0</v>
          </cell>
          <cell r="DE175">
            <v>0</v>
          </cell>
          <cell r="DJ175">
            <v>0</v>
          </cell>
          <cell r="DO175">
            <v>0</v>
          </cell>
          <cell r="DS175">
            <v>0</v>
          </cell>
          <cell r="DT175">
            <v>0</v>
          </cell>
          <cell r="DU175">
            <v>0</v>
          </cell>
          <cell r="ED175" t="str">
            <v>G:\Habitat\OPERATIONNEL HABITAT\02- Operations\Photothèque\image non disponible.jpg</v>
          </cell>
          <cell r="EE175" t="str">
            <v>G:\Habitat\OPERATIONNEL HABITAT\02- Operations\Photothèque\image non disponible.jpg</v>
          </cell>
        </row>
        <row r="176">
          <cell r="A176" t="str">
            <v>MONDON</v>
          </cell>
          <cell r="C176" t="str">
            <v>NORD</v>
          </cell>
          <cell r="D176" t="str">
            <v>Saint-Denis</v>
          </cell>
          <cell r="E176" t="str">
            <v>BOULEVARD MONDON</v>
          </cell>
          <cell r="F176">
            <v>60</v>
          </cell>
          <cell r="G176" t="str">
            <v>LLTS</v>
          </cell>
          <cell r="J176" t="str">
            <v>COL</v>
          </cell>
          <cell r="K176" t="str">
            <v>CF</v>
          </cell>
          <cell r="L176" t="str">
            <v>SIDR</v>
          </cell>
          <cell r="N176" t="str">
            <v>JPM</v>
          </cell>
          <cell r="O176" t="str">
            <v>PE</v>
          </cell>
          <cell r="Q176" t="str">
            <v>AR</v>
          </cell>
          <cell r="R176">
            <v>2011</v>
          </cell>
          <cell r="S176">
            <v>0</v>
          </cell>
          <cell r="T176" t="str">
            <v>Périmètre ANRU - Secteur Camélias/Vauban - PLU Ui - 7 familles à reloger sur le secteur dont 5 en LES - libération des emprises des terrains.</v>
          </cell>
          <cell r="U176" t="str">
            <v>procedure formalisée</v>
          </cell>
          <cell r="V176" t="str">
            <v>A - NON LANCE</v>
          </cell>
          <cell r="X176" t="str">
            <v/>
          </cell>
          <cell r="AA176" t="str">
            <v/>
          </cell>
          <cell r="AC176" t="str">
            <v/>
          </cell>
          <cell r="AF176" t="str">
            <v/>
          </cell>
          <cell r="AI176" t="str">
            <v/>
          </cell>
          <cell r="AK176" t="str">
            <v/>
          </cell>
          <cell r="AL176">
            <v>0</v>
          </cell>
          <cell r="AM176" t="str">
            <v/>
          </cell>
          <cell r="AO176" t="str">
            <v/>
          </cell>
          <cell r="AP176" t="str">
            <v/>
          </cell>
          <cell r="AQ176" t="str">
            <v/>
          </cell>
          <cell r="BK176">
            <v>0</v>
          </cell>
          <cell r="CJ176" t="str">
            <v>-</v>
          </cell>
          <cell r="CK176" t="str">
            <v>-</v>
          </cell>
          <cell r="CL176" t="str">
            <v>-</v>
          </cell>
          <cell r="CM176" t="str">
            <v>-</v>
          </cell>
          <cell r="CN176">
            <v>0</v>
          </cell>
          <cell r="CP176" t="str">
            <v>ANRU St Denis</v>
          </cell>
          <cell r="CQ176" t="str">
            <v>non</v>
          </cell>
          <cell r="CX176">
            <v>0</v>
          </cell>
          <cell r="DE176">
            <v>0</v>
          </cell>
          <cell r="DJ176">
            <v>0</v>
          </cell>
          <cell r="DO176">
            <v>0</v>
          </cell>
          <cell r="DS176">
            <v>0</v>
          </cell>
          <cell r="DT176">
            <v>0</v>
          </cell>
          <cell r="DU176">
            <v>0</v>
          </cell>
          <cell r="ED176" t="str">
            <v>G:\Habitat\OPERATIONNEL HABITAT\02- Operations\Photothèque\image non disponible.jpg</v>
          </cell>
          <cell r="EE176" t="str">
            <v>G:\Habitat\OPERATIONNEL HABITAT\02- Operations\Photothèque\image non disponible.jpg</v>
          </cell>
          <cell r="EX176" t="str">
            <v>DM 544-655</v>
          </cell>
        </row>
        <row r="177">
          <cell r="A177" t="str">
            <v>MONTSERRAT</v>
          </cell>
          <cell r="B177" t="str">
            <v>xxxx</v>
          </cell>
          <cell r="C177" t="str">
            <v>NORD</v>
          </cell>
          <cell r="D177" t="str">
            <v>Saint-Denis</v>
          </cell>
          <cell r="E177" t="str">
            <v>LA MONTAGNE</v>
          </cell>
          <cell r="F177">
            <v>16</v>
          </cell>
          <cell r="G177" t="str">
            <v>LESG</v>
          </cell>
          <cell r="J177" t="str">
            <v>IND</v>
          </cell>
          <cell r="K177" t="str">
            <v>CF</v>
          </cell>
          <cell r="L177" t="str">
            <v>SIDR</v>
          </cell>
          <cell r="N177" t="str">
            <v>BS</v>
          </cell>
          <cell r="O177" t="str">
            <v>Jmo</v>
          </cell>
          <cell r="Q177" t="str">
            <v>AR</v>
          </cell>
          <cell r="R177">
            <v>2012</v>
          </cell>
          <cell r="U177" t="str">
            <v>procedure formalisée</v>
          </cell>
          <cell r="V177" t="str">
            <v>B - ETUDE PRE-OP</v>
          </cell>
          <cell r="X177" t="str">
            <v/>
          </cell>
          <cell r="AA177" t="str">
            <v/>
          </cell>
          <cell r="AC177" t="str">
            <v/>
          </cell>
          <cell r="AF177" t="str">
            <v/>
          </cell>
          <cell r="AI177" t="str">
            <v/>
          </cell>
          <cell r="AK177" t="str">
            <v/>
          </cell>
          <cell r="AL177">
            <v>0</v>
          </cell>
          <cell r="AM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CJ177" t="str">
            <v>-</v>
          </cell>
          <cell r="CK177" t="str">
            <v>-</v>
          </cell>
          <cell r="CL177" t="str">
            <v>-</v>
          </cell>
          <cell r="CM177" t="str">
            <v>-</v>
          </cell>
          <cell r="CN177">
            <v>0</v>
          </cell>
          <cell r="CQ177" t="str">
            <v>non</v>
          </cell>
          <cell r="CX177">
            <v>0</v>
          </cell>
          <cell r="DE177">
            <v>0</v>
          </cell>
          <cell r="DJ177">
            <v>0</v>
          </cell>
          <cell r="DO177">
            <v>0</v>
          </cell>
          <cell r="DS177">
            <v>0</v>
          </cell>
          <cell r="DT177">
            <v>0</v>
          </cell>
          <cell r="DU177">
            <v>0</v>
          </cell>
          <cell r="ED177" t="str">
            <v>G:\Habitat\OPERATIONNEL HABITAT\02- Operations\Photothèque\image non disponible.jpg</v>
          </cell>
          <cell r="EE177" t="str">
            <v>G:\Habitat\OPERATIONNEL HABITAT\02- Operations\Photothèque\image non disponible.jpg</v>
          </cell>
          <cell r="EX177" t="str">
            <v>EL 57</v>
          </cell>
        </row>
        <row r="178">
          <cell r="A178" t="str">
            <v>MONTSERRAT b</v>
          </cell>
          <cell r="C178" t="str">
            <v>NORD</v>
          </cell>
          <cell r="D178" t="str">
            <v>Saint-Denis</v>
          </cell>
          <cell r="E178" t="str">
            <v>LA MONTAGNE</v>
          </cell>
          <cell r="F178">
            <v>57</v>
          </cell>
          <cell r="G178" t="str">
            <v>LLTS</v>
          </cell>
          <cell r="J178" t="str">
            <v>MIXT</v>
          </cell>
          <cell r="K178" t="str">
            <v>CF</v>
          </cell>
          <cell r="L178" t="str">
            <v>SIDR</v>
          </cell>
          <cell r="M178" t="str">
            <v>autres</v>
          </cell>
          <cell r="N178" t="str">
            <v>N.A.</v>
          </cell>
          <cell r="P178" t="str">
            <v>CC</v>
          </cell>
          <cell r="Q178" t="str">
            <v>AR</v>
          </cell>
          <cell r="R178">
            <v>2012</v>
          </cell>
          <cell r="S178">
            <v>0</v>
          </cell>
          <cell r="T178" t="str">
            <v>pb financt amenagement - Terrain en pente. FRAFU secondaire à mobilisé. Surcharge foncière éventuelle / convention à hauteur de 30 %. Etudes faisabilités réalisées. Réseau primaire réalisé par la CINOR. Pb de viabilisation</v>
          </cell>
          <cell r="U178" t="str">
            <v>Equation</v>
          </cell>
          <cell r="V178" t="str">
            <v>B - ETUDE PRE-OP</v>
          </cell>
          <cell r="X178" t="str">
            <v/>
          </cell>
          <cell r="Z178" t="str">
            <v>obtenu</v>
          </cell>
          <cell r="AA178" t="str">
            <v/>
          </cell>
          <cell r="AB178">
            <v>39708</v>
          </cell>
          <cell r="AC178" t="str">
            <v/>
          </cell>
          <cell r="AD178">
            <v>39710</v>
          </cell>
          <cell r="AF178" t="str">
            <v/>
          </cell>
          <cell r="AH178">
            <v>39553</v>
          </cell>
          <cell r="AI178" t="str">
            <v/>
          </cell>
          <cell r="AJ178">
            <v>39736</v>
          </cell>
          <cell r="AK178" t="str">
            <v/>
          </cell>
          <cell r="AL178">
            <v>0</v>
          </cell>
          <cell r="AM178" t="str">
            <v/>
          </cell>
          <cell r="AN178">
            <v>20</v>
          </cell>
          <cell r="AO178" t="str">
            <v/>
          </cell>
          <cell r="AP178" t="str">
            <v/>
          </cell>
          <cell r="AQ178" t="str">
            <v/>
          </cell>
          <cell r="AR178">
            <v>2010</v>
          </cell>
          <cell r="BK178">
            <v>0</v>
          </cell>
          <cell r="CJ178" t="str">
            <v>-</v>
          </cell>
          <cell r="CK178" t="str">
            <v>-</v>
          </cell>
          <cell r="CL178" t="str">
            <v>-</v>
          </cell>
          <cell r="CM178" t="str">
            <v>-</v>
          </cell>
          <cell r="CN178">
            <v>0</v>
          </cell>
          <cell r="CQ178" t="str">
            <v>non</v>
          </cell>
          <cell r="CX178">
            <v>0</v>
          </cell>
          <cell r="DE178">
            <v>0</v>
          </cell>
          <cell r="DJ178">
            <v>0</v>
          </cell>
          <cell r="DO178">
            <v>0</v>
          </cell>
          <cell r="DS178">
            <v>0</v>
          </cell>
          <cell r="DT178">
            <v>0</v>
          </cell>
          <cell r="DU178">
            <v>0</v>
          </cell>
          <cell r="DV178" t="str">
            <v>OCEANIS</v>
          </cell>
          <cell r="ED178" t="str">
            <v>G:\Habitat\OPERATIONNEL HABITAT\02- Operations\Photothèque\image non disponible.jpg</v>
          </cell>
          <cell r="EE178" t="str">
            <v>G:\Habitat\OPERATIONNEL HABITAT\02- Operations\Photothèque\image non disponible.jpg</v>
          </cell>
          <cell r="EX178" t="str">
            <v>EL 57</v>
          </cell>
        </row>
        <row r="179">
          <cell r="A179" t="str">
            <v>MURANO ex CAPRI 2</v>
          </cell>
          <cell r="B179">
            <v>9733</v>
          </cell>
          <cell r="C179" t="str">
            <v>EST</v>
          </cell>
          <cell r="D179" t="str">
            <v>Saint-Benoît</v>
          </cell>
          <cell r="E179" t="str">
            <v>ZAC ENTREE DE VILLE ST ANNE</v>
          </cell>
          <cell r="F179">
            <v>60</v>
          </cell>
          <cell r="G179" t="str">
            <v>LLTS</v>
          </cell>
          <cell r="J179" t="str">
            <v>COL</v>
          </cell>
          <cell r="K179" t="str">
            <v>CF</v>
          </cell>
          <cell r="L179" t="str">
            <v>SIDR</v>
          </cell>
          <cell r="N179" t="str">
            <v>Cla</v>
          </cell>
          <cell r="O179" t="str">
            <v>Jmo</v>
          </cell>
          <cell r="P179" t="str">
            <v>NA</v>
          </cell>
          <cell r="Q179" t="str">
            <v>AR</v>
          </cell>
          <cell r="R179">
            <v>2010</v>
          </cell>
          <cell r="T179" t="str">
            <v>Conditionné par l'acquisition foncière (voir SIDR aménagement)</v>
          </cell>
          <cell r="U179" t="str">
            <v>procedure formalisée</v>
          </cell>
          <cell r="V179" t="str">
            <v>A - NON LANCE</v>
          </cell>
          <cell r="W179">
            <v>38167</v>
          </cell>
          <cell r="X179" t="str">
            <v/>
          </cell>
          <cell r="Z179">
            <v>38315</v>
          </cell>
          <cell r="AA179" t="str">
            <v/>
          </cell>
          <cell r="AB179">
            <v>39337</v>
          </cell>
          <cell r="AC179" t="str">
            <v/>
          </cell>
          <cell r="AD179" t="str">
            <v>v</v>
          </cell>
          <cell r="AF179" t="str">
            <v/>
          </cell>
          <cell r="AH179">
            <v>38443</v>
          </cell>
          <cell r="AI179" t="str">
            <v/>
          </cell>
          <cell r="AJ179">
            <v>38534</v>
          </cell>
          <cell r="AK179" t="str">
            <v/>
          </cell>
          <cell r="AL179">
            <v>0</v>
          </cell>
          <cell r="AM179" t="str">
            <v/>
          </cell>
          <cell r="AN179">
            <v>16</v>
          </cell>
          <cell r="AO179">
            <v>39022</v>
          </cell>
          <cell r="AP179">
            <v>39037</v>
          </cell>
          <cell r="AQ179" t="str">
            <v/>
          </cell>
          <cell r="AR179">
            <v>2012</v>
          </cell>
          <cell r="CJ179" t="str">
            <v>-</v>
          </cell>
          <cell r="CK179" t="str">
            <v>-</v>
          </cell>
          <cell r="CL179" t="str">
            <v>-</v>
          </cell>
          <cell r="CM179" t="str">
            <v>-</v>
          </cell>
          <cell r="CN179">
            <v>0</v>
          </cell>
          <cell r="CQ179" t="str">
            <v>non</v>
          </cell>
          <cell r="CX179">
            <v>0</v>
          </cell>
          <cell r="DE179">
            <v>0</v>
          </cell>
          <cell r="DJ179">
            <v>0</v>
          </cell>
          <cell r="DO179">
            <v>0</v>
          </cell>
          <cell r="DS179">
            <v>0</v>
          </cell>
          <cell r="DT179">
            <v>0</v>
          </cell>
          <cell r="DU179">
            <v>0</v>
          </cell>
          <cell r="ED179" t="str">
            <v>G:\Habitat\OPERATIONNEL HABITAT\02- Operations\Photothèque\image non disponible.jpg</v>
          </cell>
          <cell r="EE179" t="str">
            <v>G:\Habitat\OPERATIONNEL HABITAT\02- Operations\Photothèque\image non disponible.jpg</v>
          </cell>
        </row>
        <row r="180">
          <cell r="A180" t="str">
            <v>OISEAUX DU PARADIS</v>
          </cell>
          <cell r="B180">
            <v>9555</v>
          </cell>
          <cell r="C180" t="str">
            <v>NORD</v>
          </cell>
          <cell r="D180" t="str">
            <v>Saint-Denis</v>
          </cell>
          <cell r="E180" t="str">
            <v>BOURBIER LES BAS</v>
          </cell>
          <cell r="F180">
            <v>63</v>
          </cell>
          <cell r="G180" t="str">
            <v>LLS</v>
          </cell>
          <cell r="J180" t="str">
            <v>COL</v>
          </cell>
          <cell r="K180" t="str">
            <v>ACQ</v>
          </cell>
          <cell r="L180" t="str">
            <v>autres</v>
          </cell>
          <cell r="M180" t="str">
            <v>autres</v>
          </cell>
          <cell r="N180" t="str">
            <v>PC</v>
          </cell>
          <cell r="O180" t="str">
            <v>JH</v>
          </cell>
          <cell r="P180" t="str">
            <v>CC</v>
          </cell>
          <cell r="R180">
            <v>2009</v>
          </cell>
          <cell r="S180">
            <v>1</v>
          </cell>
          <cell r="T180" t="str">
            <v>OCEANIS</v>
          </cell>
          <cell r="U180" t="str">
            <v>Equation</v>
          </cell>
          <cell r="V180" t="str">
            <v>J - PREPARATION MARCHES</v>
          </cell>
          <cell r="X180" t="str">
            <v/>
          </cell>
          <cell r="Y180" t="str">
            <v>97441005A0280M</v>
          </cell>
          <cell r="Z180" t="str">
            <v>obtenu</v>
          </cell>
          <cell r="AA180" t="str">
            <v/>
          </cell>
          <cell r="AB180">
            <v>39708</v>
          </cell>
          <cell r="AC180" t="str">
            <v>v</v>
          </cell>
          <cell r="AD180">
            <v>39710</v>
          </cell>
          <cell r="AF180" t="str">
            <v/>
          </cell>
          <cell r="AH180">
            <v>39553</v>
          </cell>
          <cell r="AI180" t="str">
            <v>ao</v>
          </cell>
          <cell r="AJ180">
            <v>39736</v>
          </cell>
          <cell r="AK180" t="str">
            <v>ch</v>
          </cell>
          <cell r="AL180">
            <v>6.0165702261967384</v>
          </cell>
          <cell r="AM180">
            <v>2008</v>
          </cell>
          <cell r="AN180">
            <v>20</v>
          </cell>
          <cell r="AO180">
            <v>40344</v>
          </cell>
          <cell r="AP180">
            <v>40359</v>
          </cell>
          <cell r="AQ180" t="str">
            <v/>
          </cell>
          <cell r="AR180">
            <v>2010</v>
          </cell>
          <cell r="CJ180" t="str">
            <v>-</v>
          </cell>
          <cell r="CK180" t="str">
            <v>ALCYOM</v>
          </cell>
          <cell r="CL180" t="str">
            <v>-</v>
          </cell>
          <cell r="CM180" t="str">
            <v>-</v>
          </cell>
          <cell r="CN180">
            <v>0</v>
          </cell>
          <cell r="CQ180" t="str">
            <v>non</v>
          </cell>
          <cell r="CX180">
            <v>0</v>
          </cell>
          <cell r="DE180">
            <v>0</v>
          </cell>
          <cell r="DJ180">
            <v>0</v>
          </cell>
          <cell r="DO180">
            <v>0</v>
          </cell>
          <cell r="DS180">
            <v>0</v>
          </cell>
          <cell r="DT180">
            <v>0</v>
          </cell>
          <cell r="DU180">
            <v>0</v>
          </cell>
          <cell r="DV180" t="str">
            <v>OCEANIS</v>
          </cell>
          <cell r="ED180" t="str">
            <v>G:\Habitat\OPERATIONNEL HABITAT\02- Operations\Photothèque\image non disponible.jpg</v>
          </cell>
          <cell r="EE180" t="str">
            <v>G:\Habitat\OPERATIONNEL HABITAT\02- Operations\Photothèque\image non disponible.jpg</v>
          </cell>
        </row>
        <row r="181">
          <cell r="A181" t="str">
            <v>OLYMPE 1</v>
          </cell>
          <cell r="B181">
            <v>9555</v>
          </cell>
          <cell r="C181" t="str">
            <v>EST</v>
          </cell>
          <cell r="D181" t="str">
            <v>Saint-Benoît</v>
          </cell>
          <cell r="E181" t="str">
            <v>BOURBIER LES BAS</v>
          </cell>
          <cell r="F181">
            <v>14</v>
          </cell>
          <cell r="G181" t="str">
            <v>ACC</v>
          </cell>
          <cell r="J181" t="str">
            <v>IND</v>
          </cell>
          <cell r="K181" t="str">
            <v>RF</v>
          </cell>
          <cell r="L181" t="str">
            <v>SEMAC</v>
          </cell>
          <cell r="N181" t="str">
            <v>PC</v>
          </cell>
          <cell r="O181" t="str">
            <v>JH</v>
          </cell>
          <cell r="P181" t="str">
            <v>NA</v>
          </cell>
          <cell r="R181">
            <v>2005</v>
          </cell>
          <cell r="T181" t="str">
            <v>visite GPA ok</v>
          </cell>
          <cell r="U181" t="str">
            <v>RAVAUX</v>
          </cell>
          <cell r="V181" t="str">
            <v>M - LIVRE/GPA</v>
          </cell>
          <cell r="W181">
            <v>38167</v>
          </cell>
          <cell r="X181" t="str">
            <v>d</v>
          </cell>
          <cell r="Y181" t="str">
            <v>97410 02a0297</v>
          </cell>
          <cell r="Z181">
            <v>38315</v>
          </cell>
          <cell r="AA181" t="str">
            <v>o</v>
          </cell>
          <cell r="AB181">
            <v>39337</v>
          </cell>
          <cell r="AC181" t="str">
            <v>v</v>
          </cell>
          <cell r="AD181" t="str">
            <v>v</v>
          </cell>
          <cell r="AE181">
            <v>37540</v>
          </cell>
          <cell r="AF181" t="str">
            <v/>
          </cell>
          <cell r="AG181" t="str">
            <v>O</v>
          </cell>
          <cell r="AH181">
            <v>38443</v>
          </cell>
          <cell r="AI181" t="str">
            <v>ao</v>
          </cell>
          <cell r="AJ181">
            <v>38534</v>
          </cell>
          <cell r="AK181" t="str">
            <v/>
          </cell>
          <cell r="AL181">
            <v>2.9918463966333508</v>
          </cell>
          <cell r="AM181">
            <v>2005</v>
          </cell>
          <cell r="AN181">
            <v>16</v>
          </cell>
          <cell r="AO181">
            <v>39022</v>
          </cell>
          <cell r="AP181">
            <v>39037</v>
          </cell>
          <cell r="AQ181" t="str">
            <v>li</v>
          </cell>
          <cell r="AR181">
            <v>2006</v>
          </cell>
          <cell r="AS181">
            <v>1</v>
          </cell>
          <cell r="AT181">
            <v>36</v>
          </cell>
          <cell r="AU181">
            <v>17</v>
          </cell>
          <cell r="AV181">
            <v>58</v>
          </cell>
          <cell r="AW181">
            <v>30</v>
          </cell>
          <cell r="AX181">
            <v>72</v>
          </cell>
          <cell r="AY181">
            <v>9</v>
          </cell>
          <cell r="AZ181">
            <v>88</v>
          </cell>
          <cell r="BA181">
            <v>3</v>
          </cell>
          <cell r="BB181">
            <v>97</v>
          </cell>
          <cell r="BK181">
            <v>60</v>
          </cell>
          <cell r="BL181">
            <v>3.87</v>
          </cell>
          <cell r="BM181">
            <v>0.75</v>
          </cell>
          <cell r="BN181">
            <v>0.2</v>
          </cell>
          <cell r="BO181" t="str">
            <v>signée</v>
          </cell>
          <cell r="BP181">
            <v>0.8</v>
          </cell>
          <cell r="BQ181" t="str">
            <v>signée</v>
          </cell>
          <cell r="BR181" t="str">
            <v>CG</v>
          </cell>
          <cell r="BS181">
            <v>0.15</v>
          </cell>
          <cell r="BT181" t="str">
            <v>signée</v>
          </cell>
          <cell r="BU181" t="str">
            <v>CAF</v>
          </cell>
          <cell r="BV181">
            <v>0.15</v>
          </cell>
          <cell r="BW181" t="str">
            <v>oui</v>
          </cell>
          <cell r="BX181" t="str">
            <v>signé</v>
          </cell>
          <cell r="CA181">
            <v>4362</v>
          </cell>
          <cell r="CE181" t="str">
            <v>ECS ind</v>
          </cell>
          <cell r="CF181">
            <v>145697</v>
          </cell>
          <cell r="CG181">
            <v>43709</v>
          </cell>
          <cell r="CH181">
            <v>65563</v>
          </cell>
          <cell r="CI181">
            <v>36424</v>
          </cell>
          <cell r="CJ181" t="str">
            <v>-</v>
          </cell>
          <cell r="CK181" t="str">
            <v>-</v>
          </cell>
          <cell r="CL181" t="str">
            <v>-</v>
          </cell>
          <cell r="CM181" t="str">
            <v>-</v>
          </cell>
          <cell r="CN181">
            <v>0</v>
          </cell>
          <cell r="CQ181" t="str">
            <v>oui</v>
          </cell>
          <cell r="CR181">
            <v>410835</v>
          </cell>
          <cell r="CT181">
            <v>3483380</v>
          </cell>
          <cell r="CX181">
            <v>0</v>
          </cell>
          <cell r="DE181">
            <v>0</v>
          </cell>
          <cell r="DJ181">
            <v>0</v>
          </cell>
          <cell r="DO181">
            <v>0</v>
          </cell>
          <cell r="DQ181">
            <v>198925</v>
          </cell>
          <cell r="DR181">
            <v>32500</v>
          </cell>
          <cell r="DS181">
            <v>0</v>
          </cell>
          <cell r="DT181">
            <v>0</v>
          </cell>
          <cell r="DU181">
            <v>0</v>
          </cell>
          <cell r="ED181" t="str">
            <v>G:\Habitat\OPERATIONNEL HABITAT\02- Operations\Photothèque\images accession\Villas Olympe\Une.jpg</v>
          </cell>
          <cell r="EE181" t="str">
            <v>G:\Habitat\OPERATIONNEL HABITAT\02- Operations\Photothèque\images accession\Villas Olympe\P.2.jpg</v>
          </cell>
        </row>
        <row r="182">
          <cell r="A182" t="str">
            <v>OLYMPE 2</v>
          </cell>
          <cell r="B182">
            <v>9555</v>
          </cell>
          <cell r="C182" t="str">
            <v>EST</v>
          </cell>
          <cell r="D182" t="str">
            <v>Saint-Benoît</v>
          </cell>
          <cell r="E182" t="str">
            <v>BOURBIER LES BAS</v>
          </cell>
          <cell r="F182">
            <v>6</v>
          </cell>
          <cell r="G182" t="str">
            <v>ACC</v>
          </cell>
          <cell r="H182" t="str">
            <v>signé</v>
          </cell>
          <cell r="I182" t="str">
            <v>SG 2005</v>
          </cell>
          <cell r="J182" t="str">
            <v>IND</v>
          </cell>
          <cell r="K182" t="str">
            <v>RF</v>
          </cell>
          <cell r="L182" t="str">
            <v>SIDR</v>
          </cell>
          <cell r="M182" t="str">
            <v>maitrisé</v>
          </cell>
          <cell r="N182" t="str">
            <v>PC</v>
          </cell>
          <cell r="O182" t="str">
            <v>JH</v>
          </cell>
          <cell r="P182" t="str">
            <v>NA</v>
          </cell>
          <cell r="Q182" t="str">
            <v>SM</v>
          </cell>
          <cell r="R182">
            <v>2007</v>
          </cell>
          <cell r="S182">
            <v>1</v>
          </cell>
          <cell r="T182" t="str">
            <v>retard tx/livraison 2008 2 logts</v>
          </cell>
          <cell r="U182" t="str">
            <v>RAVAUX</v>
          </cell>
          <cell r="V182" t="str">
            <v>L - CHANTIER EN COURS</v>
          </cell>
          <cell r="W182">
            <v>38553</v>
          </cell>
          <cell r="X182" t="str">
            <v/>
          </cell>
          <cell r="Y182" t="str">
            <v>97441005A0280M</v>
          </cell>
          <cell r="Z182">
            <v>39008</v>
          </cell>
          <cell r="AA182" t="str">
            <v>o</v>
          </cell>
          <cell r="AB182">
            <v>39261</v>
          </cell>
          <cell r="AC182" t="str">
            <v>v</v>
          </cell>
          <cell r="AD182" t="str">
            <v>v</v>
          </cell>
          <cell r="AE182">
            <v>38553</v>
          </cell>
          <cell r="AF182" t="str">
            <v/>
          </cell>
          <cell r="AG182">
            <v>38722</v>
          </cell>
          <cell r="AH182">
            <v>39295</v>
          </cell>
          <cell r="AI182" t="str">
            <v>ao</v>
          </cell>
          <cell r="AJ182">
            <v>39419</v>
          </cell>
          <cell r="AK182" t="str">
            <v>ch</v>
          </cell>
          <cell r="AL182">
            <v>4.0768016833245664</v>
          </cell>
          <cell r="AM182">
            <v>2007</v>
          </cell>
          <cell r="AN182">
            <v>18</v>
          </cell>
          <cell r="AO182">
            <v>39967</v>
          </cell>
          <cell r="AP182">
            <v>39982</v>
          </cell>
          <cell r="AQ182" t="str">
            <v/>
          </cell>
          <cell r="AR182">
            <v>2009</v>
          </cell>
          <cell r="AW182">
            <v>13</v>
          </cell>
          <cell r="AX182">
            <v>58.92</v>
          </cell>
          <cell r="BA182">
            <v>14</v>
          </cell>
          <cell r="BB182">
            <v>68</v>
          </cell>
          <cell r="BE182">
            <v>3</v>
          </cell>
          <cell r="BF182">
            <v>79.67</v>
          </cell>
          <cell r="BI182">
            <v>2</v>
          </cell>
          <cell r="BJ182">
            <v>89</v>
          </cell>
          <cell r="BK182">
            <v>32</v>
          </cell>
          <cell r="BL182">
            <v>4.3499999999999996</v>
          </cell>
          <cell r="BM182">
            <v>0.82</v>
          </cell>
          <cell r="BN182">
            <v>0.2</v>
          </cell>
          <cell r="BO182" t="str">
            <v>à faire</v>
          </cell>
          <cell r="BP182">
            <v>0.8</v>
          </cell>
          <cell r="BQ182" t="str">
            <v>signée</v>
          </cell>
          <cell r="BR182" t="str">
            <v>CGAL</v>
          </cell>
          <cell r="BT182" t="str">
            <v>signée</v>
          </cell>
          <cell r="BX182" t="str">
            <v>demande à faire</v>
          </cell>
          <cell r="BY182">
            <v>2148</v>
          </cell>
          <cell r="BZ182">
            <v>2940</v>
          </cell>
          <cell r="CA182">
            <v>2226</v>
          </cell>
          <cell r="CE182" t="str">
            <v>ECS ind</v>
          </cell>
          <cell r="CJ182" t="str">
            <v>-</v>
          </cell>
          <cell r="CK182" t="str">
            <v>-</v>
          </cell>
          <cell r="CL182" t="str">
            <v>-</v>
          </cell>
          <cell r="CM182" t="str">
            <v>-</v>
          </cell>
          <cell r="CN182">
            <v>0</v>
          </cell>
          <cell r="CQ182" t="str">
            <v>non</v>
          </cell>
          <cell r="CR182">
            <v>398845</v>
          </cell>
          <cell r="CT182">
            <v>2170322</v>
          </cell>
          <cell r="CX182">
            <v>0</v>
          </cell>
          <cell r="DE182">
            <v>0</v>
          </cell>
          <cell r="DJ182">
            <v>0</v>
          </cell>
          <cell r="DO182">
            <v>0</v>
          </cell>
          <cell r="DQ182">
            <v>58504</v>
          </cell>
          <cell r="DR182">
            <v>25420</v>
          </cell>
          <cell r="DS182">
            <v>0</v>
          </cell>
          <cell r="DT182">
            <v>0</v>
          </cell>
          <cell r="DU182">
            <v>0</v>
          </cell>
          <cell r="ED182" t="str">
            <v>G:\Habitat\OPERATIONNEL HABITAT\02- Operations\Photothèque\images accession\Villas Olympe\Une.jpg</v>
          </cell>
          <cell r="EE182" t="str">
            <v>G:\Habitat\OPERATIONNEL HABITAT\02- Operations\Photothèque\images accession\Villas Olympe\P.2.jpg</v>
          </cell>
        </row>
        <row r="183">
          <cell r="A183" t="str">
            <v>OSIRIS</v>
          </cell>
          <cell r="B183">
            <v>9418</v>
          </cell>
          <cell r="C183" t="str">
            <v>EST</v>
          </cell>
          <cell r="D183" t="str">
            <v>Saint-Benoît</v>
          </cell>
          <cell r="E183" t="str">
            <v>ZAC</v>
          </cell>
          <cell r="F183">
            <v>60</v>
          </cell>
          <cell r="G183" t="str">
            <v>LLTS</v>
          </cell>
          <cell r="J183" t="str">
            <v>COL</v>
          </cell>
          <cell r="K183" t="str">
            <v>CF</v>
          </cell>
          <cell r="L183" t="str">
            <v>SEMAC</v>
          </cell>
          <cell r="M183" t="str">
            <v>maitrisé</v>
          </cell>
          <cell r="N183" t="str">
            <v>CLa</v>
          </cell>
          <cell r="O183" t="str">
            <v>DL</v>
          </cell>
          <cell r="P183" t="str">
            <v>CC</v>
          </cell>
          <cell r="R183">
            <v>2002</v>
          </cell>
          <cell r="T183" t="str">
            <v>ras</v>
          </cell>
          <cell r="U183" t="str">
            <v>JAN</v>
          </cell>
          <cell r="V183" t="str">
            <v>M - LIVRE/GPA</v>
          </cell>
          <cell r="W183">
            <v>37515</v>
          </cell>
          <cell r="X183" t="str">
            <v>d</v>
          </cell>
          <cell r="Y183" t="str">
            <v>97410 02a0297</v>
          </cell>
          <cell r="Z183">
            <v>37644</v>
          </cell>
          <cell r="AA183" t="str">
            <v>o</v>
          </cell>
          <cell r="AB183" t="str">
            <v>validé</v>
          </cell>
          <cell r="AC183" t="str">
            <v/>
          </cell>
          <cell r="AD183">
            <v>39415</v>
          </cell>
          <cell r="AE183">
            <v>37540</v>
          </cell>
          <cell r="AF183" t="str">
            <v>f</v>
          </cell>
          <cell r="AG183" t="str">
            <v>O</v>
          </cell>
          <cell r="AH183">
            <v>38092</v>
          </cell>
          <cell r="AI183" t="str">
            <v>ao</v>
          </cell>
          <cell r="AJ183">
            <v>38306</v>
          </cell>
          <cell r="AK183" t="str">
            <v/>
          </cell>
          <cell r="AL183">
            <v>7.0357706470278796</v>
          </cell>
          <cell r="AM183">
            <v>2004</v>
          </cell>
          <cell r="AN183">
            <v>17</v>
          </cell>
          <cell r="AO183">
            <v>38822</v>
          </cell>
          <cell r="AP183">
            <v>38898</v>
          </cell>
          <cell r="AQ183" t="str">
            <v>li</v>
          </cell>
          <cell r="AR183">
            <v>2006</v>
          </cell>
          <cell r="AS183">
            <v>1</v>
          </cell>
          <cell r="AT183">
            <v>36</v>
          </cell>
          <cell r="AU183">
            <v>17</v>
          </cell>
          <cell r="AV183">
            <v>58</v>
          </cell>
          <cell r="AW183">
            <v>30</v>
          </cell>
          <cell r="AX183">
            <v>72</v>
          </cell>
          <cell r="AY183">
            <v>9</v>
          </cell>
          <cell r="AZ183">
            <v>88</v>
          </cell>
          <cell r="BA183">
            <v>3</v>
          </cell>
          <cell r="BB183">
            <v>97</v>
          </cell>
          <cell r="BK183">
            <v>60</v>
          </cell>
          <cell r="BL183">
            <v>3.87</v>
          </cell>
          <cell r="BM183">
            <v>0.75</v>
          </cell>
          <cell r="BN183">
            <v>0.2</v>
          </cell>
          <cell r="BO183" t="str">
            <v>signée</v>
          </cell>
          <cell r="BP183">
            <v>0.8</v>
          </cell>
          <cell r="BQ183" t="str">
            <v>signée</v>
          </cell>
          <cell r="BR183" t="str">
            <v>CG</v>
          </cell>
          <cell r="BS183">
            <v>0.15</v>
          </cell>
          <cell r="BT183" t="str">
            <v>signée</v>
          </cell>
          <cell r="BU183" t="str">
            <v>CAF</v>
          </cell>
          <cell r="BV183">
            <v>0.15</v>
          </cell>
          <cell r="BW183" t="str">
            <v>oui</v>
          </cell>
          <cell r="BX183" t="str">
            <v>signé</v>
          </cell>
          <cell r="CA183">
            <v>4362</v>
          </cell>
          <cell r="CE183" t="str">
            <v>ECS ind</v>
          </cell>
          <cell r="CF183">
            <v>145697</v>
          </cell>
          <cell r="CG183">
            <v>43709</v>
          </cell>
          <cell r="CH183">
            <v>65563</v>
          </cell>
          <cell r="CI183">
            <v>36424</v>
          </cell>
          <cell r="CJ183" t="str">
            <v>-</v>
          </cell>
          <cell r="CK183" t="str">
            <v>-</v>
          </cell>
          <cell r="CL183" t="str">
            <v>-</v>
          </cell>
          <cell r="CM183" t="str">
            <v>-</v>
          </cell>
          <cell r="CN183">
            <v>0</v>
          </cell>
          <cell r="CQ183" t="str">
            <v>oui</v>
          </cell>
          <cell r="CR183">
            <v>410835</v>
          </cell>
          <cell r="CT183">
            <v>3483380</v>
          </cell>
          <cell r="CX183">
            <v>3894215</v>
          </cell>
          <cell r="DE183">
            <v>109272</v>
          </cell>
          <cell r="DJ183">
            <v>109272</v>
          </cell>
          <cell r="DO183">
            <v>0</v>
          </cell>
          <cell r="DQ183">
            <v>198925</v>
          </cell>
          <cell r="DR183">
            <v>32500</v>
          </cell>
          <cell r="DS183">
            <v>231425</v>
          </cell>
          <cell r="DT183">
            <v>462850</v>
          </cell>
          <cell r="DU183">
            <v>-3322093</v>
          </cell>
          <cell r="ED183" t="str">
            <v>G:\Habitat\OPERATIONNEL HABITAT\02- Operations\Photothèque\images locatifs\Osiris\osiris pers 1.jpg</v>
          </cell>
          <cell r="EE183" t="str">
            <v>G:\Habitat\OPERATIONNEL HABITAT\02- Operations\Photothèque\images locatifs\Osiris\osisiris pers 2.jpg</v>
          </cell>
        </row>
        <row r="184">
          <cell r="A184" t="str">
            <v>PAILLE EN QUEUE</v>
          </cell>
          <cell r="B184">
            <v>9604</v>
          </cell>
          <cell r="C184" t="str">
            <v>NORD</v>
          </cell>
          <cell r="D184" t="str">
            <v>Saint-Denis</v>
          </cell>
          <cell r="E184" t="str">
            <v>RHI PETITE ILE</v>
          </cell>
          <cell r="F184">
            <v>32</v>
          </cell>
          <cell r="G184" t="str">
            <v>LLTS</v>
          </cell>
          <cell r="H184" t="str">
            <v>signé</v>
          </cell>
          <cell r="I184" t="str">
            <v>SG 2005</v>
          </cell>
          <cell r="J184" t="str">
            <v>COL</v>
          </cell>
          <cell r="K184" t="str">
            <v>CF</v>
          </cell>
          <cell r="L184" t="str">
            <v>SIDR</v>
          </cell>
          <cell r="N184" t="str">
            <v>JPM</v>
          </cell>
          <cell r="O184" t="str">
            <v>JMO</v>
          </cell>
          <cell r="P184" t="str">
            <v>CC</v>
          </cell>
          <cell r="Q184" t="str">
            <v>SM</v>
          </cell>
          <cell r="R184">
            <v>2005</v>
          </cell>
          <cell r="T184" t="str">
            <v>reception DGI 15/12/2008</v>
          </cell>
          <cell r="U184" t="str">
            <v>ATELIER GAZUT</v>
          </cell>
          <cell r="V184" t="str">
            <v>L - CHANTIER EN COURS</v>
          </cell>
          <cell r="W184">
            <v>38553</v>
          </cell>
          <cell r="X184" t="str">
            <v>d</v>
          </cell>
          <cell r="Y184" t="str">
            <v>97441105A0410</v>
          </cell>
          <cell r="Z184">
            <v>38693</v>
          </cell>
          <cell r="AA184" t="str">
            <v>o</v>
          </cell>
          <cell r="AB184" t="str">
            <v>validé</v>
          </cell>
          <cell r="AC184" t="str">
            <v/>
          </cell>
          <cell r="AD184">
            <v>39415</v>
          </cell>
          <cell r="AE184">
            <v>38553</v>
          </cell>
          <cell r="AF184" t="str">
            <v>f</v>
          </cell>
          <cell r="AG184">
            <v>38722</v>
          </cell>
          <cell r="AH184">
            <v>38842</v>
          </cell>
          <cell r="AI184" t="str">
            <v>ao</v>
          </cell>
          <cell r="AJ184">
            <v>39444</v>
          </cell>
          <cell r="AK184" t="str">
            <v/>
          </cell>
          <cell r="AL184">
            <v>19.792214623882167</v>
          </cell>
          <cell r="AM184">
            <v>2007</v>
          </cell>
          <cell r="AN184">
            <v>13</v>
          </cell>
          <cell r="AO184">
            <v>39797</v>
          </cell>
          <cell r="AP184">
            <v>39845</v>
          </cell>
          <cell r="AQ184" t="str">
            <v>li</v>
          </cell>
          <cell r="AR184">
            <v>2009</v>
          </cell>
          <cell r="AW184">
            <v>13</v>
          </cell>
          <cell r="AX184">
            <v>58.92</v>
          </cell>
          <cell r="BA184">
            <v>14</v>
          </cell>
          <cell r="BB184">
            <v>68</v>
          </cell>
          <cell r="BE184">
            <v>3</v>
          </cell>
          <cell r="BF184">
            <v>79.67</v>
          </cell>
          <cell r="BI184">
            <v>2</v>
          </cell>
          <cell r="BJ184">
            <v>89</v>
          </cell>
          <cell r="BK184">
            <v>32</v>
          </cell>
          <cell r="BL184">
            <v>4.3499999999999996</v>
          </cell>
          <cell r="BM184">
            <v>0.82</v>
          </cell>
          <cell r="BN184">
            <v>0.2</v>
          </cell>
          <cell r="BO184" t="str">
            <v>à faire</v>
          </cell>
          <cell r="BP184">
            <v>0.8</v>
          </cell>
          <cell r="BQ184" t="str">
            <v>signée</v>
          </cell>
          <cell r="BR184" t="str">
            <v>CGAL</v>
          </cell>
          <cell r="BT184" t="str">
            <v>signée</v>
          </cell>
          <cell r="BX184" t="str">
            <v>demande à faire</v>
          </cell>
          <cell r="BY184">
            <v>2148</v>
          </cell>
          <cell r="BZ184">
            <v>2940</v>
          </cell>
          <cell r="CA184">
            <v>2226</v>
          </cell>
          <cell r="CE184" t="str">
            <v>ECS ind</v>
          </cell>
          <cell r="CJ184" t="str">
            <v>-</v>
          </cell>
          <cell r="CK184" t="str">
            <v>-</v>
          </cell>
          <cell r="CL184" t="str">
            <v>-</v>
          </cell>
          <cell r="CM184" t="str">
            <v>-</v>
          </cell>
          <cell r="CN184">
            <v>0</v>
          </cell>
          <cell r="CQ184" t="str">
            <v>oui</v>
          </cell>
          <cell r="CR184">
            <v>398845</v>
          </cell>
          <cell r="CT184">
            <v>2170322</v>
          </cell>
          <cell r="CX184">
            <v>2569167</v>
          </cell>
          <cell r="DE184">
            <v>0</v>
          </cell>
          <cell r="DJ184">
            <v>0</v>
          </cell>
          <cell r="DO184">
            <v>0</v>
          </cell>
          <cell r="DQ184">
            <v>58504</v>
          </cell>
          <cell r="DR184">
            <v>25420</v>
          </cell>
          <cell r="DS184">
            <v>83924</v>
          </cell>
          <cell r="DT184">
            <v>167848</v>
          </cell>
          <cell r="DU184">
            <v>-2401319</v>
          </cell>
          <cell r="ED184" t="str">
            <v>G:\Habitat\OPERATIONNEL HABITAT\02- Operations\Photothèque\images locatifs\Paille en queue\PERS amont.jpg</v>
          </cell>
          <cell r="EE184" t="str">
            <v>G:\Habitat\OPERATIONNEL HABITAT\02- Operations\Photothèque\images locatifs\Paille en queue\PERS AVAL.jpg</v>
          </cell>
        </row>
        <row r="185">
          <cell r="A185" t="str">
            <v>PARC D'AMANDINE</v>
          </cell>
          <cell r="B185">
            <v>9628</v>
          </cell>
          <cell r="C185" t="str">
            <v>NORD</v>
          </cell>
          <cell r="D185" t="str">
            <v>Saint-Denis</v>
          </cell>
          <cell r="E185" t="str">
            <v>ST FRANCOIS</v>
          </cell>
          <cell r="F185">
            <v>25</v>
          </cell>
          <cell r="G185" t="str">
            <v>ACC</v>
          </cell>
          <cell r="J185" t="str">
            <v>IND</v>
          </cell>
          <cell r="K185" t="str">
            <v>RF</v>
          </cell>
          <cell r="L185" t="str">
            <v>SIDR</v>
          </cell>
          <cell r="M185" t="str">
            <v>maitrisé</v>
          </cell>
          <cell r="N185" t="str">
            <v>PC</v>
          </cell>
          <cell r="O185" t="str">
            <v>JH</v>
          </cell>
          <cell r="P185" t="str">
            <v>NA</v>
          </cell>
          <cell r="Q185" t="str">
            <v>SM</v>
          </cell>
          <cell r="R185">
            <v>2006</v>
          </cell>
          <cell r="T185" t="str">
            <v>Livraison 8 logts fin 2008</v>
          </cell>
          <cell r="U185" t="str">
            <v>RAVAUX</v>
          </cell>
          <cell r="V185" t="str">
            <v>L - CHANTIER EN COURS</v>
          </cell>
          <cell r="W185">
            <v>38980</v>
          </cell>
          <cell r="X185" t="str">
            <v>d</v>
          </cell>
          <cell r="Y185" t="str">
            <v>97441106A0478</v>
          </cell>
          <cell r="Z185">
            <v>39244</v>
          </cell>
          <cell r="AA185" t="str">
            <v>o</v>
          </cell>
          <cell r="AB185" t="str">
            <v>ok</v>
          </cell>
          <cell r="AC185" t="str">
            <v/>
          </cell>
          <cell r="AD185">
            <v>39415</v>
          </cell>
          <cell r="AE185">
            <v>37554</v>
          </cell>
          <cell r="AF185" t="str">
            <v/>
          </cell>
          <cell r="AG185">
            <v>38695</v>
          </cell>
          <cell r="AH185">
            <v>39522</v>
          </cell>
          <cell r="AI185" t="str">
            <v>ao</v>
          </cell>
          <cell r="AJ185">
            <v>39583</v>
          </cell>
          <cell r="AK185" t="str">
            <v>ch</v>
          </cell>
          <cell r="AL185">
            <v>2.005523408732246</v>
          </cell>
          <cell r="AM185">
            <v>2008</v>
          </cell>
          <cell r="AN185">
            <v>16</v>
          </cell>
          <cell r="AO185">
            <v>40071</v>
          </cell>
          <cell r="AP185">
            <v>40086</v>
          </cell>
          <cell r="AQ185" t="str">
            <v/>
          </cell>
          <cell r="AR185">
            <v>2009</v>
          </cell>
          <cell r="CJ185" t="str">
            <v>-</v>
          </cell>
          <cell r="CK185" t="str">
            <v>-</v>
          </cell>
          <cell r="CL185" t="str">
            <v>-</v>
          </cell>
          <cell r="CM185" t="str">
            <v>-</v>
          </cell>
          <cell r="CN185">
            <v>0</v>
          </cell>
          <cell r="CQ185" t="str">
            <v>non</v>
          </cell>
          <cell r="CX185">
            <v>0</v>
          </cell>
          <cell r="DE185">
            <v>0</v>
          </cell>
          <cell r="DJ185">
            <v>0</v>
          </cell>
          <cell r="DO185">
            <v>0</v>
          </cell>
          <cell r="DS185">
            <v>0</v>
          </cell>
          <cell r="DT185">
            <v>0</v>
          </cell>
          <cell r="DU185">
            <v>0</v>
          </cell>
          <cell r="ED185" t="str">
            <v>G:\Habitat\OPERATIONNEL HABITAT\02- Operations\Photothèque\image non disponible.jpg</v>
          </cell>
          <cell r="EE185" t="str">
            <v>G:\Habitat\OPERATIONNEL HABITAT\02- Operations\Photothèque\image non disponible.jpg</v>
          </cell>
        </row>
        <row r="186">
          <cell r="A186" t="str">
            <v>PETIT SAINT PIERRE</v>
          </cell>
          <cell r="B186">
            <v>9431</v>
          </cell>
          <cell r="C186" t="str">
            <v>EST</v>
          </cell>
          <cell r="D186" t="str">
            <v>Saint-Benoît</v>
          </cell>
          <cell r="E186" t="str">
            <v>VRD COMMUN /FRAFU 2</v>
          </cell>
          <cell r="F186">
            <v>22</v>
          </cell>
          <cell r="G186" t="str">
            <v>LESG</v>
          </cell>
          <cell r="J186" t="str">
            <v>IND</v>
          </cell>
          <cell r="K186" t="str">
            <v>CF</v>
          </cell>
          <cell r="L186" t="str">
            <v>SIDR</v>
          </cell>
          <cell r="M186" t="str">
            <v>maitrisé</v>
          </cell>
          <cell r="N186" t="str">
            <v>N.A.</v>
          </cell>
          <cell r="O186" t="str">
            <v>OS</v>
          </cell>
          <cell r="P186" t="str">
            <v>LV</v>
          </cell>
          <cell r="Q186" t="str">
            <v>EC</v>
          </cell>
          <cell r="R186">
            <v>2002</v>
          </cell>
          <cell r="T186" t="str">
            <v>déblocage libération foncier sep 2008 pour 4 lots</v>
          </cell>
          <cell r="U186" t="str">
            <v>ATELIER GAZUT</v>
          </cell>
          <cell r="V186" t="str">
            <v>M - LIVRE/GPA</v>
          </cell>
          <cell r="W186">
            <v>37455</v>
          </cell>
          <cell r="X186" t="str">
            <v>d</v>
          </cell>
          <cell r="Y186" t="str">
            <v>9741005a0508</v>
          </cell>
          <cell r="Z186">
            <v>37575</v>
          </cell>
          <cell r="AA186" t="str">
            <v>o</v>
          </cell>
          <cell r="AB186" t="str">
            <v>validé</v>
          </cell>
          <cell r="AC186" t="str">
            <v/>
          </cell>
          <cell r="AD186">
            <v>39415</v>
          </cell>
          <cell r="AE186">
            <v>37554</v>
          </cell>
          <cell r="AF186" t="str">
            <v>f</v>
          </cell>
          <cell r="AG186">
            <v>37614</v>
          </cell>
          <cell r="AH186">
            <v>38092</v>
          </cell>
          <cell r="AI186" t="str">
            <v>ao</v>
          </cell>
          <cell r="AJ186">
            <v>38163</v>
          </cell>
          <cell r="AK186" t="str">
            <v/>
          </cell>
          <cell r="AL186">
            <v>2.3342977380326144</v>
          </cell>
          <cell r="AM186">
            <v>2004</v>
          </cell>
          <cell r="AN186">
            <v>14</v>
          </cell>
          <cell r="AO186">
            <v>38589</v>
          </cell>
          <cell r="AP186">
            <v>38898</v>
          </cell>
          <cell r="AQ186" t="str">
            <v>li</v>
          </cell>
          <cell r="AR186">
            <v>2006</v>
          </cell>
          <cell r="CJ186" t="str">
            <v>-</v>
          </cell>
          <cell r="CK186" t="str">
            <v>-</v>
          </cell>
          <cell r="CL186" t="str">
            <v>-</v>
          </cell>
          <cell r="CM186" t="str">
            <v>-</v>
          </cell>
          <cell r="CN186">
            <v>0</v>
          </cell>
          <cell r="CQ186" t="str">
            <v>oui</v>
          </cell>
          <cell r="CX186">
            <v>0</v>
          </cell>
          <cell r="DE186">
            <v>0</v>
          </cell>
          <cell r="DJ186">
            <v>0</v>
          </cell>
          <cell r="DO186">
            <v>0</v>
          </cell>
          <cell r="DS186">
            <v>0</v>
          </cell>
          <cell r="DT186">
            <v>0</v>
          </cell>
          <cell r="DU186">
            <v>0</v>
          </cell>
          <cell r="ED186" t="str">
            <v>G:\Habitat\OPERATIONNEL HABITAT\02- Operations\Photothèque\image non disponible.jpg</v>
          </cell>
          <cell r="EE186" t="str">
            <v>G:\Habitat\OPERATIONNEL HABITAT\02- Operations\Photothèque\image non disponible.jpg</v>
          </cell>
        </row>
        <row r="187">
          <cell r="A187" t="str">
            <v>PETITE ILE 1.2</v>
          </cell>
          <cell r="B187">
            <v>9621</v>
          </cell>
          <cell r="C187" t="str">
            <v>NORD</v>
          </cell>
          <cell r="D187" t="str">
            <v>Saint-Denis</v>
          </cell>
          <cell r="E187" t="str">
            <v>RHI PETITE ILE</v>
          </cell>
          <cell r="F187">
            <v>2</v>
          </cell>
          <cell r="G187" t="str">
            <v>LESG</v>
          </cell>
          <cell r="J187" t="str">
            <v>IND</v>
          </cell>
          <cell r="K187" t="str">
            <v>CF</v>
          </cell>
          <cell r="L187" t="str">
            <v>SIDR</v>
          </cell>
          <cell r="M187" t="str">
            <v>maitrisé</v>
          </cell>
          <cell r="N187" t="str">
            <v>BS</v>
          </cell>
          <cell r="O187" t="str">
            <v>OS</v>
          </cell>
          <cell r="P187" t="str">
            <v>LV</v>
          </cell>
          <cell r="Q187" t="str">
            <v>SM</v>
          </cell>
          <cell r="R187">
            <v>2005</v>
          </cell>
          <cell r="T187" t="str">
            <v>liquidation STRAD/</v>
          </cell>
          <cell r="U187" t="str">
            <v>ATELIER GAZUT</v>
          </cell>
          <cell r="V187" t="str">
            <v>M - LIVRE/GPA</v>
          </cell>
          <cell r="W187">
            <v>38610</v>
          </cell>
          <cell r="X187" t="str">
            <v>d</v>
          </cell>
          <cell r="Y187" t="str">
            <v>9741105a0508</v>
          </cell>
          <cell r="Z187">
            <v>38833</v>
          </cell>
          <cell r="AA187" t="str">
            <v>o</v>
          </cell>
          <cell r="AB187" t="str">
            <v>validé</v>
          </cell>
          <cell r="AC187" t="str">
            <v/>
          </cell>
          <cell r="AD187">
            <v>39415</v>
          </cell>
          <cell r="AE187">
            <v>37554</v>
          </cell>
          <cell r="AF187" t="str">
            <v>f</v>
          </cell>
          <cell r="AG187">
            <v>38695</v>
          </cell>
          <cell r="AH187">
            <v>38913</v>
          </cell>
          <cell r="AI187" t="str">
            <v>ao</v>
          </cell>
          <cell r="AJ187">
            <v>39049</v>
          </cell>
          <cell r="AK187" t="str">
            <v/>
          </cell>
          <cell r="AL187">
            <v>4.4713308784850074</v>
          </cell>
          <cell r="AM187">
            <v>2006</v>
          </cell>
          <cell r="AN187">
            <v>25</v>
          </cell>
          <cell r="AO187">
            <v>39810</v>
          </cell>
          <cell r="AP187">
            <v>39825</v>
          </cell>
          <cell r="AQ187" t="str">
            <v>li</v>
          </cell>
          <cell r="AR187">
            <v>2009</v>
          </cell>
          <cell r="CJ187" t="str">
            <v>-</v>
          </cell>
          <cell r="CK187" t="str">
            <v>-</v>
          </cell>
          <cell r="CL187" t="str">
            <v>-</v>
          </cell>
          <cell r="CM187" t="str">
            <v>-</v>
          </cell>
          <cell r="CN187">
            <v>0</v>
          </cell>
          <cell r="CQ187" t="str">
            <v>oui</v>
          </cell>
          <cell r="CX187">
            <v>0</v>
          </cell>
          <cell r="DE187">
            <v>0</v>
          </cell>
          <cell r="DJ187">
            <v>0</v>
          </cell>
          <cell r="DO187">
            <v>0</v>
          </cell>
          <cell r="DS187">
            <v>0</v>
          </cell>
          <cell r="DT187">
            <v>0</v>
          </cell>
          <cell r="DU187">
            <v>0</v>
          </cell>
          <cell r="ED187" t="str">
            <v>G:\Habitat\OPERATIONNEL HABITAT\02- Operations\Photothèque\image non disponible.jpg</v>
          </cell>
          <cell r="EE187" t="str">
            <v>G:\Habitat\OPERATIONNEL HABITAT\02- Operations\Photothèque\image non disponible.jpg</v>
          </cell>
        </row>
        <row r="188">
          <cell r="A188" t="str">
            <v>PETITE ILE 1.6</v>
          </cell>
          <cell r="B188">
            <v>9621</v>
          </cell>
          <cell r="C188" t="str">
            <v>NORD</v>
          </cell>
          <cell r="D188" t="str">
            <v>Saint-Denis</v>
          </cell>
          <cell r="E188" t="str">
            <v>RHI PETITE ILE</v>
          </cell>
          <cell r="F188">
            <v>6</v>
          </cell>
          <cell r="G188" t="str">
            <v>LESG</v>
          </cell>
          <cell r="J188" t="str">
            <v>IND</v>
          </cell>
          <cell r="K188" t="str">
            <v>CF</v>
          </cell>
          <cell r="L188" t="str">
            <v>SIDR</v>
          </cell>
          <cell r="M188" t="str">
            <v>maitrisé</v>
          </cell>
          <cell r="N188" t="str">
            <v>BS</v>
          </cell>
          <cell r="O188" t="str">
            <v>OS</v>
          </cell>
          <cell r="P188" t="str">
            <v>LV</v>
          </cell>
          <cell r="Q188" t="str">
            <v>SM</v>
          </cell>
          <cell r="R188">
            <v>2005</v>
          </cell>
          <cell r="T188" t="str">
            <v>déblocage libération foncier sep 2008 pour 4 lots</v>
          </cell>
          <cell r="U188" t="str">
            <v>ATELIER GAZUT</v>
          </cell>
          <cell r="V188" t="str">
            <v>K - OS TRAVAUX</v>
          </cell>
          <cell r="W188">
            <v>38201</v>
          </cell>
          <cell r="X188" t="str">
            <v>d</v>
          </cell>
          <cell r="Y188" t="str">
            <v>9741005a0508</v>
          </cell>
          <cell r="Z188">
            <v>38833</v>
          </cell>
          <cell r="AA188" t="str">
            <v>o</v>
          </cell>
          <cell r="AB188" t="str">
            <v>validé</v>
          </cell>
          <cell r="AC188" t="str">
            <v/>
          </cell>
          <cell r="AD188" t="str">
            <v>v</v>
          </cell>
          <cell r="AE188">
            <v>37554</v>
          </cell>
          <cell r="AF188" t="str">
            <v>f</v>
          </cell>
          <cell r="AG188">
            <v>38695</v>
          </cell>
          <cell r="AH188">
            <v>38913</v>
          </cell>
          <cell r="AI188" t="str">
            <v>ao</v>
          </cell>
          <cell r="AJ188">
            <v>39721</v>
          </cell>
          <cell r="AK188" t="str">
            <v>ch</v>
          </cell>
          <cell r="AL188">
            <v>26.564965807469754</v>
          </cell>
          <cell r="AM188">
            <v>2008</v>
          </cell>
          <cell r="AN188">
            <v>27</v>
          </cell>
          <cell r="AO188">
            <v>40542</v>
          </cell>
          <cell r="AP188">
            <v>40557</v>
          </cell>
          <cell r="AQ188" t="str">
            <v/>
          </cell>
          <cell r="AR188">
            <v>2011</v>
          </cell>
          <cell r="CJ188" t="str">
            <v>-</v>
          </cell>
          <cell r="CK188" t="str">
            <v>-</v>
          </cell>
          <cell r="CL188" t="str">
            <v>-</v>
          </cell>
          <cell r="CM188" t="str">
            <v>-</v>
          </cell>
          <cell r="CN188">
            <v>0</v>
          </cell>
          <cell r="CQ188" t="str">
            <v>non</v>
          </cell>
          <cell r="CX188">
            <v>0</v>
          </cell>
          <cell r="DE188">
            <v>0</v>
          </cell>
          <cell r="DJ188">
            <v>0</v>
          </cell>
          <cell r="DO188">
            <v>0</v>
          </cell>
          <cell r="DS188">
            <v>0</v>
          </cell>
          <cell r="DT188">
            <v>0</v>
          </cell>
          <cell r="DU188">
            <v>0</v>
          </cell>
          <cell r="ED188" t="str">
            <v>G:\Habitat\OPERATIONNEL HABITAT\02- Operations\Photothèque\image non disponible.jpg</v>
          </cell>
          <cell r="EE188" t="str">
            <v>G:\Habitat\OPERATIONNEL HABITAT\02- Operations\Photothèque\image non disponible.jpg</v>
          </cell>
        </row>
        <row r="189">
          <cell r="A189" t="str">
            <v>PHENIX</v>
          </cell>
          <cell r="B189">
            <v>9443</v>
          </cell>
          <cell r="C189" t="str">
            <v>EST</v>
          </cell>
          <cell r="D189" t="str">
            <v>Saint-Benoît</v>
          </cell>
          <cell r="E189" t="str">
            <v>AME LA CAYENNE</v>
          </cell>
          <cell r="F189">
            <v>20</v>
          </cell>
          <cell r="G189" t="str">
            <v>LLTS</v>
          </cell>
          <cell r="J189" t="str">
            <v>COL</v>
          </cell>
          <cell r="K189" t="str">
            <v>RF</v>
          </cell>
          <cell r="M189" t="str">
            <v>maitrisé</v>
          </cell>
          <cell r="N189" t="str">
            <v>JPM</v>
          </cell>
          <cell r="O189" t="str">
            <v>JMO</v>
          </cell>
          <cell r="P189" t="str">
            <v>CC</v>
          </cell>
          <cell r="R189">
            <v>2009</v>
          </cell>
          <cell r="T189" t="str">
            <v>Logement et agence est SIDR - autorisation de la commune a obtenir</v>
          </cell>
          <cell r="U189" t="str">
            <v>D JAN</v>
          </cell>
          <cell r="V189" t="str">
            <v>D - ESQUISSES</v>
          </cell>
          <cell r="W189">
            <v>39994</v>
          </cell>
          <cell r="X189" t="str">
            <v>d</v>
          </cell>
          <cell r="Y189" t="str">
            <v>97412 02A0239/M1</v>
          </cell>
          <cell r="Z189">
            <v>37574</v>
          </cell>
          <cell r="AA189" t="str">
            <v/>
          </cell>
          <cell r="AB189">
            <v>39979</v>
          </cell>
          <cell r="AC189" t="str">
            <v/>
          </cell>
          <cell r="AE189">
            <v>40086</v>
          </cell>
          <cell r="AF189" t="str">
            <v>f</v>
          </cell>
          <cell r="AG189" t="str">
            <v>O</v>
          </cell>
          <cell r="AH189">
            <v>40071</v>
          </cell>
          <cell r="AI189" t="str">
            <v/>
          </cell>
          <cell r="AJ189">
            <v>37792</v>
          </cell>
          <cell r="AK189" t="str">
            <v/>
          </cell>
          <cell r="AL189">
            <v>-1317.4316149395056</v>
          </cell>
          <cell r="AM189" t="str">
            <v/>
          </cell>
          <cell r="AN189">
            <v>14</v>
          </cell>
          <cell r="AO189">
            <v>38280</v>
          </cell>
          <cell r="AP189">
            <v>38323</v>
          </cell>
          <cell r="AQ189" t="str">
            <v/>
          </cell>
          <cell r="AR189">
            <v>2004</v>
          </cell>
          <cell r="BO189" t="str">
            <v>signée</v>
          </cell>
          <cell r="BQ189" t="str">
            <v>signée</v>
          </cell>
          <cell r="BX189" t="str">
            <v>signé</v>
          </cell>
          <cell r="CA189">
            <v>3032</v>
          </cell>
          <cell r="CE189" t="str">
            <v>ECS ind</v>
          </cell>
          <cell r="CF189">
            <v>101801</v>
          </cell>
          <cell r="CG189">
            <v>30540</v>
          </cell>
          <cell r="CH189">
            <v>45810</v>
          </cell>
          <cell r="CI189">
            <v>25450</v>
          </cell>
          <cell r="CJ189" t="str">
            <v>-</v>
          </cell>
          <cell r="CK189" t="str">
            <v>-</v>
          </cell>
          <cell r="CL189" t="str">
            <v>-</v>
          </cell>
          <cell r="CM189" t="str">
            <v>-</v>
          </cell>
          <cell r="CN189">
            <v>0</v>
          </cell>
          <cell r="CQ189" t="str">
            <v>non</v>
          </cell>
          <cell r="CT189">
            <v>2271205</v>
          </cell>
          <cell r="CX189">
            <v>0</v>
          </cell>
          <cell r="DE189">
            <v>0</v>
          </cell>
          <cell r="DJ189">
            <v>0</v>
          </cell>
          <cell r="DO189">
            <v>0</v>
          </cell>
          <cell r="DQ189">
            <v>82000</v>
          </cell>
          <cell r="DR189">
            <v>25450</v>
          </cell>
          <cell r="DS189">
            <v>0</v>
          </cell>
          <cell r="DT189">
            <v>0</v>
          </cell>
          <cell r="DU189">
            <v>0</v>
          </cell>
          <cell r="ED189" t="str">
            <v>G:\Habitat\OPERATIONNEL HABITAT\02- Operations\Photothèque\image non disponible.jpg</v>
          </cell>
          <cell r="EE189" t="str">
            <v>G:\Habitat\OPERATIONNEL HABITAT\02- Operations\Photothèque\image non disponible.jpg</v>
          </cell>
        </row>
        <row r="190">
          <cell r="A190" t="str">
            <v>PIM PIM</v>
          </cell>
          <cell r="B190">
            <v>9556</v>
          </cell>
          <cell r="C190" t="str">
            <v>EST</v>
          </cell>
          <cell r="D190" t="str">
            <v>Saint-André</v>
          </cell>
          <cell r="E190" t="str">
            <v>ZAC CRESSONIERE</v>
          </cell>
          <cell r="F190">
            <v>12</v>
          </cell>
          <cell r="G190" t="str">
            <v>LESG</v>
          </cell>
          <cell r="J190" t="str">
            <v>IND</v>
          </cell>
          <cell r="K190" t="str">
            <v>CF</v>
          </cell>
          <cell r="L190" t="str">
            <v>SIDR</v>
          </cell>
          <cell r="M190" t="str">
            <v>non maitrisé</v>
          </cell>
          <cell r="N190" t="str">
            <v>BS</v>
          </cell>
          <cell r="O190" t="str">
            <v>OS</v>
          </cell>
          <cell r="P190" t="str">
            <v>LV</v>
          </cell>
          <cell r="Q190" t="str">
            <v>SPG</v>
          </cell>
          <cell r="R190">
            <v>2004</v>
          </cell>
          <cell r="S190">
            <v>1</v>
          </cell>
          <cell r="T190" t="str">
            <v>PPRI etude de sol</v>
          </cell>
          <cell r="U190" t="str">
            <v>ATELIER GAZUT</v>
          </cell>
          <cell r="V190" t="str">
            <v>M - LIVRE/GPA</v>
          </cell>
          <cell r="W190">
            <v>38201</v>
          </cell>
          <cell r="X190" t="str">
            <v>d</v>
          </cell>
          <cell r="Y190" t="str">
            <v>97440904a0370</v>
          </cell>
          <cell r="Z190">
            <v>38776</v>
          </cell>
          <cell r="AA190" t="str">
            <v>o</v>
          </cell>
          <cell r="AB190" t="str">
            <v>validé</v>
          </cell>
          <cell r="AC190" t="str">
            <v/>
          </cell>
          <cell r="AD190">
            <v>0</v>
          </cell>
          <cell r="AE190">
            <v>38229</v>
          </cell>
          <cell r="AF190" t="str">
            <v>f</v>
          </cell>
          <cell r="AG190">
            <v>38349</v>
          </cell>
          <cell r="AH190">
            <v>38913</v>
          </cell>
          <cell r="AI190" t="str">
            <v>ao</v>
          </cell>
          <cell r="AJ190">
            <v>39128</v>
          </cell>
          <cell r="AK190" t="str">
            <v/>
          </cell>
          <cell r="AL190">
            <v>7.0686480799579172</v>
          </cell>
          <cell r="AM190">
            <v>2007</v>
          </cell>
          <cell r="AN190">
            <v>14</v>
          </cell>
          <cell r="AO190">
            <v>39629</v>
          </cell>
          <cell r="AP190">
            <v>39644</v>
          </cell>
          <cell r="AQ190" t="str">
            <v>li</v>
          </cell>
          <cell r="AR190">
            <v>2008</v>
          </cell>
          <cell r="BK190">
            <v>0</v>
          </cell>
          <cell r="BL190">
            <v>5.03</v>
          </cell>
          <cell r="CJ190" t="str">
            <v>-</v>
          </cell>
          <cell r="CK190" t="str">
            <v>-</v>
          </cell>
          <cell r="CL190" t="str">
            <v>-</v>
          </cell>
          <cell r="CM190" t="str">
            <v>-</v>
          </cell>
          <cell r="CN190">
            <v>0</v>
          </cell>
          <cell r="CO190" t="str">
            <v>199 undecies A</v>
          </cell>
          <cell r="CQ190" t="str">
            <v>oui</v>
          </cell>
          <cell r="CX190">
            <v>0</v>
          </cell>
          <cell r="DE190">
            <v>0</v>
          </cell>
          <cell r="DJ190">
            <v>0</v>
          </cell>
          <cell r="DO190">
            <v>0</v>
          </cell>
          <cell r="DS190">
            <v>0</v>
          </cell>
          <cell r="DT190">
            <v>0</v>
          </cell>
          <cell r="DU190">
            <v>0</v>
          </cell>
          <cell r="ED190" t="str">
            <v>G:\Habitat\OPERATIONNEL HABITAT\02- Operations\Photothèque\image non disponible.jpg</v>
          </cell>
          <cell r="EE190" t="str">
            <v>G:\Habitat\OPERATIONNEL HABITAT\02- Operations\Photothèque\image non disponible.jpg</v>
          </cell>
        </row>
        <row r="191">
          <cell r="A191" t="str">
            <v>PIROGUES</v>
          </cell>
          <cell r="B191">
            <v>9443</v>
          </cell>
          <cell r="C191" t="str">
            <v>SUD</v>
          </cell>
          <cell r="D191" t="str">
            <v>Saint-Joseph</v>
          </cell>
          <cell r="E191" t="str">
            <v>AME LA CAYENNE</v>
          </cell>
          <cell r="F191">
            <v>44</v>
          </cell>
          <cell r="G191" t="str">
            <v>LLTS</v>
          </cell>
          <cell r="J191" t="str">
            <v>COL</v>
          </cell>
          <cell r="K191" t="str">
            <v>RF</v>
          </cell>
          <cell r="N191" t="str">
            <v>JPM</v>
          </cell>
          <cell r="O191" t="str">
            <v>GG</v>
          </cell>
          <cell r="P191" t="str">
            <v>CC</v>
          </cell>
          <cell r="R191">
            <v>2002</v>
          </cell>
          <cell r="T191" t="str">
            <v>trx reprise CE sol en cours/ SODURE 1 logt/nouvelle expertise attente raport</v>
          </cell>
          <cell r="U191" t="str">
            <v>ARCHITECTES DE L'EPERON</v>
          </cell>
          <cell r="V191" t="str">
            <v>M - LIVRE/GPA</v>
          </cell>
          <cell r="W191">
            <v>37432</v>
          </cell>
          <cell r="X191" t="str">
            <v>d</v>
          </cell>
          <cell r="Y191" t="str">
            <v>97412 02A0239/M1</v>
          </cell>
          <cell r="Z191">
            <v>37574</v>
          </cell>
          <cell r="AA191" t="str">
            <v>o</v>
          </cell>
          <cell r="AB191" t="str">
            <v>validé</v>
          </cell>
          <cell r="AC191" t="str">
            <v/>
          </cell>
          <cell r="AE191">
            <v>37540</v>
          </cell>
          <cell r="AF191" t="str">
            <v>f</v>
          </cell>
          <cell r="AG191" t="str">
            <v>O</v>
          </cell>
          <cell r="AH191">
            <v>37669</v>
          </cell>
          <cell r="AI191" t="str">
            <v>ao</v>
          </cell>
          <cell r="AJ191">
            <v>37792</v>
          </cell>
          <cell r="AK191" t="str">
            <v/>
          </cell>
          <cell r="AL191">
            <v>4.0439242503945287</v>
          </cell>
          <cell r="AM191">
            <v>2003</v>
          </cell>
          <cell r="AN191">
            <v>16</v>
          </cell>
          <cell r="AO191">
            <v>38280</v>
          </cell>
          <cell r="AP191">
            <v>38323</v>
          </cell>
          <cell r="AQ191" t="str">
            <v>li</v>
          </cell>
          <cell r="AR191">
            <v>2004</v>
          </cell>
          <cell r="BO191" t="str">
            <v>signée</v>
          </cell>
          <cell r="BQ191" t="str">
            <v>signée</v>
          </cell>
          <cell r="BX191" t="str">
            <v>signé</v>
          </cell>
          <cell r="CA191">
            <v>3032</v>
          </cell>
          <cell r="CE191" t="str">
            <v>ECS ind</v>
          </cell>
          <cell r="CF191">
            <v>101801</v>
          </cell>
          <cell r="CG191">
            <v>30540</v>
          </cell>
          <cell r="CH191">
            <v>45810</v>
          </cell>
          <cell r="CI191">
            <v>25450</v>
          </cell>
          <cell r="CJ191" t="str">
            <v>-</v>
          </cell>
          <cell r="CK191" t="str">
            <v>-</v>
          </cell>
          <cell r="CL191" t="str">
            <v>-</v>
          </cell>
          <cell r="CM191" t="str">
            <v>-</v>
          </cell>
          <cell r="CN191">
            <v>0</v>
          </cell>
          <cell r="CQ191" t="str">
            <v>oui</v>
          </cell>
          <cell r="CT191">
            <v>2271205</v>
          </cell>
          <cell r="CX191">
            <v>2271205</v>
          </cell>
          <cell r="DE191">
            <v>76350</v>
          </cell>
          <cell r="DJ191">
            <v>76350</v>
          </cell>
          <cell r="DO191">
            <v>0</v>
          </cell>
          <cell r="DQ191">
            <v>82000</v>
          </cell>
          <cell r="DR191">
            <v>25450</v>
          </cell>
          <cell r="DS191">
            <v>107450</v>
          </cell>
          <cell r="DT191">
            <v>214900</v>
          </cell>
          <cell r="DU191">
            <v>-1979955</v>
          </cell>
          <cell r="ED191" t="str">
            <v>G:\Habitat\OPERATIONNEL HABITAT\02- Operations\Photothèque\image non disponible.jpg</v>
          </cell>
          <cell r="EE191" t="str">
            <v>G:\Habitat\OPERATIONNEL HABITAT\02- Operations\Photothèque\image non disponible.jpg</v>
          </cell>
        </row>
        <row r="192">
          <cell r="A192" t="str">
            <v>PITAYA ex GOTLAND</v>
          </cell>
          <cell r="B192">
            <v>9697</v>
          </cell>
          <cell r="C192" t="str">
            <v>EST</v>
          </cell>
          <cell r="D192" t="str">
            <v>Saint-André</v>
          </cell>
          <cell r="E192" t="str">
            <v>ZAC FAYARD</v>
          </cell>
          <cell r="F192">
            <v>66</v>
          </cell>
          <cell r="G192" t="str">
            <v>LLTS</v>
          </cell>
          <cell r="J192" t="str">
            <v>COL</v>
          </cell>
          <cell r="K192" t="str">
            <v>CF</v>
          </cell>
          <cell r="L192" t="str">
            <v>SEDRE</v>
          </cell>
          <cell r="M192" t="str">
            <v>non maitrisé</v>
          </cell>
          <cell r="N192" t="str">
            <v>CLa</v>
          </cell>
          <cell r="O192" t="str">
            <v>JMO</v>
          </cell>
          <cell r="P192" t="str">
            <v>CC</v>
          </cell>
          <cell r="R192">
            <v>2007</v>
          </cell>
          <cell r="S192">
            <v>1</v>
          </cell>
          <cell r="T192" t="str">
            <v>PPRI etude de sol</v>
          </cell>
          <cell r="U192" t="str">
            <v>SAULNIER</v>
          </cell>
          <cell r="V192" t="str">
            <v>H - APPEL D'OFFRES</v>
          </cell>
          <cell r="W192">
            <v>39352</v>
          </cell>
          <cell r="X192" t="str">
            <v>d</v>
          </cell>
          <cell r="Y192" t="str">
            <v>97440907a0531</v>
          </cell>
          <cell r="Z192">
            <v>39471</v>
          </cell>
          <cell r="AA192" t="str">
            <v>o</v>
          </cell>
          <cell r="AB192">
            <v>39337</v>
          </cell>
          <cell r="AC192" t="str">
            <v>v</v>
          </cell>
          <cell r="AD192">
            <v>39597</v>
          </cell>
          <cell r="AE192">
            <v>39353</v>
          </cell>
          <cell r="AF192" t="str">
            <v>f</v>
          </cell>
          <cell r="AG192">
            <v>39464</v>
          </cell>
          <cell r="AH192">
            <v>39722</v>
          </cell>
          <cell r="AI192" t="str">
            <v>ao</v>
          </cell>
          <cell r="AJ192">
            <v>39864</v>
          </cell>
          <cell r="AK192" t="str">
            <v>ch</v>
          </cell>
          <cell r="AL192">
            <v>4.6685954760652288</v>
          </cell>
          <cell r="AM192">
            <v>2009</v>
          </cell>
          <cell r="AN192">
            <v>18</v>
          </cell>
          <cell r="AO192">
            <v>40410</v>
          </cell>
          <cell r="AP192">
            <v>40425</v>
          </cell>
          <cell r="AQ192" t="str">
            <v/>
          </cell>
          <cell r="AR192">
            <v>2010</v>
          </cell>
          <cell r="BK192">
            <v>0</v>
          </cell>
          <cell r="BL192">
            <v>5.03</v>
          </cell>
          <cell r="CJ192" t="str">
            <v>SCI Saint Pierre</v>
          </cell>
          <cell r="CK192" t="str">
            <v>INFI</v>
          </cell>
          <cell r="CL192">
            <v>39773</v>
          </cell>
          <cell r="CM192" t="str">
            <v>-</v>
          </cell>
          <cell r="CN192">
            <v>0</v>
          </cell>
          <cell r="CO192" t="str">
            <v>199 undecies A</v>
          </cell>
          <cell r="CQ192" t="str">
            <v>non</v>
          </cell>
          <cell r="CX192">
            <v>0</v>
          </cell>
          <cell r="DE192">
            <v>0</v>
          </cell>
          <cell r="DJ192">
            <v>0</v>
          </cell>
          <cell r="DO192">
            <v>0</v>
          </cell>
          <cell r="DS192">
            <v>0</v>
          </cell>
          <cell r="DT192">
            <v>0</v>
          </cell>
          <cell r="DU192">
            <v>0</v>
          </cell>
          <cell r="ED192" t="str">
            <v>G:\Habitat\OPERATIONNEL HABITAT\02- Operations\Photothèque\image non disponible.jpg</v>
          </cell>
          <cell r="EE192" t="str">
            <v>G:\Habitat\OPERATIONNEL HABITAT\02- Operations\Photothèque\image non disponible.jpg</v>
          </cell>
        </row>
        <row r="193">
          <cell r="A193" t="str">
            <v>PITON HYACINTHE</v>
          </cell>
          <cell r="B193">
            <v>9417</v>
          </cell>
          <cell r="C193" t="str">
            <v>SUD</v>
          </cell>
          <cell r="D193" t="str">
            <v>Tampon</v>
          </cell>
          <cell r="E193" t="str">
            <v>ZAC BELLEPIERRE</v>
          </cell>
          <cell r="F193">
            <v>30</v>
          </cell>
          <cell r="G193" t="str">
            <v>LESG</v>
          </cell>
          <cell r="J193" t="str">
            <v>IND</v>
          </cell>
          <cell r="K193" t="str">
            <v>CF</v>
          </cell>
          <cell r="L193" t="str">
            <v>SIDR</v>
          </cell>
          <cell r="N193" t="str">
            <v>N.A.</v>
          </cell>
          <cell r="O193" t="str">
            <v>SV</v>
          </cell>
          <cell r="P193" t="str">
            <v>CS</v>
          </cell>
          <cell r="R193">
            <v>2011</v>
          </cell>
          <cell r="T193" t="str">
            <v>Etude de faisabilité financée par DDE  - en attente de la décision de financement</v>
          </cell>
          <cell r="V193" t="str">
            <v>B - ETUDE PRE-OP</v>
          </cell>
          <cell r="AA193" t="str">
            <v/>
          </cell>
          <cell r="AC193" t="str">
            <v/>
          </cell>
          <cell r="AI193" t="str">
            <v/>
          </cell>
          <cell r="AK193" t="str">
            <v/>
          </cell>
          <cell r="AL193">
            <v>0</v>
          </cell>
          <cell r="AO193">
            <v>39568</v>
          </cell>
          <cell r="AP193">
            <v>39583</v>
          </cell>
          <cell r="AQ193" t="str">
            <v/>
          </cell>
          <cell r="AR193">
            <v>2008</v>
          </cell>
          <cell r="CJ193" t="str">
            <v>-</v>
          </cell>
          <cell r="CK193" t="str">
            <v>-</v>
          </cell>
          <cell r="CL193" t="str">
            <v>-</v>
          </cell>
          <cell r="CM193" t="str">
            <v>-</v>
          </cell>
          <cell r="CN193">
            <v>0</v>
          </cell>
          <cell r="CQ193" t="str">
            <v>non</v>
          </cell>
          <cell r="CX193">
            <v>0</v>
          </cell>
          <cell r="DE193">
            <v>0</v>
          </cell>
          <cell r="DJ193">
            <v>0</v>
          </cell>
          <cell r="DO193">
            <v>0</v>
          </cell>
          <cell r="DS193">
            <v>0</v>
          </cell>
          <cell r="DT193">
            <v>0</v>
          </cell>
          <cell r="DU193">
            <v>0</v>
          </cell>
          <cell r="ED193" t="str">
            <v>G:\Habitat\OPERATIONNEL HABITAT\02- Operations\Photothèque\image non disponible.jpg</v>
          </cell>
          <cell r="EE193" t="str">
            <v>G:\Habitat\OPERATIONNEL HABITAT\02- Operations\Photothèque\image non disponible.jpg</v>
          </cell>
        </row>
        <row r="194">
          <cell r="A194" t="str">
            <v>PITON HYACINTHE b</v>
          </cell>
          <cell r="B194">
            <v>9417</v>
          </cell>
          <cell r="C194" t="str">
            <v>SUD</v>
          </cell>
          <cell r="D194" t="str">
            <v>Tampon</v>
          </cell>
          <cell r="E194" t="str">
            <v>ZAC BELLEPIERRE</v>
          </cell>
          <cell r="F194">
            <v>30</v>
          </cell>
          <cell r="G194" t="str">
            <v>LLS</v>
          </cell>
          <cell r="J194" t="str">
            <v>MIXT</v>
          </cell>
          <cell r="K194" t="str">
            <v>CF</v>
          </cell>
          <cell r="L194" t="str">
            <v>SIDR</v>
          </cell>
          <cell r="M194" t="str">
            <v>maitrisé</v>
          </cell>
          <cell r="N194" t="str">
            <v>N.A.</v>
          </cell>
          <cell r="O194" t="str">
            <v>SV</v>
          </cell>
          <cell r="P194" t="str">
            <v>CS</v>
          </cell>
          <cell r="R194">
            <v>2011</v>
          </cell>
          <cell r="T194" t="str">
            <v>Etude de faisabilité financée par DDE  - en attente de la décision de financement</v>
          </cell>
          <cell r="U194" t="str">
            <v>GOETZ</v>
          </cell>
          <cell r="V194" t="str">
            <v>B - ETUDE PRE-OP</v>
          </cell>
          <cell r="W194">
            <v>38176</v>
          </cell>
          <cell r="X194" t="str">
            <v>d</v>
          </cell>
          <cell r="Y194" t="str">
            <v>97441104A0332</v>
          </cell>
          <cell r="Z194">
            <v>38357</v>
          </cell>
          <cell r="AA194" t="str">
            <v/>
          </cell>
          <cell r="AB194" t="str">
            <v>validé</v>
          </cell>
          <cell r="AC194" t="str">
            <v/>
          </cell>
          <cell r="AD194">
            <v>38687</v>
          </cell>
          <cell r="AE194">
            <v>38615</v>
          </cell>
          <cell r="AF194" t="str">
            <v>f</v>
          </cell>
          <cell r="AG194">
            <v>38805</v>
          </cell>
          <cell r="AH194">
            <v>38582</v>
          </cell>
          <cell r="AI194" t="str">
            <v/>
          </cell>
          <cell r="AJ194">
            <v>38819</v>
          </cell>
          <cell r="AK194" t="str">
            <v/>
          </cell>
          <cell r="AL194">
            <v>0</v>
          </cell>
          <cell r="AM194">
            <v>2006</v>
          </cell>
          <cell r="AN194">
            <v>17</v>
          </cell>
          <cell r="AO194">
            <v>39337</v>
          </cell>
          <cell r="AP194">
            <v>39431</v>
          </cell>
          <cell r="AQ194" t="str">
            <v/>
          </cell>
          <cell r="AR194">
            <v>2007</v>
          </cell>
          <cell r="AS194">
            <v>4</v>
          </cell>
          <cell r="AT194">
            <v>28.4</v>
          </cell>
          <cell r="AW194">
            <v>9</v>
          </cell>
          <cell r="AX194">
            <v>56.12</v>
          </cell>
          <cell r="BA194">
            <v>20</v>
          </cell>
          <cell r="BB194">
            <v>66.42</v>
          </cell>
          <cell r="BE194">
            <v>4</v>
          </cell>
          <cell r="BF194">
            <v>76</v>
          </cell>
          <cell r="BI194">
            <v>3</v>
          </cell>
          <cell r="BJ194">
            <v>105.18</v>
          </cell>
          <cell r="BK194">
            <v>40</v>
          </cell>
          <cell r="BL194">
            <v>8.5</v>
          </cell>
          <cell r="BM194">
            <v>0.8</v>
          </cell>
          <cell r="BN194">
            <v>0.2</v>
          </cell>
          <cell r="BO194" t="str">
            <v>signée</v>
          </cell>
          <cell r="BP194">
            <v>0.8</v>
          </cell>
          <cell r="BQ194" t="str">
            <v>signée</v>
          </cell>
          <cell r="BX194" t="str">
            <v>émis signature garants en cours</v>
          </cell>
          <cell r="BY194">
            <v>2815</v>
          </cell>
          <cell r="BZ194">
            <v>4080</v>
          </cell>
          <cell r="CA194">
            <v>2828.48</v>
          </cell>
          <cell r="CE194" t="str">
            <v>ECS ind</v>
          </cell>
          <cell r="CF194">
            <v>108178</v>
          </cell>
          <cell r="CI194" t="str">
            <v>C le21/01/2008</v>
          </cell>
          <cell r="CJ194" t="str">
            <v>-</v>
          </cell>
          <cell r="CK194" t="str">
            <v>-</v>
          </cell>
          <cell r="CL194" t="str">
            <v>-</v>
          </cell>
          <cell r="CM194" t="str">
            <v>-</v>
          </cell>
          <cell r="CN194">
            <v>0</v>
          </cell>
          <cell r="CQ194" t="str">
            <v>non</v>
          </cell>
          <cell r="CR194">
            <v>408801</v>
          </cell>
          <cell r="CT194">
            <v>2991824</v>
          </cell>
          <cell r="CX194">
            <v>0</v>
          </cell>
          <cell r="DE194">
            <v>0</v>
          </cell>
          <cell r="DJ194">
            <v>0</v>
          </cell>
          <cell r="DO194">
            <v>0</v>
          </cell>
          <cell r="DQ194">
            <v>101100</v>
          </cell>
          <cell r="DR194">
            <v>40000</v>
          </cell>
          <cell r="DS194">
            <v>0</v>
          </cell>
          <cell r="DT194">
            <v>0</v>
          </cell>
          <cell r="DU194">
            <v>0</v>
          </cell>
          <cell r="ED194" t="str">
            <v>G:\Habitat\OPERATIONNEL HABITAT\02- Operations\Photothèque\image non disponible.jpg</v>
          </cell>
          <cell r="EE194" t="str">
            <v>G:\Habitat\OPERATIONNEL HABITAT\02- Operations\Photothèque\image non disponible.jpg</v>
          </cell>
        </row>
        <row r="195">
          <cell r="A195" t="str">
            <v>PITON MADORE  bat A et B</v>
          </cell>
          <cell r="B195">
            <v>9417</v>
          </cell>
          <cell r="C195" t="str">
            <v>NORD</v>
          </cell>
          <cell r="D195" t="str">
            <v>Saint-Denis</v>
          </cell>
          <cell r="E195" t="str">
            <v>ZAC BELLEPIERRE</v>
          </cell>
          <cell r="F195">
            <v>28</v>
          </cell>
          <cell r="G195" t="str">
            <v>PLS</v>
          </cell>
          <cell r="J195" t="str">
            <v>COL</v>
          </cell>
          <cell r="K195" t="str">
            <v>CF</v>
          </cell>
          <cell r="L195" t="str">
            <v>SIDR</v>
          </cell>
          <cell r="M195" t="str">
            <v>maitrisé</v>
          </cell>
          <cell r="N195" t="str">
            <v>BZ</v>
          </cell>
          <cell r="O195" t="str">
            <v>SV</v>
          </cell>
          <cell r="P195" t="str">
            <v>CS</v>
          </cell>
          <cell r="Q195" t="str">
            <v>AR</v>
          </cell>
          <cell r="R195">
            <v>2005</v>
          </cell>
          <cell r="T195" t="str">
            <v>pb de propriété foncière à régler avec la commune/temoin/ loyer</v>
          </cell>
          <cell r="U195" t="str">
            <v>D. MASSON</v>
          </cell>
          <cell r="V195" t="str">
            <v>M - LIVRE/GPA</v>
          </cell>
          <cell r="W195">
            <v>38530</v>
          </cell>
          <cell r="X195" t="str">
            <v>d</v>
          </cell>
          <cell r="Y195" t="str">
            <v>97441105A0345</v>
          </cell>
          <cell r="Z195">
            <v>38398</v>
          </cell>
          <cell r="AA195" t="str">
            <v/>
          </cell>
          <cell r="AB195" t="str">
            <v>validé</v>
          </cell>
          <cell r="AC195" t="str">
            <v/>
          </cell>
          <cell r="AD195">
            <v>38624</v>
          </cell>
          <cell r="AE195">
            <v>38553</v>
          </cell>
          <cell r="AF195" t="str">
            <v>f</v>
          </cell>
          <cell r="AG195">
            <v>38722</v>
          </cell>
          <cell r="AH195">
            <v>38832</v>
          </cell>
          <cell r="AI195" t="str">
            <v/>
          </cell>
          <cell r="AJ195">
            <v>38996</v>
          </cell>
          <cell r="AK195" t="str">
            <v/>
          </cell>
          <cell r="AL195">
            <v>0</v>
          </cell>
          <cell r="AM195">
            <v>2006</v>
          </cell>
          <cell r="AN195">
            <v>18</v>
          </cell>
          <cell r="AO195">
            <v>39568</v>
          </cell>
          <cell r="AP195">
            <v>39583</v>
          </cell>
          <cell r="AQ195" t="str">
            <v>li</v>
          </cell>
          <cell r="AR195">
            <v>2008</v>
          </cell>
          <cell r="AW195">
            <v>18</v>
          </cell>
          <cell r="AX195">
            <v>56.61</v>
          </cell>
          <cell r="BA195">
            <v>8</v>
          </cell>
          <cell r="BB195">
            <v>68.25</v>
          </cell>
          <cell r="BE195">
            <v>6</v>
          </cell>
          <cell r="BF195">
            <v>80.83</v>
          </cell>
          <cell r="BI195">
            <v>3</v>
          </cell>
          <cell r="BJ195">
            <v>95.66</v>
          </cell>
          <cell r="BK195">
            <v>35</v>
          </cell>
          <cell r="BL195">
            <v>4.87</v>
          </cell>
          <cell r="BM195">
            <v>0.87</v>
          </cell>
          <cell r="BN195">
            <v>0.2</v>
          </cell>
          <cell r="BO195" t="str">
            <v>signée</v>
          </cell>
          <cell r="BP195">
            <v>0.8</v>
          </cell>
          <cell r="BQ195" t="str">
            <v>signée</v>
          </cell>
          <cell r="BR195" t="str">
            <v>ADI</v>
          </cell>
          <cell r="BT195" t="str">
            <v>signée</v>
          </cell>
          <cell r="BX195" t="str">
            <v>signé</v>
          </cell>
          <cell r="BY195">
            <v>2128</v>
          </cell>
          <cell r="BZ195">
            <v>4490</v>
          </cell>
          <cell r="CA195">
            <v>2898</v>
          </cell>
          <cell r="CE195" t="str">
            <v>ECS ind</v>
          </cell>
          <cell r="CF195">
            <v>74000</v>
          </cell>
          <cell r="CG195">
            <v>22200</v>
          </cell>
          <cell r="CH195">
            <v>33300</v>
          </cell>
          <cell r="CI195">
            <v>18500</v>
          </cell>
          <cell r="CJ195" t="str">
            <v>-</v>
          </cell>
          <cell r="CK195" t="str">
            <v>-</v>
          </cell>
          <cell r="CL195" t="str">
            <v>-</v>
          </cell>
          <cell r="CM195" t="str">
            <v>-</v>
          </cell>
          <cell r="CN195">
            <v>0</v>
          </cell>
          <cell r="CQ195" t="str">
            <v>oui</v>
          </cell>
          <cell r="CR195">
            <v>206441</v>
          </cell>
          <cell r="CT195">
            <v>2357955</v>
          </cell>
          <cell r="CX195">
            <v>0</v>
          </cell>
          <cell r="DE195">
            <v>0</v>
          </cell>
          <cell r="DJ195">
            <v>0</v>
          </cell>
          <cell r="DO195">
            <v>0</v>
          </cell>
          <cell r="DQ195">
            <v>76473</v>
          </cell>
          <cell r="DR195">
            <v>40800</v>
          </cell>
          <cell r="DS195">
            <v>0</v>
          </cell>
          <cell r="DT195">
            <v>0</v>
          </cell>
          <cell r="DU195">
            <v>0</v>
          </cell>
          <cell r="ED195" t="str">
            <v>G:\Habitat\OPERATIONNEL HABITAT\02- Operations\Photothèque\images locatifs\Piton Madoré\Pers 1 P Madoré.jpg</v>
          </cell>
          <cell r="EE195" t="str">
            <v>G:\Habitat\OPERATIONNEL HABITAT\02- Operations\Photothèque\images locatifs\Piton Madoré\Pers 2 P Madoré.jpg</v>
          </cell>
        </row>
        <row r="196">
          <cell r="A196" t="str">
            <v>PITON MADORE  bat C</v>
          </cell>
          <cell r="B196">
            <v>9417</v>
          </cell>
          <cell r="C196" t="str">
            <v>NORD</v>
          </cell>
          <cell r="D196" t="str">
            <v>Saint-Denis</v>
          </cell>
          <cell r="E196" t="str">
            <v>ZAC BELLEPIERRE</v>
          </cell>
          <cell r="F196">
            <v>12</v>
          </cell>
          <cell r="G196" t="str">
            <v>PLS</v>
          </cell>
          <cell r="J196" t="str">
            <v>COL</v>
          </cell>
          <cell r="K196" t="str">
            <v>CF</v>
          </cell>
          <cell r="L196" t="str">
            <v>SIDR</v>
          </cell>
          <cell r="M196" t="str">
            <v>maitrisé</v>
          </cell>
          <cell r="N196" t="str">
            <v>BZ</v>
          </cell>
          <cell r="O196" t="str">
            <v>SV</v>
          </cell>
          <cell r="P196" t="str">
            <v>CS</v>
          </cell>
          <cell r="Q196" t="str">
            <v>AR</v>
          </cell>
          <cell r="R196">
            <v>2005</v>
          </cell>
          <cell r="U196" t="str">
            <v>GOETZ</v>
          </cell>
          <cell r="V196" t="str">
            <v>M - LIVRE/GPA</v>
          </cell>
          <cell r="W196">
            <v>38176</v>
          </cell>
          <cell r="X196" t="str">
            <v>d</v>
          </cell>
          <cell r="Y196" t="str">
            <v>97441104A0332</v>
          </cell>
          <cell r="Z196">
            <v>38357</v>
          </cell>
          <cell r="AA196" t="str">
            <v>o</v>
          </cell>
          <cell r="AB196" t="str">
            <v>validé</v>
          </cell>
          <cell r="AC196" t="str">
            <v/>
          </cell>
          <cell r="AD196">
            <v>38687</v>
          </cell>
          <cell r="AE196">
            <v>38615</v>
          </cell>
          <cell r="AF196" t="str">
            <v>f</v>
          </cell>
          <cell r="AG196">
            <v>38805</v>
          </cell>
          <cell r="AH196">
            <v>38582</v>
          </cell>
          <cell r="AI196" t="str">
            <v>ao</v>
          </cell>
          <cell r="AJ196">
            <v>38819</v>
          </cell>
          <cell r="AK196" t="str">
            <v/>
          </cell>
          <cell r="AL196">
            <v>7.7919516044187267</v>
          </cell>
          <cell r="AM196">
            <v>2006</v>
          </cell>
          <cell r="AN196">
            <v>17</v>
          </cell>
          <cell r="AO196">
            <v>39337</v>
          </cell>
          <cell r="AP196">
            <v>39431</v>
          </cell>
          <cell r="AQ196" t="str">
            <v>li</v>
          </cell>
          <cell r="AR196">
            <v>2007</v>
          </cell>
          <cell r="AS196">
            <v>4</v>
          </cell>
          <cell r="AT196">
            <v>28.4</v>
          </cell>
          <cell r="AW196">
            <v>9</v>
          </cell>
          <cell r="AX196">
            <v>56.12</v>
          </cell>
          <cell r="BA196">
            <v>20</v>
          </cell>
          <cell r="BB196">
            <v>66.42</v>
          </cell>
          <cell r="BE196">
            <v>4</v>
          </cell>
          <cell r="BF196">
            <v>76</v>
          </cell>
          <cell r="BI196">
            <v>3</v>
          </cell>
          <cell r="BJ196">
            <v>105.18</v>
          </cell>
          <cell r="BK196">
            <v>40</v>
          </cell>
          <cell r="BL196">
            <v>8.5</v>
          </cell>
          <cell r="BM196">
            <v>0.8</v>
          </cell>
          <cell r="BN196">
            <v>0.2</v>
          </cell>
          <cell r="BO196" t="str">
            <v>signée</v>
          </cell>
          <cell r="BP196">
            <v>0.8</v>
          </cell>
          <cell r="BQ196" t="str">
            <v>signée</v>
          </cell>
          <cell r="BX196" t="str">
            <v>émis signature garants en cours</v>
          </cell>
          <cell r="BY196">
            <v>2815</v>
          </cell>
          <cell r="BZ196">
            <v>4080</v>
          </cell>
          <cell r="CA196">
            <v>2828.48</v>
          </cell>
          <cell r="CE196" t="str">
            <v>ECS ind</v>
          </cell>
          <cell r="CF196">
            <v>108178</v>
          </cell>
          <cell r="CI196" t="str">
            <v>C le21/01/2008</v>
          </cell>
          <cell r="CJ196" t="str">
            <v>-</v>
          </cell>
          <cell r="CK196" t="str">
            <v>-</v>
          </cell>
          <cell r="CL196" t="str">
            <v>-</v>
          </cell>
          <cell r="CM196" t="str">
            <v>-</v>
          </cell>
          <cell r="CN196">
            <v>0</v>
          </cell>
          <cell r="CQ196" t="str">
            <v>oui</v>
          </cell>
          <cell r="CR196">
            <v>408801</v>
          </cell>
          <cell r="CT196">
            <v>2991824</v>
          </cell>
          <cell r="CX196">
            <v>3400625</v>
          </cell>
          <cell r="DE196">
            <v>0</v>
          </cell>
          <cell r="DJ196">
            <v>0</v>
          </cell>
          <cell r="DO196">
            <v>0</v>
          </cell>
          <cell r="DQ196">
            <v>101100</v>
          </cell>
          <cell r="DR196">
            <v>40000</v>
          </cell>
          <cell r="DS196">
            <v>141100</v>
          </cell>
          <cell r="DT196">
            <v>282200</v>
          </cell>
          <cell r="DU196">
            <v>-3118425</v>
          </cell>
          <cell r="ED196" t="str">
            <v>G:\Habitat\OPERATIONNEL HABITAT\02- Operations\Photothèque\images locatifs\Piton Madoré\Pers 1 P Madoré.jpg</v>
          </cell>
          <cell r="EE196" t="str">
            <v>G:\Habitat\OPERATIONNEL HABITAT\02- Operations\Photothèque\images locatifs\Piton Madoré\Pers 2 P Madoré.jpg</v>
          </cell>
        </row>
        <row r="197">
          <cell r="A197" t="str">
            <v>PORQUEROLLES</v>
          </cell>
          <cell r="B197">
            <v>9600</v>
          </cell>
          <cell r="C197" t="str">
            <v>NORD</v>
          </cell>
          <cell r="D197" t="str">
            <v>Saint-Denis</v>
          </cell>
          <cell r="E197" t="str">
            <v>STE CLOTILDE</v>
          </cell>
          <cell r="F197">
            <v>35</v>
          </cell>
          <cell r="G197" t="str">
            <v>LLTS</v>
          </cell>
          <cell r="J197" t="str">
            <v>COL</v>
          </cell>
          <cell r="K197" t="str">
            <v>CF</v>
          </cell>
          <cell r="L197" t="str">
            <v>SIDR</v>
          </cell>
          <cell r="M197" t="str">
            <v>maitrisé</v>
          </cell>
          <cell r="N197" t="str">
            <v>JEM</v>
          </cell>
          <cell r="O197" t="str">
            <v>SV</v>
          </cell>
          <cell r="P197" t="str">
            <v>CS</v>
          </cell>
          <cell r="Q197" t="str">
            <v>AR</v>
          </cell>
          <cell r="R197">
            <v>2005</v>
          </cell>
          <cell r="T197" t="str">
            <v>pb de propriété foncière à régler avec la commune/temoin/ loyer</v>
          </cell>
          <cell r="U197" t="str">
            <v>D. MASSON</v>
          </cell>
          <cell r="V197" t="str">
            <v>L - CHANTIER EN COURS</v>
          </cell>
          <cell r="W197">
            <v>38530</v>
          </cell>
          <cell r="X197" t="str">
            <v>d</v>
          </cell>
          <cell r="Y197" t="str">
            <v>97441105A0345</v>
          </cell>
          <cell r="Z197">
            <v>38398</v>
          </cell>
          <cell r="AA197" t="str">
            <v>o</v>
          </cell>
          <cell r="AB197" t="str">
            <v>validé</v>
          </cell>
          <cell r="AC197" t="str">
            <v/>
          </cell>
          <cell r="AD197">
            <v>38624</v>
          </cell>
          <cell r="AE197">
            <v>38553</v>
          </cell>
          <cell r="AF197" t="str">
            <v>f</v>
          </cell>
          <cell r="AG197">
            <v>38722</v>
          </cell>
          <cell r="AH197">
            <v>38832</v>
          </cell>
          <cell r="AI197" t="str">
            <v>ao</v>
          </cell>
          <cell r="AJ197">
            <v>38996</v>
          </cell>
          <cell r="AK197" t="str">
            <v/>
          </cell>
          <cell r="AL197">
            <v>5.3918990005260392</v>
          </cell>
          <cell r="AM197">
            <v>2006</v>
          </cell>
          <cell r="AN197">
            <v>18</v>
          </cell>
          <cell r="AO197">
            <v>39544</v>
          </cell>
          <cell r="AP197">
            <v>39619</v>
          </cell>
          <cell r="AQ197" t="str">
            <v>li</v>
          </cell>
          <cell r="AR197">
            <v>2008</v>
          </cell>
          <cell r="AW197">
            <v>18</v>
          </cell>
          <cell r="AX197">
            <v>56.61</v>
          </cell>
          <cell r="BA197">
            <v>8</v>
          </cell>
          <cell r="BB197">
            <v>68.25</v>
          </cell>
          <cell r="BE197">
            <v>6</v>
          </cell>
          <cell r="BF197">
            <v>80.83</v>
          </cell>
          <cell r="BI197">
            <v>3</v>
          </cell>
          <cell r="BJ197">
            <v>95.66</v>
          </cell>
          <cell r="BK197">
            <v>35</v>
          </cell>
          <cell r="BL197">
            <v>4.87</v>
          </cell>
          <cell r="BM197">
            <v>0.87</v>
          </cell>
          <cell r="BN197">
            <v>0.2</v>
          </cell>
          <cell r="BO197" t="str">
            <v>signée</v>
          </cell>
          <cell r="BP197">
            <v>0.8</v>
          </cell>
          <cell r="BQ197" t="str">
            <v>signée</v>
          </cell>
          <cell r="BR197" t="str">
            <v>ADI</v>
          </cell>
          <cell r="BT197" t="str">
            <v>signée</v>
          </cell>
          <cell r="BX197" t="str">
            <v>signé</v>
          </cell>
          <cell r="BY197">
            <v>2128</v>
          </cell>
          <cell r="BZ197">
            <v>4490</v>
          </cell>
          <cell r="CA197">
            <v>2898</v>
          </cell>
          <cell r="CE197" t="str">
            <v>ECS ind</v>
          </cell>
          <cell r="CF197">
            <v>74000</v>
          </cell>
          <cell r="CG197">
            <v>22200</v>
          </cell>
          <cell r="CH197">
            <v>33300</v>
          </cell>
          <cell r="CI197">
            <v>18500</v>
          </cell>
          <cell r="CJ197" t="str">
            <v>-</v>
          </cell>
          <cell r="CK197" t="str">
            <v>-</v>
          </cell>
          <cell r="CL197" t="str">
            <v>-</v>
          </cell>
          <cell r="CM197" t="str">
            <v>-</v>
          </cell>
          <cell r="CN197">
            <v>0</v>
          </cell>
          <cell r="CQ197" t="str">
            <v>oui</v>
          </cell>
          <cell r="CR197">
            <v>206441</v>
          </cell>
          <cell r="CT197">
            <v>2357955</v>
          </cell>
          <cell r="CX197">
            <v>2564396</v>
          </cell>
          <cell r="DE197">
            <v>55500</v>
          </cell>
          <cell r="DJ197">
            <v>55500</v>
          </cell>
          <cell r="DO197">
            <v>0</v>
          </cell>
          <cell r="DQ197">
            <v>76473</v>
          </cell>
          <cell r="DR197">
            <v>40800</v>
          </cell>
          <cell r="DS197">
            <v>117273</v>
          </cell>
          <cell r="DT197">
            <v>234546</v>
          </cell>
          <cell r="DU197">
            <v>-2274350</v>
          </cell>
          <cell r="ED197" t="str">
            <v>G:\Habitat\OPERATIONNEL HABITAT\02- Operations\Photothèque\images locatifs\Porquerolles\Pers insertion 2 porquerolle.jpg</v>
          </cell>
          <cell r="EE197" t="str">
            <v>G:\Habitat\OPERATIONNEL HABITAT\02- Operations\Photothèque\images locatifs\Porquerolles\porquerolles.jpg</v>
          </cell>
        </row>
        <row r="198">
          <cell r="A198" t="str">
            <v>PREVOISY</v>
          </cell>
          <cell r="B198" t="str">
            <v>xxxx</v>
          </cell>
          <cell r="C198" t="str">
            <v>EST</v>
          </cell>
          <cell r="D198" t="str">
            <v>Saint-Benoît</v>
          </cell>
          <cell r="E198" t="str">
            <v>BRAS CANOT - PREVOISY</v>
          </cell>
          <cell r="F198">
            <v>30</v>
          </cell>
          <cell r="G198" t="str">
            <v>LESG</v>
          </cell>
          <cell r="J198" t="str">
            <v>IND</v>
          </cell>
          <cell r="K198" t="str">
            <v>CF</v>
          </cell>
          <cell r="L198" t="str">
            <v>SIDR</v>
          </cell>
          <cell r="N198" t="str">
            <v>BS</v>
          </cell>
          <cell r="Q198" t="str">
            <v>AR</v>
          </cell>
          <cell r="R198">
            <v>2010</v>
          </cell>
          <cell r="T198" t="str">
            <v>Opération d'aménagement (SIDR) à prévoir - attente livraison primaire SEMAC</v>
          </cell>
          <cell r="V198" t="str">
            <v>A - NON LANCE</v>
          </cell>
          <cell r="X198" t="str">
            <v/>
          </cell>
          <cell r="AA198" t="str">
            <v/>
          </cell>
          <cell r="AC198" t="str">
            <v/>
          </cell>
          <cell r="AF198" t="str">
            <v/>
          </cell>
          <cell r="AI198" t="str">
            <v/>
          </cell>
          <cell r="AK198" t="str">
            <v/>
          </cell>
          <cell r="AL198">
            <v>0</v>
          </cell>
          <cell r="AM198" t="str">
            <v/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CJ198" t="str">
            <v>-</v>
          </cell>
          <cell r="CK198" t="str">
            <v>-</v>
          </cell>
          <cell r="CL198" t="str">
            <v>-</v>
          </cell>
          <cell r="CM198" t="str">
            <v>-</v>
          </cell>
          <cell r="CN198">
            <v>0</v>
          </cell>
          <cell r="CQ198" t="str">
            <v>non</v>
          </cell>
          <cell r="CX198">
            <v>0</v>
          </cell>
          <cell r="DE198">
            <v>0</v>
          </cell>
          <cell r="DJ198">
            <v>0</v>
          </cell>
          <cell r="DO198">
            <v>0</v>
          </cell>
          <cell r="DS198">
            <v>0</v>
          </cell>
          <cell r="DT198">
            <v>0</v>
          </cell>
          <cell r="DU198">
            <v>0</v>
          </cell>
          <cell r="ED198" t="str">
            <v>G:\Habitat\OPERATIONNEL HABITAT\02- Operations\Photothèque\image non disponible.jpg</v>
          </cell>
          <cell r="EE198" t="str">
            <v>G:\Habitat\OPERATIONNEL HABITAT\02- Operations\Photothèque\image non disponible.jpg</v>
          </cell>
        </row>
        <row r="199">
          <cell r="A199" t="str">
            <v>PRU LE PORT</v>
          </cell>
          <cell r="C199" t="str">
            <v>OUEST</v>
          </cell>
          <cell r="D199" t="str">
            <v>Port</v>
          </cell>
          <cell r="E199" t="str">
            <v>PRU LE PORT</v>
          </cell>
          <cell r="F199">
            <v>5</v>
          </cell>
          <cell r="G199" t="str">
            <v>ACC</v>
          </cell>
          <cell r="J199" t="str">
            <v>IND</v>
          </cell>
          <cell r="K199" t="str">
            <v>CF</v>
          </cell>
          <cell r="L199" t="str">
            <v>SEMADER</v>
          </cell>
          <cell r="N199" t="str">
            <v>EC</v>
          </cell>
          <cell r="O199" t="str">
            <v>FG</v>
          </cell>
          <cell r="P199" t="str">
            <v>LV</v>
          </cell>
          <cell r="Q199" t="str">
            <v>VM</v>
          </cell>
          <cell r="R199">
            <v>2003</v>
          </cell>
          <cell r="T199" t="str">
            <v>pas de choix opérateur</v>
          </cell>
          <cell r="U199" t="str">
            <v>CHEYSIAL</v>
          </cell>
          <cell r="V199" t="str">
            <v>M - LIVRE/GPA</v>
          </cell>
          <cell r="X199" t="str">
            <v/>
          </cell>
          <cell r="AA199" t="str">
            <v/>
          </cell>
          <cell r="AC199" t="str">
            <v/>
          </cell>
          <cell r="AD199" t="str">
            <v>v</v>
          </cell>
          <cell r="AF199" t="str">
            <v/>
          </cell>
          <cell r="AI199" t="str">
            <v/>
          </cell>
          <cell r="AK199" t="str">
            <v/>
          </cell>
          <cell r="AL199">
            <v>0</v>
          </cell>
          <cell r="AM199" t="str">
            <v/>
          </cell>
          <cell r="AO199" t="str">
            <v/>
          </cell>
          <cell r="AP199">
            <v>38275</v>
          </cell>
          <cell r="AQ199" t="str">
            <v>li</v>
          </cell>
          <cell r="AR199">
            <v>2004</v>
          </cell>
          <cell r="CJ199" t="str">
            <v>-</v>
          </cell>
          <cell r="CK199" t="str">
            <v>-</v>
          </cell>
          <cell r="CL199" t="str">
            <v>-</v>
          </cell>
          <cell r="CM199" t="str">
            <v>-</v>
          </cell>
          <cell r="CN199">
            <v>0</v>
          </cell>
          <cell r="CQ199" t="str">
            <v>oui</v>
          </cell>
          <cell r="CX199">
            <v>0</v>
          </cell>
          <cell r="DE199">
            <v>0</v>
          </cell>
          <cell r="DJ199">
            <v>0</v>
          </cell>
          <cell r="DO199">
            <v>0</v>
          </cell>
          <cell r="DS199">
            <v>0</v>
          </cell>
          <cell r="DT199">
            <v>0</v>
          </cell>
          <cell r="DU199">
            <v>0</v>
          </cell>
          <cell r="ED199" t="str">
            <v>G:\Habitat\OPERATIONNEL HABITAT\02- Operations\Photothèque\image non disponible.jpg</v>
          </cell>
          <cell r="EE199" t="str">
            <v>G:\Habitat\OPERATIONNEL HABITAT\02- Operations\Photothèque\image non disponible.jpg</v>
          </cell>
        </row>
        <row r="200">
          <cell r="A200" t="str">
            <v>RHI 3 BASSINS 1</v>
          </cell>
          <cell r="C200" t="str">
            <v>OUEST</v>
          </cell>
          <cell r="D200" t="str">
            <v>Trois-Bassins</v>
          </cell>
          <cell r="E200" t="str">
            <v>RHI CROIX BIGAT</v>
          </cell>
          <cell r="F200">
            <v>12</v>
          </cell>
          <cell r="G200" t="str">
            <v>LESG</v>
          </cell>
          <cell r="J200" t="str">
            <v>IND</v>
          </cell>
          <cell r="K200" t="str">
            <v>CF</v>
          </cell>
          <cell r="L200" t="str">
            <v>SIDR</v>
          </cell>
          <cell r="N200" t="str">
            <v>BS</v>
          </cell>
          <cell r="Q200" t="str">
            <v>VM</v>
          </cell>
          <cell r="R200">
            <v>2010</v>
          </cell>
          <cell r="T200" t="str">
            <v>Voie non modifiée</v>
          </cell>
          <cell r="V200" t="str">
            <v>A - NON LANCE</v>
          </cell>
          <cell r="X200" t="str">
            <v/>
          </cell>
          <cell r="AA200" t="str">
            <v/>
          </cell>
          <cell r="AC200" t="str">
            <v/>
          </cell>
          <cell r="AF200" t="str">
            <v/>
          </cell>
          <cell r="AI200" t="str">
            <v/>
          </cell>
          <cell r="AK200" t="str">
            <v/>
          </cell>
          <cell r="AL200">
            <v>0</v>
          </cell>
          <cell r="AM200" t="str">
            <v/>
          </cell>
          <cell r="AQ200" t="str">
            <v/>
          </cell>
          <cell r="CJ200" t="str">
            <v>-</v>
          </cell>
          <cell r="CK200" t="str">
            <v>-</v>
          </cell>
          <cell r="CL200" t="str">
            <v>-</v>
          </cell>
          <cell r="CM200" t="str">
            <v>-</v>
          </cell>
          <cell r="CN200">
            <v>0</v>
          </cell>
          <cell r="CQ200" t="str">
            <v>non</v>
          </cell>
          <cell r="CX200">
            <v>0</v>
          </cell>
          <cell r="DE200">
            <v>0</v>
          </cell>
          <cell r="DJ200">
            <v>0</v>
          </cell>
          <cell r="DO200">
            <v>0</v>
          </cell>
          <cell r="DS200">
            <v>0</v>
          </cell>
          <cell r="DT200">
            <v>0</v>
          </cell>
          <cell r="DU200">
            <v>0</v>
          </cell>
          <cell r="ED200" t="str">
            <v>G:\Habitat\OPERATIONNEL HABITAT\02- Operations\Photothèque\image non disponible.jpg</v>
          </cell>
          <cell r="EE200" t="str">
            <v>G:\Habitat\OPERATIONNEL HABITAT\02- Operations\Photothèque\image non disponible.jpg</v>
          </cell>
        </row>
        <row r="201">
          <cell r="A201" t="str">
            <v>RHI 3 BASSINS 1</v>
          </cell>
          <cell r="B201">
            <v>9677</v>
          </cell>
          <cell r="C201" t="str">
            <v>OUEST</v>
          </cell>
          <cell r="D201" t="str">
            <v>Trois-Bassins</v>
          </cell>
          <cell r="E201" t="str">
            <v>RHI CROIX BIGAT</v>
          </cell>
          <cell r="F201">
            <v>25</v>
          </cell>
          <cell r="G201" t="str">
            <v>LLTS</v>
          </cell>
          <cell r="J201" t="str">
            <v>MV</v>
          </cell>
          <cell r="K201" t="str">
            <v>CF</v>
          </cell>
          <cell r="L201" t="str">
            <v>SIDR</v>
          </cell>
          <cell r="N201" t="str">
            <v>N.A.</v>
          </cell>
          <cell r="O201" t="str">
            <v>OS</v>
          </cell>
          <cell r="P201" t="str">
            <v>LV</v>
          </cell>
          <cell r="Q201" t="str">
            <v>VM</v>
          </cell>
          <cell r="R201">
            <v>2010</v>
          </cell>
          <cell r="T201" t="str">
            <v>pas de choix opérateur</v>
          </cell>
          <cell r="U201" t="str">
            <v>ATELIER GAZUT</v>
          </cell>
          <cell r="V201" t="str">
            <v>A - NON LANCE</v>
          </cell>
          <cell r="W201">
            <v>38977</v>
          </cell>
          <cell r="X201" t="str">
            <v/>
          </cell>
          <cell r="Y201" t="str">
            <v>9741006a0284</v>
          </cell>
          <cell r="Z201">
            <v>39098</v>
          </cell>
          <cell r="AA201" t="str">
            <v/>
          </cell>
          <cell r="AB201">
            <v>0</v>
          </cell>
          <cell r="AC201" t="str">
            <v/>
          </cell>
          <cell r="AD201">
            <v>0</v>
          </cell>
          <cell r="AE201">
            <v>38989</v>
          </cell>
          <cell r="AF201" t="str">
            <v/>
          </cell>
          <cell r="AG201">
            <v>39080</v>
          </cell>
          <cell r="AH201">
            <v>39307</v>
          </cell>
          <cell r="AI201" t="str">
            <v/>
          </cell>
          <cell r="AJ201">
            <v>39721</v>
          </cell>
          <cell r="AK201" t="str">
            <v/>
          </cell>
          <cell r="AL201">
            <v>0</v>
          </cell>
          <cell r="AM201" t="str">
            <v/>
          </cell>
          <cell r="AN201">
            <v>17</v>
          </cell>
          <cell r="AO201">
            <v>40237</v>
          </cell>
          <cell r="AP201">
            <v>40252</v>
          </cell>
          <cell r="AQ201" t="str">
            <v/>
          </cell>
          <cell r="AR201">
            <v>2010</v>
          </cell>
          <cell r="CJ201" t="str">
            <v>-</v>
          </cell>
          <cell r="CK201" t="str">
            <v>-</v>
          </cell>
          <cell r="CL201" t="str">
            <v>-</v>
          </cell>
          <cell r="CM201" t="str">
            <v>-</v>
          </cell>
          <cell r="CN201">
            <v>0</v>
          </cell>
          <cell r="CQ201" t="str">
            <v>non</v>
          </cell>
          <cell r="CX201">
            <v>0</v>
          </cell>
          <cell r="DE201">
            <v>0</v>
          </cell>
          <cell r="DJ201">
            <v>0</v>
          </cell>
          <cell r="DO201">
            <v>0</v>
          </cell>
          <cell r="DS201">
            <v>0</v>
          </cell>
          <cell r="DT201">
            <v>0</v>
          </cell>
          <cell r="DU201">
            <v>0</v>
          </cell>
          <cell r="ED201" t="str">
            <v>G:\Habitat\OPERATIONNEL HABITAT\02- Operations\Photothèque\image non disponible.jpg</v>
          </cell>
          <cell r="EE201" t="str">
            <v>G:\Habitat\OPERATIONNEL HABITAT\02- Operations\Photothèque\image non disponible.jpg</v>
          </cell>
        </row>
        <row r="202">
          <cell r="A202" t="str">
            <v>RHI 3BASSINS 2</v>
          </cell>
          <cell r="B202">
            <v>9680</v>
          </cell>
          <cell r="C202" t="str">
            <v>OUEST</v>
          </cell>
          <cell r="D202" t="str">
            <v>Trois-Bassins</v>
          </cell>
          <cell r="E202" t="str">
            <v>RHI MONVERT/CHÂTEAU D'EAU</v>
          </cell>
          <cell r="F202">
            <v>64</v>
          </cell>
          <cell r="G202" t="str">
            <v>LESG</v>
          </cell>
          <cell r="J202" t="str">
            <v>MV</v>
          </cell>
          <cell r="K202" t="str">
            <v>CF</v>
          </cell>
          <cell r="L202" t="str">
            <v>SIDR</v>
          </cell>
          <cell r="M202" t="str">
            <v>maitrisé</v>
          </cell>
          <cell r="N202" t="str">
            <v>N.A.</v>
          </cell>
          <cell r="O202" t="str">
            <v>FG</v>
          </cell>
          <cell r="P202" t="str">
            <v>LV</v>
          </cell>
          <cell r="Q202" t="str">
            <v>VM</v>
          </cell>
          <cell r="R202">
            <v>2011</v>
          </cell>
          <cell r="S202">
            <v>1</v>
          </cell>
          <cell r="T202" t="str">
            <v>pas de choix opérateur(RHI 2)</v>
          </cell>
          <cell r="U202" t="str">
            <v>SOAA MEUNIER</v>
          </cell>
          <cell r="V202" t="str">
            <v>A - NON LANCE</v>
          </cell>
          <cell r="W202">
            <v>39080</v>
          </cell>
          <cell r="X202" t="str">
            <v/>
          </cell>
          <cell r="Y202" t="str">
            <v>9741506a0967</v>
          </cell>
          <cell r="Z202">
            <v>39344</v>
          </cell>
          <cell r="AA202" t="str">
            <v/>
          </cell>
          <cell r="AB202">
            <v>39337</v>
          </cell>
          <cell r="AC202" t="str">
            <v/>
          </cell>
          <cell r="AD202">
            <v>39387</v>
          </cell>
          <cell r="AE202">
            <v>39353</v>
          </cell>
          <cell r="AF202" t="str">
            <v/>
          </cell>
          <cell r="AG202">
            <v>39464</v>
          </cell>
          <cell r="AH202">
            <v>39872</v>
          </cell>
          <cell r="AI202" t="str">
            <v/>
          </cell>
          <cell r="AJ202">
            <v>40024</v>
          </cell>
          <cell r="AK202" t="str">
            <v/>
          </cell>
          <cell r="AL202">
            <v>0</v>
          </cell>
          <cell r="AM202" t="str">
            <v/>
          </cell>
          <cell r="AN202">
            <v>12</v>
          </cell>
          <cell r="AO202">
            <v>40389</v>
          </cell>
          <cell r="AP202">
            <v>40404</v>
          </cell>
          <cell r="AQ202" t="str">
            <v/>
          </cell>
          <cell r="AR202">
            <v>2010</v>
          </cell>
          <cell r="CJ202" t="str">
            <v>-</v>
          </cell>
          <cell r="CK202" t="str">
            <v>-</v>
          </cell>
          <cell r="CL202" t="str">
            <v>-</v>
          </cell>
          <cell r="CM202" t="str">
            <v>-</v>
          </cell>
          <cell r="CN202">
            <v>0</v>
          </cell>
          <cell r="CQ202" t="str">
            <v>non</v>
          </cell>
          <cell r="CX202">
            <v>0</v>
          </cell>
          <cell r="DE202">
            <v>0</v>
          </cell>
          <cell r="DJ202">
            <v>0</v>
          </cell>
          <cell r="DO202">
            <v>0</v>
          </cell>
          <cell r="DS202">
            <v>0</v>
          </cell>
          <cell r="DT202">
            <v>0</v>
          </cell>
          <cell r="DU202">
            <v>0</v>
          </cell>
          <cell r="ED202" t="str">
            <v>G:\Habitat\OPERATIONNEL HABITAT\02- Operations\Photothèque\image non disponible.jpg</v>
          </cell>
          <cell r="EE202" t="str">
            <v>G:\Habitat\OPERATIONNEL HABITAT\02- Operations\Photothèque\image non disponible.jpg</v>
          </cell>
        </row>
        <row r="203">
          <cell r="A203" t="str">
            <v>RHI BEAUFONDS 2</v>
          </cell>
          <cell r="B203">
            <v>9677</v>
          </cell>
          <cell r="C203" t="str">
            <v>EST</v>
          </cell>
          <cell r="D203" t="str">
            <v>Saint-Benoît</v>
          </cell>
          <cell r="E203" t="str">
            <v>RHI BEAUFOND</v>
          </cell>
          <cell r="F203">
            <v>14</v>
          </cell>
          <cell r="G203" t="str">
            <v>LESG</v>
          </cell>
          <cell r="J203" t="str">
            <v>IND</v>
          </cell>
          <cell r="K203" t="str">
            <v>CF</v>
          </cell>
          <cell r="L203" t="str">
            <v>SEMAC</v>
          </cell>
          <cell r="M203" t="str">
            <v>maitrisé</v>
          </cell>
          <cell r="N203" t="str">
            <v>BS</v>
          </cell>
          <cell r="O203" t="str">
            <v>OS</v>
          </cell>
          <cell r="P203" t="str">
            <v>LV</v>
          </cell>
          <cell r="Q203" t="str">
            <v>RR</v>
          </cell>
          <cell r="R203">
            <v>2006</v>
          </cell>
          <cell r="S203">
            <v>0.5</v>
          </cell>
          <cell r="T203" t="str">
            <v>acte en signature</v>
          </cell>
          <cell r="U203" t="str">
            <v>ATELIER GAZUT</v>
          </cell>
          <cell r="V203" t="str">
            <v>L - CHANTIER EN COURS</v>
          </cell>
          <cell r="W203">
            <v>38977</v>
          </cell>
          <cell r="X203" t="str">
            <v>d</v>
          </cell>
          <cell r="Y203" t="str">
            <v>9741006a0284</v>
          </cell>
          <cell r="Z203">
            <v>39098</v>
          </cell>
          <cell r="AA203" t="str">
            <v>o</v>
          </cell>
          <cell r="AB203">
            <v>0</v>
          </cell>
          <cell r="AC203" t="str">
            <v>v</v>
          </cell>
          <cell r="AD203">
            <v>0</v>
          </cell>
          <cell r="AE203">
            <v>38989</v>
          </cell>
          <cell r="AF203" t="str">
            <v>f</v>
          </cell>
          <cell r="AG203">
            <v>39080</v>
          </cell>
          <cell r="AH203">
            <v>39307</v>
          </cell>
          <cell r="AI203" t="str">
            <v>ao</v>
          </cell>
          <cell r="AJ203">
            <v>39721</v>
          </cell>
          <cell r="AK203" t="str">
            <v>ch</v>
          </cell>
          <cell r="AL203">
            <v>13.611257233035245</v>
          </cell>
          <cell r="AM203">
            <v>2008</v>
          </cell>
          <cell r="AN203">
            <v>17</v>
          </cell>
          <cell r="AO203">
            <v>40237</v>
          </cell>
          <cell r="AP203">
            <v>40252</v>
          </cell>
          <cell r="AQ203" t="str">
            <v/>
          </cell>
          <cell r="AR203">
            <v>2010</v>
          </cell>
          <cell r="CJ203" t="str">
            <v>-</v>
          </cell>
          <cell r="CK203" t="str">
            <v>-</v>
          </cell>
          <cell r="CL203" t="str">
            <v>-</v>
          </cell>
          <cell r="CM203" t="str">
            <v>-</v>
          </cell>
          <cell r="CN203">
            <v>0</v>
          </cell>
          <cell r="CQ203" t="str">
            <v>non</v>
          </cell>
          <cell r="CX203">
            <v>0</v>
          </cell>
          <cell r="DE203">
            <v>0</v>
          </cell>
          <cell r="DJ203">
            <v>0</v>
          </cell>
          <cell r="DO203">
            <v>0</v>
          </cell>
          <cell r="DS203">
            <v>0</v>
          </cell>
          <cell r="DT203">
            <v>0</v>
          </cell>
          <cell r="DU203">
            <v>0</v>
          </cell>
          <cell r="ED203" t="str">
            <v>G:\Habitat\OPERATIONNEL HABITAT\02- Operations\Photothèque\image non disponible.jpg</v>
          </cell>
          <cell r="EE203" t="str">
            <v>G:\Habitat\OPERATIONNEL HABITAT\02- Operations\Photothèque\image non disponible.jpg</v>
          </cell>
        </row>
        <row r="204">
          <cell r="A204" t="str">
            <v>RHI BOUILLON T1</v>
          </cell>
          <cell r="B204">
            <v>9680</v>
          </cell>
          <cell r="C204" t="str">
            <v>OUEST</v>
          </cell>
          <cell r="D204" t="str">
            <v>Saint-Paul</v>
          </cell>
          <cell r="E204" t="str">
            <v>RHI BOUILLON</v>
          </cell>
          <cell r="F204">
            <v>12</v>
          </cell>
          <cell r="G204" t="str">
            <v>LESG</v>
          </cell>
          <cell r="J204" t="str">
            <v>IND</v>
          </cell>
          <cell r="K204" t="str">
            <v>CF</v>
          </cell>
          <cell r="L204" t="str">
            <v>SIDR</v>
          </cell>
          <cell r="M204" t="str">
            <v>maitrisé</v>
          </cell>
          <cell r="N204" t="str">
            <v>BS</v>
          </cell>
          <cell r="O204" t="str">
            <v>FG</v>
          </cell>
          <cell r="P204" t="str">
            <v>LV</v>
          </cell>
          <cell r="Q204" t="str">
            <v>RR</v>
          </cell>
          <cell r="R204">
            <v>2007</v>
          </cell>
          <cell r="S204">
            <v>1</v>
          </cell>
          <cell r="T204" t="str">
            <v>reprogrammation de 2006 &gt; 2007 | finct TCO acquis attente convention</v>
          </cell>
          <cell r="U204" t="str">
            <v>SOAA MEUNIER</v>
          </cell>
          <cell r="V204" t="str">
            <v>G - PROJET</v>
          </cell>
          <cell r="W204">
            <v>39080</v>
          </cell>
          <cell r="X204" t="str">
            <v>d</v>
          </cell>
          <cell r="Y204" t="str">
            <v>9741506a0967</v>
          </cell>
          <cell r="Z204">
            <v>39344</v>
          </cell>
          <cell r="AA204" t="str">
            <v>o</v>
          </cell>
          <cell r="AB204">
            <v>39337</v>
          </cell>
          <cell r="AC204" t="str">
            <v>v</v>
          </cell>
          <cell r="AD204">
            <v>39387</v>
          </cell>
          <cell r="AE204">
            <v>39353</v>
          </cell>
          <cell r="AF204" t="str">
            <v>f</v>
          </cell>
          <cell r="AG204">
            <v>39464</v>
          </cell>
          <cell r="AH204">
            <v>39872</v>
          </cell>
          <cell r="AI204" t="str">
            <v>ao</v>
          </cell>
          <cell r="AJ204">
            <v>40024</v>
          </cell>
          <cell r="AK204" t="str">
            <v/>
          </cell>
          <cell r="AL204">
            <v>4.9973698053655973</v>
          </cell>
          <cell r="AM204">
            <v>2009</v>
          </cell>
          <cell r="AN204">
            <v>12</v>
          </cell>
          <cell r="AO204">
            <v>40389</v>
          </cell>
          <cell r="AP204">
            <v>40404</v>
          </cell>
          <cell r="AQ204" t="str">
            <v/>
          </cell>
          <cell r="AR204">
            <v>2010</v>
          </cell>
          <cell r="CJ204" t="str">
            <v>-</v>
          </cell>
          <cell r="CK204" t="str">
            <v>-</v>
          </cell>
          <cell r="CL204" t="str">
            <v>-</v>
          </cell>
          <cell r="CN204">
            <v>0</v>
          </cell>
          <cell r="CQ204" t="str">
            <v>non</v>
          </cell>
          <cell r="CX204">
            <v>0</v>
          </cell>
          <cell r="DE204">
            <v>0</v>
          </cell>
          <cell r="DJ204">
            <v>0</v>
          </cell>
          <cell r="DO204">
            <v>0</v>
          </cell>
          <cell r="DS204">
            <v>0</v>
          </cell>
          <cell r="DT204">
            <v>0</v>
          </cell>
          <cell r="DU204">
            <v>0</v>
          </cell>
          <cell r="ED204" t="str">
            <v>G:\Habitat\OPERATIONNEL HABITAT\02- Operations\Photothèque\image non disponible.jpg</v>
          </cell>
          <cell r="EE204" t="str">
            <v>G:\Habitat\OPERATIONNEL HABITAT\02- Operations\Photothèque\image non disponible.jpg</v>
          </cell>
        </row>
        <row r="205">
          <cell r="A205" t="str">
            <v>RHI BOUILLON T2</v>
          </cell>
          <cell r="B205">
            <v>9710</v>
          </cell>
          <cell r="C205" t="str">
            <v>OUEST</v>
          </cell>
          <cell r="D205" t="str">
            <v>Saint-Paul</v>
          </cell>
          <cell r="E205" t="str">
            <v>RHI BOUILLON</v>
          </cell>
          <cell r="F205">
            <v>10</v>
          </cell>
          <cell r="G205" t="str">
            <v>LESG</v>
          </cell>
          <cell r="J205" t="str">
            <v>IND</v>
          </cell>
          <cell r="K205" t="str">
            <v>CF</v>
          </cell>
          <cell r="L205" t="str">
            <v>SIDR</v>
          </cell>
          <cell r="M205" t="str">
            <v>maitrisé</v>
          </cell>
          <cell r="N205" t="str">
            <v>BS</v>
          </cell>
          <cell r="O205" t="str">
            <v>FG</v>
          </cell>
          <cell r="P205" t="str">
            <v>LV</v>
          </cell>
          <cell r="Q205" t="str">
            <v>RR</v>
          </cell>
          <cell r="R205">
            <v>2007</v>
          </cell>
          <cell r="S205">
            <v>0.5</v>
          </cell>
          <cell r="T205" t="str">
            <v>positionnement TCO Surcout base AO/ Finct complémentaire à trouver solaire</v>
          </cell>
          <cell r="U205" t="str">
            <v>SOAA MEUNIER</v>
          </cell>
          <cell r="V205" t="str">
            <v>G - PROJET</v>
          </cell>
          <cell r="W205">
            <v>39340</v>
          </cell>
          <cell r="X205" t="str">
            <v>d</v>
          </cell>
          <cell r="Y205" t="str">
            <v>9741507a0825</v>
          </cell>
          <cell r="AA205" t="str">
            <v/>
          </cell>
          <cell r="AB205">
            <v>39337</v>
          </cell>
          <cell r="AC205" t="str">
            <v>v</v>
          </cell>
          <cell r="AD205">
            <v>39387</v>
          </cell>
          <cell r="AE205">
            <v>39353</v>
          </cell>
          <cell r="AF205" t="str">
            <v>f</v>
          </cell>
          <cell r="AH205">
            <v>39872</v>
          </cell>
          <cell r="AI205" t="str">
            <v>ao</v>
          </cell>
          <cell r="AJ205">
            <v>40024</v>
          </cell>
          <cell r="AK205" t="str">
            <v/>
          </cell>
          <cell r="AL205">
            <v>4.9973698053655973</v>
          </cell>
          <cell r="AM205">
            <v>2009</v>
          </cell>
          <cell r="AN205">
            <v>16</v>
          </cell>
          <cell r="AO205">
            <v>40512</v>
          </cell>
          <cell r="AP205">
            <v>40527</v>
          </cell>
          <cell r="AQ205" t="str">
            <v/>
          </cell>
          <cell r="AR205">
            <v>2010</v>
          </cell>
          <cell r="CJ205" t="str">
            <v>-</v>
          </cell>
          <cell r="CK205" t="str">
            <v>-</v>
          </cell>
          <cell r="CL205" t="str">
            <v>-</v>
          </cell>
          <cell r="CM205" t="str">
            <v>-</v>
          </cell>
          <cell r="CN205">
            <v>0</v>
          </cell>
          <cell r="CQ205" t="str">
            <v>non</v>
          </cell>
          <cell r="CX205">
            <v>0</v>
          </cell>
          <cell r="DE205">
            <v>0</v>
          </cell>
          <cell r="DJ205">
            <v>0</v>
          </cell>
          <cell r="DO205">
            <v>0</v>
          </cell>
          <cell r="DS205">
            <v>0</v>
          </cell>
          <cell r="DT205">
            <v>0</v>
          </cell>
          <cell r="DU205">
            <v>0</v>
          </cell>
          <cell r="ED205" t="str">
            <v>G:\Habitat\OPERATIONNEL HABITAT\02- Operations\Photothèque\image non disponible.jpg</v>
          </cell>
          <cell r="EE205" t="str">
            <v>G:\Habitat\OPERATIONNEL HABITAT\02- Operations\Photothèque\image non disponible.jpg</v>
          </cell>
        </row>
        <row r="206">
          <cell r="A206" t="str">
            <v>RHI CENTRE VILLE</v>
          </cell>
          <cell r="B206">
            <v>9712</v>
          </cell>
          <cell r="C206" t="str">
            <v>SUD</v>
          </cell>
          <cell r="D206" t="str">
            <v>Saint-Joseph</v>
          </cell>
          <cell r="F206">
            <v>7</v>
          </cell>
          <cell r="G206" t="str">
            <v>LESG</v>
          </cell>
          <cell r="J206" t="str">
            <v>IND</v>
          </cell>
          <cell r="K206" t="str">
            <v>CF</v>
          </cell>
          <cell r="L206" t="str">
            <v>SIDR</v>
          </cell>
          <cell r="M206" t="str">
            <v>sous compromis</v>
          </cell>
          <cell r="N206" t="str">
            <v>BS</v>
          </cell>
          <cell r="O206" t="str">
            <v>OS</v>
          </cell>
          <cell r="P206" t="str">
            <v>LV</v>
          </cell>
          <cell r="Q206" t="str">
            <v>HBM</v>
          </cell>
          <cell r="R206">
            <v>2007</v>
          </cell>
          <cell r="S206">
            <v>1</v>
          </cell>
          <cell r="T206" t="str">
            <v>acte cession urgent/projet vrd RHI ?</v>
          </cell>
          <cell r="U206" t="str">
            <v>SOAA MEUNIER</v>
          </cell>
          <cell r="V206" t="str">
            <v>I - ACT</v>
          </cell>
          <cell r="W206">
            <v>39352</v>
          </cell>
          <cell r="X206" t="str">
            <v>d</v>
          </cell>
          <cell r="Y206" t="str">
            <v>9741207a0236</v>
          </cell>
          <cell r="Z206">
            <v>39513</v>
          </cell>
          <cell r="AA206" t="str">
            <v>o</v>
          </cell>
          <cell r="AB206">
            <v>39337</v>
          </cell>
          <cell r="AC206" t="str">
            <v>v</v>
          </cell>
          <cell r="AD206">
            <v>39387</v>
          </cell>
          <cell r="AE206">
            <v>39353</v>
          </cell>
          <cell r="AF206" t="str">
            <v>f</v>
          </cell>
          <cell r="AG206">
            <v>39464</v>
          </cell>
          <cell r="AH206">
            <v>39730</v>
          </cell>
          <cell r="AI206" t="str">
            <v>ao</v>
          </cell>
          <cell r="AJ206">
            <v>39845</v>
          </cell>
          <cell r="AK206" t="str">
            <v>ch</v>
          </cell>
          <cell r="AL206">
            <v>3.7809047869542347</v>
          </cell>
          <cell r="AM206">
            <v>2009</v>
          </cell>
          <cell r="AN206">
            <v>10</v>
          </cell>
          <cell r="AO206">
            <v>40148</v>
          </cell>
          <cell r="AP206">
            <v>40163</v>
          </cell>
          <cell r="AQ206" t="str">
            <v/>
          </cell>
          <cell r="AR206">
            <v>2009</v>
          </cell>
          <cell r="CJ206" t="str">
            <v>-</v>
          </cell>
          <cell r="CK206" t="str">
            <v>-</v>
          </cell>
          <cell r="CL206" t="str">
            <v>-</v>
          </cell>
          <cell r="CN206">
            <v>0</v>
          </cell>
          <cell r="CQ206" t="str">
            <v>non</v>
          </cell>
          <cell r="CX206">
            <v>0</v>
          </cell>
          <cell r="DE206">
            <v>0</v>
          </cell>
          <cell r="DJ206">
            <v>0</v>
          </cell>
          <cell r="DO206">
            <v>0</v>
          </cell>
          <cell r="DS206">
            <v>0</v>
          </cell>
          <cell r="DT206">
            <v>0</v>
          </cell>
          <cell r="DU206">
            <v>0</v>
          </cell>
          <cell r="ED206" t="str">
            <v>G:\Habitat\OPERATIONNEL HABITAT\02- Operations\Photothèque\image non disponible.jpg</v>
          </cell>
          <cell r="EE206" t="str">
            <v>G:\Habitat\OPERATIONNEL HABITAT\02- Operations\Photothèque\image non disponible.jpg</v>
          </cell>
        </row>
        <row r="207">
          <cell r="A207" t="str">
            <v>TERRAIN MOUNICHY</v>
          </cell>
          <cell r="B207" t="str">
            <v>xxxx</v>
          </cell>
          <cell r="C207" t="str">
            <v>OUEST</v>
          </cell>
          <cell r="D207" t="str">
            <v>Saint-Paul</v>
          </cell>
          <cell r="E207" t="str">
            <v>PROCHE RHI GD CONTOUR</v>
          </cell>
          <cell r="F207">
            <v>20</v>
          </cell>
          <cell r="G207" t="str">
            <v>LLTS</v>
          </cell>
          <cell r="J207" t="str">
            <v>COL</v>
          </cell>
          <cell r="K207" t="str">
            <v>CF</v>
          </cell>
          <cell r="L207" t="str">
            <v>SIDR</v>
          </cell>
          <cell r="M207" t="str">
            <v>prob foncier</v>
          </cell>
          <cell r="N207" t="str">
            <v>N.A.</v>
          </cell>
          <cell r="O207" t="str">
            <v>FG</v>
          </cell>
          <cell r="P207" t="str">
            <v>LV</v>
          </cell>
          <cell r="Q207" t="str">
            <v>CP</v>
          </cell>
          <cell r="R207">
            <v>2011</v>
          </cell>
          <cell r="S207">
            <v>0.25</v>
          </cell>
          <cell r="T207" t="str">
            <v>négo foncier/modif POS/PLU - attente dossier manégaeur mi juin 2010</v>
          </cell>
          <cell r="U207" t="str">
            <v>ATELIER GAZUT</v>
          </cell>
          <cell r="V207" t="str">
            <v>A - NON LANCE</v>
          </cell>
          <cell r="W207">
            <v>39782</v>
          </cell>
          <cell r="AA207" t="str">
            <v/>
          </cell>
          <cell r="AC207" t="str">
            <v/>
          </cell>
          <cell r="AI207" t="str">
            <v/>
          </cell>
          <cell r="AK207" t="str">
            <v/>
          </cell>
          <cell r="AL207">
            <v>0</v>
          </cell>
          <cell r="AM207" t="str">
            <v/>
          </cell>
          <cell r="AO207">
            <v>0</v>
          </cell>
          <cell r="AQ207" t="str">
            <v/>
          </cell>
          <cell r="CJ207" t="str">
            <v>-</v>
          </cell>
          <cell r="CK207" t="str">
            <v>-</v>
          </cell>
          <cell r="CL207" t="str">
            <v>-</v>
          </cell>
          <cell r="CM207" t="str">
            <v>-</v>
          </cell>
          <cell r="CN207">
            <v>0</v>
          </cell>
          <cell r="CQ207" t="str">
            <v>non</v>
          </cell>
          <cell r="CX207">
            <v>0</v>
          </cell>
          <cell r="DE207">
            <v>0</v>
          </cell>
          <cell r="DJ207">
            <v>0</v>
          </cell>
          <cell r="DO207">
            <v>0</v>
          </cell>
          <cell r="DS207">
            <v>0</v>
          </cell>
          <cell r="DT207">
            <v>0</v>
          </cell>
          <cell r="DU207">
            <v>0</v>
          </cell>
          <cell r="ED207" t="str">
            <v>G:\Habitat\OPERATIONNEL HABITAT\02- Operations\Photothèque\image non disponible.jpg</v>
          </cell>
          <cell r="EE207" t="str">
            <v>G:\Habitat\OPERATIONNEL HABITAT\02- Operations\Photothèque\image non disponible.jpg</v>
          </cell>
        </row>
        <row r="208">
          <cell r="A208" t="str">
            <v>RHI GRAND CONTOUR 1</v>
          </cell>
          <cell r="B208">
            <v>9709</v>
          </cell>
          <cell r="C208" t="str">
            <v>OUEST</v>
          </cell>
          <cell r="D208" t="str">
            <v>Saint-Paul</v>
          </cell>
          <cell r="E208" t="str">
            <v>RHI LES MANGUIERS</v>
          </cell>
          <cell r="F208">
            <v>20</v>
          </cell>
          <cell r="G208" t="str">
            <v>LESG</v>
          </cell>
          <cell r="J208" t="str">
            <v>IND</v>
          </cell>
          <cell r="K208" t="str">
            <v>CF</v>
          </cell>
          <cell r="L208" t="str">
            <v>SIDR</v>
          </cell>
          <cell r="M208" t="str">
            <v>sous compromis</v>
          </cell>
          <cell r="N208" t="str">
            <v>BS</v>
          </cell>
          <cell r="O208" t="str">
            <v>FG</v>
          </cell>
          <cell r="P208" t="str">
            <v>LV</v>
          </cell>
          <cell r="Q208" t="str">
            <v>CP</v>
          </cell>
          <cell r="R208">
            <v>2007</v>
          </cell>
          <cell r="S208">
            <v>1</v>
          </cell>
          <cell r="T208" t="str">
            <v>pc refusé du fait du règlement d'urbanisme - mise en compatibilité en cours - PC à redéposer &amp; à transmettre à DDE</v>
          </cell>
          <cell r="U208" t="str">
            <v>ATELIER GAZUT</v>
          </cell>
          <cell r="V208" t="str">
            <v>E - APS / PC</v>
          </cell>
          <cell r="W208">
            <v>39353</v>
          </cell>
          <cell r="X208" t="str">
            <v>d</v>
          </cell>
          <cell r="Y208" t="str">
            <v>9741507a0824</v>
          </cell>
          <cell r="Z208" t="str">
            <v>refuse</v>
          </cell>
          <cell r="AA208" t="str">
            <v/>
          </cell>
          <cell r="AB208">
            <v>39337</v>
          </cell>
          <cell r="AC208" t="str">
            <v>v</v>
          </cell>
          <cell r="AD208">
            <v>39387</v>
          </cell>
          <cell r="AE208">
            <v>39353</v>
          </cell>
          <cell r="AI208" t="str">
            <v/>
          </cell>
          <cell r="AK208" t="str">
            <v/>
          </cell>
          <cell r="AL208">
            <v>0</v>
          </cell>
          <cell r="AM208" t="str">
            <v/>
          </cell>
          <cell r="AP208" t="str">
            <v/>
          </cell>
          <cell r="AQ208" t="str">
            <v/>
          </cell>
          <cell r="AR208" t="str">
            <v/>
          </cell>
          <cell r="CJ208" t="str">
            <v>-</v>
          </cell>
          <cell r="CK208" t="str">
            <v>-</v>
          </cell>
          <cell r="CL208" t="str">
            <v>-</v>
          </cell>
          <cell r="CM208" t="str">
            <v>-</v>
          </cell>
          <cell r="CN208">
            <v>0</v>
          </cell>
          <cell r="CQ208" t="str">
            <v>non</v>
          </cell>
          <cell r="CX208">
            <v>0</v>
          </cell>
          <cell r="DE208">
            <v>0</v>
          </cell>
          <cell r="DJ208">
            <v>0</v>
          </cell>
          <cell r="DO208">
            <v>0</v>
          </cell>
          <cell r="DS208">
            <v>0</v>
          </cell>
          <cell r="DT208">
            <v>0</v>
          </cell>
          <cell r="DU208">
            <v>0</v>
          </cell>
          <cell r="ED208" t="str">
            <v>G:\Habitat\OPERATIONNEL HABITAT\02- Operations\Photothèque\image non disponible.jpg</v>
          </cell>
          <cell r="EE208" t="str">
            <v>G:\Habitat\OPERATIONNEL HABITAT\02- Operations\Photothèque\image non disponible.jpg</v>
          </cell>
        </row>
        <row r="209">
          <cell r="A209" t="str">
            <v>RHI GRAND CONTOUR 2</v>
          </cell>
          <cell r="B209">
            <v>9675</v>
          </cell>
          <cell r="C209" t="str">
            <v>OUEST</v>
          </cell>
          <cell r="D209" t="str">
            <v>Saint-Paul</v>
          </cell>
          <cell r="E209" t="str">
            <v>RHI GRAND CONTOUR</v>
          </cell>
          <cell r="F209">
            <v>15</v>
          </cell>
          <cell r="G209" t="str">
            <v>LESG</v>
          </cell>
          <cell r="J209" t="str">
            <v>IND</v>
          </cell>
          <cell r="K209" t="str">
            <v>CF</v>
          </cell>
          <cell r="L209" t="str">
            <v>SIDR</v>
          </cell>
          <cell r="M209" t="str">
            <v>prob foncier</v>
          </cell>
          <cell r="N209" t="str">
            <v>BS</v>
          </cell>
          <cell r="O209" t="str">
            <v>FG</v>
          </cell>
          <cell r="P209" t="str">
            <v>LV</v>
          </cell>
          <cell r="Q209" t="str">
            <v>CP</v>
          </cell>
          <cell r="R209">
            <v>2010</v>
          </cell>
          <cell r="S209">
            <v>0.25</v>
          </cell>
          <cell r="T209" t="str">
            <v>Attente dossier aménageur pour mi juin 2009 - (attention absence de PLU validé sur la zone)</v>
          </cell>
          <cell r="U209" t="str">
            <v>ATELIER GAZUT</v>
          </cell>
          <cell r="V209" t="str">
            <v>B - ETUDE PRE-OP</v>
          </cell>
          <cell r="W209">
            <v>39782</v>
          </cell>
          <cell r="X209" t="str">
            <v>d</v>
          </cell>
          <cell r="Y209" t="str">
            <v>97441106a0489</v>
          </cell>
          <cell r="Z209">
            <v>39056</v>
          </cell>
          <cell r="AA209" t="str">
            <v/>
          </cell>
          <cell r="AB209">
            <v>39337</v>
          </cell>
          <cell r="AC209" t="str">
            <v/>
          </cell>
          <cell r="AD209" t="str">
            <v>ok</v>
          </cell>
          <cell r="AE209">
            <v>38989</v>
          </cell>
          <cell r="AF209" t="str">
            <v>f</v>
          </cell>
          <cell r="AG209">
            <v>39080</v>
          </cell>
          <cell r="AH209">
            <v>39708</v>
          </cell>
          <cell r="AI209" t="str">
            <v/>
          </cell>
          <cell r="AJ209">
            <v>39902</v>
          </cell>
          <cell r="AK209" t="str">
            <v/>
          </cell>
          <cell r="AL209">
            <v>0</v>
          </cell>
          <cell r="AM209" t="str">
            <v/>
          </cell>
          <cell r="AN209">
            <v>16</v>
          </cell>
          <cell r="AO209">
            <v>0</v>
          </cell>
          <cell r="AP209">
            <v>40404</v>
          </cell>
          <cell r="AQ209" t="str">
            <v/>
          </cell>
          <cell r="AR209">
            <v>2010</v>
          </cell>
          <cell r="CJ209" t="str">
            <v>-</v>
          </cell>
          <cell r="CK209" t="str">
            <v>-</v>
          </cell>
          <cell r="CL209" t="str">
            <v>-</v>
          </cell>
          <cell r="CM209" t="str">
            <v>-</v>
          </cell>
          <cell r="CN209">
            <v>0</v>
          </cell>
          <cell r="CQ209" t="str">
            <v>non</v>
          </cell>
          <cell r="CX209">
            <v>0</v>
          </cell>
          <cell r="DE209">
            <v>0</v>
          </cell>
          <cell r="DJ209">
            <v>0</v>
          </cell>
          <cell r="DO209">
            <v>0</v>
          </cell>
          <cell r="DS209">
            <v>0</v>
          </cell>
          <cell r="DT209">
            <v>0</v>
          </cell>
          <cell r="DU209">
            <v>0</v>
          </cell>
          <cell r="ED209" t="str">
            <v>G:\Habitat\OPERATIONNEL HABITAT\02- Operations\Photothèque\image non disponible.jpg</v>
          </cell>
          <cell r="EE209" t="str">
            <v>G:\Habitat\OPERATIONNEL HABITAT\02- Operations\Photothèque\image non disponible.jpg</v>
          </cell>
        </row>
        <row r="210">
          <cell r="A210" t="str">
            <v>RHI GRAND CONTOUR 3</v>
          </cell>
          <cell r="B210" t="str">
            <v>xxxx</v>
          </cell>
          <cell r="C210" t="str">
            <v>OUEST</v>
          </cell>
          <cell r="D210" t="str">
            <v>Saint-Paul</v>
          </cell>
          <cell r="E210" t="str">
            <v>RHI GRAND CONTOUR</v>
          </cell>
          <cell r="F210">
            <v>26</v>
          </cell>
          <cell r="G210" t="str">
            <v>LESG</v>
          </cell>
          <cell r="J210" t="str">
            <v>IND</v>
          </cell>
          <cell r="K210" t="str">
            <v>CF</v>
          </cell>
          <cell r="L210" t="str">
            <v>SIDR</v>
          </cell>
          <cell r="M210" t="str">
            <v>prob foncier</v>
          </cell>
          <cell r="N210" t="str">
            <v>BS</v>
          </cell>
          <cell r="O210" t="str">
            <v>FG</v>
          </cell>
          <cell r="P210" t="str">
            <v>LV</v>
          </cell>
          <cell r="Q210" t="str">
            <v>CP</v>
          </cell>
          <cell r="R210">
            <v>2011</v>
          </cell>
          <cell r="S210">
            <v>0.25</v>
          </cell>
          <cell r="T210" t="str">
            <v>Famille identifiées, simulations finacières à étbalir</v>
          </cell>
          <cell r="U210" t="str">
            <v>ATELIER GAZUT</v>
          </cell>
          <cell r="V210" t="str">
            <v>B - ETUDE PRE-OP</v>
          </cell>
          <cell r="W210">
            <v>39782</v>
          </cell>
          <cell r="X210" t="str">
            <v/>
          </cell>
          <cell r="AA210" t="str">
            <v/>
          </cell>
          <cell r="AC210" t="str">
            <v/>
          </cell>
          <cell r="AF210" t="str">
            <v/>
          </cell>
          <cell r="AI210" t="str">
            <v/>
          </cell>
          <cell r="AK210" t="str">
            <v/>
          </cell>
          <cell r="AL210">
            <v>0</v>
          </cell>
          <cell r="AM210" t="str">
            <v/>
          </cell>
          <cell r="AO210">
            <v>0</v>
          </cell>
          <cell r="AP210" t="str">
            <v/>
          </cell>
          <cell r="AQ210" t="str">
            <v/>
          </cell>
          <cell r="AR210" t="str">
            <v/>
          </cell>
          <cell r="CJ210" t="str">
            <v>-</v>
          </cell>
          <cell r="CK210" t="str">
            <v>-</v>
          </cell>
          <cell r="CL210" t="str">
            <v>-</v>
          </cell>
          <cell r="CM210" t="str">
            <v>-</v>
          </cell>
          <cell r="CN210">
            <v>0</v>
          </cell>
          <cell r="CQ210" t="str">
            <v>non</v>
          </cell>
          <cell r="CX210">
            <v>0</v>
          </cell>
          <cell r="DE210">
            <v>0</v>
          </cell>
          <cell r="DJ210">
            <v>0</v>
          </cell>
          <cell r="DO210">
            <v>0</v>
          </cell>
          <cell r="DS210">
            <v>0</v>
          </cell>
          <cell r="DT210">
            <v>0</v>
          </cell>
          <cell r="DU210">
            <v>0</v>
          </cell>
          <cell r="ED210" t="str">
            <v>G:\Habitat\OPERATIONNEL HABITAT\02- Operations\Photothèque\image non disponible.jpg</v>
          </cell>
          <cell r="EE210" t="str">
            <v>G:\Habitat\OPERATIONNEL HABITAT\02- Operations\Photothèque\image non disponible.jpg</v>
          </cell>
        </row>
        <row r="211">
          <cell r="A211" t="str">
            <v>RHI MANGUIERS LES</v>
          </cell>
          <cell r="B211" t="str">
            <v>xxxx</v>
          </cell>
          <cell r="C211" t="str">
            <v>EST</v>
          </cell>
          <cell r="D211" t="str">
            <v>Saint-André</v>
          </cell>
          <cell r="E211" t="str">
            <v>RHI LES MANGUIERS</v>
          </cell>
          <cell r="F211">
            <v>49</v>
          </cell>
          <cell r="G211" t="str">
            <v>LLS</v>
          </cell>
          <cell r="J211" t="str">
            <v>IND</v>
          </cell>
          <cell r="K211" t="str">
            <v>CF</v>
          </cell>
          <cell r="L211" t="str">
            <v>SIDR</v>
          </cell>
          <cell r="N211" t="str">
            <v>BS</v>
          </cell>
          <cell r="Q211" t="str">
            <v>SPG</v>
          </cell>
          <cell r="R211">
            <v>2011</v>
          </cell>
          <cell r="V211" t="str">
            <v>A - NON LANCE</v>
          </cell>
          <cell r="X211" t="str">
            <v/>
          </cell>
          <cell r="AA211" t="str">
            <v/>
          </cell>
          <cell r="AC211" t="str">
            <v/>
          </cell>
          <cell r="AF211" t="str">
            <v/>
          </cell>
          <cell r="AI211" t="str">
            <v/>
          </cell>
          <cell r="AK211" t="str">
            <v/>
          </cell>
          <cell r="AL211">
            <v>0</v>
          </cell>
          <cell r="AM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CJ211" t="str">
            <v>-</v>
          </cell>
          <cell r="CK211" t="str">
            <v>-</v>
          </cell>
          <cell r="CL211" t="str">
            <v>-</v>
          </cell>
          <cell r="CM211" t="str">
            <v>-</v>
          </cell>
          <cell r="CN211">
            <v>0</v>
          </cell>
          <cell r="CQ211" t="str">
            <v>non</v>
          </cell>
          <cell r="CX211">
            <v>0</v>
          </cell>
          <cell r="DE211">
            <v>0</v>
          </cell>
          <cell r="DJ211">
            <v>0</v>
          </cell>
          <cell r="DO211">
            <v>0</v>
          </cell>
          <cell r="DS211">
            <v>0</v>
          </cell>
          <cell r="DT211">
            <v>0</v>
          </cell>
          <cell r="DU211">
            <v>0</v>
          </cell>
          <cell r="ED211" t="str">
            <v>G:\Habitat\OPERATIONNEL HABITAT\02- Operations\Photothèque\image non disponible.jpg</v>
          </cell>
          <cell r="EE211" t="str">
            <v>G:\Habitat\OPERATIONNEL HABITAT\02- Operations\Photothèque\image non disponible.jpg</v>
          </cell>
        </row>
        <row r="212">
          <cell r="A212" t="str">
            <v>RHI PETITE ILE 2T</v>
          </cell>
          <cell r="B212">
            <v>9675</v>
          </cell>
          <cell r="C212" t="str">
            <v>NORD</v>
          </cell>
          <cell r="D212" t="str">
            <v>Saint-Denis</v>
          </cell>
          <cell r="E212" t="str">
            <v>RHI PETITE ILE</v>
          </cell>
          <cell r="F212">
            <v>10</v>
          </cell>
          <cell r="G212" t="str">
            <v>LESG</v>
          </cell>
          <cell r="J212" t="str">
            <v>IND</v>
          </cell>
          <cell r="K212" t="str">
            <v>CF</v>
          </cell>
          <cell r="L212" t="str">
            <v>SIDR</v>
          </cell>
          <cell r="N212" t="str">
            <v>BS</v>
          </cell>
          <cell r="O212" t="str">
            <v>OS</v>
          </cell>
          <cell r="P212" t="str">
            <v>LV</v>
          </cell>
          <cell r="Q212" t="str">
            <v>SM</v>
          </cell>
          <cell r="R212">
            <v>2006</v>
          </cell>
          <cell r="T212" t="str">
            <v>problème transit RHI/blocage opérationnel/attention pc+df caduque fin 2008</v>
          </cell>
          <cell r="U212" t="str">
            <v>ATELIER GAZUT</v>
          </cell>
          <cell r="V212" t="str">
            <v>I - ACT</v>
          </cell>
          <cell r="W212">
            <v>38975</v>
          </cell>
          <cell r="X212" t="str">
            <v>d</v>
          </cell>
          <cell r="Y212" t="str">
            <v>97441106a0489</v>
          </cell>
          <cell r="Z212">
            <v>39056</v>
          </cell>
          <cell r="AA212" t="str">
            <v>o</v>
          </cell>
          <cell r="AB212">
            <v>39337</v>
          </cell>
          <cell r="AC212" t="str">
            <v>v</v>
          </cell>
          <cell r="AD212" t="str">
            <v>ok</v>
          </cell>
          <cell r="AE212">
            <v>38989</v>
          </cell>
          <cell r="AF212" t="str">
            <v>f</v>
          </cell>
          <cell r="AG212">
            <v>39080</v>
          </cell>
          <cell r="AH212">
            <v>39708</v>
          </cell>
          <cell r="AI212" t="str">
            <v>ao</v>
          </cell>
          <cell r="AJ212">
            <v>39902</v>
          </cell>
          <cell r="AK212" t="str">
            <v>ch</v>
          </cell>
          <cell r="AL212">
            <v>6.3782219884271436</v>
          </cell>
          <cell r="AM212">
            <v>2009</v>
          </cell>
          <cell r="AN212">
            <v>16</v>
          </cell>
          <cell r="AO212">
            <v>40389</v>
          </cell>
          <cell r="AP212">
            <v>40404</v>
          </cell>
          <cell r="AQ212" t="str">
            <v/>
          </cell>
          <cell r="AR212">
            <v>2010</v>
          </cell>
          <cell r="CJ212" t="str">
            <v>-</v>
          </cell>
          <cell r="CK212" t="str">
            <v>-</v>
          </cell>
          <cell r="CL212" t="str">
            <v>-</v>
          </cell>
          <cell r="CM212" t="str">
            <v>-</v>
          </cell>
          <cell r="CN212">
            <v>0</v>
          </cell>
          <cell r="CQ212" t="str">
            <v>non</v>
          </cell>
          <cell r="CX212">
            <v>0</v>
          </cell>
          <cell r="DE212">
            <v>0</v>
          </cell>
          <cell r="DJ212">
            <v>0</v>
          </cell>
          <cell r="DO212">
            <v>0</v>
          </cell>
          <cell r="DS212">
            <v>0</v>
          </cell>
          <cell r="DT212">
            <v>0</v>
          </cell>
          <cell r="DU212">
            <v>0</v>
          </cell>
          <cell r="ED212" t="str">
            <v>G:\Habitat\OPERATIONNEL HABITAT\02- Operations\Photothèque\image non disponible.jpg</v>
          </cell>
          <cell r="EE212" t="str">
            <v>G:\Habitat\OPERATIONNEL HABITAT\02- Operations\Photothèque\image non disponible.jpg</v>
          </cell>
        </row>
        <row r="213">
          <cell r="A213" t="str">
            <v>RHI PETITE ILE 3T</v>
          </cell>
          <cell r="B213" t="str">
            <v>xxxx</v>
          </cell>
          <cell r="C213" t="str">
            <v>NORD</v>
          </cell>
          <cell r="D213" t="str">
            <v>Saint-Denis</v>
          </cell>
          <cell r="E213" t="str">
            <v>RHI PETITE ILE</v>
          </cell>
          <cell r="F213">
            <v>10</v>
          </cell>
          <cell r="G213" t="str">
            <v>LESG</v>
          </cell>
          <cell r="J213" t="str">
            <v>IND</v>
          </cell>
          <cell r="K213" t="str">
            <v>CF</v>
          </cell>
          <cell r="L213" t="str">
            <v>SIDR</v>
          </cell>
          <cell r="N213" t="str">
            <v>BS</v>
          </cell>
          <cell r="Q213" t="str">
            <v>SM</v>
          </cell>
          <cell r="R213">
            <v>2011</v>
          </cell>
          <cell r="T213" t="str">
            <v>Retard sur tranche 1 &amp; 2</v>
          </cell>
          <cell r="U213">
            <v>-210000</v>
          </cell>
          <cell r="V213" t="str">
            <v>A - NON LANCE</v>
          </cell>
          <cell r="X213" t="str">
            <v/>
          </cell>
          <cell r="AA213" t="str">
            <v/>
          </cell>
          <cell r="AC213" t="str">
            <v/>
          </cell>
          <cell r="AF213" t="str">
            <v/>
          </cell>
          <cell r="AI213" t="str">
            <v/>
          </cell>
          <cell r="AK213" t="str">
            <v/>
          </cell>
          <cell r="AL213">
            <v>0</v>
          </cell>
          <cell r="AM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CJ213" t="str">
            <v>-</v>
          </cell>
          <cell r="CK213" t="str">
            <v>-</v>
          </cell>
          <cell r="CL213" t="str">
            <v>-</v>
          </cell>
          <cell r="CM213" t="str">
            <v>-</v>
          </cell>
          <cell r="CN213">
            <v>0</v>
          </cell>
          <cell r="CQ213" t="str">
            <v>non</v>
          </cell>
          <cell r="CX213">
            <v>0</v>
          </cell>
          <cell r="DE213">
            <v>0</v>
          </cell>
          <cell r="DJ213">
            <v>0</v>
          </cell>
          <cell r="DO213">
            <v>0</v>
          </cell>
          <cell r="DS213">
            <v>0</v>
          </cell>
          <cell r="DT213">
            <v>0</v>
          </cell>
          <cell r="DU213">
            <v>0</v>
          </cell>
          <cell r="ED213" t="str">
            <v>G:\Habitat\OPERATIONNEL HABITAT\02- Operations\Photothèque\image non disponible.jpg</v>
          </cell>
          <cell r="EE213" t="str">
            <v>G:\Habitat\OPERATIONNEL HABITAT\02- Operations\Photothèque\image non disponible.jpg</v>
          </cell>
        </row>
        <row r="214">
          <cell r="A214" t="str">
            <v>RHI SAY PISCINE 5</v>
          </cell>
          <cell r="B214">
            <v>9688</v>
          </cell>
          <cell r="C214" t="str">
            <v>OUEST</v>
          </cell>
          <cell r="D214" t="str">
            <v>Port</v>
          </cell>
          <cell r="E214" t="str">
            <v>RHI SAY PISCINE</v>
          </cell>
          <cell r="F214">
            <v>20</v>
          </cell>
          <cell r="G214" t="str">
            <v>LESG</v>
          </cell>
          <cell r="J214" t="str">
            <v>IND</v>
          </cell>
          <cell r="K214" t="str">
            <v>CF</v>
          </cell>
          <cell r="L214" t="str">
            <v>SIDR</v>
          </cell>
          <cell r="M214" t="str">
            <v>maitrisé</v>
          </cell>
          <cell r="N214" t="str">
            <v>BS</v>
          </cell>
          <cell r="O214" t="str">
            <v>DL</v>
          </cell>
          <cell r="P214" t="str">
            <v>CS</v>
          </cell>
          <cell r="Q214" t="str">
            <v>OP</v>
          </cell>
          <cell r="R214">
            <v>2010</v>
          </cell>
          <cell r="S214">
            <v>1</v>
          </cell>
          <cell r="T214" t="str">
            <v>pc blocage ?</v>
          </cell>
          <cell r="U214" t="str">
            <v>SAULNIER</v>
          </cell>
          <cell r="V214" t="str">
            <v>A - NON LANCE</v>
          </cell>
          <cell r="W214">
            <v>39217</v>
          </cell>
          <cell r="X214" t="str">
            <v/>
          </cell>
          <cell r="Y214" t="str">
            <v>97441407A0209</v>
          </cell>
          <cell r="Z214">
            <v>39286</v>
          </cell>
          <cell r="AA214" t="str">
            <v/>
          </cell>
          <cell r="AB214">
            <v>39170</v>
          </cell>
          <cell r="AC214" t="str">
            <v/>
          </cell>
          <cell r="AD214">
            <v>39231</v>
          </cell>
          <cell r="AE214">
            <v>39245</v>
          </cell>
          <cell r="AF214" t="str">
            <v/>
          </cell>
          <cell r="AG214">
            <v>39464</v>
          </cell>
          <cell r="AH214">
            <v>0</v>
          </cell>
          <cell r="AI214" t="str">
            <v/>
          </cell>
          <cell r="AJ214">
            <v>39799</v>
          </cell>
          <cell r="AK214" t="str">
            <v/>
          </cell>
          <cell r="AL214">
            <v>0</v>
          </cell>
          <cell r="AM214" t="str">
            <v/>
          </cell>
          <cell r="AN214">
            <v>15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BK214">
            <v>0</v>
          </cell>
          <cell r="BL214">
            <v>4.83</v>
          </cell>
          <cell r="BO214" t="str">
            <v>à faire</v>
          </cell>
          <cell r="BQ214" t="str">
            <v>à faire</v>
          </cell>
          <cell r="BX214" t="str">
            <v>En attente accord de principe</v>
          </cell>
          <cell r="CJ214" t="str">
            <v>-</v>
          </cell>
          <cell r="CK214" t="str">
            <v>-</v>
          </cell>
          <cell r="CL214" t="str">
            <v>-</v>
          </cell>
          <cell r="CM214" t="str">
            <v>-</v>
          </cell>
          <cell r="CN214">
            <v>0</v>
          </cell>
          <cell r="CO214" t="str">
            <v>199 undecies A</v>
          </cell>
          <cell r="CQ214" t="str">
            <v>non</v>
          </cell>
          <cell r="CX214">
            <v>0</v>
          </cell>
          <cell r="DE214">
            <v>0</v>
          </cell>
          <cell r="DJ214">
            <v>0</v>
          </cell>
          <cell r="DO214">
            <v>0</v>
          </cell>
          <cell r="DS214">
            <v>0</v>
          </cell>
          <cell r="DT214">
            <v>0</v>
          </cell>
          <cell r="DU214">
            <v>0</v>
          </cell>
          <cell r="ED214" t="str">
            <v>G:\Habitat\OPERATIONNEL HABITAT\02- Operations\Photothèque\image non disponible.jpg</v>
          </cell>
          <cell r="EE214" t="str">
            <v>G:\Habitat\OPERATIONNEL HABITAT\02- Operations\Photothèque\image non disponible.jpg</v>
          </cell>
        </row>
        <row r="215">
          <cell r="A215" t="str">
            <v>RHI SAY PISCINE 6</v>
          </cell>
          <cell r="B215">
            <v>9719</v>
          </cell>
          <cell r="C215" t="str">
            <v>OUEST</v>
          </cell>
          <cell r="D215" t="str">
            <v>Port</v>
          </cell>
          <cell r="E215" t="str">
            <v>RHI SAY PISCINE</v>
          </cell>
          <cell r="F215">
            <v>50</v>
          </cell>
          <cell r="G215" t="str">
            <v>LESG</v>
          </cell>
          <cell r="J215" t="str">
            <v>IND</v>
          </cell>
          <cell r="K215" t="str">
            <v>CF</v>
          </cell>
          <cell r="L215" t="str">
            <v>SIDR</v>
          </cell>
          <cell r="M215" t="str">
            <v>maitrisé</v>
          </cell>
          <cell r="N215" t="str">
            <v>BS</v>
          </cell>
          <cell r="O215" t="str">
            <v>CA</v>
          </cell>
          <cell r="P215" t="str">
            <v>LV</v>
          </cell>
          <cell r="Q215" t="str">
            <v>OP</v>
          </cell>
          <cell r="R215">
            <v>2011</v>
          </cell>
          <cell r="S215">
            <v>0.25</v>
          </cell>
          <cell r="U215" t="str">
            <v>JAVELAUD</v>
          </cell>
          <cell r="V215" t="str">
            <v>A - NON LANCE</v>
          </cell>
          <cell r="W215">
            <v>39736</v>
          </cell>
          <cell r="X215" t="str">
            <v/>
          </cell>
          <cell r="Z215">
            <v>39803</v>
          </cell>
          <cell r="AA215" t="str">
            <v/>
          </cell>
          <cell r="AB215">
            <v>39706</v>
          </cell>
          <cell r="AC215" t="str">
            <v/>
          </cell>
          <cell r="AE215">
            <v>40082</v>
          </cell>
          <cell r="AF215" t="str">
            <v/>
          </cell>
          <cell r="AH215">
            <v>40084</v>
          </cell>
          <cell r="AI215" t="str">
            <v/>
          </cell>
          <cell r="AJ215">
            <v>40265</v>
          </cell>
          <cell r="AK215" t="str">
            <v/>
          </cell>
          <cell r="AL215">
            <v>0</v>
          </cell>
          <cell r="AM215" t="str">
            <v/>
          </cell>
          <cell r="AN215">
            <v>15</v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CJ215" t="str">
            <v>-</v>
          </cell>
          <cell r="CK215" t="str">
            <v>-</v>
          </cell>
          <cell r="CL215" t="str">
            <v>-</v>
          </cell>
          <cell r="CM215" t="str">
            <v>-</v>
          </cell>
          <cell r="CN215">
            <v>0</v>
          </cell>
          <cell r="CQ215" t="str">
            <v>non</v>
          </cell>
          <cell r="CX215">
            <v>0</v>
          </cell>
          <cell r="DE215">
            <v>0</v>
          </cell>
          <cell r="DJ215">
            <v>0</v>
          </cell>
          <cell r="DO215">
            <v>0</v>
          </cell>
          <cell r="DS215">
            <v>0</v>
          </cell>
          <cell r="DT215">
            <v>0</v>
          </cell>
          <cell r="DU215">
            <v>0</v>
          </cell>
          <cell r="ED215" t="str">
            <v>G:\Habitat\OPERATIONNEL HABITAT\02- Operations\Photothèque\image non disponible.jpg</v>
          </cell>
          <cell r="EE215" t="str">
            <v>G:\Habitat\OPERATIONNEL HABITAT\02- Operations\Photothèque\image non disponible.jpg</v>
          </cell>
        </row>
        <row r="216">
          <cell r="A216" t="str">
            <v>RHI SAY PISCINE 7</v>
          </cell>
          <cell r="C216" t="str">
            <v>OUEST</v>
          </cell>
          <cell r="D216" t="str">
            <v>Port</v>
          </cell>
          <cell r="E216" t="str">
            <v>RHI SAY PISCINE</v>
          </cell>
          <cell r="F216">
            <v>20</v>
          </cell>
          <cell r="G216" t="str">
            <v>LESG</v>
          </cell>
          <cell r="J216" t="str">
            <v>IND</v>
          </cell>
          <cell r="K216" t="str">
            <v>CF</v>
          </cell>
          <cell r="L216" t="str">
            <v>SIDR</v>
          </cell>
          <cell r="N216" t="str">
            <v>BS</v>
          </cell>
          <cell r="Q216" t="str">
            <v>OP</v>
          </cell>
          <cell r="R216">
            <v>2012</v>
          </cell>
          <cell r="V216" t="str">
            <v>A - NON LANCE</v>
          </cell>
          <cell r="X216" t="str">
            <v/>
          </cell>
          <cell r="AA216" t="str">
            <v/>
          </cell>
          <cell r="AC216" t="str">
            <v/>
          </cell>
          <cell r="AF216" t="str">
            <v/>
          </cell>
          <cell r="AI216" t="str">
            <v/>
          </cell>
          <cell r="AK216" t="str">
            <v/>
          </cell>
          <cell r="AL216">
            <v>0</v>
          </cell>
          <cell r="AM216" t="str">
            <v/>
          </cell>
          <cell r="AO216" t="str">
            <v/>
          </cell>
          <cell r="AP216" t="str">
            <v/>
          </cell>
          <cell r="AQ216" t="str">
            <v/>
          </cell>
          <cell r="AR216" t="str">
            <v/>
          </cell>
          <cell r="CJ216" t="str">
            <v>-</v>
          </cell>
          <cell r="CK216" t="str">
            <v>-</v>
          </cell>
          <cell r="CL216" t="str">
            <v>-</v>
          </cell>
          <cell r="CM216" t="str">
            <v>-</v>
          </cell>
          <cell r="CN216">
            <v>0</v>
          </cell>
          <cell r="CQ216" t="str">
            <v>non</v>
          </cell>
          <cell r="CX216">
            <v>0</v>
          </cell>
          <cell r="DE216">
            <v>0</v>
          </cell>
          <cell r="DJ216">
            <v>0</v>
          </cell>
          <cell r="DO216">
            <v>0</v>
          </cell>
          <cell r="DS216">
            <v>0</v>
          </cell>
          <cell r="DT216">
            <v>0</v>
          </cell>
          <cell r="DU216">
            <v>0</v>
          </cell>
          <cell r="ED216" t="str">
            <v>G:\Habitat\OPERATIONNEL HABITAT\02- Operations\Photothèque\image non disponible.jpg</v>
          </cell>
          <cell r="EE216" t="str">
            <v>G:\Habitat\OPERATIONNEL HABITAT\02- Operations\Photothèque\image non disponible.jpg</v>
          </cell>
        </row>
        <row r="217">
          <cell r="A217" t="str">
            <v>RODRIGUES</v>
          </cell>
          <cell r="B217">
            <v>9688</v>
          </cell>
          <cell r="C217" t="str">
            <v>SUD</v>
          </cell>
          <cell r="D217" t="str">
            <v>Saint-Louis</v>
          </cell>
          <cell r="E217" t="str">
            <v>ZAC AVENIR</v>
          </cell>
          <cell r="F217">
            <v>20</v>
          </cell>
          <cell r="G217" t="str">
            <v>LLTS</v>
          </cell>
          <cell r="H217" t="str">
            <v>signé</v>
          </cell>
          <cell r="I217" t="str">
            <v>sub SG 2004</v>
          </cell>
          <cell r="J217" t="str">
            <v>MIXT</v>
          </cell>
          <cell r="K217" t="str">
            <v>CF</v>
          </cell>
          <cell r="L217" t="str">
            <v>SIDR</v>
          </cell>
          <cell r="M217" t="str">
            <v>maitrisé</v>
          </cell>
          <cell r="N217" t="str">
            <v>JEM</v>
          </cell>
          <cell r="O217" t="str">
            <v>DL</v>
          </cell>
          <cell r="P217" t="str">
            <v>CS</v>
          </cell>
          <cell r="Q217" t="str">
            <v>HBM</v>
          </cell>
          <cell r="R217">
            <v>2007</v>
          </cell>
          <cell r="S217">
            <v>1</v>
          </cell>
          <cell r="T217" t="str">
            <v>pc blocage ?</v>
          </cell>
          <cell r="U217" t="str">
            <v>SAULNIER</v>
          </cell>
          <cell r="V217" t="str">
            <v>H - APPEL D'OFFRES</v>
          </cell>
          <cell r="W217">
            <v>39217</v>
          </cell>
          <cell r="X217" t="str">
            <v>d</v>
          </cell>
          <cell r="Y217" t="str">
            <v>97441407A0209</v>
          </cell>
          <cell r="Z217">
            <v>39286</v>
          </cell>
          <cell r="AA217" t="str">
            <v>o</v>
          </cell>
          <cell r="AB217">
            <v>39170</v>
          </cell>
          <cell r="AC217" t="str">
            <v>v</v>
          </cell>
          <cell r="AD217">
            <v>39231</v>
          </cell>
          <cell r="AE217">
            <v>39245</v>
          </cell>
          <cell r="AF217" t="str">
            <v>f</v>
          </cell>
          <cell r="AG217">
            <v>39464</v>
          </cell>
          <cell r="AH217">
            <v>0</v>
          </cell>
          <cell r="AI217" t="str">
            <v>ao</v>
          </cell>
          <cell r="AJ217">
            <v>39799</v>
          </cell>
          <cell r="AK217" t="str">
            <v>ch</v>
          </cell>
          <cell r="AL217">
            <v>1308.4889531825354</v>
          </cell>
          <cell r="AM217">
            <v>2008</v>
          </cell>
          <cell r="AN217">
            <v>15</v>
          </cell>
          <cell r="AO217">
            <v>40254</v>
          </cell>
          <cell r="AP217">
            <v>40269</v>
          </cell>
          <cell r="AQ217" t="str">
            <v/>
          </cell>
          <cell r="AR217">
            <v>2010</v>
          </cell>
          <cell r="AW217">
            <v>30</v>
          </cell>
          <cell r="AX217">
            <v>60.61</v>
          </cell>
          <cell r="BA217">
            <v>1</v>
          </cell>
          <cell r="BB217">
            <v>68.709999999999994</v>
          </cell>
          <cell r="BK217">
            <v>0</v>
          </cell>
          <cell r="BL217">
            <v>4.83</v>
          </cell>
          <cell r="BM217">
            <v>0.42</v>
          </cell>
          <cell r="BN217">
            <v>0.2</v>
          </cell>
          <cell r="BO217" t="str">
            <v>à faire</v>
          </cell>
          <cell r="BP217">
            <v>0.8</v>
          </cell>
          <cell r="BQ217" t="str">
            <v>à faire</v>
          </cell>
          <cell r="BR217" t="str">
            <v>CG</v>
          </cell>
          <cell r="BS217">
            <v>0.5</v>
          </cell>
          <cell r="BT217" t="str">
            <v>signée</v>
          </cell>
          <cell r="BX217" t="str">
            <v>En attente accord de principe</v>
          </cell>
          <cell r="BY217">
            <v>1757</v>
          </cell>
          <cell r="BZ217">
            <v>2188</v>
          </cell>
          <cell r="CA217">
            <v>1920</v>
          </cell>
          <cell r="CE217" t="str">
            <v>ECS ind</v>
          </cell>
          <cell r="CF217">
            <v>99743</v>
          </cell>
          <cell r="CG217">
            <v>29922.9</v>
          </cell>
          <cell r="CH217">
            <v>44884.35</v>
          </cell>
          <cell r="CI217">
            <v>24935.75</v>
          </cell>
          <cell r="CJ217" t="str">
            <v>SCI Saint André</v>
          </cell>
          <cell r="CK217" t="str">
            <v>INFI</v>
          </cell>
          <cell r="CL217">
            <v>39773</v>
          </cell>
          <cell r="CM217" t="str">
            <v>-</v>
          </cell>
          <cell r="CN217">
            <v>0</v>
          </cell>
          <cell r="CO217" t="str">
            <v>199 undecies A</v>
          </cell>
          <cell r="CQ217" t="str">
            <v>non</v>
          </cell>
          <cell r="CR217">
            <v>400538</v>
          </cell>
          <cell r="CT217">
            <v>1633196</v>
          </cell>
          <cell r="CX217">
            <v>0</v>
          </cell>
          <cell r="DE217">
            <v>0</v>
          </cell>
          <cell r="DJ217">
            <v>0</v>
          </cell>
          <cell r="DO217">
            <v>0</v>
          </cell>
          <cell r="DQ217">
            <v>58600</v>
          </cell>
          <cell r="DR217">
            <v>27125</v>
          </cell>
          <cell r="DS217">
            <v>0</v>
          </cell>
          <cell r="DT217">
            <v>0</v>
          </cell>
          <cell r="DU217">
            <v>0</v>
          </cell>
          <cell r="ED217" t="str">
            <v>G:\Habitat\OPERATIONNEL HABITAT\02- Operations\Photothèque\image non disponible.jpg</v>
          </cell>
          <cell r="EE217" t="str">
            <v>G:\Habitat\OPERATIONNEL HABITAT\02- Operations\Photothèque\image non disponible.jpg</v>
          </cell>
        </row>
        <row r="218">
          <cell r="A218" t="str">
            <v>ROSAIRE CONGO</v>
          </cell>
          <cell r="B218">
            <v>9719</v>
          </cell>
          <cell r="C218" t="str">
            <v>SUD</v>
          </cell>
          <cell r="D218" t="str">
            <v>Saint-Joseph</v>
          </cell>
          <cell r="E218" t="str">
            <v>RHI CENTRE VILLE</v>
          </cell>
          <cell r="F218">
            <v>66</v>
          </cell>
          <cell r="G218" t="str">
            <v>LLTS</v>
          </cell>
          <cell r="J218" t="str">
            <v>COL</v>
          </cell>
          <cell r="K218" t="str">
            <v>CF</v>
          </cell>
          <cell r="L218" t="str">
            <v>SIDR</v>
          </cell>
          <cell r="M218" t="str">
            <v>maitrisé</v>
          </cell>
          <cell r="N218" t="str">
            <v>LC</v>
          </cell>
          <cell r="O218" t="str">
            <v>CA</v>
          </cell>
          <cell r="P218" t="str">
            <v>LV</v>
          </cell>
          <cell r="Q218" t="str">
            <v>HBM</v>
          </cell>
          <cell r="R218">
            <v>2009</v>
          </cell>
          <cell r="S218">
            <v>0.25</v>
          </cell>
          <cell r="U218" t="str">
            <v>JAVELAUD</v>
          </cell>
          <cell r="V218" t="str">
            <v>D - ESQUISSES</v>
          </cell>
          <cell r="W218">
            <v>39736</v>
          </cell>
          <cell r="X218" t="str">
            <v>d</v>
          </cell>
          <cell r="Z218">
            <v>39803</v>
          </cell>
          <cell r="AA218" t="str">
            <v>o</v>
          </cell>
          <cell r="AB218">
            <v>39706</v>
          </cell>
          <cell r="AC218" t="str">
            <v>v</v>
          </cell>
          <cell r="AE218">
            <v>40082</v>
          </cell>
          <cell r="AF218" t="str">
            <v/>
          </cell>
          <cell r="AH218">
            <v>40084</v>
          </cell>
          <cell r="AI218" t="str">
            <v/>
          </cell>
          <cell r="AJ218">
            <v>40265</v>
          </cell>
          <cell r="AK218" t="str">
            <v/>
          </cell>
          <cell r="AL218">
            <v>5.9508153603366649</v>
          </cell>
          <cell r="AM218">
            <v>2010</v>
          </cell>
          <cell r="AN218">
            <v>15</v>
          </cell>
          <cell r="AO218">
            <v>40722</v>
          </cell>
          <cell r="AP218">
            <v>40737</v>
          </cell>
          <cell r="AQ218" t="str">
            <v/>
          </cell>
          <cell r="AR218">
            <v>2011</v>
          </cell>
          <cell r="CJ218" t="str">
            <v>-</v>
          </cell>
          <cell r="CK218" t="str">
            <v>-</v>
          </cell>
          <cell r="CL218" t="str">
            <v>-</v>
          </cell>
          <cell r="CM218" t="str">
            <v>-</v>
          </cell>
          <cell r="CN218">
            <v>0</v>
          </cell>
          <cell r="CQ218" t="str">
            <v>non</v>
          </cell>
          <cell r="CX218">
            <v>0</v>
          </cell>
          <cell r="DE218">
            <v>0</v>
          </cell>
          <cell r="DJ218">
            <v>0</v>
          </cell>
          <cell r="DO218">
            <v>0</v>
          </cell>
          <cell r="DS218">
            <v>0</v>
          </cell>
          <cell r="DT218">
            <v>0</v>
          </cell>
          <cell r="DU218">
            <v>0</v>
          </cell>
          <cell r="ED218" t="str">
            <v>G:\Habitat\OPERATIONNEL HABITAT\02- Operations\Photothèque\image non disponible.jpg</v>
          </cell>
          <cell r="EE218" t="str">
            <v>G:\Habitat\OPERATIONNEL HABITAT\02- Operations\Photothèque\image non disponible.jpg</v>
          </cell>
        </row>
        <row r="219">
          <cell r="A219" t="str">
            <v>RPA BARQUISSEAU</v>
          </cell>
          <cell r="B219">
            <v>9461</v>
          </cell>
          <cell r="C219" t="str">
            <v>SUD</v>
          </cell>
          <cell r="D219" t="str">
            <v>Saint-Pierre</v>
          </cell>
          <cell r="E219" t="str">
            <v>ZAC ST BERNARD</v>
          </cell>
          <cell r="F219">
            <v>50</v>
          </cell>
          <cell r="G219" t="str">
            <v>LLTS</v>
          </cell>
          <cell r="J219" t="str">
            <v>IND</v>
          </cell>
          <cell r="K219" t="str">
            <v>CF</v>
          </cell>
          <cell r="L219" t="str">
            <v>SODIAC</v>
          </cell>
          <cell r="N219" t="str">
            <v>N.A.</v>
          </cell>
          <cell r="O219" t="str">
            <v>FG</v>
          </cell>
          <cell r="P219" t="str">
            <v>LV</v>
          </cell>
          <cell r="R219">
            <v>2011</v>
          </cell>
          <cell r="U219" t="str">
            <v>ATELIER GAZUT</v>
          </cell>
          <cell r="V219" t="str">
            <v>A - NON LANCE</v>
          </cell>
          <cell r="W219">
            <v>37747</v>
          </cell>
          <cell r="X219" t="str">
            <v/>
          </cell>
          <cell r="Z219">
            <v>37882</v>
          </cell>
          <cell r="AA219" t="str">
            <v/>
          </cell>
          <cell r="AB219" t="str">
            <v>validé</v>
          </cell>
          <cell r="AC219" t="str">
            <v/>
          </cell>
          <cell r="AD219">
            <v>0</v>
          </cell>
          <cell r="AE219" t="str">
            <v>23/06/203</v>
          </cell>
          <cell r="AF219" t="str">
            <v/>
          </cell>
          <cell r="AG219">
            <v>37924</v>
          </cell>
          <cell r="AH219">
            <v>38061</v>
          </cell>
          <cell r="AI219" t="str">
            <v/>
          </cell>
          <cell r="AJ219">
            <v>38141</v>
          </cell>
          <cell r="AK219" t="str">
            <v/>
          </cell>
          <cell r="AL219">
            <v>0</v>
          </cell>
          <cell r="AM219" t="str">
            <v/>
          </cell>
          <cell r="AN219">
            <v>16</v>
          </cell>
          <cell r="AO219" t="str">
            <v/>
          </cell>
          <cell r="AP219" t="str">
            <v/>
          </cell>
          <cell r="AQ219" t="str">
            <v/>
          </cell>
          <cell r="AR219">
            <v>2005</v>
          </cell>
          <cell r="CJ219" t="str">
            <v>-</v>
          </cell>
          <cell r="CK219" t="str">
            <v>-</v>
          </cell>
          <cell r="CL219" t="str">
            <v>-</v>
          </cell>
          <cell r="CM219" t="str">
            <v>-</v>
          </cell>
          <cell r="CN219">
            <v>0</v>
          </cell>
          <cell r="CQ219" t="str">
            <v>non</v>
          </cell>
          <cell r="CX219">
            <v>0</v>
          </cell>
          <cell r="DE219">
            <v>0</v>
          </cell>
          <cell r="DJ219">
            <v>0</v>
          </cell>
          <cell r="DO219">
            <v>0</v>
          </cell>
          <cell r="DS219">
            <v>0</v>
          </cell>
          <cell r="DT219">
            <v>0</v>
          </cell>
          <cell r="DU219">
            <v>0</v>
          </cell>
          <cell r="ED219" t="str">
            <v>G:\Habitat\OPERATIONNEL HABITAT\02- Operations\Photothèque\image non disponible.jpg</v>
          </cell>
          <cell r="EE219" t="str">
            <v>G:\Habitat\OPERATIONNEL HABITAT\02- Operations\Photothèque\image non disponible.jpg</v>
          </cell>
        </row>
        <row r="220">
          <cell r="A220" t="str">
            <v>RPA LA CAYENNE</v>
          </cell>
          <cell r="B220">
            <v>9545</v>
          </cell>
          <cell r="C220" t="str">
            <v>SUD</v>
          </cell>
          <cell r="D220" t="str">
            <v>Saint-Joseph</v>
          </cell>
          <cell r="E220" t="str">
            <v>AME LA CAYENNE</v>
          </cell>
          <cell r="F220">
            <v>31</v>
          </cell>
          <cell r="G220" t="str">
            <v>LLTS</v>
          </cell>
          <cell r="H220" t="str">
            <v>signé</v>
          </cell>
          <cell r="I220" t="str">
            <v>sub SG 2004</v>
          </cell>
          <cell r="J220" t="str">
            <v>IND</v>
          </cell>
          <cell r="K220" t="str">
            <v>CF</v>
          </cell>
          <cell r="L220" t="str">
            <v>SIDR</v>
          </cell>
          <cell r="N220" t="str">
            <v>JPM</v>
          </cell>
          <cell r="O220" t="str">
            <v>CA</v>
          </cell>
          <cell r="P220" t="str">
            <v>CC</v>
          </cell>
          <cell r="Q220" t="str">
            <v>HBM</v>
          </cell>
          <cell r="R220">
            <v>2004</v>
          </cell>
          <cell r="T220" t="str">
            <v>problème foncier mitoyen | bornage judiciaire OK TX parking végétal</v>
          </cell>
          <cell r="U220" t="str">
            <v>ARCHITECTES DE L'EPERON</v>
          </cell>
          <cell r="V220" t="str">
            <v>M - LIVRE/GPA</v>
          </cell>
          <cell r="W220">
            <v>38161</v>
          </cell>
          <cell r="X220" t="str">
            <v>d</v>
          </cell>
          <cell r="Y220" t="str">
            <v>97440104A0265</v>
          </cell>
          <cell r="Z220">
            <v>38422</v>
          </cell>
          <cell r="AA220" t="str">
            <v>o</v>
          </cell>
          <cell r="AB220" t="str">
            <v>validé</v>
          </cell>
          <cell r="AC220" t="str">
            <v/>
          </cell>
          <cell r="AD220">
            <v>0</v>
          </cell>
          <cell r="AE220">
            <v>38238</v>
          </cell>
          <cell r="AF220" t="str">
            <v>f</v>
          </cell>
          <cell r="AG220">
            <v>38544</v>
          </cell>
          <cell r="AH220">
            <v>38545</v>
          </cell>
          <cell r="AI220" t="str">
            <v>ao</v>
          </cell>
          <cell r="AJ220">
            <v>38803</v>
          </cell>
          <cell r="AK220" t="str">
            <v/>
          </cell>
          <cell r="AL220">
            <v>8.4823776959495003</v>
          </cell>
          <cell r="AM220">
            <v>2006</v>
          </cell>
          <cell r="AN220">
            <v>18</v>
          </cell>
          <cell r="AO220">
            <v>39337</v>
          </cell>
          <cell r="AP220">
            <v>39356</v>
          </cell>
          <cell r="AQ220" t="str">
            <v>li</v>
          </cell>
          <cell r="AR220">
            <v>2007</v>
          </cell>
          <cell r="AW220">
            <v>30</v>
          </cell>
          <cell r="AX220">
            <v>60.61</v>
          </cell>
          <cell r="BA220">
            <v>1</v>
          </cell>
          <cell r="BB220">
            <v>68.709999999999994</v>
          </cell>
          <cell r="BK220">
            <v>31</v>
          </cell>
          <cell r="BL220">
            <v>3.49</v>
          </cell>
          <cell r="BM220">
            <v>0.42</v>
          </cell>
          <cell r="BN220">
            <v>0.2</v>
          </cell>
          <cell r="BO220" t="str">
            <v>signée</v>
          </cell>
          <cell r="BP220">
            <v>0.8</v>
          </cell>
          <cell r="BQ220" t="str">
            <v>signée</v>
          </cell>
          <cell r="BR220" t="str">
            <v>CG</v>
          </cell>
          <cell r="BS220">
            <v>0.5</v>
          </cell>
          <cell r="BT220" t="str">
            <v>signée</v>
          </cell>
          <cell r="BX220" t="str">
            <v>signé</v>
          </cell>
          <cell r="BY220">
            <v>1757</v>
          </cell>
          <cell r="BZ220">
            <v>2188</v>
          </cell>
          <cell r="CA220">
            <v>1920</v>
          </cell>
          <cell r="CE220" t="str">
            <v>ECS ind</v>
          </cell>
          <cell r="CF220">
            <v>99743</v>
          </cell>
          <cell r="CG220">
            <v>29922.9</v>
          </cell>
          <cell r="CH220">
            <v>44884.35</v>
          </cell>
          <cell r="CI220">
            <v>24935.75</v>
          </cell>
          <cell r="CJ220" t="str">
            <v>-</v>
          </cell>
          <cell r="CK220" t="str">
            <v>-</v>
          </cell>
          <cell r="CL220" t="str">
            <v>-</v>
          </cell>
          <cell r="CM220" t="str">
            <v>-</v>
          </cell>
          <cell r="CN220">
            <v>0</v>
          </cell>
          <cell r="CQ220" t="str">
            <v>oui</v>
          </cell>
          <cell r="CR220">
            <v>400538</v>
          </cell>
          <cell r="CT220">
            <v>1633196</v>
          </cell>
          <cell r="CX220">
            <v>2033734</v>
          </cell>
          <cell r="DE220">
            <v>74807.25</v>
          </cell>
          <cell r="DJ220">
            <v>74807.25</v>
          </cell>
          <cell r="DO220">
            <v>0</v>
          </cell>
          <cell r="DQ220">
            <v>58600</v>
          </cell>
          <cell r="DR220">
            <v>27125</v>
          </cell>
          <cell r="DS220">
            <v>85725</v>
          </cell>
          <cell r="DT220">
            <v>171450</v>
          </cell>
          <cell r="DU220">
            <v>-1787476.75</v>
          </cell>
          <cell r="ED220" t="str">
            <v>G:\Habitat\OPERATIONNEL HABITAT\02- Operations\Photothèque\image non disponible.jpg</v>
          </cell>
          <cell r="EE220" t="str">
            <v>G:\Habitat\OPERATIONNEL HABITAT\02- Operations\Photothèque\image non disponible.jpg</v>
          </cell>
        </row>
        <row r="221">
          <cell r="A221" t="str">
            <v>RPI EIFFEL/BLAKE</v>
          </cell>
          <cell r="B221">
            <v>9609</v>
          </cell>
          <cell r="C221" t="str">
            <v>OUEST</v>
          </cell>
          <cell r="D221" t="str">
            <v>Port</v>
          </cell>
          <cell r="E221" t="str">
            <v>RHI SAY PISCINE</v>
          </cell>
          <cell r="F221">
            <v>4</v>
          </cell>
          <cell r="G221" t="str">
            <v>LLS</v>
          </cell>
          <cell r="J221" t="str">
            <v>IND</v>
          </cell>
          <cell r="K221" t="str">
            <v>CF</v>
          </cell>
          <cell r="L221" t="str">
            <v>SIDR</v>
          </cell>
          <cell r="M221" t="str">
            <v>maitrisé</v>
          </cell>
          <cell r="N221" t="str">
            <v>EC</v>
          </cell>
          <cell r="O221" t="str">
            <v>EC</v>
          </cell>
          <cell r="P221" t="str">
            <v>LV</v>
          </cell>
          <cell r="Q221" t="str">
            <v>OP</v>
          </cell>
          <cell r="R221">
            <v>2005</v>
          </cell>
          <cell r="S221">
            <v>1</v>
          </cell>
          <cell r="U221" t="str">
            <v>RPI</v>
          </cell>
          <cell r="V221" t="str">
            <v>M - LIVRE/GPA</v>
          </cell>
          <cell r="W221">
            <v>38324</v>
          </cell>
          <cell r="X221" t="str">
            <v>d</v>
          </cell>
          <cell r="Y221" t="str">
            <v>9741005a0271</v>
          </cell>
          <cell r="Z221">
            <v>38399</v>
          </cell>
          <cell r="AA221" t="str">
            <v>o</v>
          </cell>
          <cell r="AB221" t="str">
            <v>validé</v>
          </cell>
          <cell r="AC221" t="str">
            <v/>
          </cell>
          <cell r="AD221">
            <v>39387</v>
          </cell>
          <cell r="AE221">
            <v>39350</v>
          </cell>
          <cell r="AF221" t="str">
            <v/>
          </cell>
          <cell r="AG221">
            <v>39464</v>
          </cell>
          <cell r="AH221">
            <v>39596</v>
          </cell>
          <cell r="AI221" t="str">
            <v/>
          </cell>
          <cell r="AJ221">
            <v>38504</v>
          </cell>
          <cell r="AK221" t="str">
            <v/>
          </cell>
          <cell r="AL221">
            <v>1265.9126775381378</v>
          </cell>
          <cell r="AM221">
            <v>2005</v>
          </cell>
          <cell r="AN221">
            <v>6</v>
          </cell>
          <cell r="AO221">
            <v>38687</v>
          </cell>
          <cell r="AP221">
            <v>38677</v>
          </cell>
          <cell r="AQ221" t="str">
            <v>li</v>
          </cell>
          <cell r="AR221">
            <v>2005</v>
          </cell>
          <cell r="CJ221" t="str">
            <v>-</v>
          </cell>
          <cell r="CK221" t="str">
            <v>-</v>
          </cell>
          <cell r="CL221" t="str">
            <v>-</v>
          </cell>
          <cell r="CM221" t="str">
            <v>-</v>
          </cell>
          <cell r="CN221">
            <v>0</v>
          </cell>
          <cell r="CQ221" t="str">
            <v>oui</v>
          </cell>
          <cell r="CX221">
            <v>0</v>
          </cell>
          <cell r="DE221">
            <v>0</v>
          </cell>
          <cell r="DJ221">
            <v>0</v>
          </cell>
          <cell r="DO221">
            <v>0</v>
          </cell>
          <cell r="DS221">
            <v>0</v>
          </cell>
          <cell r="DT221">
            <v>0</v>
          </cell>
          <cell r="DU221">
            <v>0</v>
          </cell>
          <cell r="ED221" t="str">
            <v>G:\Habitat\OPERATIONNEL HABITAT\02- Operations\Photothèque\images casevo\villiam blake\villiam blake RPI.jpg</v>
          </cell>
          <cell r="EE221" t="str">
            <v>G:\Habitat\OPERATIONNEL HABITAT\02- Operations\Photothèque\images casevo\villiam blake\villiam blake RPI (2).jpg</v>
          </cell>
        </row>
        <row r="222">
          <cell r="A222" t="str">
            <v>SAINT BERNARD 1</v>
          </cell>
          <cell r="B222">
            <v>9461</v>
          </cell>
          <cell r="C222" t="str">
            <v>NORD</v>
          </cell>
          <cell r="D222" t="str">
            <v>Saint-Denis</v>
          </cell>
          <cell r="E222" t="str">
            <v>ZAC ST BERNARD</v>
          </cell>
          <cell r="F222">
            <v>36</v>
          </cell>
          <cell r="G222" t="str">
            <v>LESG</v>
          </cell>
          <cell r="J222" t="str">
            <v>IND</v>
          </cell>
          <cell r="K222" t="str">
            <v>CF</v>
          </cell>
          <cell r="L222" t="str">
            <v>SODIAC</v>
          </cell>
          <cell r="M222" t="str">
            <v>autres</v>
          </cell>
          <cell r="N222" t="str">
            <v>EC</v>
          </cell>
          <cell r="O222" t="str">
            <v>FG</v>
          </cell>
          <cell r="P222" t="str">
            <v>LV</v>
          </cell>
          <cell r="R222">
            <v>2003</v>
          </cell>
          <cell r="U222" t="str">
            <v>ATELIER GAZUT</v>
          </cell>
          <cell r="V222" t="str">
            <v>M - LIVRE/GPA</v>
          </cell>
          <cell r="W222">
            <v>37747</v>
          </cell>
          <cell r="X222" t="str">
            <v>d</v>
          </cell>
          <cell r="Z222">
            <v>37882</v>
          </cell>
          <cell r="AA222" t="str">
            <v>o</v>
          </cell>
          <cell r="AB222" t="str">
            <v>validé</v>
          </cell>
          <cell r="AC222" t="str">
            <v/>
          </cell>
          <cell r="AD222">
            <v>0</v>
          </cell>
          <cell r="AE222" t="str">
            <v>23/06/203</v>
          </cell>
          <cell r="AF222" t="str">
            <v/>
          </cell>
          <cell r="AG222">
            <v>37924</v>
          </cell>
          <cell r="AH222">
            <v>38061</v>
          </cell>
          <cell r="AI222" t="str">
            <v>ao</v>
          </cell>
          <cell r="AJ222">
            <v>38141</v>
          </cell>
          <cell r="AK222" t="str">
            <v/>
          </cell>
          <cell r="AL222">
            <v>2.6301946344029457</v>
          </cell>
          <cell r="AM222">
            <v>2004</v>
          </cell>
          <cell r="AN222">
            <v>16</v>
          </cell>
          <cell r="AO222">
            <v>38628</v>
          </cell>
          <cell r="AP222">
            <v>38716</v>
          </cell>
          <cell r="AQ222" t="str">
            <v>li</v>
          </cell>
          <cell r="AR222">
            <v>2005</v>
          </cell>
          <cell r="CJ222" t="str">
            <v>-</v>
          </cell>
          <cell r="CK222" t="str">
            <v>-</v>
          </cell>
          <cell r="CL222" t="str">
            <v>-</v>
          </cell>
          <cell r="CM222" t="str">
            <v>-</v>
          </cell>
          <cell r="CN222">
            <v>0</v>
          </cell>
          <cell r="CQ222" t="str">
            <v>oui</v>
          </cell>
          <cell r="CX222">
            <v>0</v>
          </cell>
          <cell r="DE222">
            <v>0</v>
          </cell>
          <cell r="DJ222">
            <v>0</v>
          </cell>
          <cell r="DO222">
            <v>0</v>
          </cell>
          <cell r="DS222">
            <v>0</v>
          </cell>
          <cell r="DT222">
            <v>0</v>
          </cell>
          <cell r="DU222">
            <v>0</v>
          </cell>
          <cell r="ED222" t="str">
            <v>G:\Habitat\OPERATIONNEL HABITAT\02- Operations\Photothèque\images casevo\Saint Bernard\st bernard.jpg</v>
          </cell>
          <cell r="EE222" t="str">
            <v>G:\Habitat\OPERATIONNEL HABITAT\02- Operations\Photothèque\images casevo\Saint Bernard\st bernard (1).jpg</v>
          </cell>
        </row>
        <row r="223">
          <cell r="A223" t="str">
            <v>SAINT BERNARD 2</v>
          </cell>
          <cell r="B223">
            <v>9558</v>
          </cell>
          <cell r="C223" t="str">
            <v>NORD</v>
          </cell>
          <cell r="D223" t="str">
            <v>Saint-Denis</v>
          </cell>
          <cell r="E223" t="str">
            <v>ZAC ST BERNARD</v>
          </cell>
          <cell r="F223">
            <v>22</v>
          </cell>
          <cell r="G223" t="str">
            <v>LESG</v>
          </cell>
          <cell r="J223" t="str">
            <v>IND</v>
          </cell>
          <cell r="K223" t="str">
            <v>CF</v>
          </cell>
          <cell r="L223" t="str">
            <v>SODIAC</v>
          </cell>
          <cell r="M223" t="str">
            <v>maitrisé</v>
          </cell>
          <cell r="N223" t="str">
            <v>EC</v>
          </cell>
          <cell r="O223" t="str">
            <v>FG</v>
          </cell>
          <cell r="P223" t="str">
            <v>LV</v>
          </cell>
          <cell r="R223">
            <v>2004</v>
          </cell>
          <cell r="T223" t="str">
            <v>problème numérotation PTT</v>
          </cell>
          <cell r="U223" t="str">
            <v>ATELIER GAZUT</v>
          </cell>
          <cell r="V223" t="str">
            <v>M - LIVRE/GPA</v>
          </cell>
          <cell r="W223">
            <v>38141</v>
          </cell>
          <cell r="X223" t="str">
            <v>d</v>
          </cell>
          <cell r="Y223" t="str">
            <v>97441104A0618</v>
          </cell>
          <cell r="Z223">
            <v>38309</v>
          </cell>
          <cell r="AA223" t="str">
            <v>o</v>
          </cell>
          <cell r="AB223" t="str">
            <v>validé</v>
          </cell>
          <cell r="AC223" t="str">
            <v/>
          </cell>
          <cell r="AD223">
            <v>0</v>
          </cell>
          <cell r="AE223">
            <v>38223</v>
          </cell>
          <cell r="AF223" t="str">
            <v>f</v>
          </cell>
          <cell r="AG223">
            <v>38335</v>
          </cell>
          <cell r="AH223">
            <v>38518</v>
          </cell>
          <cell r="AI223" t="str">
            <v>ao</v>
          </cell>
          <cell r="AJ223">
            <v>38596</v>
          </cell>
          <cell r="AK223" t="str">
            <v/>
          </cell>
          <cell r="AL223">
            <v>2.5644397685428721</v>
          </cell>
          <cell r="AM223">
            <v>2005</v>
          </cell>
          <cell r="AN223">
            <v>14</v>
          </cell>
          <cell r="AO223">
            <v>39022</v>
          </cell>
          <cell r="AP223">
            <v>39387</v>
          </cell>
          <cell r="AQ223" t="str">
            <v>li</v>
          </cell>
          <cell r="AR223">
            <v>2007</v>
          </cell>
          <cell r="AS223">
            <v>6</v>
          </cell>
          <cell r="AT223">
            <v>30</v>
          </cell>
          <cell r="AW223">
            <v>8</v>
          </cell>
          <cell r="AX223">
            <v>59</v>
          </cell>
          <cell r="BA223">
            <v>14</v>
          </cell>
          <cell r="BB223">
            <v>71</v>
          </cell>
          <cell r="BC223">
            <v>2</v>
          </cell>
          <cell r="BD223">
            <v>76</v>
          </cell>
          <cell r="BE223">
            <v>7</v>
          </cell>
          <cell r="BF223">
            <v>80</v>
          </cell>
          <cell r="BI223">
            <v>6</v>
          </cell>
          <cell r="BJ223">
            <v>94</v>
          </cell>
          <cell r="BK223">
            <v>43</v>
          </cell>
          <cell r="BL223">
            <v>6.24</v>
          </cell>
          <cell r="BM223">
            <v>0.82</v>
          </cell>
          <cell r="BN223">
            <v>0.2</v>
          </cell>
          <cell r="BO223" t="str">
            <v>signée</v>
          </cell>
          <cell r="BP223">
            <v>0.8</v>
          </cell>
          <cell r="BQ223" t="str">
            <v>signée</v>
          </cell>
          <cell r="BX223" t="str">
            <v>signé</v>
          </cell>
          <cell r="BY223">
            <v>3191</v>
          </cell>
          <cell r="BZ223">
            <v>5180</v>
          </cell>
          <cell r="CA223">
            <v>3461.27</v>
          </cell>
          <cell r="CE223" t="str">
            <v>ECS ind</v>
          </cell>
          <cell r="CF223">
            <v>159100</v>
          </cell>
          <cell r="CG223">
            <v>47730</v>
          </cell>
          <cell r="CH223">
            <v>71595</v>
          </cell>
          <cell r="CI223" t="str">
            <v>C 21/014/2008</v>
          </cell>
          <cell r="CJ223" t="str">
            <v>-</v>
          </cell>
          <cell r="CK223" t="str">
            <v>-</v>
          </cell>
          <cell r="CL223" t="str">
            <v>-</v>
          </cell>
          <cell r="CM223" t="str">
            <v>-</v>
          </cell>
          <cell r="CN223">
            <v>0</v>
          </cell>
          <cell r="CQ223" t="str">
            <v>oui</v>
          </cell>
          <cell r="CR223">
            <v>272991</v>
          </cell>
          <cell r="CT223">
            <v>2693969</v>
          </cell>
          <cell r="CX223">
            <v>0</v>
          </cell>
          <cell r="DE223">
            <v>0</v>
          </cell>
          <cell r="DJ223">
            <v>0</v>
          </cell>
          <cell r="DO223">
            <v>0</v>
          </cell>
          <cell r="DQ223">
            <v>91300</v>
          </cell>
          <cell r="DR223">
            <v>35000</v>
          </cell>
          <cell r="DS223">
            <v>0</v>
          </cell>
          <cell r="DT223">
            <v>0</v>
          </cell>
          <cell r="DU223">
            <v>0</v>
          </cell>
          <cell r="ED223" t="str">
            <v>G:\Habitat\OPERATIONNEL HABITAT\02- Operations\Photothèque\images casevo\Saint Bernard\st bernard.jpg</v>
          </cell>
          <cell r="EE223" t="str">
            <v>G:\Habitat\OPERATIONNEL HABITAT\02- Operations\Photothèque\images casevo\Saint Bernard\st bernard (1).jpg</v>
          </cell>
        </row>
        <row r="224">
          <cell r="A224" t="str">
            <v>SAINTE ANNE</v>
          </cell>
          <cell r="B224">
            <v>9620</v>
          </cell>
          <cell r="C224" t="str">
            <v>EST</v>
          </cell>
          <cell r="D224" t="str">
            <v>Saint-Benoît</v>
          </cell>
          <cell r="E224" t="str">
            <v>ZAC ST ANNE</v>
          </cell>
          <cell r="F224">
            <v>12</v>
          </cell>
          <cell r="G224" t="str">
            <v>LESG</v>
          </cell>
          <cell r="J224" t="str">
            <v>IND</v>
          </cell>
          <cell r="K224" t="str">
            <v>CF</v>
          </cell>
          <cell r="L224" t="str">
            <v>SIDR</v>
          </cell>
          <cell r="M224" t="str">
            <v>maitrisé</v>
          </cell>
          <cell r="N224" t="str">
            <v>BS</v>
          </cell>
          <cell r="O224" t="str">
            <v>OS</v>
          </cell>
          <cell r="P224" t="str">
            <v>LV</v>
          </cell>
          <cell r="Q224" t="str">
            <v>AR</v>
          </cell>
          <cell r="R224">
            <v>2007</v>
          </cell>
          <cell r="S224">
            <v>1</v>
          </cell>
          <cell r="T224" t="str">
            <v>blocage FT sur VRD</v>
          </cell>
          <cell r="U224" t="str">
            <v>ATELIER GAZUT</v>
          </cell>
          <cell r="V224" t="str">
            <v>K - OS TRAVAUX</v>
          </cell>
          <cell r="W224" t="str">
            <v>28/098/2005</v>
          </cell>
          <cell r="X224" t="str">
            <v/>
          </cell>
          <cell r="Y224" t="str">
            <v>9741005a0271</v>
          </cell>
          <cell r="Z224">
            <v>39370</v>
          </cell>
          <cell r="AA224" t="str">
            <v>o</v>
          </cell>
          <cell r="AB224" t="str">
            <v>validé</v>
          </cell>
          <cell r="AC224" t="str">
            <v/>
          </cell>
          <cell r="AD224">
            <v>39387</v>
          </cell>
          <cell r="AE224">
            <v>39350</v>
          </cell>
          <cell r="AF224" t="str">
            <v>f</v>
          </cell>
          <cell r="AG224">
            <v>39464</v>
          </cell>
          <cell r="AH224">
            <v>39596</v>
          </cell>
          <cell r="AI224" t="str">
            <v>ao</v>
          </cell>
          <cell r="AJ224">
            <v>39797</v>
          </cell>
          <cell r="AK224" t="str">
            <v>ch</v>
          </cell>
          <cell r="AL224">
            <v>6.6083640189374009</v>
          </cell>
          <cell r="AM224">
            <v>2008</v>
          </cell>
          <cell r="AN224">
            <v>14</v>
          </cell>
          <cell r="AO224">
            <v>40224</v>
          </cell>
          <cell r="AP224">
            <v>40239</v>
          </cell>
          <cell r="AQ224" t="str">
            <v/>
          </cell>
          <cell r="AR224">
            <v>2010</v>
          </cell>
          <cell r="AS224">
            <v>1</v>
          </cell>
          <cell r="AT224">
            <v>32</v>
          </cell>
          <cell r="AW224">
            <v>4</v>
          </cell>
          <cell r="AX224">
            <v>58</v>
          </cell>
          <cell r="AY224">
            <v>1</v>
          </cell>
          <cell r="AZ224">
            <v>68</v>
          </cell>
          <cell r="BA224">
            <v>6</v>
          </cell>
          <cell r="BB224">
            <v>72</v>
          </cell>
          <cell r="BE224">
            <v>4</v>
          </cell>
          <cell r="BF224">
            <v>81</v>
          </cell>
          <cell r="BG224">
            <v>1</v>
          </cell>
          <cell r="BH224">
            <v>79</v>
          </cell>
          <cell r="BI224">
            <v>1</v>
          </cell>
          <cell r="BJ224">
            <v>90</v>
          </cell>
          <cell r="BK224">
            <v>18</v>
          </cell>
          <cell r="BL224">
            <v>5.53</v>
          </cell>
          <cell r="BM224">
            <v>0.82</v>
          </cell>
          <cell r="BN224">
            <v>0.2</v>
          </cell>
          <cell r="BO224" t="str">
            <v>signée</v>
          </cell>
          <cell r="BP224">
            <v>0.8</v>
          </cell>
          <cell r="BQ224" t="str">
            <v>signée</v>
          </cell>
          <cell r="BX224" t="str">
            <v>signé</v>
          </cell>
          <cell r="BY224">
            <v>1218</v>
          </cell>
          <cell r="BZ224">
            <v>1840</v>
          </cell>
          <cell r="CA224">
            <v>1274.95</v>
          </cell>
          <cell r="CE224" t="str">
            <v>ECS ind</v>
          </cell>
          <cell r="CF224">
            <v>66600</v>
          </cell>
          <cell r="CG224">
            <v>19980</v>
          </cell>
          <cell r="CH224">
            <v>29970</v>
          </cell>
          <cell r="CI224" t="str">
            <v>C 21/01/2008</v>
          </cell>
          <cell r="CJ224" t="str">
            <v>-</v>
          </cell>
          <cell r="CK224" t="str">
            <v>-</v>
          </cell>
          <cell r="CL224" t="str">
            <v>-</v>
          </cell>
          <cell r="CM224" t="str">
            <v>-</v>
          </cell>
          <cell r="CN224">
            <v>0</v>
          </cell>
          <cell r="CQ224" t="str">
            <v>non</v>
          </cell>
          <cell r="CR224">
            <v>136724</v>
          </cell>
          <cell r="CT224">
            <v>990224</v>
          </cell>
          <cell r="CX224">
            <v>0</v>
          </cell>
          <cell r="DE224">
            <v>0</v>
          </cell>
          <cell r="DJ224">
            <v>0</v>
          </cell>
          <cell r="DO224">
            <v>0</v>
          </cell>
          <cell r="DQ224">
            <v>34900</v>
          </cell>
          <cell r="DR224">
            <v>15184</v>
          </cell>
          <cell r="DS224">
            <v>0</v>
          </cell>
          <cell r="DT224">
            <v>0</v>
          </cell>
          <cell r="DU224">
            <v>0</v>
          </cell>
          <cell r="ED224" t="str">
            <v>G:\Habitat\OPERATIONNEL HABITAT\02- Operations\Photothèque\image non disponible.jpg</v>
          </cell>
          <cell r="EE224" t="str">
            <v>G:\Habitat\OPERATIONNEL HABITAT\02- Operations\Photothèque\image non disponible.jpg</v>
          </cell>
        </row>
        <row r="225">
          <cell r="A225" t="str">
            <v>SAMAT</v>
          </cell>
          <cell r="B225">
            <v>9692</v>
          </cell>
          <cell r="C225" t="str">
            <v>NORD</v>
          </cell>
          <cell r="D225" t="str">
            <v>Saint-Denis</v>
          </cell>
          <cell r="E225" t="str">
            <v>Ruelle SAMAT</v>
          </cell>
          <cell r="F225">
            <v>60</v>
          </cell>
          <cell r="G225" t="str">
            <v>LLTS</v>
          </cell>
          <cell r="J225" t="str">
            <v>COL</v>
          </cell>
          <cell r="K225" t="str">
            <v>ACQ</v>
          </cell>
          <cell r="L225" t="str">
            <v>SEMADER</v>
          </cell>
          <cell r="M225" t="str">
            <v>autres</v>
          </cell>
          <cell r="N225" t="str">
            <v>JPM</v>
          </cell>
          <cell r="O225" t="str">
            <v>PE</v>
          </cell>
          <cell r="P225" t="str">
            <v>CC</v>
          </cell>
          <cell r="R225">
            <v>2010</v>
          </cell>
          <cell r="S225">
            <v>1</v>
          </cell>
          <cell r="T225" t="str">
            <v>Acquisition à finaliser - accès à étudier - problematique bruit &amp; parking - attention aux nuisances sonores</v>
          </cell>
          <cell r="U225" t="str">
            <v>procedure formalisée</v>
          </cell>
          <cell r="V225" t="str">
            <v>B - ETUDE PRE-OP</v>
          </cell>
          <cell r="W225">
            <v>39415</v>
          </cell>
          <cell r="X225" t="str">
            <v>d</v>
          </cell>
          <cell r="Z225">
            <v>39446</v>
          </cell>
          <cell r="AA225" t="str">
            <v/>
          </cell>
          <cell r="AB225">
            <v>39566</v>
          </cell>
          <cell r="AC225" t="str">
            <v/>
          </cell>
          <cell r="AD225">
            <v>39597</v>
          </cell>
          <cell r="AE225">
            <v>39385</v>
          </cell>
          <cell r="AF225" t="str">
            <v>f</v>
          </cell>
          <cell r="AG225">
            <v>39464</v>
          </cell>
          <cell r="AH225">
            <v>39859</v>
          </cell>
          <cell r="AI225" t="str">
            <v/>
          </cell>
          <cell r="AJ225">
            <v>40040</v>
          </cell>
          <cell r="AK225" t="str">
            <v/>
          </cell>
          <cell r="AL225">
            <v>0</v>
          </cell>
          <cell r="AM225">
            <v>2009</v>
          </cell>
          <cell r="AN225">
            <v>17</v>
          </cell>
          <cell r="AO225">
            <v>40558</v>
          </cell>
          <cell r="AP225">
            <v>40573</v>
          </cell>
          <cell r="AQ225" t="str">
            <v/>
          </cell>
          <cell r="AR225">
            <v>2011</v>
          </cell>
          <cell r="BK225">
            <v>0</v>
          </cell>
          <cell r="BL225">
            <v>5.45</v>
          </cell>
          <cell r="CJ225" t="str">
            <v>-</v>
          </cell>
          <cell r="CK225" t="str">
            <v>-</v>
          </cell>
          <cell r="CL225" t="str">
            <v>-</v>
          </cell>
          <cell r="CM225" t="str">
            <v>-</v>
          </cell>
          <cell r="CN225">
            <v>0</v>
          </cell>
          <cell r="CO225" t="str">
            <v>199 undecies A</v>
          </cell>
          <cell r="CQ225" t="str">
            <v>non</v>
          </cell>
          <cell r="CX225">
            <v>0</v>
          </cell>
          <cell r="DE225">
            <v>0</v>
          </cell>
          <cell r="DJ225">
            <v>0</v>
          </cell>
          <cell r="DO225">
            <v>0</v>
          </cell>
          <cell r="DS225">
            <v>0</v>
          </cell>
          <cell r="DT225">
            <v>0</v>
          </cell>
          <cell r="DU225">
            <v>0</v>
          </cell>
          <cell r="ED225" t="str">
            <v>G:\Habitat\OPERATIONNEL HABITAT\02- Operations\Photothèque\image non disponible.jpg</v>
          </cell>
          <cell r="EE225" t="str">
            <v>G:\Habitat\OPERATIONNEL HABITAT\02- Operations\Photothèque\image non disponible.jpg</v>
          </cell>
        </row>
        <row r="226">
          <cell r="A226" t="str">
            <v>SAN SEVERIA 1</v>
          </cell>
          <cell r="B226">
            <v>9594</v>
          </cell>
          <cell r="C226" t="str">
            <v>NORD</v>
          </cell>
          <cell r="D226" t="str">
            <v>Saint-Denis</v>
          </cell>
          <cell r="E226" t="str">
            <v>STE CLOTILDE</v>
          </cell>
          <cell r="F226">
            <v>43</v>
          </cell>
          <cell r="G226" t="str">
            <v>LLS</v>
          </cell>
          <cell r="J226" t="str">
            <v>COL</v>
          </cell>
          <cell r="K226" t="str">
            <v>RF</v>
          </cell>
          <cell r="L226" t="str">
            <v>SEDRE</v>
          </cell>
          <cell r="M226" t="str">
            <v>maitrisé</v>
          </cell>
          <cell r="N226" t="str">
            <v>BZ</v>
          </cell>
          <cell r="O226" t="str">
            <v>SV</v>
          </cell>
          <cell r="P226" t="str">
            <v>CS</v>
          </cell>
          <cell r="R226">
            <v>2005</v>
          </cell>
          <cell r="S226">
            <v>1</v>
          </cell>
          <cell r="T226" t="str">
            <v>problème numérotation PTT</v>
          </cell>
          <cell r="U226" t="str">
            <v>ARCHITECTES DE L'EPERON</v>
          </cell>
          <cell r="V226" t="str">
            <v>M - LIVRE/GPA</v>
          </cell>
          <cell r="W226">
            <v>38349</v>
          </cell>
          <cell r="X226" t="str">
            <v>d</v>
          </cell>
          <cell r="Y226" t="str">
            <v>97441104A0618</v>
          </cell>
          <cell r="Z226">
            <v>38546</v>
          </cell>
          <cell r="AA226" t="str">
            <v>o</v>
          </cell>
          <cell r="AB226" t="str">
            <v>validé</v>
          </cell>
          <cell r="AC226" t="str">
            <v/>
          </cell>
          <cell r="AD226">
            <v>38624</v>
          </cell>
          <cell r="AE226">
            <v>38505</v>
          </cell>
          <cell r="AF226" t="str">
            <v>f</v>
          </cell>
          <cell r="AG226">
            <v>38722</v>
          </cell>
          <cell r="AH226">
            <v>38614</v>
          </cell>
          <cell r="AI226" t="str">
            <v>ao</v>
          </cell>
          <cell r="AJ226">
            <v>38803</v>
          </cell>
          <cell r="AK226" t="str">
            <v/>
          </cell>
          <cell r="AL226">
            <v>6.2138348237769598</v>
          </cell>
          <cell r="AM226">
            <v>2006</v>
          </cell>
          <cell r="AN226">
            <v>18</v>
          </cell>
          <cell r="AO226">
            <v>39352</v>
          </cell>
          <cell r="AP226">
            <v>39416</v>
          </cell>
          <cell r="AQ226" t="str">
            <v>li</v>
          </cell>
          <cell r="AR226">
            <v>2007</v>
          </cell>
          <cell r="AS226">
            <v>6</v>
          </cell>
          <cell r="AT226">
            <v>30</v>
          </cell>
          <cell r="AW226">
            <v>8</v>
          </cell>
          <cell r="AX226">
            <v>59</v>
          </cell>
          <cell r="BA226">
            <v>14</v>
          </cell>
          <cell r="BB226">
            <v>71</v>
          </cell>
          <cell r="BC226">
            <v>2</v>
          </cell>
          <cell r="BD226">
            <v>76</v>
          </cell>
          <cell r="BE226">
            <v>7</v>
          </cell>
          <cell r="BF226">
            <v>80</v>
          </cell>
          <cell r="BI226">
            <v>6</v>
          </cell>
          <cell r="BJ226">
            <v>94</v>
          </cell>
          <cell r="BK226">
            <v>43</v>
          </cell>
          <cell r="BL226">
            <v>6.24</v>
          </cell>
          <cell r="BM226">
            <v>0.82</v>
          </cell>
          <cell r="BN226">
            <v>0.2</v>
          </cell>
          <cell r="BO226" t="str">
            <v>signée</v>
          </cell>
          <cell r="BP226">
            <v>0.8</v>
          </cell>
          <cell r="BQ226" t="str">
            <v>signée</v>
          </cell>
          <cell r="BR226">
            <v>0</v>
          </cell>
          <cell r="BS226">
            <v>0</v>
          </cell>
          <cell r="BX226" t="str">
            <v>signé</v>
          </cell>
          <cell r="BY226">
            <v>3191</v>
          </cell>
          <cell r="BZ226">
            <v>5180</v>
          </cell>
          <cell r="CA226">
            <v>3461.27</v>
          </cell>
          <cell r="CE226" t="str">
            <v>ECS ind</v>
          </cell>
          <cell r="CF226">
            <v>159100</v>
          </cell>
          <cell r="CG226">
            <v>47730</v>
          </cell>
          <cell r="CH226">
            <v>71595</v>
          </cell>
          <cell r="CI226" t="str">
            <v>C 21/014/2008</v>
          </cell>
          <cell r="CJ226" t="str">
            <v>-</v>
          </cell>
          <cell r="CK226" t="str">
            <v>-</v>
          </cell>
          <cell r="CL226" t="str">
            <v>-</v>
          </cell>
          <cell r="CM226" t="str">
            <v>-</v>
          </cell>
          <cell r="CN226">
            <v>0</v>
          </cell>
          <cell r="CQ226" t="str">
            <v>oui</v>
          </cell>
          <cell r="CR226">
            <v>272991</v>
          </cell>
          <cell r="CT226">
            <v>2693969</v>
          </cell>
          <cell r="CX226">
            <v>2966960</v>
          </cell>
          <cell r="CY226">
            <v>1050888</v>
          </cell>
          <cell r="DA226">
            <v>268312</v>
          </cell>
          <cell r="DB226">
            <v>268312</v>
          </cell>
          <cell r="DE226">
            <v>119325</v>
          </cell>
          <cell r="DF226" t="str">
            <v>TCO</v>
          </cell>
          <cell r="DG226">
            <v>440000</v>
          </cell>
          <cell r="DJ226">
            <v>119325</v>
          </cell>
          <cell r="DO226">
            <v>0</v>
          </cell>
          <cell r="DQ226">
            <v>91300</v>
          </cell>
          <cell r="DR226">
            <v>35000</v>
          </cell>
          <cell r="DS226">
            <v>126300</v>
          </cell>
          <cell r="DT226">
            <v>252600</v>
          </cell>
          <cell r="DU226">
            <v>-2595035</v>
          </cell>
          <cell r="ED226" t="str">
            <v>G:\Habitat\OPERATIONNEL HABITAT\02- Operations\Photothèque\images locatifs\San Severia\san severia 2.jpg</v>
          </cell>
          <cell r="EE226" t="str">
            <v>G:\Habitat\OPERATIONNEL HABITAT\02- Operations\Photothèque\images locatifs\San Severia\Sanseverias a.jpg</v>
          </cell>
          <cell r="EJ226">
            <v>72000</v>
          </cell>
        </row>
        <row r="227">
          <cell r="A227" t="str">
            <v>SAN SEVERIA 2</v>
          </cell>
          <cell r="B227">
            <v>9606</v>
          </cell>
          <cell r="C227" t="str">
            <v>NORD</v>
          </cell>
          <cell r="D227" t="str">
            <v>Saint-Denis</v>
          </cell>
          <cell r="E227" t="str">
            <v>STE CLOTILDE</v>
          </cell>
          <cell r="F227">
            <v>18</v>
          </cell>
          <cell r="G227" t="str">
            <v>LLS</v>
          </cell>
          <cell r="J227" t="str">
            <v>COL</v>
          </cell>
          <cell r="K227" t="str">
            <v>RF</v>
          </cell>
          <cell r="L227" t="str">
            <v>SIDR</v>
          </cell>
          <cell r="M227" t="str">
            <v>maitrisé</v>
          </cell>
          <cell r="N227" t="str">
            <v>BZ</v>
          </cell>
          <cell r="O227" t="str">
            <v>SV</v>
          </cell>
          <cell r="P227" t="str">
            <v>CS</v>
          </cell>
          <cell r="Q227" t="str">
            <v>OP</v>
          </cell>
          <cell r="R227">
            <v>2005</v>
          </cell>
          <cell r="T227" t="str">
            <v>blocage FT sur VRD</v>
          </cell>
          <cell r="U227" t="str">
            <v>ARCHITECTES DE L'EPERON</v>
          </cell>
          <cell r="V227" t="str">
            <v>M - LIVRE/GPA</v>
          </cell>
          <cell r="W227">
            <v>38407</v>
          </cell>
          <cell r="X227" t="str">
            <v>d</v>
          </cell>
          <cell r="Y227" t="str">
            <v>97441105A0062</v>
          </cell>
          <cell r="Z227">
            <v>38512</v>
          </cell>
          <cell r="AA227" t="str">
            <v>o</v>
          </cell>
          <cell r="AB227" t="str">
            <v>validé</v>
          </cell>
          <cell r="AC227" t="str">
            <v/>
          </cell>
          <cell r="AD227">
            <v>38624</v>
          </cell>
          <cell r="AE227">
            <v>38505</v>
          </cell>
          <cell r="AF227" t="str">
            <v>f</v>
          </cell>
          <cell r="AG227">
            <v>38722</v>
          </cell>
          <cell r="AH227">
            <v>38614</v>
          </cell>
          <cell r="AI227" t="str">
            <v>ao</v>
          </cell>
          <cell r="AJ227">
            <v>38803</v>
          </cell>
          <cell r="AK227" t="str">
            <v/>
          </cell>
          <cell r="AL227">
            <v>6.2138348237769598</v>
          </cell>
          <cell r="AM227">
            <v>2006</v>
          </cell>
          <cell r="AN227">
            <v>18</v>
          </cell>
          <cell r="AO227">
            <v>39352</v>
          </cell>
          <cell r="AP227">
            <v>39367</v>
          </cell>
          <cell r="AQ227" t="str">
            <v>li</v>
          </cell>
          <cell r="AR227">
            <v>2007</v>
          </cell>
          <cell r="AS227">
            <v>1</v>
          </cell>
          <cell r="AT227">
            <v>32</v>
          </cell>
          <cell r="AW227">
            <v>4</v>
          </cell>
          <cell r="AX227">
            <v>58</v>
          </cell>
          <cell r="AY227">
            <v>1</v>
          </cell>
          <cell r="AZ227">
            <v>68</v>
          </cell>
          <cell r="BA227">
            <v>6</v>
          </cell>
          <cell r="BB227">
            <v>72</v>
          </cell>
          <cell r="BE227">
            <v>4</v>
          </cell>
          <cell r="BF227">
            <v>81</v>
          </cell>
          <cell r="BG227">
            <v>1</v>
          </cell>
          <cell r="BH227">
            <v>79</v>
          </cell>
          <cell r="BI227">
            <v>1</v>
          </cell>
          <cell r="BJ227">
            <v>90</v>
          </cell>
          <cell r="BK227">
            <v>18</v>
          </cell>
          <cell r="BL227">
            <v>5.53</v>
          </cell>
          <cell r="BM227">
            <v>0.82</v>
          </cell>
          <cell r="BN227">
            <v>0.2</v>
          </cell>
          <cell r="BO227" t="str">
            <v>signée</v>
          </cell>
          <cell r="BP227">
            <v>0.8</v>
          </cell>
          <cell r="BQ227" t="str">
            <v>signée</v>
          </cell>
          <cell r="BX227" t="str">
            <v>signé</v>
          </cell>
          <cell r="BY227">
            <v>1218</v>
          </cell>
          <cell r="BZ227">
            <v>1840</v>
          </cell>
          <cell r="CA227">
            <v>1274.95</v>
          </cell>
          <cell r="CE227" t="str">
            <v>ECS ind</v>
          </cell>
          <cell r="CF227">
            <v>66600</v>
          </cell>
          <cell r="CG227">
            <v>19980</v>
          </cell>
          <cell r="CH227">
            <v>29970</v>
          </cell>
          <cell r="CI227" t="str">
            <v>C 21/01/2008</v>
          </cell>
          <cell r="CJ227" t="str">
            <v>-</v>
          </cell>
          <cell r="CK227" t="str">
            <v>-</v>
          </cell>
          <cell r="CL227" t="str">
            <v>-</v>
          </cell>
          <cell r="CM227" t="str">
            <v>-</v>
          </cell>
          <cell r="CN227">
            <v>0</v>
          </cell>
          <cell r="CQ227" t="str">
            <v>oui</v>
          </cell>
          <cell r="CR227">
            <v>136724</v>
          </cell>
          <cell r="CT227">
            <v>990224</v>
          </cell>
          <cell r="CX227">
            <v>1126948</v>
          </cell>
          <cell r="DE227">
            <v>49950</v>
          </cell>
          <cell r="DJ227">
            <v>49950</v>
          </cell>
          <cell r="DO227">
            <v>0</v>
          </cell>
          <cell r="DQ227">
            <v>34900</v>
          </cell>
          <cell r="DR227">
            <v>15184</v>
          </cell>
          <cell r="DS227">
            <v>50084</v>
          </cell>
          <cell r="DT227">
            <v>100168</v>
          </cell>
          <cell r="DU227">
            <v>-976830</v>
          </cell>
          <cell r="ED227" t="str">
            <v>G:\Habitat\OPERATIONNEL HABITAT\02- Operations\Photothèque\images locatifs\San Severia\san severia 2.jpg</v>
          </cell>
          <cell r="EE227" t="str">
            <v>G:\Habitat\OPERATIONNEL HABITAT\02- Operations\Photothèque\images locatifs\San Severia\Sanseverias a.jpg</v>
          </cell>
        </row>
        <row r="228">
          <cell r="A228" t="str">
            <v>SANTA APPOLONIA</v>
          </cell>
          <cell r="B228">
            <v>9692</v>
          </cell>
          <cell r="C228" t="str">
            <v>SUD</v>
          </cell>
          <cell r="D228" t="str">
            <v>Saint-Pierre</v>
          </cell>
          <cell r="E228" t="str">
            <v>ZAC OCEAN INDIEN</v>
          </cell>
          <cell r="F228">
            <v>62</v>
          </cell>
          <cell r="G228" t="str">
            <v>LLTS</v>
          </cell>
          <cell r="J228" t="str">
            <v>COL</v>
          </cell>
          <cell r="K228" t="str">
            <v>CF</v>
          </cell>
          <cell r="L228" t="str">
            <v>SEMADER</v>
          </cell>
          <cell r="M228" t="str">
            <v>non maitrisé</v>
          </cell>
          <cell r="N228" t="str">
            <v>LC</v>
          </cell>
          <cell r="O228" t="str">
            <v>CA</v>
          </cell>
          <cell r="P228" t="str">
            <v>AM</v>
          </cell>
          <cell r="Q228" t="str">
            <v>OP</v>
          </cell>
          <cell r="R228">
            <v>2007</v>
          </cell>
          <cell r="S228">
            <v>1</v>
          </cell>
          <cell r="T228" t="str">
            <v>suvbvention CIVIS demandée (non validé pour 208, à voir pour 2009) / parking supplémentaire non financé</v>
          </cell>
          <cell r="U228" t="str">
            <v>MIGNOT/LAFOND</v>
          </cell>
          <cell r="V228" t="str">
            <v>G - PROJET</v>
          </cell>
          <cell r="W228">
            <v>39415</v>
          </cell>
          <cell r="X228" t="str">
            <v>d</v>
          </cell>
          <cell r="Y228" t="str">
            <v>94440704a0064</v>
          </cell>
          <cell r="Z228">
            <v>39446</v>
          </cell>
          <cell r="AA228" t="str">
            <v>o</v>
          </cell>
          <cell r="AB228">
            <v>39566</v>
          </cell>
          <cell r="AC228" t="str">
            <v>v</v>
          </cell>
          <cell r="AD228">
            <v>39597</v>
          </cell>
          <cell r="AE228">
            <v>39385</v>
          </cell>
          <cell r="AF228" t="str">
            <v>f</v>
          </cell>
          <cell r="AG228">
            <v>39464</v>
          </cell>
          <cell r="AH228">
            <v>39918</v>
          </cell>
          <cell r="AI228" t="str">
            <v>ao</v>
          </cell>
          <cell r="AJ228">
            <v>40101</v>
          </cell>
          <cell r="AK228" t="str">
            <v/>
          </cell>
          <cell r="AL228">
            <v>6.0165702261967384</v>
          </cell>
          <cell r="AM228">
            <v>2009</v>
          </cell>
          <cell r="AN228">
            <v>17</v>
          </cell>
          <cell r="AO228">
            <v>40617</v>
          </cell>
          <cell r="AP228">
            <v>40632</v>
          </cell>
          <cell r="AQ228" t="str">
            <v/>
          </cell>
          <cell r="AR228">
            <v>2011</v>
          </cell>
          <cell r="BK228">
            <v>0</v>
          </cell>
          <cell r="BL228">
            <v>5.45</v>
          </cell>
          <cell r="CJ228" t="str">
            <v>SCI Saint André</v>
          </cell>
          <cell r="CK228" t="str">
            <v>INFI</v>
          </cell>
          <cell r="CL228">
            <v>39773</v>
          </cell>
          <cell r="CM228" t="str">
            <v>-</v>
          </cell>
          <cell r="CN228">
            <v>0</v>
          </cell>
          <cell r="CO228" t="str">
            <v>199 undecies A</v>
          </cell>
          <cell r="CQ228" t="str">
            <v>non</v>
          </cell>
          <cell r="CX228">
            <v>0</v>
          </cell>
          <cell r="DE228">
            <v>0</v>
          </cell>
          <cell r="DJ228">
            <v>0</v>
          </cell>
          <cell r="DO228">
            <v>0</v>
          </cell>
          <cell r="DS228">
            <v>0</v>
          </cell>
          <cell r="DT228">
            <v>0</v>
          </cell>
          <cell r="DU228">
            <v>0</v>
          </cell>
          <cell r="ED228" t="str">
            <v>G:\Habitat\OPERATIONNEL HABITAT\02- Operations\Photothèque\image non disponible.jpg</v>
          </cell>
          <cell r="EE228" t="str">
            <v>G:\Habitat\OPERATIONNEL HABITAT\02- Operations\Photothèque\image non disponible.jpg</v>
          </cell>
        </row>
        <row r="229">
          <cell r="A229" t="str">
            <v>SANTORIN/CAFE MOKA</v>
          </cell>
          <cell r="B229">
            <v>9638</v>
          </cell>
          <cell r="C229" t="str">
            <v>OUEST</v>
          </cell>
          <cell r="D229" t="str">
            <v>Possession</v>
          </cell>
          <cell r="E229" t="str">
            <v>ZAC MOULIN JOLI SEDRE</v>
          </cell>
          <cell r="F229">
            <v>44</v>
          </cell>
          <cell r="G229" t="str">
            <v>LLTS</v>
          </cell>
          <cell r="J229" t="str">
            <v>COL</v>
          </cell>
          <cell r="K229" t="str">
            <v>CF</v>
          </cell>
          <cell r="L229" t="str">
            <v>SEDRE</v>
          </cell>
          <cell r="M229" t="str">
            <v>maitrisé</v>
          </cell>
          <cell r="N229" t="str">
            <v>LC</v>
          </cell>
          <cell r="O229" t="str">
            <v>FG</v>
          </cell>
          <cell r="P229" t="str">
            <v>AM</v>
          </cell>
          <cell r="Q229" t="str">
            <v>OP</v>
          </cell>
          <cell r="R229">
            <v>2006</v>
          </cell>
          <cell r="S229">
            <v>1</v>
          </cell>
          <cell r="T229" t="str">
            <v>sub TCO OK</v>
          </cell>
          <cell r="U229" t="str">
            <v>ESPACE CREATION</v>
          </cell>
          <cell r="V229" t="str">
            <v>L - CHANTIER EN COURS</v>
          </cell>
          <cell r="W229">
            <v>38894</v>
          </cell>
          <cell r="X229" t="str">
            <v>d</v>
          </cell>
          <cell r="Y229" t="str">
            <v>97440806A0167</v>
          </cell>
          <cell r="Z229">
            <v>38989</v>
          </cell>
          <cell r="AA229" t="str">
            <v>o</v>
          </cell>
          <cell r="AB229">
            <v>39170</v>
          </cell>
          <cell r="AC229" t="str">
            <v>v</v>
          </cell>
          <cell r="AD229">
            <v>39224</v>
          </cell>
          <cell r="AE229">
            <v>38992</v>
          </cell>
          <cell r="AF229" t="str">
            <v>f</v>
          </cell>
          <cell r="AG229">
            <v>39093</v>
          </cell>
          <cell r="AH229">
            <v>39156</v>
          </cell>
          <cell r="AI229" t="str">
            <v>ao</v>
          </cell>
          <cell r="AJ229">
            <v>39384</v>
          </cell>
          <cell r="AK229" t="str">
            <v>ch</v>
          </cell>
          <cell r="AL229">
            <v>7.4960547080483959</v>
          </cell>
          <cell r="AM229">
            <v>2007</v>
          </cell>
          <cell r="AN229">
            <v>17</v>
          </cell>
          <cell r="AO229">
            <v>39918</v>
          </cell>
          <cell r="AP229">
            <v>39933</v>
          </cell>
          <cell r="AQ229" t="str">
            <v/>
          </cell>
          <cell r="AR229">
            <v>2009</v>
          </cell>
          <cell r="AS229">
            <v>5</v>
          </cell>
          <cell r="AT229">
            <v>32</v>
          </cell>
          <cell r="AW229">
            <v>11</v>
          </cell>
          <cell r="AX229">
            <v>57</v>
          </cell>
          <cell r="BA229">
            <v>18</v>
          </cell>
          <cell r="BB229">
            <v>70</v>
          </cell>
          <cell r="BE229">
            <v>8</v>
          </cell>
          <cell r="BF229">
            <v>77</v>
          </cell>
          <cell r="BI229">
            <v>2</v>
          </cell>
          <cell r="BJ229">
            <v>101</v>
          </cell>
          <cell r="BK229">
            <v>44</v>
          </cell>
          <cell r="BL229">
            <v>4.49</v>
          </cell>
          <cell r="BM229">
            <v>0.82</v>
          </cell>
          <cell r="BO229" t="str">
            <v>signée</v>
          </cell>
          <cell r="BQ229" t="str">
            <v>signée</v>
          </cell>
          <cell r="BR229">
            <v>0</v>
          </cell>
          <cell r="BS229">
            <v>0</v>
          </cell>
          <cell r="BX229" t="str">
            <v>signé</v>
          </cell>
          <cell r="BY229">
            <v>2946</v>
          </cell>
          <cell r="BZ229">
            <v>5136</v>
          </cell>
          <cell r="CA229">
            <v>3008.45</v>
          </cell>
          <cell r="CE229" t="str">
            <v>ECS ind</v>
          </cell>
          <cell r="CI229" t="str">
            <v>D 11/2007</v>
          </cell>
          <cell r="CJ229" t="str">
            <v>-</v>
          </cell>
          <cell r="CK229" t="str">
            <v>-</v>
          </cell>
          <cell r="CL229" t="str">
            <v>-</v>
          </cell>
          <cell r="CM229" t="str">
            <v>-</v>
          </cell>
          <cell r="CN229">
            <v>0</v>
          </cell>
          <cell r="CQ229" t="str">
            <v>non</v>
          </cell>
          <cell r="CX229">
            <v>0</v>
          </cell>
          <cell r="CY229">
            <v>1050888</v>
          </cell>
          <cell r="DA229">
            <v>268312</v>
          </cell>
          <cell r="DB229">
            <v>268312</v>
          </cell>
          <cell r="DE229">
            <v>11500</v>
          </cell>
          <cell r="DF229" t="str">
            <v>TCO</v>
          </cell>
          <cell r="DG229">
            <v>440000</v>
          </cell>
          <cell r="DJ229">
            <v>2039012</v>
          </cell>
          <cell r="DO229">
            <v>0</v>
          </cell>
          <cell r="DS229">
            <v>0</v>
          </cell>
          <cell r="DT229">
            <v>342429</v>
          </cell>
          <cell r="DU229">
            <v>2381441</v>
          </cell>
          <cell r="ED229" t="str">
            <v>G:\Habitat\OPERATIONNEL HABITAT\02- Operations\Photothèque\images locatifs\SANTORI\santorin.jpg</v>
          </cell>
          <cell r="EE229" t="str">
            <v>G:\Habitat\OPERATIONNEL HABITAT\02- Operations\Photothèque\image non disponible.jpg</v>
          </cell>
          <cell r="EJ229">
            <v>36000</v>
          </cell>
        </row>
        <row r="230">
          <cell r="A230" t="str">
            <v>SAY PISCINE 1</v>
          </cell>
          <cell r="B230">
            <v>9493</v>
          </cell>
          <cell r="C230" t="str">
            <v>OUEST</v>
          </cell>
          <cell r="D230" t="str">
            <v>Port</v>
          </cell>
          <cell r="E230" t="str">
            <v>RHI SAY PISCINE</v>
          </cell>
          <cell r="F230">
            <v>18</v>
          </cell>
          <cell r="G230" t="str">
            <v>LESG</v>
          </cell>
          <cell r="J230" t="str">
            <v>IND</v>
          </cell>
          <cell r="K230" t="str">
            <v>CF</v>
          </cell>
          <cell r="L230" t="str">
            <v>SIDR</v>
          </cell>
          <cell r="M230" t="str">
            <v>maitrisé</v>
          </cell>
          <cell r="N230" t="str">
            <v>EC</v>
          </cell>
          <cell r="O230" t="str">
            <v>FG</v>
          </cell>
          <cell r="P230" t="str">
            <v>LV</v>
          </cell>
          <cell r="Q230" t="str">
            <v>OP</v>
          </cell>
          <cell r="R230">
            <v>2003</v>
          </cell>
          <cell r="S230">
            <v>1</v>
          </cell>
          <cell r="T230" t="str">
            <v>aléas fort | libération du foncier</v>
          </cell>
          <cell r="U230" t="str">
            <v>ATELIER GAZUT</v>
          </cell>
          <cell r="V230" t="str">
            <v>M - LIVRE/GPA</v>
          </cell>
          <cell r="W230">
            <v>37820</v>
          </cell>
          <cell r="X230" t="str">
            <v>d</v>
          </cell>
          <cell r="Y230" t="str">
            <v>97440707a0077</v>
          </cell>
          <cell r="Z230">
            <v>37904</v>
          </cell>
          <cell r="AA230" t="str">
            <v>o</v>
          </cell>
          <cell r="AB230" t="str">
            <v>validé</v>
          </cell>
          <cell r="AC230" t="str">
            <v/>
          </cell>
          <cell r="AD230">
            <v>39224</v>
          </cell>
          <cell r="AE230">
            <v>37915</v>
          </cell>
          <cell r="AF230" t="str">
            <v>f</v>
          </cell>
          <cell r="AG230">
            <v>37977</v>
          </cell>
          <cell r="AH230">
            <v>38153</v>
          </cell>
          <cell r="AI230" t="str">
            <v>ao</v>
          </cell>
          <cell r="AJ230">
            <v>38292</v>
          </cell>
          <cell r="AK230" t="str">
            <v/>
          </cell>
          <cell r="AL230">
            <v>4.5699631772751186</v>
          </cell>
          <cell r="AM230">
            <v>2004</v>
          </cell>
          <cell r="AN230">
            <v>16</v>
          </cell>
          <cell r="AO230">
            <v>38777</v>
          </cell>
          <cell r="AP230">
            <v>39187</v>
          </cell>
          <cell r="AQ230" t="str">
            <v>li</v>
          </cell>
          <cell r="AR230">
            <v>2007</v>
          </cell>
          <cell r="CJ230" t="str">
            <v>-</v>
          </cell>
          <cell r="CK230" t="str">
            <v>-</v>
          </cell>
          <cell r="CL230" t="str">
            <v>-</v>
          </cell>
          <cell r="CM230" t="str">
            <v>-</v>
          </cell>
          <cell r="CN230">
            <v>0</v>
          </cell>
          <cell r="CQ230" t="str">
            <v>oui</v>
          </cell>
          <cell r="CX230">
            <v>0</v>
          </cell>
          <cell r="DE230">
            <v>0</v>
          </cell>
          <cell r="DJ230">
            <v>0</v>
          </cell>
          <cell r="DO230">
            <v>0</v>
          </cell>
          <cell r="DS230">
            <v>0</v>
          </cell>
          <cell r="DT230">
            <v>0</v>
          </cell>
          <cell r="DU230">
            <v>0</v>
          </cell>
          <cell r="ED230" t="str">
            <v>G:\Habitat\OPERATIONNEL HABITAT\02- Operations\Photothèque\image non disponible.jpg</v>
          </cell>
          <cell r="EE230" t="str">
            <v>G:\Habitat\OPERATIONNEL HABITAT\02- Operations\Photothèque\image non disponible.jpg</v>
          </cell>
        </row>
        <row r="231">
          <cell r="A231" t="str">
            <v>SAY PISCINE 2</v>
          </cell>
          <cell r="B231">
            <v>9557</v>
          </cell>
          <cell r="C231" t="str">
            <v>OUEST</v>
          </cell>
          <cell r="D231" t="str">
            <v>Port</v>
          </cell>
          <cell r="E231" t="str">
            <v>RHI SAY PISCINE</v>
          </cell>
          <cell r="F231">
            <v>12</v>
          </cell>
          <cell r="G231" t="str">
            <v>LESG</v>
          </cell>
          <cell r="J231" t="str">
            <v>IND</v>
          </cell>
          <cell r="K231" t="str">
            <v>CF</v>
          </cell>
          <cell r="L231" t="str">
            <v>SIDR</v>
          </cell>
          <cell r="N231" t="str">
            <v>BS</v>
          </cell>
          <cell r="O231" t="str">
            <v>FG</v>
          </cell>
          <cell r="P231" t="str">
            <v>LV</v>
          </cell>
          <cell r="Q231" t="str">
            <v>OP</v>
          </cell>
          <cell r="R231">
            <v>2004</v>
          </cell>
          <cell r="T231" t="str">
            <v>demande solaire refusé/libération 2 lots très difficile/DA pour vente 6 les g ???</v>
          </cell>
          <cell r="U231" t="str">
            <v>ATELIER GAZUT</v>
          </cell>
          <cell r="V231" t="str">
            <v>L - CHANTIER EN COURS</v>
          </cell>
          <cell r="W231">
            <v>38201</v>
          </cell>
          <cell r="X231" t="str">
            <v>d</v>
          </cell>
          <cell r="Y231" t="str">
            <v>94440704a0064</v>
          </cell>
          <cell r="Z231">
            <v>38446</v>
          </cell>
          <cell r="AA231" t="str">
            <v>o</v>
          </cell>
          <cell r="AB231" t="str">
            <v>validé</v>
          </cell>
          <cell r="AC231" t="str">
            <v/>
          </cell>
          <cell r="AD231">
            <v>39224</v>
          </cell>
          <cell r="AE231">
            <v>38224</v>
          </cell>
          <cell r="AF231" t="str">
            <v>f</v>
          </cell>
          <cell r="AG231">
            <v>38285</v>
          </cell>
          <cell r="AH231">
            <v>39001</v>
          </cell>
          <cell r="AI231" t="str">
            <v>ao</v>
          </cell>
          <cell r="AJ231">
            <v>39377</v>
          </cell>
          <cell r="AK231" t="str">
            <v/>
          </cell>
          <cell r="AL231">
            <v>12.361914781693844</v>
          </cell>
          <cell r="AM231">
            <v>2007</v>
          </cell>
          <cell r="AN231">
            <v>16</v>
          </cell>
          <cell r="AO231">
            <v>39866</v>
          </cell>
          <cell r="AP231">
            <v>39881</v>
          </cell>
          <cell r="AQ231" t="str">
            <v>li</v>
          </cell>
          <cell r="AR231">
            <v>2009</v>
          </cell>
          <cell r="AW231">
            <v>11</v>
          </cell>
          <cell r="AX231">
            <v>59</v>
          </cell>
          <cell r="BA231">
            <v>27</v>
          </cell>
          <cell r="BB231">
            <v>69</v>
          </cell>
          <cell r="BE231">
            <v>19</v>
          </cell>
          <cell r="BF231">
            <v>78</v>
          </cell>
          <cell r="BI231">
            <v>5</v>
          </cell>
          <cell r="BJ231">
            <v>96</v>
          </cell>
          <cell r="BK231">
            <v>62</v>
          </cell>
          <cell r="BL231">
            <v>4.2</v>
          </cell>
          <cell r="BM231">
            <v>0.82</v>
          </cell>
          <cell r="BN231">
            <v>0.2</v>
          </cell>
          <cell r="BO231" t="str">
            <v>signée</v>
          </cell>
          <cell r="BP231">
            <v>0.8</v>
          </cell>
          <cell r="BQ231" t="str">
            <v>signée</v>
          </cell>
          <cell r="BX231" t="str">
            <v>signé</v>
          </cell>
          <cell r="BY231">
            <v>4495</v>
          </cell>
          <cell r="BZ231">
            <v>5957</v>
          </cell>
          <cell r="CA231">
            <v>4684.18</v>
          </cell>
          <cell r="CE231" t="str">
            <v>ECS ind</v>
          </cell>
          <cell r="CF231">
            <v>229400</v>
          </cell>
          <cell r="CG231">
            <v>68820</v>
          </cell>
          <cell r="CH231">
            <v>103230</v>
          </cell>
          <cell r="CI231">
            <v>57350</v>
          </cell>
          <cell r="CJ231" t="str">
            <v>-</v>
          </cell>
          <cell r="CK231" t="str">
            <v>-</v>
          </cell>
          <cell r="CL231" t="str">
            <v>-</v>
          </cell>
          <cell r="CM231" t="str">
            <v>-</v>
          </cell>
          <cell r="CN231">
            <v>0</v>
          </cell>
          <cell r="CQ231" t="str">
            <v>non</v>
          </cell>
          <cell r="CR231">
            <v>332259</v>
          </cell>
          <cell r="CT231">
            <v>3492687</v>
          </cell>
          <cell r="CX231">
            <v>0</v>
          </cell>
          <cell r="DE231">
            <v>0</v>
          </cell>
          <cell r="DJ231">
            <v>0</v>
          </cell>
          <cell r="DO231">
            <v>0</v>
          </cell>
          <cell r="DQ231">
            <v>91924</v>
          </cell>
          <cell r="DS231">
            <v>0</v>
          </cell>
          <cell r="DT231">
            <v>0</v>
          </cell>
          <cell r="DU231">
            <v>0</v>
          </cell>
          <cell r="ED231" t="str">
            <v>G:\Habitat\OPERATIONNEL HABITAT\02- Operations\Photothèque\image non disponible.jpg</v>
          </cell>
          <cell r="EE231" t="str">
            <v>G:\Habitat\OPERATIONNEL HABITAT\02- Operations\Photothèque\image non disponible.jpg</v>
          </cell>
        </row>
        <row r="232">
          <cell r="A232" t="str">
            <v>SAY PISCINE 3</v>
          </cell>
          <cell r="B232">
            <v>9623</v>
          </cell>
          <cell r="C232" t="str">
            <v>OUEST</v>
          </cell>
          <cell r="D232" t="str">
            <v>Port</v>
          </cell>
          <cell r="E232" t="str">
            <v>RHI SAY PISCINE</v>
          </cell>
          <cell r="F232">
            <v>11</v>
          </cell>
          <cell r="G232" t="str">
            <v>LESG</v>
          </cell>
          <cell r="J232" t="str">
            <v>IND</v>
          </cell>
          <cell r="K232" t="str">
            <v>CF</v>
          </cell>
          <cell r="L232" t="str">
            <v>SIDR</v>
          </cell>
          <cell r="M232" t="str">
            <v>maitrisé</v>
          </cell>
          <cell r="N232" t="str">
            <v>BS</v>
          </cell>
          <cell r="O232" t="str">
            <v>FG</v>
          </cell>
          <cell r="P232" t="str">
            <v>LV</v>
          </cell>
          <cell r="Q232" t="str">
            <v>OP</v>
          </cell>
          <cell r="R232">
            <v>2005</v>
          </cell>
          <cell r="T232" t="str">
            <v>DA ? Libération ?</v>
          </cell>
          <cell r="U232" t="str">
            <v>SOAA MEUNIER</v>
          </cell>
          <cell r="V232" t="str">
            <v>L - CHANTIER EN COURS</v>
          </cell>
          <cell r="W232">
            <v>38616</v>
          </cell>
          <cell r="X232" t="str">
            <v>d</v>
          </cell>
          <cell r="Y232" t="str">
            <v>97440705a0087</v>
          </cell>
          <cell r="Z232">
            <v>38810</v>
          </cell>
          <cell r="AA232" t="str">
            <v>o</v>
          </cell>
          <cell r="AB232" t="str">
            <v>validé</v>
          </cell>
          <cell r="AC232" t="str">
            <v/>
          </cell>
          <cell r="AD232">
            <v>39224</v>
          </cell>
          <cell r="AE232">
            <v>38624</v>
          </cell>
          <cell r="AF232" t="str">
            <v>f</v>
          </cell>
          <cell r="AG232">
            <v>38695</v>
          </cell>
          <cell r="AH232">
            <v>39001</v>
          </cell>
          <cell r="AI232" t="str">
            <v>ao</v>
          </cell>
          <cell r="AJ232">
            <v>39377</v>
          </cell>
          <cell r="AK232" t="str">
            <v/>
          </cell>
          <cell r="AL232">
            <v>12.361914781693844</v>
          </cell>
          <cell r="AM232">
            <v>2007</v>
          </cell>
          <cell r="AN232">
            <v>17</v>
          </cell>
          <cell r="AO232">
            <v>39894</v>
          </cell>
          <cell r="AP232">
            <v>39909</v>
          </cell>
          <cell r="AQ232" t="str">
            <v>li</v>
          </cell>
          <cell r="AR232">
            <v>2009</v>
          </cell>
          <cell r="CJ232" t="str">
            <v>-</v>
          </cell>
          <cell r="CK232" t="str">
            <v>-</v>
          </cell>
          <cell r="CL232" t="str">
            <v>-</v>
          </cell>
          <cell r="CM232" t="str">
            <v>-</v>
          </cell>
          <cell r="CN232">
            <v>0</v>
          </cell>
          <cell r="CQ232" t="str">
            <v>non</v>
          </cell>
          <cell r="CX232">
            <v>0</v>
          </cell>
          <cell r="DE232">
            <v>0</v>
          </cell>
          <cell r="DJ232">
            <v>0</v>
          </cell>
          <cell r="DO232">
            <v>0</v>
          </cell>
          <cell r="DS232">
            <v>0</v>
          </cell>
          <cell r="DT232">
            <v>0</v>
          </cell>
          <cell r="DU232">
            <v>0</v>
          </cell>
          <cell r="ED232" t="str">
            <v>G:\Habitat\OPERATIONNEL HABITAT\02- Operations\Photothèque\image non disponible.jpg</v>
          </cell>
          <cell r="EE232" t="str">
            <v>G:\Habitat\OPERATIONNEL HABITAT\02- Operations\Photothèque\image non disponible.jpg</v>
          </cell>
        </row>
        <row r="233">
          <cell r="A233" t="str">
            <v>SAY PISCINE 4</v>
          </cell>
          <cell r="B233">
            <v>9711</v>
          </cell>
          <cell r="C233" t="str">
            <v>OUEST</v>
          </cell>
          <cell r="D233" t="str">
            <v>Port</v>
          </cell>
          <cell r="E233" t="str">
            <v>RHI SAY PISCINE</v>
          </cell>
          <cell r="F233">
            <v>10</v>
          </cell>
          <cell r="G233" t="str">
            <v>LESG</v>
          </cell>
          <cell r="J233" t="str">
            <v>IND</v>
          </cell>
          <cell r="K233" t="str">
            <v>CF</v>
          </cell>
          <cell r="L233" t="str">
            <v>SIDR</v>
          </cell>
          <cell r="M233" t="str">
            <v>maitrisé</v>
          </cell>
          <cell r="N233" t="str">
            <v>BS</v>
          </cell>
          <cell r="O233" t="str">
            <v>FG</v>
          </cell>
          <cell r="P233" t="str">
            <v>LV</v>
          </cell>
          <cell r="Q233" t="str">
            <v>OP</v>
          </cell>
          <cell r="R233">
            <v>2007</v>
          </cell>
          <cell r="S233">
            <v>1</v>
          </cell>
          <cell r="T233" t="str">
            <v>aléas fort | libération du foncier</v>
          </cell>
          <cell r="U233" t="str">
            <v>ATELIER GAZUT</v>
          </cell>
          <cell r="V233" t="str">
            <v>I - ACT</v>
          </cell>
          <cell r="W233">
            <v>39385</v>
          </cell>
          <cell r="X233" t="str">
            <v>d</v>
          </cell>
          <cell r="Y233" t="str">
            <v>97440707a0077</v>
          </cell>
          <cell r="Z233">
            <v>39485</v>
          </cell>
          <cell r="AA233" t="str">
            <v>o</v>
          </cell>
          <cell r="AB233" t="str">
            <v>validé</v>
          </cell>
          <cell r="AC233" t="str">
            <v/>
          </cell>
          <cell r="AD233">
            <v>39387</v>
          </cell>
          <cell r="AE233">
            <v>39386</v>
          </cell>
          <cell r="AF233" t="str">
            <v>f</v>
          </cell>
          <cell r="AG233">
            <v>39435</v>
          </cell>
          <cell r="AH233">
            <v>39694</v>
          </cell>
          <cell r="AI233" t="str">
            <v>ao</v>
          </cell>
          <cell r="AJ233">
            <v>39918</v>
          </cell>
          <cell r="AK233" t="str">
            <v>ch</v>
          </cell>
          <cell r="AL233">
            <v>7.364544976328248</v>
          </cell>
          <cell r="AM233">
            <v>2009</v>
          </cell>
          <cell r="AN233">
            <v>16</v>
          </cell>
          <cell r="AO233">
            <v>40405</v>
          </cell>
          <cell r="AP233">
            <v>40420</v>
          </cell>
          <cell r="AQ233" t="str">
            <v/>
          </cell>
          <cell r="AR233">
            <v>2010</v>
          </cell>
          <cell r="CJ233" t="str">
            <v>-</v>
          </cell>
          <cell r="CK233" t="str">
            <v>-</v>
          </cell>
          <cell r="CL233" t="str">
            <v>-</v>
          </cell>
          <cell r="CM233" t="str">
            <v>-</v>
          </cell>
          <cell r="CN233">
            <v>0</v>
          </cell>
          <cell r="CQ233" t="str">
            <v>non</v>
          </cell>
          <cell r="CX233">
            <v>0</v>
          </cell>
          <cell r="DE233">
            <v>0</v>
          </cell>
          <cell r="DJ233">
            <v>0</v>
          </cell>
          <cell r="DO233">
            <v>0</v>
          </cell>
          <cell r="DS233">
            <v>0</v>
          </cell>
          <cell r="DT233">
            <v>0</v>
          </cell>
          <cell r="DU233">
            <v>0</v>
          </cell>
          <cell r="ED233" t="str">
            <v>G:\Habitat\OPERATIONNEL HABITAT\02- Operations\Photothèque\image non disponible.jpg</v>
          </cell>
          <cell r="EE233" t="str">
            <v>G:\Habitat\OPERATIONNEL HABITAT\02- Operations\Photothèque\image non disponible.jpg</v>
          </cell>
        </row>
        <row r="234">
          <cell r="A234" t="str">
            <v>SEYCHELLES</v>
          </cell>
          <cell r="B234">
            <v>9607</v>
          </cell>
          <cell r="C234" t="str">
            <v>SUD</v>
          </cell>
          <cell r="D234" t="str">
            <v>Saint-Louis</v>
          </cell>
          <cell r="E234" t="str">
            <v>ZAC AVENIR</v>
          </cell>
          <cell r="F234">
            <v>62</v>
          </cell>
          <cell r="G234" t="str">
            <v>LLTS</v>
          </cell>
          <cell r="J234" t="str">
            <v>COL</v>
          </cell>
          <cell r="K234" t="str">
            <v>CF</v>
          </cell>
          <cell r="L234" t="str">
            <v>SIDR</v>
          </cell>
          <cell r="M234" t="str">
            <v>maitrisé</v>
          </cell>
          <cell r="N234" t="str">
            <v>PC</v>
          </cell>
          <cell r="O234" t="str">
            <v>DL</v>
          </cell>
          <cell r="P234" t="str">
            <v>CS</v>
          </cell>
          <cell r="Q234" t="str">
            <v>HBM</v>
          </cell>
          <cell r="R234">
            <v>2005</v>
          </cell>
          <cell r="S234">
            <v>1</v>
          </cell>
          <cell r="T234" t="str">
            <v>ras</v>
          </cell>
          <cell r="U234" t="str">
            <v>MARAIS TESSIER</v>
          </cell>
          <cell r="V234" t="str">
            <v>M - LIVRE/GPA</v>
          </cell>
          <cell r="W234">
            <v>38538</v>
          </cell>
          <cell r="X234" t="str">
            <v>d</v>
          </cell>
          <cell r="Y234" t="str">
            <v>97441405A0346</v>
          </cell>
          <cell r="Z234">
            <v>38645</v>
          </cell>
          <cell r="AA234" t="str">
            <v>o</v>
          </cell>
          <cell r="AB234" t="str">
            <v>validé</v>
          </cell>
          <cell r="AC234" t="str">
            <v/>
          </cell>
          <cell r="AD234">
            <v>38624</v>
          </cell>
          <cell r="AE234">
            <v>38540</v>
          </cell>
          <cell r="AF234" t="str">
            <v>f</v>
          </cell>
          <cell r="AG234">
            <v>38722</v>
          </cell>
          <cell r="AH234">
            <v>38657</v>
          </cell>
          <cell r="AI234" t="str">
            <v>ao</v>
          </cell>
          <cell r="AJ234">
            <v>38831</v>
          </cell>
          <cell r="AK234" t="str">
            <v/>
          </cell>
          <cell r="AL234">
            <v>5.7206733298264067</v>
          </cell>
          <cell r="AM234">
            <v>2006</v>
          </cell>
          <cell r="AN234">
            <v>17</v>
          </cell>
          <cell r="AO234">
            <v>39314</v>
          </cell>
          <cell r="AP234">
            <v>39337</v>
          </cell>
          <cell r="AQ234" t="str">
            <v>li</v>
          </cell>
          <cell r="AR234">
            <v>2007</v>
          </cell>
          <cell r="AW234">
            <v>11</v>
          </cell>
          <cell r="AX234">
            <v>59</v>
          </cell>
          <cell r="BA234">
            <v>27</v>
          </cell>
          <cell r="BB234">
            <v>69</v>
          </cell>
          <cell r="BE234">
            <v>19</v>
          </cell>
          <cell r="BF234">
            <v>78</v>
          </cell>
          <cell r="BI234">
            <v>5</v>
          </cell>
          <cell r="BJ234">
            <v>96</v>
          </cell>
          <cell r="BK234">
            <v>62</v>
          </cell>
          <cell r="BL234">
            <v>4.2</v>
          </cell>
          <cell r="BM234">
            <v>0.82</v>
          </cell>
          <cell r="BN234">
            <v>0.2</v>
          </cell>
          <cell r="BO234" t="str">
            <v>signée</v>
          </cell>
          <cell r="BP234">
            <v>0.8</v>
          </cell>
          <cell r="BQ234" t="str">
            <v>signée</v>
          </cell>
          <cell r="BX234" t="str">
            <v>signé</v>
          </cell>
          <cell r="BY234">
            <v>4495</v>
          </cell>
          <cell r="BZ234">
            <v>5957</v>
          </cell>
          <cell r="CA234">
            <v>4684.18</v>
          </cell>
          <cell r="CE234" t="str">
            <v>ECS ind</v>
          </cell>
          <cell r="CF234">
            <v>229400</v>
          </cell>
          <cell r="CG234">
            <v>68820</v>
          </cell>
          <cell r="CH234">
            <v>103230</v>
          </cell>
          <cell r="CI234">
            <v>57350</v>
          </cell>
          <cell r="CJ234" t="str">
            <v>-</v>
          </cell>
          <cell r="CK234" t="str">
            <v>-</v>
          </cell>
          <cell r="CL234" t="str">
            <v>-</v>
          </cell>
          <cell r="CM234" t="str">
            <v>-</v>
          </cell>
          <cell r="CN234">
            <v>0</v>
          </cell>
          <cell r="CO234" t="str">
            <v>199 undecies A</v>
          </cell>
          <cell r="CQ234" t="str">
            <v>oui</v>
          </cell>
          <cell r="CR234">
            <v>332259</v>
          </cell>
          <cell r="CT234">
            <v>3492687</v>
          </cell>
          <cell r="CX234">
            <v>3824946</v>
          </cell>
          <cell r="DE234">
            <v>172050</v>
          </cell>
          <cell r="DJ234">
            <v>172050</v>
          </cell>
          <cell r="DO234">
            <v>0</v>
          </cell>
          <cell r="DQ234">
            <v>91924</v>
          </cell>
          <cell r="DS234">
            <v>91924</v>
          </cell>
          <cell r="DT234">
            <v>183848</v>
          </cell>
          <cell r="DU234">
            <v>-3469048</v>
          </cell>
          <cell r="ED234" t="str">
            <v>G:\Habitat\OPERATIONNEL HABITAT\02- Operations\Photothèque\images locatifs\Seychelles\pers seychelles.jpg</v>
          </cell>
          <cell r="EE234" t="str">
            <v>G:\Habitat\OPERATIONNEL HABITAT\02- Operations\Photothèque\image non disponible.jpg</v>
          </cell>
        </row>
        <row r="235">
          <cell r="A235" t="str">
            <v>Solde LESg</v>
          </cell>
          <cell r="B235">
            <v>9647</v>
          </cell>
          <cell r="C235" t="str">
            <v>EST</v>
          </cell>
          <cell r="D235" t="str">
            <v>Saint-Benoît</v>
          </cell>
          <cell r="E235" t="str">
            <v>ZAC ENTREE DE VILLE ST ANNE</v>
          </cell>
          <cell r="F235">
            <v>7</v>
          </cell>
          <cell r="G235" t="str">
            <v>LESG</v>
          </cell>
          <cell r="J235" t="str">
            <v>MV</v>
          </cell>
          <cell r="K235" t="str">
            <v>CF</v>
          </cell>
          <cell r="L235" t="str">
            <v>SIDR</v>
          </cell>
          <cell r="M235" t="str">
            <v>maitrisé</v>
          </cell>
          <cell r="N235" t="str">
            <v>BS</v>
          </cell>
          <cell r="O235" t="str">
            <v>JH</v>
          </cell>
          <cell r="P235" t="str">
            <v>CC</v>
          </cell>
          <cell r="Q235" t="str">
            <v>SPG</v>
          </cell>
          <cell r="R235">
            <v>2011</v>
          </cell>
          <cell r="S235">
            <v>0</v>
          </cell>
          <cell r="T235" t="str">
            <v>DF OK</v>
          </cell>
          <cell r="U235" t="str">
            <v>LAFON MIGNOT</v>
          </cell>
          <cell r="V235" t="str">
            <v>L - CHANTIER EN COURS</v>
          </cell>
          <cell r="W235">
            <v>38896</v>
          </cell>
          <cell r="X235" t="str">
            <v>d</v>
          </cell>
          <cell r="Y235" t="str">
            <v>97440906A0358</v>
          </cell>
          <cell r="Z235">
            <v>39426</v>
          </cell>
          <cell r="AA235" t="str">
            <v/>
          </cell>
          <cell r="AB235">
            <v>38974</v>
          </cell>
          <cell r="AC235" t="str">
            <v/>
          </cell>
          <cell r="AD235">
            <v>38990</v>
          </cell>
          <cell r="AE235">
            <v>38904</v>
          </cell>
          <cell r="AF235" t="str">
            <v>f</v>
          </cell>
          <cell r="AG235">
            <v>39093</v>
          </cell>
          <cell r="AH235">
            <v>39550</v>
          </cell>
          <cell r="AI235" t="str">
            <v/>
          </cell>
          <cell r="AJ235">
            <v>39633</v>
          </cell>
          <cell r="AK235" t="str">
            <v/>
          </cell>
          <cell r="AL235">
            <v>0</v>
          </cell>
          <cell r="AM235">
            <v>2008</v>
          </cell>
          <cell r="AN235">
            <v>15</v>
          </cell>
          <cell r="AO235">
            <v>40090</v>
          </cell>
          <cell r="AP235">
            <v>40105</v>
          </cell>
          <cell r="AQ235" t="str">
            <v/>
          </cell>
          <cell r="AR235">
            <v>2009</v>
          </cell>
          <cell r="AS235">
            <v>2</v>
          </cell>
          <cell r="AT235">
            <v>31</v>
          </cell>
          <cell r="AW235">
            <v>4</v>
          </cell>
          <cell r="AX235">
            <v>60</v>
          </cell>
          <cell r="BA235">
            <v>14</v>
          </cell>
          <cell r="BB235">
            <v>70</v>
          </cell>
          <cell r="BE235">
            <v>10</v>
          </cell>
          <cell r="BF235">
            <v>83</v>
          </cell>
          <cell r="BI235">
            <v>2</v>
          </cell>
          <cell r="BJ235">
            <v>101</v>
          </cell>
          <cell r="BK235">
            <v>32</v>
          </cell>
          <cell r="BL235">
            <v>5.69</v>
          </cell>
          <cell r="BM235">
            <v>0.82</v>
          </cell>
          <cell r="BO235" t="str">
            <v>à faire</v>
          </cell>
          <cell r="BQ235" t="str">
            <v>à faire</v>
          </cell>
          <cell r="BX235" t="str">
            <v>demande à faire</v>
          </cell>
          <cell r="BY235">
            <v>2272</v>
          </cell>
          <cell r="BZ235">
            <v>2782</v>
          </cell>
          <cell r="CA235">
            <v>2318.1999999999998</v>
          </cell>
          <cell r="CE235" t="str">
            <v>ECS ind</v>
          </cell>
          <cell r="CF235">
            <v>118400</v>
          </cell>
          <cell r="CG235">
            <v>35520</v>
          </cell>
          <cell r="CH235">
            <v>53280</v>
          </cell>
          <cell r="CI235">
            <v>29600</v>
          </cell>
          <cell r="CJ235" t="str">
            <v>-</v>
          </cell>
          <cell r="CK235" t="str">
            <v>-</v>
          </cell>
          <cell r="CL235" t="str">
            <v>-</v>
          </cell>
          <cell r="CM235" t="str">
            <v>-</v>
          </cell>
          <cell r="CN235">
            <v>0</v>
          </cell>
          <cell r="CQ235" t="str">
            <v>non</v>
          </cell>
          <cell r="CX235">
            <v>0</v>
          </cell>
          <cell r="DE235">
            <v>0</v>
          </cell>
          <cell r="DJ235">
            <v>0</v>
          </cell>
          <cell r="DO235">
            <v>0</v>
          </cell>
          <cell r="DQ235">
            <v>103675</v>
          </cell>
          <cell r="DR235">
            <v>35000</v>
          </cell>
          <cell r="DS235">
            <v>0</v>
          </cell>
          <cell r="DT235">
            <v>0</v>
          </cell>
          <cell r="DU235">
            <v>0</v>
          </cell>
          <cell r="ED235" t="str">
            <v>G:\Habitat\OPERATIONNEL HABITAT\02- Operations\Photothèque\image non disponible.jpg</v>
          </cell>
          <cell r="EE235" t="str">
            <v>G:\Habitat\OPERATIONNEL HABITAT\02- Operations\Photothèque\image non disponible.jpg</v>
          </cell>
        </row>
        <row r="236">
          <cell r="A236" t="str">
            <v>STADE 1</v>
          </cell>
          <cell r="B236">
            <v>9618</v>
          </cell>
          <cell r="C236" t="str">
            <v>SUD</v>
          </cell>
          <cell r="D236" t="str">
            <v>Saint-Louis</v>
          </cell>
          <cell r="E236" t="str">
            <v>RHI DU STADE</v>
          </cell>
          <cell r="F236">
            <v>13</v>
          </cell>
          <cell r="G236" t="str">
            <v>LESG</v>
          </cell>
          <cell r="J236" t="str">
            <v>IND</v>
          </cell>
          <cell r="K236" t="str">
            <v>CF</v>
          </cell>
          <cell r="L236" t="str">
            <v>SIDR</v>
          </cell>
          <cell r="N236" t="str">
            <v>BS</v>
          </cell>
          <cell r="O236" t="str">
            <v>FG</v>
          </cell>
          <cell r="P236" t="str">
            <v>LV</v>
          </cell>
          <cell r="Q236" t="str">
            <v>HBM</v>
          </cell>
          <cell r="R236">
            <v>2005</v>
          </cell>
          <cell r="T236" t="str">
            <v>verif propriéte avec amenageur/da/notaire etc</v>
          </cell>
          <cell r="U236" t="str">
            <v>SOAA MEUNIER</v>
          </cell>
          <cell r="V236" t="str">
            <v>M - LIVRE/GPA</v>
          </cell>
          <cell r="W236">
            <v>38610</v>
          </cell>
          <cell r="X236" t="str">
            <v>d</v>
          </cell>
          <cell r="Y236" t="str">
            <v>97441405a478</v>
          </cell>
          <cell r="Z236">
            <v>38720</v>
          </cell>
          <cell r="AA236" t="str">
            <v>o</v>
          </cell>
          <cell r="AB236" t="str">
            <v>validé</v>
          </cell>
          <cell r="AC236" t="str">
            <v/>
          </cell>
          <cell r="AD236">
            <v>38624</v>
          </cell>
          <cell r="AE236">
            <v>38621</v>
          </cell>
          <cell r="AF236" t="str">
            <v>f</v>
          </cell>
          <cell r="AG236">
            <v>38695</v>
          </cell>
          <cell r="AH236">
            <v>38883</v>
          </cell>
          <cell r="AI236" t="str">
            <v>ao</v>
          </cell>
          <cell r="AJ236">
            <v>39146</v>
          </cell>
          <cell r="AK236" t="str">
            <v/>
          </cell>
          <cell r="AL236">
            <v>8.646764860599685</v>
          </cell>
          <cell r="AM236">
            <v>2007</v>
          </cell>
          <cell r="AN236">
            <v>21</v>
          </cell>
          <cell r="AO236">
            <v>39787</v>
          </cell>
          <cell r="AP236">
            <v>39802</v>
          </cell>
          <cell r="AQ236" t="str">
            <v>li</v>
          </cell>
          <cell r="AR236">
            <v>2008</v>
          </cell>
          <cell r="CJ236" t="str">
            <v>-</v>
          </cell>
          <cell r="CK236" t="str">
            <v>-</v>
          </cell>
          <cell r="CL236" t="str">
            <v>-</v>
          </cell>
          <cell r="CM236" t="str">
            <v>-</v>
          </cell>
          <cell r="CN236">
            <v>0</v>
          </cell>
          <cell r="CQ236" t="str">
            <v>oui</v>
          </cell>
          <cell r="CX236">
            <v>0</v>
          </cell>
          <cell r="DE236">
            <v>0</v>
          </cell>
          <cell r="DJ236">
            <v>0</v>
          </cell>
          <cell r="DO236">
            <v>0</v>
          </cell>
          <cell r="DS236">
            <v>0</v>
          </cell>
          <cell r="DT236">
            <v>0</v>
          </cell>
          <cell r="DU236">
            <v>0</v>
          </cell>
          <cell r="ED236" t="str">
            <v>G:\Habitat\OPERATIONNEL HABITAT\02- Operations\Photothèque\image non disponible.jpg</v>
          </cell>
          <cell r="EE236" t="str">
            <v>G:\Habitat\OPERATIONNEL HABITAT\02- Operations\Photothèque\image non disponible.jpg</v>
          </cell>
        </row>
        <row r="237">
          <cell r="A237" t="str">
            <v>SUMATRA</v>
          </cell>
          <cell r="B237">
            <v>9687</v>
          </cell>
          <cell r="C237" t="str">
            <v>SUD</v>
          </cell>
          <cell r="D237" t="str">
            <v>Saint-Louis</v>
          </cell>
          <cell r="E237" t="str">
            <v>ZAC AVENIR</v>
          </cell>
          <cell r="F237">
            <v>36</v>
          </cell>
          <cell r="G237" t="str">
            <v>LLTS</v>
          </cell>
          <cell r="J237" t="str">
            <v>COL</v>
          </cell>
          <cell r="K237" t="str">
            <v>CF</v>
          </cell>
          <cell r="L237" t="str">
            <v>SIDR</v>
          </cell>
          <cell r="M237" t="str">
            <v>maitrisé</v>
          </cell>
          <cell r="N237" t="str">
            <v>JEM</v>
          </cell>
          <cell r="O237" t="str">
            <v>DL</v>
          </cell>
          <cell r="P237" t="str">
            <v>CS</v>
          </cell>
          <cell r="Q237" t="str">
            <v>HBM</v>
          </cell>
          <cell r="R237">
            <v>2007</v>
          </cell>
          <cell r="S237">
            <v>1</v>
          </cell>
          <cell r="T237" t="str">
            <v>Prestations ???</v>
          </cell>
          <cell r="U237" t="str">
            <v>JP RAVAUX</v>
          </cell>
          <cell r="V237" t="str">
            <v>H - APPEL D'OFFRES</v>
          </cell>
          <cell r="W237">
            <v>39217</v>
          </cell>
          <cell r="X237" t="str">
            <v>d</v>
          </cell>
          <cell r="Y237" t="str">
            <v>97441407A0198</v>
          </cell>
          <cell r="Z237">
            <v>39283</v>
          </cell>
          <cell r="AA237" t="str">
            <v>o</v>
          </cell>
          <cell r="AB237">
            <v>39170</v>
          </cell>
          <cell r="AC237" t="str">
            <v>v</v>
          </cell>
          <cell r="AD237">
            <v>39231</v>
          </cell>
          <cell r="AE237">
            <v>39245</v>
          </cell>
          <cell r="AF237" t="str">
            <v>f</v>
          </cell>
          <cell r="AG237">
            <v>39316</v>
          </cell>
          <cell r="AH237">
            <v>39616</v>
          </cell>
          <cell r="AI237" t="str">
            <v>ao</v>
          </cell>
          <cell r="AJ237">
            <v>39799</v>
          </cell>
          <cell r="AK237" t="str">
            <v>ch</v>
          </cell>
          <cell r="AL237">
            <v>6.0165702261967384</v>
          </cell>
          <cell r="AM237">
            <v>2008</v>
          </cell>
          <cell r="AN237">
            <v>16</v>
          </cell>
          <cell r="AO237">
            <v>40285</v>
          </cell>
          <cell r="AP237">
            <v>40300</v>
          </cell>
          <cell r="AQ237" t="str">
            <v/>
          </cell>
          <cell r="AR237">
            <v>2010</v>
          </cell>
          <cell r="BK237">
            <v>0</v>
          </cell>
          <cell r="BL237">
            <v>4.76</v>
          </cell>
          <cell r="BO237" t="str">
            <v>à faire</v>
          </cell>
          <cell r="BQ237" t="str">
            <v>à faire</v>
          </cell>
          <cell r="BX237" t="str">
            <v>En attente accord de principe</v>
          </cell>
          <cell r="BY237">
            <v>4959</v>
          </cell>
          <cell r="BZ237">
            <v>2840</v>
          </cell>
          <cell r="CA237">
            <v>2574</v>
          </cell>
          <cell r="CJ237" t="str">
            <v>SCI Saint André</v>
          </cell>
          <cell r="CK237" t="str">
            <v>INFI</v>
          </cell>
          <cell r="CL237">
            <v>39773</v>
          </cell>
          <cell r="CM237" t="str">
            <v>-</v>
          </cell>
          <cell r="CN237">
            <v>0</v>
          </cell>
          <cell r="CO237" t="str">
            <v>199 undecies A</v>
          </cell>
          <cell r="CQ237" t="str">
            <v>non</v>
          </cell>
          <cell r="CX237">
            <v>0</v>
          </cell>
          <cell r="DE237">
            <v>0</v>
          </cell>
          <cell r="DJ237">
            <v>0</v>
          </cell>
          <cell r="DO237">
            <v>0</v>
          </cell>
          <cell r="DS237">
            <v>0</v>
          </cell>
          <cell r="DT237">
            <v>0</v>
          </cell>
          <cell r="DU237">
            <v>0</v>
          </cell>
          <cell r="ED237" t="str">
            <v>G:\Habitat\OPERATIONNEL HABITAT\02- Operations\Photothèque\image non disponible.jpg</v>
          </cell>
          <cell r="EE237" t="str">
            <v>G:\Habitat\OPERATIONNEL HABITAT\02- Operations\Photothèque\image non disponible.jpg</v>
          </cell>
        </row>
        <row r="238">
          <cell r="A238" t="str">
            <v>TALIPOT</v>
          </cell>
          <cell r="B238">
            <v>9647</v>
          </cell>
          <cell r="C238" t="str">
            <v>EST</v>
          </cell>
          <cell r="D238" t="str">
            <v>Saint-André</v>
          </cell>
          <cell r="E238" t="str">
            <v>ZAC CRESSONIERE</v>
          </cell>
          <cell r="F238">
            <v>32</v>
          </cell>
          <cell r="G238" t="str">
            <v>LLS</v>
          </cell>
          <cell r="J238" t="str">
            <v>COL</v>
          </cell>
          <cell r="K238" t="str">
            <v>CF</v>
          </cell>
          <cell r="L238" t="str">
            <v>SIDR</v>
          </cell>
          <cell r="M238" t="str">
            <v>maitrisé</v>
          </cell>
          <cell r="N238" t="str">
            <v>JPM</v>
          </cell>
          <cell r="O238" t="str">
            <v>JH</v>
          </cell>
          <cell r="P238" t="str">
            <v>CC</v>
          </cell>
          <cell r="Q238" t="str">
            <v>SPG</v>
          </cell>
          <cell r="R238">
            <v>2006</v>
          </cell>
          <cell r="S238">
            <v>0</v>
          </cell>
          <cell r="T238" t="str">
            <v>DF OK</v>
          </cell>
          <cell r="U238" t="str">
            <v>LAFON MIGNOT</v>
          </cell>
          <cell r="V238" t="str">
            <v>L - CHANTIER EN COURS</v>
          </cell>
          <cell r="W238">
            <v>38896</v>
          </cell>
          <cell r="X238" t="str">
            <v>d</v>
          </cell>
          <cell r="Y238" t="str">
            <v>97440906A0358</v>
          </cell>
          <cell r="Z238">
            <v>39426</v>
          </cell>
          <cell r="AA238" t="str">
            <v>o</v>
          </cell>
          <cell r="AB238">
            <v>38974</v>
          </cell>
          <cell r="AC238" t="str">
            <v>v</v>
          </cell>
          <cell r="AD238">
            <v>38990</v>
          </cell>
          <cell r="AE238">
            <v>38904</v>
          </cell>
          <cell r="AF238" t="str">
            <v>f</v>
          </cell>
          <cell r="AG238">
            <v>39093</v>
          </cell>
          <cell r="AH238">
            <v>39550</v>
          </cell>
          <cell r="AI238" t="str">
            <v>ao</v>
          </cell>
          <cell r="AJ238">
            <v>39633</v>
          </cell>
          <cell r="AK238" t="str">
            <v>ch</v>
          </cell>
          <cell r="AL238">
            <v>2.7288269331930564</v>
          </cell>
          <cell r="AM238">
            <v>2008</v>
          </cell>
          <cell r="AN238">
            <v>15</v>
          </cell>
          <cell r="AO238">
            <v>40090</v>
          </cell>
          <cell r="AP238">
            <v>40105</v>
          </cell>
          <cell r="AQ238" t="str">
            <v/>
          </cell>
          <cell r="AR238">
            <v>2009</v>
          </cell>
          <cell r="AS238">
            <v>2</v>
          </cell>
          <cell r="AT238">
            <v>31</v>
          </cell>
          <cell r="AW238">
            <v>4</v>
          </cell>
          <cell r="AX238">
            <v>60</v>
          </cell>
          <cell r="BA238">
            <v>14</v>
          </cell>
          <cell r="BB238">
            <v>70</v>
          </cell>
          <cell r="BE238">
            <v>10</v>
          </cell>
          <cell r="BF238">
            <v>83</v>
          </cell>
          <cell r="BI238">
            <v>2</v>
          </cell>
          <cell r="BJ238">
            <v>101</v>
          </cell>
          <cell r="BK238">
            <v>32</v>
          </cell>
          <cell r="BL238">
            <v>5.69</v>
          </cell>
          <cell r="BM238">
            <v>0.82</v>
          </cell>
          <cell r="BO238" t="str">
            <v>à faire</v>
          </cell>
          <cell r="BQ238" t="str">
            <v>à faire</v>
          </cell>
          <cell r="BX238" t="str">
            <v>demande à faire</v>
          </cell>
          <cell r="BY238">
            <v>2272</v>
          </cell>
          <cell r="BZ238">
            <v>2782</v>
          </cell>
          <cell r="CA238">
            <v>2318.1999999999998</v>
          </cell>
          <cell r="CE238" t="str">
            <v>ECS ind</v>
          </cell>
          <cell r="CF238">
            <v>118400</v>
          </cell>
          <cell r="CG238">
            <v>35520</v>
          </cell>
          <cell r="CH238">
            <v>53280</v>
          </cell>
          <cell r="CI238">
            <v>29600</v>
          </cell>
          <cell r="CJ238" t="str">
            <v>SNC Talipot</v>
          </cell>
          <cell r="CK238" t="str">
            <v>-</v>
          </cell>
          <cell r="CL238" t="str">
            <v>-</v>
          </cell>
          <cell r="CM238" t="str">
            <v>-</v>
          </cell>
          <cell r="CN238">
            <v>0</v>
          </cell>
          <cell r="CP238" t="str">
            <v>ANRU St Denis</v>
          </cell>
          <cell r="CQ238" t="str">
            <v>non</v>
          </cell>
          <cell r="CX238">
            <v>0</v>
          </cell>
          <cell r="DE238">
            <v>88800</v>
          </cell>
          <cell r="DJ238">
            <v>88800</v>
          </cell>
          <cell r="DO238">
            <v>0</v>
          </cell>
          <cell r="DQ238">
            <v>103675</v>
          </cell>
          <cell r="DR238">
            <v>35000</v>
          </cell>
          <cell r="DS238">
            <v>138675</v>
          </cell>
          <cell r="DT238">
            <v>277350</v>
          </cell>
          <cell r="DU238">
            <v>366150</v>
          </cell>
          <cell r="ED238" t="str">
            <v>G:\Habitat\OPERATIONNEL HABITAT\02- Operations\Photothèque\images locatifs\TALIPOT\talipot2.jpg</v>
          </cell>
          <cell r="EE238" t="str">
            <v>G:\Habitat\OPERATIONNEL HABITAT\02- Operations\Photothèque\images locatifs\TALIPOT\talipot persp.jpg</v>
          </cell>
        </row>
        <row r="239">
          <cell r="A239" t="str">
            <v>TAMARINES</v>
          </cell>
          <cell r="B239">
            <v>9698</v>
          </cell>
          <cell r="C239" t="str">
            <v>EST</v>
          </cell>
          <cell r="D239" t="str">
            <v>Bras Panon</v>
          </cell>
          <cell r="E239" t="str">
            <v>2EME VILLAGE ERUDEL</v>
          </cell>
          <cell r="F239">
            <v>30</v>
          </cell>
          <cell r="G239" t="str">
            <v>LLS</v>
          </cell>
          <cell r="J239" t="str">
            <v>COL</v>
          </cell>
          <cell r="K239" t="str">
            <v>RF</v>
          </cell>
          <cell r="M239" t="str">
            <v>maitrisé</v>
          </cell>
          <cell r="N239" t="str">
            <v>Cla</v>
          </cell>
          <cell r="O239" t="str">
            <v>JMO</v>
          </cell>
          <cell r="P239" t="str">
            <v>CC</v>
          </cell>
          <cell r="R239">
            <v>2012</v>
          </cell>
          <cell r="S239">
            <v>0</v>
          </cell>
          <cell r="T239" t="str">
            <v>VEFA PROLOGIA CA 9/12/2008 ?</v>
          </cell>
          <cell r="U239" t="str">
            <v xml:space="preserve">J. HOUAREAU </v>
          </cell>
          <cell r="V239" t="str">
            <v>F - APD</v>
          </cell>
          <cell r="W239">
            <v>39902</v>
          </cell>
          <cell r="X239" t="str">
            <v/>
          </cell>
          <cell r="AA239" t="str">
            <v/>
          </cell>
          <cell r="AB239">
            <v>39870</v>
          </cell>
          <cell r="AC239" t="str">
            <v/>
          </cell>
          <cell r="AE239">
            <v>40071</v>
          </cell>
          <cell r="AF239" t="str">
            <v/>
          </cell>
          <cell r="AH239">
            <v>40071</v>
          </cell>
          <cell r="AI239" t="str">
            <v/>
          </cell>
          <cell r="AJ239">
            <v>40252</v>
          </cell>
          <cell r="AK239" t="str">
            <v/>
          </cell>
          <cell r="AL239">
            <v>0</v>
          </cell>
          <cell r="AM239">
            <v>2010</v>
          </cell>
          <cell r="AN239">
            <v>15</v>
          </cell>
          <cell r="AO239">
            <v>40709</v>
          </cell>
          <cell r="AP239">
            <v>40724</v>
          </cell>
          <cell r="AQ239" t="str">
            <v/>
          </cell>
          <cell r="AR239">
            <v>2011</v>
          </cell>
          <cell r="BK239">
            <v>0</v>
          </cell>
          <cell r="CJ239" t="str">
            <v>-</v>
          </cell>
          <cell r="CK239" t="str">
            <v>-</v>
          </cell>
          <cell r="CL239" t="str">
            <v>-</v>
          </cell>
          <cell r="CM239" t="str">
            <v>-</v>
          </cell>
          <cell r="CN239">
            <v>0</v>
          </cell>
          <cell r="CQ239" t="str">
            <v>non</v>
          </cell>
          <cell r="CX239">
            <v>0</v>
          </cell>
          <cell r="DE239">
            <v>0</v>
          </cell>
          <cell r="DJ239">
            <v>0</v>
          </cell>
          <cell r="DO239">
            <v>0</v>
          </cell>
          <cell r="DS239">
            <v>0</v>
          </cell>
          <cell r="DT239">
            <v>0</v>
          </cell>
          <cell r="DU239">
            <v>0</v>
          </cell>
          <cell r="ED239" t="str">
            <v>G:\Habitat\OPERATIONNEL HABITAT\02- Operations\Photothèque\image non disponible.jpg</v>
          </cell>
          <cell r="EE239" t="str">
            <v>G:\Habitat\OPERATIONNEL HABITAT\02- Operations\Photothèque\image non disponible.jpg</v>
          </cell>
        </row>
        <row r="240">
          <cell r="A240" t="str">
            <v>TEK TEK</v>
          </cell>
          <cell r="B240">
            <v>9644</v>
          </cell>
          <cell r="C240" t="str">
            <v>NORD</v>
          </cell>
          <cell r="D240" t="str">
            <v>Saint-Denis</v>
          </cell>
          <cell r="E240" t="str">
            <v>RHI PETITE ILE</v>
          </cell>
          <cell r="F240">
            <v>20</v>
          </cell>
          <cell r="G240" t="str">
            <v>LLTS</v>
          </cell>
          <cell r="H240" t="str">
            <v>à déposer</v>
          </cell>
          <cell r="I240" t="str">
            <v>CG5</v>
          </cell>
          <cell r="J240" t="str">
            <v>MV</v>
          </cell>
          <cell r="K240" t="str">
            <v>CF</v>
          </cell>
          <cell r="L240" t="str">
            <v>SIDR</v>
          </cell>
          <cell r="M240" t="str">
            <v>maitrisé</v>
          </cell>
          <cell r="N240" t="str">
            <v>JPM</v>
          </cell>
          <cell r="O240" t="str">
            <v>PE</v>
          </cell>
          <cell r="P240" t="str">
            <v>CS</v>
          </cell>
          <cell r="Q240" t="str">
            <v>SM</v>
          </cell>
          <cell r="R240">
            <v>2011</v>
          </cell>
          <cell r="S240">
            <v>0.75</v>
          </cell>
          <cell r="T240" t="str">
            <v>Modification du nombre de logement (initialement 20) - problème de libération de terrain suite à retard sur paille en queue</v>
          </cell>
          <cell r="U240" t="str">
            <v>D JAN</v>
          </cell>
          <cell r="V240" t="str">
            <v>A - NON LANCE</v>
          </cell>
          <cell r="W240">
            <v>39933</v>
          </cell>
          <cell r="X240" t="str">
            <v/>
          </cell>
          <cell r="AA240" t="str">
            <v/>
          </cell>
          <cell r="AB240">
            <v>39553</v>
          </cell>
          <cell r="AC240" t="str">
            <v/>
          </cell>
          <cell r="AE240">
            <v>39717</v>
          </cell>
          <cell r="AF240" t="str">
            <v/>
          </cell>
          <cell r="AH240">
            <v>40071</v>
          </cell>
          <cell r="AI240" t="str">
            <v/>
          </cell>
          <cell r="AJ240">
            <v>40252</v>
          </cell>
          <cell r="AK240" t="str">
            <v/>
          </cell>
          <cell r="AL240">
            <v>0</v>
          </cell>
          <cell r="AM240" t="str">
            <v/>
          </cell>
          <cell r="AN240">
            <v>12</v>
          </cell>
          <cell r="AO240" t="str">
            <v/>
          </cell>
          <cell r="AP240" t="str">
            <v/>
          </cell>
          <cell r="AQ240" t="str">
            <v/>
          </cell>
          <cell r="AR240">
            <v>2011</v>
          </cell>
          <cell r="AS240">
            <v>16</v>
          </cell>
          <cell r="AT240">
            <v>17</v>
          </cell>
          <cell r="BK240">
            <v>16</v>
          </cell>
          <cell r="BL240">
            <v>10.83</v>
          </cell>
          <cell r="BM240">
            <v>0.82</v>
          </cell>
          <cell r="BO240" t="str">
            <v>à faire</v>
          </cell>
          <cell r="BQ240" t="str">
            <v>à faire</v>
          </cell>
          <cell r="BY240">
            <v>231.9</v>
          </cell>
          <cell r="BZ240">
            <v>255</v>
          </cell>
          <cell r="CA240">
            <v>231.9</v>
          </cell>
          <cell r="CE240" t="str">
            <v>ECS ind</v>
          </cell>
          <cell r="CF240">
            <v>44400</v>
          </cell>
          <cell r="CG240">
            <v>13320</v>
          </cell>
          <cell r="CH240">
            <v>19980</v>
          </cell>
          <cell r="CI240">
            <v>11100</v>
          </cell>
          <cell r="CJ240" t="str">
            <v>-</v>
          </cell>
          <cell r="CK240" t="str">
            <v>-</v>
          </cell>
          <cell r="CL240" t="str">
            <v>-</v>
          </cell>
          <cell r="CM240" t="str">
            <v>-</v>
          </cell>
          <cell r="CN240">
            <v>0</v>
          </cell>
          <cell r="CQ240" t="str">
            <v>non</v>
          </cell>
          <cell r="CX240">
            <v>0</v>
          </cell>
          <cell r="DE240">
            <v>0</v>
          </cell>
          <cell r="DJ240">
            <v>0</v>
          </cell>
          <cell r="DO240">
            <v>0</v>
          </cell>
          <cell r="DQ240">
            <v>19355</v>
          </cell>
          <cell r="DR240">
            <v>12000</v>
          </cell>
          <cell r="DS240">
            <v>0</v>
          </cell>
          <cell r="DT240">
            <v>0</v>
          </cell>
          <cell r="DU240">
            <v>0</v>
          </cell>
          <cell r="ED240" t="str">
            <v>G:\Habitat\OPERATIONNEL HABITAT\02- Operations\Photothèque\image non disponible.jpg</v>
          </cell>
          <cell r="EE240" t="str">
            <v>G:\Habitat\OPERATIONNEL HABITAT\02- Operations\Photothèque\image non disponible.jpg</v>
          </cell>
          <cell r="EX240" t="str">
            <v>SECTION AB</v>
          </cell>
        </row>
        <row r="241">
          <cell r="A241" t="str">
            <v>BOULEVARD DORE</v>
          </cell>
          <cell r="B241">
            <v>9646</v>
          </cell>
          <cell r="C241" t="str">
            <v>NORD</v>
          </cell>
          <cell r="D241" t="str">
            <v>Saint-Denis</v>
          </cell>
          <cell r="E241" t="str">
            <v>ANRU</v>
          </cell>
          <cell r="F241">
            <v>40</v>
          </cell>
          <cell r="G241" t="str">
            <v>LLTS</v>
          </cell>
          <cell r="H241" t="str">
            <v>déposé</v>
          </cell>
          <cell r="I241" t="str">
            <v>20CG5</v>
          </cell>
          <cell r="J241" t="str">
            <v>COL</v>
          </cell>
          <cell r="K241" t="str">
            <v>CF</v>
          </cell>
          <cell r="L241" t="str">
            <v>SIDR</v>
          </cell>
          <cell r="M241" t="str">
            <v>maitrisé</v>
          </cell>
          <cell r="N241" t="str">
            <v>JPM</v>
          </cell>
          <cell r="O241" t="str">
            <v>JH</v>
          </cell>
          <cell r="P241" t="str">
            <v>LV</v>
          </cell>
          <cell r="Q241" t="str">
            <v>SM</v>
          </cell>
          <cell r="R241">
            <v>2011</v>
          </cell>
          <cell r="S241">
            <v>0</v>
          </cell>
          <cell r="T241" t="str">
            <v>pb libération foncière liée à Paille en queue/ mi 2008/PC initial refus/PC modif obtenu/Report sur lbu 2008  refuse par la DDE</v>
          </cell>
          <cell r="U241" t="str">
            <v>MEUNIER</v>
          </cell>
          <cell r="V241" t="str">
            <v>A - NON LANCE</v>
          </cell>
          <cell r="W241">
            <v>39666</v>
          </cell>
          <cell r="X241" t="str">
            <v>d</v>
          </cell>
          <cell r="Y241" t="str">
            <v>97441108A0422</v>
          </cell>
          <cell r="Z241">
            <v>39750</v>
          </cell>
          <cell r="AA241" t="str">
            <v>o</v>
          </cell>
          <cell r="AB241">
            <v>39613</v>
          </cell>
          <cell r="AC241" t="str">
            <v/>
          </cell>
          <cell r="AD241">
            <v>38990</v>
          </cell>
          <cell r="AE241">
            <v>38911</v>
          </cell>
          <cell r="AF241" t="str">
            <v>f</v>
          </cell>
          <cell r="AH241">
            <v>39934</v>
          </cell>
          <cell r="AI241" t="str">
            <v/>
          </cell>
          <cell r="AJ241">
            <v>40118</v>
          </cell>
          <cell r="AK241" t="str">
            <v/>
          </cell>
          <cell r="AL241">
            <v>6.0494476591267752</v>
          </cell>
          <cell r="AM241">
            <v>2009</v>
          </cell>
          <cell r="AN241">
            <v>16</v>
          </cell>
          <cell r="AO241">
            <v>40603</v>
          </cell>
          <cell r="AP241">
            <v>40618</v>
          </cell>
          <cell r="AQ241" t="str">
            <v/>
          </cell>
          <cell r="AR241">
            <v>1900</v>
          </cell>
          <cell r="AW241">
            <v>14</v>
          </cell>
          <cell r="AX241">
            <v>58</v>
          </cell>
          <cell r="BA241">
            <v>15</v>
          </cell>
          <cell r="BB241">
            <v>70</v>
          </cell>
          <cell r="BE241">
            <v>12</v>
          </cell>
          <cell r="BF241">
            <v>77</v>
          </cell>
          <cell r="BI241">
            <v>3</v>
          </cell>
          <cell r="BJ241">
            <v>85</v>
          </cell>
          <cell r="BK241">
            <v>44</v>
          </cell>
          <cell r="BL241">
            <v>4.28</v>
          </cell>
          <cell r="BM241">
            <v>0.82</v>
          </cell>
          <cell r="BO241" t="str">
            <v>à faire</v>
          </cell>
          <cell r="BQ241" t="str">
            <v>à faire</v>
          </cell>
          <cell r="BX241" t="str">
            <v>demande à faire</v>
          </cell>
          <cell r="BY241">
            <v>3115.34</v>
          </cell>
          <cell r="BZ241">
            <v>3427</v>
          </cell>
          <cell r="CA241">
            <v>3115.34</v>
          </cell>
          <cell r="CE241" t="str">
            <v>ECS ind</v>
          </cell>
          <cell r="CJ241" t="str">
            <v>-</v>
          </cell>
          <cell r="CK241" t="str">
            <v>-</v>
          </cell>
          <cell r="CL241" t="str">
            <v>-</v>
          </cell>
          <cell r="CM241" t="str">
            <v>-</v>
          </cell>
          <cell r="CN241">
            <v>0</v>
          </cell>
          <cell r="CP241" t="str">
            <v>ANRU St Denis</v>
          </cell>
          <cell r="CQ241" t="str">
            <v>non</v>
          </cell>
          <cell r="CX241">
            <v>0</v>
          </cell>
          <cell r="DE241">
            <v>0</v>
          </cell>
          <cell r="DJ241">
            <v>0</v>
          </cell>
          <cell r="DO241">
            <v>0</v>
          </cell>
          <cell r="DQ241">
            <v>139427</v>
          </cell>
          <cell r="DR241">
            <v>39600</v>
          </cell>
          <cell r="DS241">
            <v>0</v>
          </cell>
          <cell r="DT241">
            <v>0</v>
          </cell>
          <cell r="DU241">
            <v>0</v>
          </cell>
          <cell r="ED241" t="str">
            <v>G:\Habitat\OPERATIONNEL HABITAT\02- Operations\Photothèque\image non disponible.jpg</v>
          </cell>
          <cell r="EE241" t="str">
            <v>G:\Habitat\OPERATIONNEL HABITAT\02- Operations\Photothèque\image non disponible.jpg</v>
          </cell>
        </row>
        <row r="242">
          <cell r="A242" t="str">
            <v>TENDREPINE</v>
          </cell>
          <cell r="B242">
            <v>9698</v>
          </cell>
          <cell r="C242" t="str">
            <v>EST</v>
          </cell>
          <cell r="D242" t="str">
            <v>Plaine des Palmistes</v>
          </cell>
          <cell r="E242" t="str">
            <v>2EME VILLAGE ERUDEL</v>
          </cell>
          <cell r="F242">
            <v>35</v>
          </cell>
          <cell r="G242" t="str">
            <v>LLTS</v>
          </cell>
          <cell r="J242" t="str">
            <v>MV</v>
          </cell>
          <cell r="K242" t="str">
            <v>RF</v>
          </cell>
          <cell r="L242" t="str">
            <v>SIDR</v>
          </cell>
          <cell r="M242" t="str">
            <v>maitrisé</v>
          </cell>
          <cell r="N242" t="str">
            <v>CLa</v>
          </cell>
          <cell r="O242" t="str">
            <v>JMO</v>
          </cell>
          <cell r="P242" t="str">
            <v>CC</v>
          </cell>
          <cell r="Q242" t="str">
            <v>HBM</v>
          </cell>
          <cell r="R242">
            <v>2009</v>
          </cell>
          <cell r="S242">
            <v>0</v>
          </cell>
          <cell r="T242" t="str">
            <v>avis défavorable DDE sortie RN !!!!/refus pc /nego foncier pour 26 logt</v>
          </cell>
          <cell r="U242" t="str">
            <v xml:space="preserve">J. HOUAREAU </v>
          </cell>
          <cell r="V242" t="str">
            <v>F - APD</v>
          </cell>
          <cell r="W242">
            <v>39902</v>
          </cell>
          <cell r="X242" t="str">
            <v>d</v>
          </cell>
          <cell r="AA242" t="str">
            <v/>
          </cell>
          <cell r="AB242">
            <v>39870</v>
          </cell>
          <cell r="AC242" t="str">
            <v>v</v>
          </cell>
          <cell r="AE242">
            <v>40071</v>
          </cell>
          <cell r="AF242" t="str">
            <v/>
          </cell>
          <cell r="AH242">
            <v>40071</v>
          </cell>
          <cell r="AI242" t="str">
            <v/>
          </cell>
          <cell r="AJ242">
            <v>40252</v>
          </cell>
          <cell r="AK242" t="str">
            <v/>
          </cell>
          <cell r="AL242">
            <v>5.9508153603366649</v>
          </cell>
          <cell r="AM242">
            <v>2010</v>
          </cell>
          <cell r="AN242">
            <v>15</v>
          </cell>
          <cell r="AO242">
            <v>40709</v>
          </cell>
          <cell r="AP242">
            <v>40724</v>
          </cell>
          <cell r="AQ242" t="str">
            <v/>
          </cell>
          <cell r="AR242">
            <v>2011</v>
          </cell>
          <cell r="BK242">
            <v>0</v>
          </cell>
          <cell r="CJ242" t="str">
            <v>-</v>
          </cell>
          <cell r="CK242" t="str">
            <v>-</v>
          </cell>
          <cell r="CL242" t="str">
            <v>-</v>
          </cell>
          <cell r="CM242" t="str">
            <v>-</v>
          </cell>
          <cell r="CN242">
            <v>0</v>
          </cell>
          <cell r="CQ242" t="str">
            <v>non</v>
          </cell>
          <cell r="CX242">
            <v>0</v>
          </cell>
          <cell r="DE242">
            <v>0</v>
          </cell>
          <cell r="DJ242">
            <v>0</v>
          </cell>
          <cell r="DO242">
            <v>0</v>
          </cell>
          <cell r="DS242">
            <v>0</v>
          </cell>
          <cell r="DT242">
            <v>0</v>
          </cell>
          <cell r="DU242">
            <v>0</v>
          </cell>
          <cell r="ED242" t="str">
            <v>G:\Habitat\OPERATIONNEL HABITAT\02- Operations\Photothèque\image non disponible.jpg</v>
          </cell>
          <cell r="EE242" t="str">
            <v>G:\Habitat\OPERATIONNEL HABITAT\02- Operations\Photothèque\image non disponible.jpg</v>
          </cell>
        </row>
        <row r="243">
          <cell r="A243" t="str">
            <v>TENERIFE</v>
          </cell>
          <cell r="B243">
            <v>9644</v>
          </cell>
          <cell r="C243" t="str">
            <v>OUEST</v>
          </cell>
          <cell r="D243" t="str">
            <v>Possession</v>
          </cell>
          <cell r="E243" t="str">
            <v>CENTRE VILLE</v>
          </cell>
          <cell r="F243">
            <v>12</v>
          </cell>
          <cell r="G243" t="str">
            <v>LLTS</v>
          </cell>
          <cell r="H243" t="str">
            <v>à déposer</v>
          </cell>
          <cell r="I243" t="str">
            <v>CG5</v>
          </cell>
          <cell r="J243" t="str">
            <v>COL</v>
          </cell>
          <cell r="K243" t="str">
            <v>ACQ</v>
          </cell>
          <cell r="L243" t="str">
            <v>SIDR</v>
          </cell>
          <cell r="M243" t="str">
            <v>maitrisé</v>
          </cell>
          <cell r="N243" t="str">
            <v>JEM</v>
          </cell>
          <cell r="O243" t="str">
            <v>PE</v>
          </cell>
          <cell r="P243" t="str">
            <v>CS</v>
          </cell>
          <cell r="Q243" t="str">
            <v>HBM</v>
          </cell>
          <cell r="R243">
            <v>2009</v>
          </cell>
          <cell r="S243">
            <v>0.75</v>
          </cell>
          <cell r="T243" t="str">
            <v>abandon du projet foyer (19 logts LBU 2008 - suite à retrait du CCAS pour la gestion) - demande de la DDE d'étudier une variante permettant de conserver le nombre de 19 logements (la commune se dit prete à une derogation pour des stationnements hors site)</v>
          </cell>
          <cell r="U243" t="str">
            <v>D JAN</v>
          </cell>
          <cell r="V243" t="str">
            <v>E - APS / PC</v>
          </cell>
          <cell r="W243">
            <v>39933</v>
          </cell>
          <cell r="X243" t="str">
            <v/>
          </cell>
          <cell r="AA243" t="str">
            <v/>
          </cell>
          <cell r="AB243">
            <v>39553</v>
          </cell>
          <cell r="AC243" t="str">
            <v>v</v>
          </cell>
          <cell r="AE243">
            <v>39717</v>
          </cell>
          <cell r="AF243" t="str">
            <v>f</v>
          </cell>
          <cell r="AH243">
            <v>40071</v>
          </cell>
          <cell r="AI243" t="str">
            <v/>
          </cell>
          <cell r="AJ243">
            <v>40252</v>
          </cell>
          <cell r="AK243" t="str">
            <v/>
          </cell>
          <cell r="AL243">
            <v>5.9508153603366649</v>
          </cell>
          <cell r="AM243">
            <v>2010</v>
          </cell>
          <cell r="AN243">
            <v>12</v>
          </cell>
          <cell r="AO243">
            <v>40617</v>
          </cell>
          <cell r="AP243">
            <v>40632</v>
          </cell>
          <cell r="AQ243" t="str">
            <v/>
          </cell>
          <cell r="AR243">
            <v>2011</v>
          </cell>
          <cell r="AS243">
            <v>16</v>
          </cell>
          <cell r="AT243">
            <v>17</v>
          </cell>
          <cell r="BK243">
            <v>16</v>
          </cell>
          <cell r="BL243">
            <v>10.83</v>
          </cell>
          <cell r="BM243">
            <v>0.82</v>
          </cell>
          <cell r="BO243" t="str">
            <v>à faire</v>
          </cell>
          <cell r="BQ243" t="str">
            <v>à faire</v>
          </cell>
          <cell r="BY243">
            <v>231.9</v>
          </cell>
          <cell r="BZ243">
            <v>255</v>
          </cell>
          <cell r="CA243">
            <v>231.9</v>
          </cell>
          <cell r="CE243" t="str">
            <v>ECS ind</v>
          </cell>
          <cell r="CF243">
            <v>44400</v>
          </cell>
          <cell r="CG243">
            <v>13320</v>
          </cell>
          <cell r="CH243">
            <v>19980</v>
          </cell>
          <cell r="CI243">
            <v>11100</v>
          </cell>
          <cell r="CJ243" t="str">
            <v>A déterminer</v>
          </cell>
          <cell r="CK243" t="str">
            <v>INFI</v>
          </cell>
          <cell r="CL243" t="str">
            <v>-</v>
          </cell>
          <cell r="CM243" t="str">
            <v>-</v>
          </cell>
          <cell r="CN243">
            <v>0</v>
          </cell>
          <cell r="CQ243" t="str">
            <v>non</v>
          </cell>
          <cell r="CX243">
            <v>0</v>
          </cell>
          <cell r="DE243">
            <v>33300</v>
          </cell>
          <cell r="DJ243">
            <v>33300</v>
          </cell>
          <cell r="DO243">
            <v>0</v>
          </cell>
          <cell r="DQ243">
            <v>19355</v>
          </cell>
          <cell r="DR243">
            <v>12000</v>
          </cell>
          <cell r="DS243">
            <v>31355</v>
          </cell>
          <cell r="DT243">
            <v>62710</v>
          </cell>
          <cell r="DU243">
            <v>96010</v>
          </cell>
          <cell r="ED243" t="str">
            <v>G:\Habitat\OPERATIONNEL HABITAT\02- Operations\Photothèque\image non disponible.jpg</v>
          </cell>
          <cell r="EE243" t="str">
            <v>G:\Habitat\OPERATIONNEL HABITAT\02- Operations\Photothèque\image non disponible.jpg</v>
          </cell>
        </row>
        <row r="244">
          <cell r="A244" t="str">
            <v>TISSERIN</v>
          </cell>
          <cell r="B244">
            <v>9646</v>
          </cell>
          <cell r="C244" t="str">
            <v>NORD</v>
          </cell>
          <cell r="D244" t="str">
            <v>Possession</v>
          </cell>
          <cell r="E244" t="str">
            <v>RHI PETITE ILE</v>
          </cell>
          <cell r="F244">
            <v>44</v>
          </cell>
          <cell r="G244" t="str">
            <v>LLTS</v>
          </cell>
          <cell r="H244" t="str">
            <v>déposé</v>
          </cell>
          <cell r="I244" t="str">
            <v>20CG5</v>
          </cell>
          <cell r="J244" t="str">
            <v>MIXT</v>
          </cell>
          <cell r="K244" t="str">
            <v>CF</v>
          </cell>
          <cell r="L244" t="str">
            <v>SIDR</v>
          </cell>
          <cell r="M244" t="str">
            <v>maitrisé</v>
          </cell>
          <cell r="N244" t="str">
            <v>JPM</v>
          </cell>
          <cell r="O244" t="str">
            <v>PE</v>
          </cell>
          <cell r="P244" t="str">
            <v>CC</v>
          </cell>
          <cell r="Q244" t="str">
            <v>SM</v>
          </cell>
          <cell r="R244">
            <v>2006</v>
          </cell>
          <cell r="S244">
            <v>0</v>
          </cell>
          <cell r="T244" t="str">
            <v>pb libération foncière liée à Paille en queue/ mi 2008/PC initial refus/PC modif obtenu/Report sur lbu 2008  refuse par la DDE</v>
          </cell>
          <cell r="U244" t="str">
            <v>MEUNIER</v>
          </cell>
          <cell r="V244" t="str">
            <v>E - APS / PC</v>
          </cell>
          <cell r="W244">
            <v>39666</v>
          </cell>
          <cell r="X244" t="str">
            <v>d</v>
          </cell>
          <cell r="Y244" t="str">
            <v>97441108A0422</v>
          </cell>
          <cell r="Z244">
            <v>39750</v>
          </cell>
          <cell r="AA244" t="str">
            <v>o</v>
          </cell>
          <cell r="AB244">
            <v>39613</v>
          </cell>
          <cell r="AC244" t="str">
            <v>v</v>
          </cell>
          <cell r="AD244">
            <v>38990</v>
          </cell>
          <cell r="AE244">
            <v>38911</v>
          </cell>
          <cell r="AF244" t="str">
            <v>f</v>
          </cell>
          <cell r="AH244">
            <v>39934</v>
          </cell>
          <cell r="AI244" t="str">
            <v/>
          </cell>
          <cell r="AJ244">
            <v>40118</v>
          </cell>
          <cell r="AK244" t="str">
            <v/>
          </cell>
          <cell r="AL244">
            <v>6.0494476591267752</v>
          </cell>
          <cell r="AM244">
            <v>2009</v>
          </cell>
          <cell r="AN244">
            <v>16</v>
          </cell>
          <cell r="AO244">
            <v>40603</v>
          </cell>
          <cell r="AP244">
            <v>40618</v>
          </cell>
          <cell r="AQ244" t="str">
            <v/>
          </cell>
          <cell r="AR244">
            <v>2011</v>
          </cell>
          <cell r="AW244">
            <v>14</v>
          </cell>
          <cell r="AX244">
            <v>58</v>
          </cell>
          <cell r="BA244">
            <v>15</v>
          </cell>
          <cell r="BB244">
            <v>70</v>
          </cell>
          <cell r="BE244">
            <v>12</v>
          </cell>
          <cell r="BF244">
            <v>77</v>
          </cell>
          <cell r="BI244">
            <v>3</v>
          </cell>
          <cell r="BJ244">
            <v>85</v>
          </cell>
          <cell r="BK244">
            <v>44</v>
          </cell>
          <cell r="BL244">
            <v>4.28</v>
          </cell>
          <cell r="BM244">
            <v>0.82</v>
          </cell>
          <cell r="BO244" t="str">
            <v>à faire</v>
          </cell>
          <cell r="BQ244" t="str">
            <v>à faire</v>
          </cell>
          <cell r="BX244" t="str">
            <v>demande à faire</v>
          </cell>
          <cell r="BY244">
            <v>3115.34</v>
          </cell>
          <cell r="BZ244">
            <v>3427</v>
          </cell>
          <cell r="CA244">
            <v>3115.34</v>
          </cell>
          <cell r="CE244" t="str">
            <v>ECS ind</v>
          </cell>
          <cell r="CJ244" t="str">
            <v>A déterminer</v>
          </cell>
          <cell r="CK244" t="str">
            <v>INFI</v>
          </cell>
          <cell r="CL244" t="str">
            <v>-</v>
          </cell>
          <cell r="CM244" t="str">
            <v>-</v>
          </cell>
          <cell r="CN244">
            <v>0</v>
          </cell>
          <cell r="CQ244" t="str">
            <v>non</v>
          </cell>
          <cell r="CX244">
            <v>0</v>
          </cell>
          <cell r="DE244">
            <v>0</v>
          </cell>
          <cell r="DJ244">
            <v>0</v>
          </cell>
          <cell r="DO244">
            <v>0</v>
          </cell>
          <cell r="DQ244">
            <v>139427</v>
          </cell>
          <cell r="DR244">
            <v>39600</v>
          </cell>
          <cell r="DS244">
            <v>179027</v>
          </cell>
          <cell r="DT244">
            <v>358054</v>
          </cell>
          <cell r="DU244">
            <v>358054</v>
          </cell>
          <cell r="ED244" t="str">
            <v>G:\Habitat\OPERATIONNEL HABITAT\02- Operations\Photothèque\images locatifs\tisserin\pers 2 ss nom.jpg</v>
          </cell>
          <cell r="EE244" t="str">
            <v>G:\Habitat\OPERATIONNEL HABITAT\02- Operations\Photothèque\images locatifs\tisserin\Pers 01 modif ss nom.jpg</v>
          </cell>
        </row>
        <row r="245">
          <cell r="A245" t="str">
            <v>TRINITE 1 b</v>
          </cell>
          <cell r="B245">
            <v>9720</v>
          </cell>
          <cell r="C245" t="str">
            <v>SUD</v>
          </cell>
          <cell r="D245" t="str">
            <v>Saint-Denis</v>
          </cell>
          <cell r="E245" t="str">
            <v>RHI multisite</v>
          </cell>
          <cell r="F245">
            <v>40</v>
          </cell>
          <cell r="G245" t="str">
            <v>LESG</v>
          </cell>
          <cell r="J245" t="str">
            <v>IND</v>
          </cell>
          <cell r="K245" t="str">
            <v>CF</v>
          </cell>
          <cell r="L245" t="str">
            <v>SIDR</v>
          </cell>
          <cell r="M245" t="str">
            <v>autres</v>
          </cell>
          <cell r="N245" t="str">
            <v>N.A.</v>
          </cell>
          <cell r="O245" t="str">
            <v>FG</v>
          </cell>
          <cell r="P245" t="str">
            <v>LV</v>
          </cell>
          <cell r="Q245" t="str">
            <v>HBM</v>
          </cell>
          <cell r="R245">
            <v>2011</v>
          </cell>
          <cell r="T245" t="str">
            <v>acquisition amelioration</v>
          </cell>
          <cell r="U245" t="str">
            <v>EMPREINTE</v>
          </cell>
          <cell r="V245" t="str">
            <v>A - NON LANCE</v>
          </cell>
          <cell r="W245">
            <v>39871</v>
          </cell>
          <cell r="X245" t="str">
            <v/>
          </cell>
          <cell r="Z245">
            <v>39994</v>
          </cell>
          <cell r="AA245" t="str">
            <v/>
          </cell>
          <cell r="AB245">
            <v>39845</v>
          </cell>
          <cell r="AC245" t="str">
            <v/>
          </cell>
          <cell r="AE245">
            <v>40024</v>
          </cell>
          <cell r="AF245" t="str">
            <v/>
          </cell>
          <cell r="AH245">
            <v>39963</v>
          </cell>
          <cell r="AI245" t="str">
            <v/>
          </cell>
          <cell r="AJ245">
            <v>40147</v>
          </cell>
          <cell r="AK245" t="str">
            <v/>
          </cell>
          <cell r="AL245">
            <v>0</v>
          </cell>
          <cell r="AM245" t="str">
            <v/>
          </cell>
          <cell r="AN245">
            <v>12</v>
          </cell>
          <cell r="AO245" t="str">
            <v/>
          </cell>
          <cell r="AP245" t="str">
            <v/>
          </cell>
          <cell r="AQ245" t="str">
            <v/>
          </cell>
          <cell r="AR245" t="str">
            <v/>
          </cell>
          <cell r="CJ245" t="str">
            <v>-</v>
          </cell>
          <cell r="CK245" t="str">
            <v>-</v>
          </cell>
          <cell r="CL245" t="str">
            <v>-</v>
          </cell>
          <cell r="CM245" t="str">
            <v>-</v>
          </cell>
          <cell r="CN245">
            <v>0</v>
          </cell>
          <cell r="CQ245" t="str">
            <v>non</v>
          </cell>
          <cell r="CX245">
            <v>0</v>
          </cell>
          <cell r="DE245">
            <v>0</v>
          </cell>
          <cell r="DJ245">
            <v>0</v>
          </cell>
          <cell r="DO245">
            <v>0</v>
          </cell>
          <cell r="DS245">
            <v>0</v>
          </cell>
          <cell r="DT245">
            <v>0</v>
          </cell>
          <cell r="DU245">
            <v>0</v>
          </cell>
          <cell r="ED245" t="str">
            <v>G:\Habitat\OPERATIONNEL HABITAT\02- Operations\Photothèque\image non disponible.jpg</v>
          </cell>
          <cell r="EE245" t="str">
            <v>G:\Habitat\OPERATIONNEL HABITAT\02- Operations\Photothèque\image non disponible.jpg</v>
          </cell>
        </row>
        <row r="246">
          <cell r="A246" t="str">
            <v>TRINITE 1</v>
          </cell>
          <cell r="B246" t="str">
            <v>xxxx</v>
          </cell>
          <cell r="C246" t="str">
            <v>SUD</v>
          </cell>
          <cell r="D246" t="str">
            <v>Saint-Philippe</v>
          </cell>
          <cell r="E246" t="str">
            <v>CENTRE VILLE</v>
          </cell>
          <cell r="F246">
            <v>30</v>
          </cell>
          <cell r="G246" t="str">
            <v>LLTS</v>
          </cell>
          <cell r="J246" t="str">
            <v>MIXT</v>
          </cell>
          <cell r="K246" t="str">
            <v>CF</v>
          </cell>
          <cell r="L246" t="str">
            <v>SIDR</v>
          </cell>
          <cell r="N246" t="str">
            <v>N.A.</v>
          </cell>
          <cell r="Q246" t="str">
            <v>HBM</v>
          </cell>
          <cell r="R246">
            <v>2011</v>
          </cell>
          <cell r="T246" t="str">
            <v>Etude de faisabilité financée par DDE ?</v>
          </cell>
          <cell r="V246" t="str">
            <v>A - NON LANCE</v>
          </cell>
          <cell r="X246" t="str">
            <v/>
          </cell>
          <cell r="AA246" t="str">
            <v/>
          </cell>
          <cell r="AC246" t="str">
            <v/>
          </cell>
          <cell r="AF246" t="str">
            <v/>
          </cell>
          <cell r="AI246" t="str">
            <v/>
          </cell>
          <cell r="AK246" t="str">
            <v/>
          </cell>
          <cell r="AL246">
            <v>0</v>
          </cell>
          <cell r="AM246" t="str">
            <v/>
          </cell>
          <cell r="AO246" t="str">
            <v/>
          </cell>
          <cell r="AP246" t="str">
            <v/>
          </cell>
          <cell r="AQ246" t="str">
            <v/>
          </cell>
          <cell r="CJ246" t="str">
            <v>-</v>
          </cell>
          <cell r="CK246" t="str">
            <v>-</v>
          </cell>
          <cell r="CL246" t="str">
            <v>-</v>
          </cell>
          <cell r="CM246" t="str">
            <v>-</v>
          </cell>
          <cell r="CN246">
            <v>0</v>
          </cell>
          <cell r="CQ246" t="str">
            <v>non</v>
          </cell>
          <cell r="CX246">
            <v>0</v>
          </cell>
          <cell r="DE246">
            <v>0</v>
          </cell>
          <cell r="DJ246">
            <v>0</v>
          </cell>
          <cell r="DO246">
            <v>0</v>
          </cell>
          <cell r="DS246">
            <v>0</v>
          </cell>
          <cell r="DT246">
            <v>0</v>
          </cell>
          <cell r="DU246">
            <v>0</v>
          </cell>
          <cell r="ED246" t="str">
            <v>G:\Habitat\OPERATIONNEL HABITAT\02- Operations\Photothèque\image non disponible.jpg</v>
          </cell>
          <cell r="EE246" t="str">
            <v>G:\Habitat\OPERATIONNEL HABITAT\02- Operations\Photothèque\image non disponible.jpg</v>
          </cell>
        </row>
        <row r="247">
          <cell r="A247" t="str">
            <v>TRINITE 2</v>
          </cell>
          <cell r="B247">
            <v>9603</v>
          </cell>
          <cell r="C247" t="str">
            <v>SUD</v>
          </cell>
          <cell r="D247" t="str">
            <v>Saint-Philippe</v>
          </cell>
          <cell r="E247" t="str">
            <v>POLE DE CENTRALITE</v>
          </cell>
          <cell r="F247">
            <v>90</v>
          </cell>
          <cell r="G247" t="str">
            <v>LLTS</v>
          </cell>
          <cell r="H247" t="str">
            <v>signé</v>
          </cell>
          <cell r="I247" t="str">
            <v>SG 2005</v>
          </cell>
          <cell r="J247" t="str">
            <v>MIXT</v>
          </cell>
          <cell r="K247" t="str">
            <v>CF</v>
          </cell>
          <cell r="L247" t="str">
            <v>SIDR</v>
          </cell>
          <cell r="M247" t="str">
            <v>sous compromis</v>
          </cell>
          <cell r="N247" t="str">
            <v>N.A.</v>
          </cell>
          <cell r="O247" t="str">
            <v>JH</v>
          </cell>
          <cell r="P247" t="str">
            <v>CC</v>
          </cell>
          <cell r="Q247" t="str">
            <v>HBM</v>
          </cell>
          <cell r="R247">
            <v>2011</v>
          </cell>
          <cell r="T247" t="str">
            <v>équilibre avec défisc ok DG/attente cotation entreprise Zenith demande HPG le 27/11/2008</v>
          </cell>
          <cell r="U247" t="str">
            <v>BRACHET</v>
          </cell>
          <cell r="V247" t="str">
            <v>I - ACT</v>
          </cell>
          <cell r="W247">
            <v>38553</v>
          </cell>
          <cell r="X247" t="str">
            <v>d</v>
          </cell>
          <cell r="Y247" t="str">
            <v>97440205A0089</v>
          </cell>
          <cell r="Z247">
            <v>39125</v>
          </cell>
          <cell r="AA247" t="str">
            <v/>
          </cell>
          <cell r="AB247" t="str">
            <v>validé</v>
          </cell>
          <cell r="AC247" t="str">
            <v/>
          </cell>
          <cell r="AE247">
            <v>38553</v>
          </cell>
          <cell r="AF247" t="str">
            <v>f</v>
          </cell>
          <cell r="AG247">
            <v>38722</v>
          </cell>
          <cell r="AH247">
            <v>39611</v>
          </cell>
          <cell r="AI247" t="str">
            <v/>
          </cell>
          <cell r="AJ247">
            <v>39887</v>
          </cell>
          <cell r="AK247" t="str">
            <v/>
          </cell>
          <cell r="AL247">
            <v>0</v>
          </cell>
          <cell r="AM247">
            <v>2009</v>
          </cell>
          <cell r="AN247">
            <v>15</v>
          </cell>
          <cell r="AO247">
            <v>40344</v>
          </cell>
          <cell r="AP247">
            <v>40359</v>
          </cell>
          <cell r="AQ247" t="str">
            <v/>
          </cell>
          <cell r="AR247">
            <v>2010</v>
          </cell>
          <cell r="AW247">
            <v>31</v>
          </cell>
          <cell r="AX247">
            <v>56.17</v>
          </cell>
          <cell r="BA247">
            <v>4</v>
          </cell>
          <cell r="BB247">
            <v>69.650000000000006</v>
          </cell>
          <cell r="BK247">
            <v>35</v>
          </cell>
          <cell r="BL247">
            <v>4.3499999999999996</v>
          </cell>
          <cell r="BM247">
            <v>0.3</v>
          </cell>
          <cell r="BN247">
            <v>0.4</v>
          </cell>
          <cell r="BO247" t="str">
            <v>signée</v>
          </cell>
          <cell r="BP247">
            <v>0.6</v>
          </cell>
          <cell r="BQ247" t="str">
            <v xml:space="preserve">transmis </v>
          </cell>
          <cell r="BR247" t="str">
            <v>CGAL</v>
          </cell>
          <cell r="BT247" t="str">
            <v>signée</v>
          </cell>
          <cell r="BX247" t="str">
            <v>demande à faire</v>
          </cell>
          <cell r="BY247">
            <v>1955</v>
          </cell>
          <cell r="BZ247">
            <v>2408</v>
          </cell>
          <cell r="CA247">
            <v>2041</v>
          </cell>
          <cell r="CE247" t="str">
            <v>ECS ind</v>
          </cell>
          <cell r="CJ247" t="str">
            <v>-</v>
          </cell>
          <cell r="CK247" t="str">
            <v>-</v>
          </cell>
          <cell r="CL247" t="str">
            <v>-</v>
          </cell>
          <cell r="CM247" t="str">
            <v>-</v>
          </cell>
          <cell r="CN247">
            <v>0</v>
          </cell>
          <cell r="CO247" t="str">
            <v>199 undecies A</v>
          </cell>
          <cell r="CQ247" t="str">
            <v>non</v>
          </cell>
          <cell r="CX247">
            <v>0</v>
          </cell>
          <cell r="DE247">
            <v>0</v>
          </cell>
          <cell r="DJ247">
            <v>0</v>
          </cell>
          <cell r="DO247">
            <v>0</v>
          </cell>
          <cell r="DQ247">
            <v>55032</v>
          </cell>
          <cell r="DR247">
            <v>40800</v>
          </cell>
          <cell r="DS247">
            <v>0</v>
          </cell>
          <cell r="DT247">
            <v>0</v>
          </cell>
          <cell r="DU247">
            <v>0</v>
          </cell>
          <cell r="ED247" t="str">
            <v>G:\Habitat\OPERATIONNEL HABITAT\02- Operations\Photothèque\image non disponible.jpg</v>
          </cell>
          <cell r="EE247" t="str">
            <v>G:\Habitat\OPERATIONNEL HABITAT\02- Operations\Photothèque\image non disponible.jpg</v>
          </cell>
        </row>
        <row r="248">
          <cell r="A248" t="str">
            <v>VIEUX MUR</v>
          </cell>
          <cell r="B248">
            <v>9720</v>
          </cell>
          <cell r="C248" t="str">
            <v>OUEST</v>
          </cell>
          <cell r="D248" t="str">
            <v>Saint-Philippe</v>
          </cell>
          <cell r="E248" t="str">
            <v>RHI multisite</v>
          </cell>
          <cell r="F248">
            <v>17</v>
          </cell>
          <cell r="G248" t="str">
            <v>nd</v>
          </cell>
          <cell r="H248" t="str">
            <v>déposé</v>
          </cell>
          <cell r="I248" t="str">
            <v>5CG5</v>
          </cell>
          <cell r="J248" t="str">
            <v>COL</v>
          </cell>
          <cell r="K248" t="str">
            <v>CF</v>
          </cell>
          <cell r="L248" t="str">
            <v>SIDR</v>
          </cell>
          <cell r="M248" t="str">
            <v>autres</v>
          </cell>
          <cell r="N248" t="str">
            <v>BB</v>
          </cell>
          <cell r="O248" t="str">
            <v>FG</v>
          </cell>
          <cell r="P248" t="str">
            <v>LV</v>
          </cell>
          <cell r="Q248" t="str">
            <v>VM</v>
          </cell>
          <cell r="R248">
            <v>2009</v>
          </cell>
          <cell r="S248">
            <v>1</v>
          </cell>
          <cell r="T248" t="str">
            <v>acquisition amelioration</v>
          </cell>
          <cell r="U248" t="str">
            <v>EMPREINTE</v>
          </cell>
          <cell r="V248" t="str">
            <v>D - ESQUISSES</v>
          </cell>
          <cell r="W248">
            <v>39871</v>
          </cell>
          <cell r="X248" t="str">
            <v>d</v>
          </cell>
          <cell r="Y248" t="str">
            <v>97441606A0688</v>
          </cell>
          <cell r="Z248">
            <v>39994</v>
          </cell>
          <cell r="AA248" t="str">
            <v/>
          </cell>
          <cell r="AB248">
            <v>39845</v>
          </cell>
          <cell r="AC248" t="str">
            <v>v</v>
          </cell>
          <cell r="AD248">
            <v>39030</v>
          </cell>
          <cell r="AE248">
            <v>40024</v>
          </cell>
          <cell r="AF248" t="str">
            <v>f</v>
          </cell>
          <cell r="AG248">
            <v>39093</v>
          </cell>
          <cell r="AH248">
            <v>39963</v>
          </cell>
          <cell r="AI248" t="str">
            <v/>
          </cell>
          <cell r="AJ248">
            <v>40147</v>
          </cell>
          <cell r="AK248" t="str">
            <v/>
          </cell>
          <cell r="AL248">
            <v>6.0494476591267752</v>
          </cell>
          <cell r="AM248">
            <v>2009</v>
          </cell>
          <cell r="AN248">
            <v>12</v>
          </cell>
          <cell r="AO248">
            <v>40512</v>
          </cell>
          <cell r="AP248">
            <v>40527</v>
          </cell>
          <cell r="AQ248" t="str">
            <v/>
          </cell>
          <cell r="AR248">
            <v>2010</v>
          </cell>
          <cell r="AS248">
            <v>2</v>
          </cell>
          <cell r="AT248">
            <v>33</v>
          </cell>
          <cell r="AW248">
            <v>4</v>
          </cell>
          <cell r="AX248">
            <v>60</v>
          </cell>
          <cell r="BA248">
            <v>6</v>
          </cell>
          <cell r="BB248">
            <v>70</v>
          </cell>
          <cell r="BE248">
            <v>2</v>
          </cell>
          <cell r="BF248">
            <v>99</v>
          </cell>
          <cell r="BI248">
            <v>2</v>
          </cell>
          <cell r="BJ248">
            <v>99</v>
          </cell>
          <cell r="BK248">
            <v>16</v>
          </cell>
          <cell r="BL248">
            <v>4.33</v>
          </cell>
          <cell r="BM248">
            <v>0.82</v>
          </cell>
          <cell r="BO248" t="str">
            <v>signée</v>
          </cell>
          <cell r="BQ248" t="str">
            <v>signée</v>
          </cell>
          <cell r="BX248" t="str">
            <v>signé</v>
          </cell>
          <cell r="BY248">
            <v>1097</v>
          </cell>
          <cell r="BZ248">
            <v>1496</v>
          </cell>
          <cell r="CA248">
            <v>1117.33</v>
          </cell>
          <cell r="CE248" t="str">
            <v>ECS ind</v>
          </cell>
          <cell r="CI248" t="str">
            <v>D a faire</v>
          </cell>
          <cell r="CJ248" t="str">
            <v>-</v>
          </cell>
          <cell r="CK248" t="str">
            <v>-</v>
          </cell>
          <cell r="CL248" t="str">
            <v>-</v>
          </cell>
          <cell r="CM248" t="str">
            <v>-</v>
          </cell>
          <cell r="CN248">
            <v>0</v>
          </cell>
          <cell r="CO248" t="str">
            <v>199 undecies A</v>
          </cell>
          <cell r="CQ248" t="str">
            <v>non</v>
          </cell>
          <cell r="CX248">
            <v>0</v>
          </cell>
          <cell r="DE248">
            <v>0</v>
          </cell>
          <cell r="DJ248">
            <v>0</v>
          </cell>
          <cell r="DO248">
            <v>0</v>
          </cell>
          <cell r="DQ248">
            <v>45841</v>
          </cell>
          <cell r="DR248">
            <v>13875</v>
          </cell>
          <cell r="DS248">
            <v>0</v>
          </cell>
          <cell r="DT248">
            <v>0</v>
          </cell>
          <cell r="DU248">
            <v>0</v>
          </cell>
          <cell r="ED248" t="str">
            <v>G:\Habitat\OPERATIONNEL HABITAT\02- Operations\Photothèque\image non disponible.jpg</v>
          </cell>
          <cell r="EE248" t="str">
            <v>G:\Habitat\OPERATIONNEL HABITAT\02- Operations\Photothèque\image non disponible.jpg</v>
          </cell>
        </row>
        <row r="249">
          <cell r="A249" t="str">
            <v>VINCENDO</v>
          </cell>
          <cell r="B249" t="str">
            <v>xxxx</v>
          </cell>
          <cell r="C249" t="str">
            <v>EST</v>
          </cell>
          <cell r="D249" t="str">
            <v>Saint-Pierre</v>
          </cell>
          <cell r="F249">
            <v>30</v>
          </cell>
          <cell r="G249" t="str">
            <v>LLS</v>
          </cell>
          <cell r="J249" t="str">
            <v>COL</v>
          </cell>
          <cell r="N249" t="str">
            <v>Cla</v>
          </cell>
          <cell r="R249">
            <v>2010</v>
          </cell>
          <cell r="T249" t="str">
            <v>Etude de faisabilité financée par DDE ?</v>
          </cell>
          <cell r="V249" t="str">
            <v>A - NON LANCE</v>
          </cell>
          <cell r="X249" t="str">
            <v/>
          </cell>
          <cell r="AA249" t="str">
            <v/>
          </cell>
          <cell r="AC249" t="str">
            <v/>
          </cell>
          <cell r="AF249" t="str">
            <v/>
          </cell>
          <cell r="AI249" t="str">
            <v/>
          </cell>
          <cell r="AK249" t="str">
            <v/>
          </cell>
          <cell r="AL249">
            <v>0</v>
          </cell>
          <cell r="AM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CJ249" t="str">
            <v>-</v>
          </cell>
          <cell r="CK249" t="str">
            <v>-</v>
          </cell>
          <cell r="CL249" t="str">
            <v>-</v>
          </cell>
          <cell r="CM249" t="str">
            <v>-</v>
          </cell>
          <cell r="CN249">
            <v>0</v>
          </cell>
          <cell r="CQ249" t="str">
            <v>non</v>
          </cell>
          <cell r="CX249">
            <v>0</v>
          </cell>
          <cell r="DE249">
            <v>0</v>
          </cell>
          <cell r="DJ249">
            <v>0</v>
          </cell>
          <cell r="DO249">
            <v>0</v>
          </cell>
          <cell r="DS249">
            <v>0</v>
          </cell>
          <cell r="DT249">
            <v>0</v>
          </cell>
          <cell r="DU249">
            <v>0</v>
          </cell>
          <cell r="ED249" t="str">
            <v>G:\Habitat\OPERATIONNEL HABITAT\02- Operations\Photothèque\image non disponible.jpg</v>
          </cell>
          <cell r="EE249" t="str">
            <v>G:\Habitat\OPERATIONNEL HABITAT\02- Operations\Photothèque\image non disponible.jpg</v>
          </cell>
        </row>
        <row r="250">
          <cell r="A250" t="str">
            <v>VOILIER</v>
          </cell>
          <cell r="B250">
            <v>9603</v>
          </cell>
          <cell r="C250" t="str">
            <v>EST</v>
          </cell>
          <cell r="D250" t="str">
            <v>Bras Panon</v>
          </cell>
          <cell r="E250" t="str">
            <v>POLE DE CENTRALITE</v>
          </cell>
          <cell r="F250">
            <v>35</v>
          </cell>
          <cell r="G250" t="str">
            <v>LLTS</v>
          </cell>
          <cell r="H250" t="str">
            <v>signé</v>
          </cell>
          <cell r="I250" t="str">
            <v>SG 2005</v>
          </cell>
          <cell r="J250" t="str">
            <v>COL</v>
          </cell>
          <cell r="K250" t="str">
            <v>CF</v>
          </cell>
          <cell r="L250" t="str">
            <v>SEMAC</v>
          </cell>
          <cell r="M250" t="str">
            <v>sous compromis</v>
          </cell>
          <cell r="N250" t="str">
            <v>JPM</v>
          </cell>
          <cell r="O250" t="str">
            <v>PE</v>
          </cell>
          <cell r="P250" t="str">
            <v>CC</v>
          </cell>
          <cell r="R250">
            <v>2005</v>
          </cell>
          <cell r="S250">
            <v>1</v>
          </cell>
          <cell r="T250" t="str">
            <v>équilibre avec défisc ok DG/attente cotation entreprise Zenith demande HPG le 27/11/2008</v>
          </cell>
          <cell r="U250" t="str">
            <v>BRACHET</v>
          </cell>
          <cell r="V250" t="str">
            <v>I - ACT</v>
          </cell>
          <cell r="W250">
            <v>38553</v>
          </cell>
          <cell r="X250" t="str">
            <v>d</v>
          </cell>
          <cell r="Y250" t="str">
            <v>97440205A0089</v>
          </cell>
          <cell r="Z250">
            <v>39125</v>
          </cell>
          <cell r="AA250" t="str">
            <v>o</v>
          </cell>
          <cell r="AB250" t="str">
            <v>validé</v>
          </cell>
          <cell r="AC250" t="str">
            <v/>
          </cell>
          <cell r="AD250">
            <v>39597</v>
          </cell>
          <cell r="AE250">
            <v>38553</v>
          </cell>
          <cell r="AF250" t="str">
            <v>f</v>
          </cell>
          <cell r="AG250">
            <v>38722</v>
          </cell>
          <cell r="AH250">
            <v>39611</v>
          </cell>
          <cell r="AI250" t="str">
            <v>ao</v>
          </cell>
          <cell r="AJ250">
            <v>39887</v>
          </cell>
          <cell r="AK250" t="str">
            <v>ch</v>
          </cell>
          <cell r="AL250">
            <v>9.0741714886901637</v>
          </cell>
          <cell r="AM250">
            <v>2009</v>
          </cell>
          <cell r="AN250">
            <v>15</v>
          </cell>
          <cell r="AO250">
            <v>40344</v>
          </cell>
          <cell r="AP250">
            <v>40359</v>
          </cell>
          <cell r="AQ250" t="str">
            <v/>
          </cell>
          <cell r="AR250">
            <v>2010</v>
          </cell>
          <cell r="AW250">
            <v>31</v>
          </cell>
          <cell r="AX250">
            <v>56.17</v>
          </cell>
          <cell r="BA250">
            <v>4</v>
          </cell>
          <cell r="BB250">
            <v>69.650000000000006</v>
          </cell>
          <cell r="BK250">
            <v>35</v>
          </cell>
          <cell r="BL250">
            <v>4.3499999999999996</v>
          </cell>
          <cell r="BM250">
            <v>0.3</v>
          </cell>
          <cell r="BN250">
            <v>0.4</v>
          </cell>
          <cell r="BO250" t="str">
            <v>signée</v>
          </cell>
          <cell r="BP250">
            <v>0.6</v>
          </cell>
          <cell r="BQ250" t="str">
            <v xml:space="preserve">transmis </v>
          </cell>
          <cell r="BR250" t="str">
            <v>CGAL</v>
          </cell>
          <cell r="BT250" t="str">
            <v>signée</v>
          </cell>
          <cell r="BX250" t="str">
            <v>demande à faire</v>
          </cell>
          <cell r="BY250">
            <v>1955</v>
          </cell>
          <cell r="BZ250">
            <v>2408</v>
          </cell>
          <cell r="CA250">
            <v>2041</v>
          </cell>
          <cell r="CE250" t="str">
            <v>ECS ind</v>
          </cell>
          <cell r="CJ250" t="str">
            <v>SCI Saint André</v>
          </cell>
          <cell r="CK250" t="str">
            <v>INFI</v>
          </cell>
          <cell r="CL250">
            <v>39773</v>
          </cell>
          <cell r="CM250" t="str">
            <v>-</v>
          </cell>
          <cell r="CN250">
            <v>0</v>
          </cell>
          <cell r="CO250" t="str">
            <v>199 undecies A</v>
          </cell>
          <cell r="CQ250" t="str">
            <v>non</v>
          </cell>
          <cell r="CX250">
            <v>0</v>
          </cell>
          <cell r="DE250">
            <v>0</v>
          </cell>
          <cell r="DJ250">
            <v>0</v>
          </cell>
          <cell r="DO250">
            <v>0</v>
          </cell>
          <cell r="DQ250">
            <v>55032</v>
          </cell>
          <cell r="DR250">
            <v>40800</v>
          </cell>
          <cell r="DS250">
            <v>95832</v>
          </cell>
          <cell r="DT250">
            <v>191664</v>
          </cell>
          <cell r="DU250">
            <v>191664</v>
          </cell>
          <cell r="ED250" t="str">
            <v>G:\Habitat\OPERATIONNEL HABITAT\02- Operations\Photothèque\images locatifs\voilier\pers web voilier.jpg</v>
          </cell>
          <cell r="EE250" t="str">
            <v>G:\Habitat\OPERATIONNEL HABITAT\02- Operations\Photothèque\image non disponible.jpg</v>
          </cell>
        </row>
        <row r="251">
          <cell r="A251" t="str">
            <v>WALLIS</v>
          </cell>
          <cell r="B251">
            <v>9643</v>
          </cell>
          <cell r="C251" t="str">
            <v>SUD</v>
          </cell>
          <cell r="D251" t="str">
            <v>Saint-Pierre</v>
          </cell>
          <cell r="E251" t="str">
            <v>RHI BASSE TERRE</v>
          </cell>
          <cell r="F251">
            <v>16</v>
          </cell>
          <cell r="G251" t="str">
            <v>LLTS</v>
          </cell>
          <cell r="H251" t="str">
            <v>déposé</v>
          </cell>
          <cell r="I251" t="str">
            <v>5CG5</v>
          </cell>
          <cell r="J251" t="str">
            <v>COL</v>
          </cell>
          <cell r="K251" t="str">
            <v>CF</v>
          </cell>
          <cell r="L251" t="str">
            <v>SIDR</v>
          </cell>
          <cell r="M251" t="str">
            <v>maitrisé</v>
          </cell>
          <cell r="N251" t="str">
            <v>LC</v>
          </cell>
          <cell r="O251" t="str">
            <v>OS</v>
          </cell>
          <cell r="P251" t="str">
            <v>AM</v>
          </cell>
          <cell r="Q251" t="str">
            <v>HBM</v>
          </cell>
          <cell r="R251">
            <v>2006</v>
          </cell>
          <cell r="S251">
            <v>1</v>
          </cell>
          <cell r="T251" t="str">
            <v>dépassement budget 250K€ financer RHI 215K€</v>
          </cell>
          <cell r="U251" t="str">
            <v>FAESSEL BOHE</v>
          </cell>
          <cell r="V251" t="str">
            <v>K - OS TRAVAUX</v>
          </cell>
          <cell r="W251">
            <v>38958</v>
          </cell>
          <cell r="X251" t="str">
            <v>d</v>
          </cell>
          <cell r="Y251" t="str">
            <v>97441606A0688</v>
          </cell>
          <cell r="Z251">
            <v>39120</v>
          </cell>
          <cell r="AA251" t="str">
            <v>o</v>
          </cell>
          <cell r="AB251">
            <v>38974</v>
          </cell>
          <cell r="AC251" t="str">
            <v>v</v>
          </cell>
          <cell r="AD251">
            <v>39030</v>
          </cell>
          <cell r="AE251">
            <v>38967</v>
          </cell>
          <cell r="AF251" t="str">
            <v>f</v>
          </cell>
          <cell r="AG251">
            <v>39093</v>
          </cell>
          <cell r="AH251">
            <v>39248</v>
          </cell>
          <cell r="AI251" t="str">
            <v>ao</v>
          </cell>
          <cell r="AJ251">
            <v>39800</v>
          </cell>
          <cell r="AK251" t="str">
            <v>ch</v>
          </cell>
          <cell r="AL251">
            <v>18.148342977380327</v>
          </cell>
          <cell r="AM251">
            <v>2008</v>
          </cell>
          <cell r="AN251">
            <v>14</v>
          </cell>
          <cell r="AO251">
            <v>40227</v>
          </cell>
          <cell r="AP251">
            <v>40242</v>
          </cell>
          <cell r="AQ251" t="str">
            <v/>
          </cell>
          <cell r="AR251">
            <v>2010</v>
          </cell>
          <cell r="AS251">
            <v>2</v>
          </cell>
          <cell r="AT251">
            <v>33</v>
          </cell>
          <cell r="AU251">
            <v>7</v>
          </cell>
          <cell r="AV251">
            <v>50.483333333333327</v>
          </cell>
          <cell r="AW251">
            <v>4</v>
          </cell>
          <cell r="AX251">
            <v>60</v>
          </cell>
          <cell r="AY251">
            <v>3</v>
          </cell>
          <cell r="AZ251">
            <v>56.620000000000005</v>
          </cell>
          <cell r="BA251">
            <v>6</v>
          </cell>
          <cell r="BB251">
            <v>70</v>
          </cell>
          <cell r="BE251">
            <v>2</v>
          </cell>
          <cell r="BF251">
            <v>99</v>
          </cell>
          <cell r="BI251">
            <v>2</v>
          </cell>
          <cell r="BJ251">
            <v>99</v>
          </cell>
          <cell r="BK251">
            <v>16</v>
          </cell>
          <cell r="BL251">
            <v>4.33</v>
          </cell>
          <cell r="BM251">
            <v>0.82</v>
          </cell>
          <cell r="BN251">
            <v>0.4</v>
          </cell>
          <cell r="BO251" t="str">
            <v>signée</v>
          </cell>
          <cell r="BP251">
            <v>0.6</v>
          </cell>
          <cell r="BQ251" t="str">
            <v>signée</v>
          </cell>
          <cell r="BR251" t="str">
            <v>CG</v>
          </cell>
          <cell r="BX251" t="str">
            <v>signé</v>
          </cell>
          <cell r="BY251">
            <v>1097</v>
          </cell>
          <cell r="BZ251">
            <v>1496</v>
          </cell>
          <cell r="CA251">
            <v>1117.33</v>
          </cell>
          <cell r="CE251" t="str">
            <v>ECS ind</v>
          </cell>
          <cell r="CF251">
            <v>186717</v>
          </cell>
          <cell r="CG251">
            <v>72150</v>
          </cell>
          <cell r="CH251">
            <v>108225</v>
          </cell>
          <cell r="CI251" t="str">
            <v>D a faire</v>
          </cell>
          <cell r="CJ251" t="str">
            <v>SCI Saint André</v>
          </cell>
          <cell r="CK251" t="str">
            <v>INFI</v>
          </cell>
          <cell r="CL251">
            <v>39773</v>
          </cell>
          <cell r="CM251" t="str">
            <v>-</v>
          </cell>
          <cell r="CN251">
            <v>0</v>
          </cell>
          <cell r="CO251" t="str">
            <v>199 undecies A</v>
          </cell>
          <cell r="CQ251" t="str">
            <v>non</v>
          </cell>
          <cell r="CR251">
            <v>205500</v>
          </cell>
          <cell r="CT251">
            <v>5114497</v>
          </cell>
          <cell r="CX251">
            <v>0</v>
          </cell>
          <cell r="DE251">
            <v>0</v>
          </cell>
          <cell r="DJ251">
            <v>0</v>
          </cell>
          <cell r="DO251">
            <v>0</v>
          </cell>
          <cell r="DQ251">
            <v>45841</v>
          </cell>
          <cell r="DR251">
            <v>13875</v>
          </cell>
          <cell r="DS251">
            <v>59716</v>
          </cell>
          <cell r="DT251">
            <v>119432</v>
          </cell>
          <cell r="DU251">
            <v>119432</v>
          </cell>
          <cell r="ED251" t="str">
            <v>G:\Habitat\OPERATIONNEL HABITAT\02- Operations\Photothèque\images locatifs\wallis futuna\SIDR_WALLIS 01.jpg</v>
          </cell>
          <cell r="EE251" t="str">
            <v>G:\Habitat\OPERATIONNEL HABITAT\02- Operations\Photothèque\images locatifs\wallis futuna\SIDR_WALLIS 02.jpg</v>
          </cell>
        </row>
        <row r="252">
          <cell r="A252" t="str">
            <v>LES BUTTES CITONNELLES</v>
          </cell>
          <cell r="B252">
            <v>9605</v>
          </cell>
          <cell r="C252" t="str">
            <v>SUD</v>
          </cell>
          <cell r="D252" t="str">
            <v>Etang-Salé</v>
          </cell>
          <cell r="E252" t="str">
            <v>RHI SAY PISCINE</v>
          </cell>
          <cell r="F252">
            <v>37</v>
          </cell>
          <cell r="G252" t="str">
            <v>nd</v>
          </cell>
          <cell r="J252" t="str">
            <v>IND</v>
          </cell>
          <cell r="K252" t="str">
            <v>CF</v>
          </cell>
          <cell r="L252" t="str">
            <v>SIDR</v>
          </cell>
          <cell r="M252" t="str">
            <v>maitrisé</v>
          </cell>
          <cell r="N252" t="str">
            <v>BS</v>
          </cell>
          <cell r="O252" t="str">
            <v>GG</v>
          </cell>
          <cell r="P252" t="str">
            <v>CC</v>
          </cell>
          <cell r="Q252" t="str">
            <v>OP</v>
          </cell>
          <cell r="R252">
            <v>2012</v>
          </cell>
          <cell r="T252" t="str">
            <v>retard livraison consuel/DGI 7/01/2007/eval perene ok/enquette clients</v>
          </cell>
          <cell r="U252" t="str">
            <v>REYNAUD</v>
          </cell>
          <cell r="V252" t="str">
            <v>A - NON LANCE</v>
          </cell>
          <cell r="W252">
            <v>38553</v>
          </cell>
          <cell r="X252" t="str">
            <v/>
          </cell>
          <cell r="Y252" t="str">
            <v>97440705A0063</v>
          </cell>
          <cell r="Z252">
            <v>38727</v>
          </cell>
          <cell r="AA252" t="str">
            <v/>
          </cell>
          <cell r="AB252" t="str">
            <v>validé</v>
          </cell>
          <cell r="AC252" t="str">
            <v/>
          </cell>
          <cell r="AD252">
            <v>38624</v>
          </cell>
          <cell r="AE252">
            <v>38551</v>
          </cell>
          <cell r="AF252" t="str">
            <v/>
          </cell>
          <cell r="AG252">
            <v>38722</v>
          </cell>
          <cell r="AH252">
            <v>38657</v>
          </cell>
          <cell r="AI252" t="str">
            <v/>
          </cell>
          <cell r="AJ252">
            <v>38859</v>
          </cell>
          <cell r="AK252" t="str">
            <v/>
          </cell>
          <cell r="AL252">
            <v>0</v>
          </cell>
          <cell r="AM252" t="str">
            <v/>
          </cell>
          <cell r="AN252">
            <v>19</v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>
            <v>3</v>
          </cell>
          <cell r="AT252">
            <v>28</v>
          </cell>
          <cell r="AU252">
            <v>1</v>
          </cell>
          <cell r="AV252">
            <v>50</v>
          </cell>
          <cell r="AW252">
            <v>7</v>
          </cell>
          <cell r="AX252">
            <v>58</v>
          </cell>
          <cell r="BA252">
            <v>13</v>
          </cell>
          <cell r="BB252">
            <v>69</v>
          </cell>
          <cell r="BE252">
            <v>10</v>
          </cell>
          <cell r="BF252">
            <v>80</v>
          </cell>
          <cell r="BI252">
            <v>3</v>
          </cell>
          <cell r="BJ252">
            <v>90</v>
          </cell>
          <cell r="BK252">
            <v>37</v>
          </cell>
          <cell r="BL252">
            <v>6.33</v>
          </cell>
          <cell r="BM252">
            <v>0.82</v>
          </cell>
          <cell r="BN252">
            <v>0.2</v>
          </cell>
          <cell r="BO252" t="str">
            <v>signée</v>
          </cell>
          <cell r="BP252">
            <v>0.8</v>
          </cell>
          <cell r="BQ252" t="str">
            <v>signée</v>
          </cell>
          <cell r="BX252" t="str">
            <v>signé</v>
          </cell>
          <cell r="BY252">
            <v>2342</v>
          </cell>
          <cell r="BZ252">
            <v>4735</v>
          </cell>
          <cell r="CA252">
            <v>3036</v>
          </cell>
          <cell r="CE252" t="str">
            <v>ECS ind</v>
          </cell>
          <cell r="CF252">
            <v>136900</v>
          </cell>
          <cell r="CG252">
            <v>41070</v>
          </cell>
          <cell r="CH252">
            <v>61605</v>
          </cell>
          <cell r="CI252" t="str">
            <v>AR 07/2006</v>
          </cell>
          <cell r="CJ252" t="str">
            <v>-</v>
          </cell>
          <cell r="CK252" t="str">
            <v>-</v>
          </cell>
          <cell r="CL252" t="str">
            <v>-</v>
          </cell>
          <cell r="CM252" t="str">
            <v>-</v>
          </cell>
          <cell r="CN252">
            <v>0</v>
          </cell>
          <cell r="CQ252" t="str">
            <v>non</v>
          </cell>
          <cell r="CR252">
            <v>105966</v>
          </cell>
          <cell r="CT252">
            <v>2696438</v>
          </cell>
          <cell r="CX252">
            <v>0</v>
          </cell>
          <cell r="DE252">
            <v>0</v>
          </cell>
          <cell r="DJ252">
            <v>0</v>
          </cell>
          <cell r="DO252">
            <v>0</v>
          </cell>
          <cell r="DQ252">
            <v>26393</v>
          </cell>
          <cell r="DS252">
            <v>0</v>
          </cell>
          <cell r="DT252">
            <v>0</v>
          </cell>
          <cell r="DU252">
            <v>0</v>
          </cell>
          <cell r="ED252" t="str">
            <v>G:\Habitat\OPERATIONNEL HABITAT\02- Operations\Photothèque\image non disponible.jpg</v>
          </cell>
          <cell r="EE252" t="str">
            <v>G:\Habitat\OPERATIONNEL HABITAT\02- Operations\Photothèque\image non disponible.jpg</v>
          </cell>
        </row>
        <row r="253">
          <cell r="A253" t="str">
            <v>ZAC FAYARD(LES RESIDENCES DU PARC)</v>
          </cell>
          <cell r="B253">
            <v>9351</v>
          </cell>
          <cell r="C253" t="str">
            <v>EST</v>
          </cell>
          <cell r="D253" t="str">
            <v>Etang-Salé</v>
          </cell>
          <cell r="E253" t="str">
            <v>ZAC FAYARD</v>
          </cell>
          <cell r="F253">
            <v>38</v>
          </cell>
          <cell r="G253" t="str">
            <v>ACC</v>
          </cell>
          <cell r="J253" t="str">
            <v>COL</v>
          </cell>
          <cell r="K253" t="str">
            <v>CF</v>
          </cell>
          <cell r="L253" t="str">
            <v>SEDRE</v>
          </cell>
          <cell r="M253" t="str">
            <v>maitrisé</v>
          </cell>
          <cell r="N253" t="str">
            <v>Cla</v>
          </cell>
          <cell r="O253" t="str">
            <v>JH</v>
          </cell>
          <cell r="P253" t="str">
            <v>CC</v>
          </cell>
          <cell r="R253">
            <v>2008</v>
          </cell>
          <cell r="S253">
            <v>1</v>
          </cell>
          <cell r="T253" t="str">
            <v xml:space="preserve">PPRI/plu/ EU </v>
          </cell>
          <cell r="U253" t="str">
            <v>ROUX</v>
          </cell>
          <cell r="V253" t="str">
            <v>G - PROJET</v>
          </cell>
          <cell r="W253">
            <v>39583</v>
          </cell>
          <cell r="X253" t="str">
            <v>d</v>
          </cell>
          <cell r="Y253" t="str">
            <v>97440908A0161</v>
          </cell>
          <cell r="Z253">
            <v>39735</v>
          </cell>
          <cell r="AA253" t="str">
            <v>o</v>
          </cell>
          <cell r="AB253">
            <v>39568</v>
          </cell>
          <cell r="AC253" t="str">
            <v>v</v>
          </cell>
          <cell r="AD253">
            <v>39597</v>
          </cell>
          <cell r="AE253">
            <v>37540</v>
          </cell>
          <cell r="AF253" t="str">
            <v/>
          </cell>
          <cell r="AG253" t="str">
            <v>O</v>
          </cell>
          <cell r="AH253">
            <v>39859</v>
          </cell>
          <cell r="AI253" t="str">
            <v>ao</v>
          </cell>
          <cell r="AJ253">
            <v>40040</v>
          </cell>
          <cell r="AK253" t="str">
            <v/>
          </cell>
          <cell r="AL253">
            <v>5.9508153603366649</v>
          </cell>
          <cell r="AM253">
            <v>2009</v>
          </cell>
          <cell r="AN253">
            <v>14</v>
          </cell>
          <cell r="AO253">
            <v>40466</v>
          </cell>
          <cell r="AP253">
            <v>40481</v>
          </cell>
          <cell r="AQ253" t="str">
            <v/>
          </cell>
          <cell r="AR253">
            <v>2010</v>
          </cell>
          <cell r="BO253" t="str">
            <v>signée</v>
          </cell>
          <cell r="BQ253" t="str">
            <v>signée</v>
          </cell>
          <cell r="BX253" t="str">
            <v>signé</v>
          </cell>
          <cell r="CA253">
            <v>3805</v>
          </cell>
          <cell r="CE253" t="str">
            <v>ECS ind</v>
          </cell>
          <cell r="CF253">
            <v>124600</v>
          </cell>
          <cell r="CG253">
            <v>37380</v>
          </cell>
          <cell r="CH253">
            <v>56070</v>
          </cell>
          <cell r="CI253">
            <v>31150</v>
          </cell>
          <cell r="CJ253" t="str">
            <v>-</v>
          </cell>
          <cell r="CK253" t="str">
            <v>-</v>
          </cell>
          <cell r="CL253" t="str">
            <v>-</v>
          </cell>
          <cell r="CM253" t="str">
            <v>-</v>
          </cell>
          <cell r="CN253">
            <v>0</v>
          </cell>
          <cell r="CQ253" t="str">
            <v>non</v>
          </cell>
          <cell r="CT253">
            <v>2637259</v>
          </cell>
          <cell r="CX253">
            <v>0</v>
          </cell>
          <cell r="DE253">
            <v>0</v>
          </cell>
          <cell r="DJ253">
            <v>0</v>
          </cell>
          <cell r="DO253">
            <v>0</v>
          </cell>
          <cell r="DQ253">
            <v>40626</v>
          </cell>
          <cell r="DR253">
            <v>31050</v>
          </cell>
          <cell r="DS253">
            <v>0</v>
          </cell>
          <cell r="DT253">
            <v>0</v>
          </cell>
          <cell r="DU253">
            <v>0</v>
          </cell>
          <cell r="ED253" t="str">
            <v>G:\Habitat\OPERATIONNEL HABITAT\02- Operations\Photothèque\image non disponible.jpg</v>
          </cell>
          <cell r="EE253" t="str">
            <v>G:\Habitat\OPERATIONNEL HABITAT\02- Operations\Photothèque\image non disponible.jpg</v>
          </cell>
        </row>
        <row r="254">
          <cell r="A254" t="str">
            <v>ZAC MADELEINE(ATHENA)</v>
          </cell>
          <cell r="B254">
            <v>9566</v>
          </cell>
          <cell r="C254" t="str">
            <v>EST</v>
          </cell>
          <cell r="D254" t="str">
            <v>Saint-André</v>
          </cell>
          <cell r="E254" t="str">
            <v>ZAC MADELEINE</v>
          </cell>
          <cell r="F254">
            <v>63</v>
          </cell>
          <cell r="G254" t="str">
            <v>LLS</v>
          </cell>
          <cell r="J254" t="str">
            <v>COL</v>
          </cell>
          <cell r="K254" t="str">
            <v>CF</v>
          </cell>
          <cell r="L254" t="str">
            <v>SEMAC</v>
          </cell>
          <cell r="M254" t="str">
            <v>maitrisé</v>
          </cell>
          <cell r="N254" t="str">
            <v>CLa</v>
          </cell>
          <cell r="O254" t="str">
            <v>JMO</v>
          </cell>
          <cell r="P254" t="str">
            <v>CC</v>
          </cell>
          <cell r="R254">
            <v>2006</v>
          </cell>
          <cell r="S254">
            <v>0</v>
          </cell>
          <cell r="U254" t="str">
            <v>BOCQUEE</v>
          </cell>
          <cell r="V254" t="str">
            <v>L - CHANTIER EN COURS</v>
          </cell>
          <cell r="W254">
            <v>38751</v>
          </cell>
          <cell r="X254" t="str">
            <v>d</v>
          </cell>
          <cell r="Y254" t="str">
            <v>97441106A0018</v>
          </cell>
          <cell r="Z254">
            <v>38846</v>
          </cell>
          <cell r="AA254" t="str">
            <v>o</v>
          </cell>
          <cell r="AB254">
            <v>38881</v>
          </cell>
          <cell r="AC254" t="str">
            <v>v</v>
          </cell>
          <cell r="AD254">
            <v>38883</v>
          </cell>
          <cell r="AE254">
            <v>38798</v>
          </cell>
          <cell r="AF254" t="str">
            <v>f</v>
          </cell>
          <cell r="AG254">
            <v>39113</v>
          </cell>
          <cell r="AH254">
            <v>38803</v>
          </cell>
          <cell r="AI254" t="str">
            <v>ao</v>
          </cell>
          <cell r="AJ254">
            <v>38999</v>
          </cell>
          <cell r="AK254" t="str">
            <v/>
          </cell>
          <cell r="AL254">
            <v>6.4439768542872171</v>
          </cell>
          <cell r="AM254">
            <v>2006</v>
          </cell>
          <cell r="AN254">
            <v>22</v>
          </cell>
          <cell r="AO254">
            <v>39690</v>
          </cell>
          <cell r="AP254">
            <v>39705</v>
          </cell>
          <cell r="AQ254" t="str">
            <v>li</v>
          </cell>
          <cell r="AR254">
            <v>2008</v>
          </cell>
          <cell r="AS254">
            <v>8</v>
          </cell>
          <cell r="AT254">
            <v>28.506666666666664</v>
          </cell>
          <cell r="AU254">
            <v>7</v>
          </cell>
          <cell r="AV254">
            <v>50.483333333333327</v>
          </cell>
          <cell r="AW254">
            <v>7</v>
          </cell>
          <cell r="AX254">
            <v>56.620000000000005</v>
          </cell>
          <cell r="AY254">
            <v>3</v>
          </cell>
          <cell r="AZ254">
            <v>56.620000000000005</v>
          </cell>
          <cell r="BA254">
            <v>23</v>
          </cell>
          <cell r="BB254">
            <v>70.22999999999999</v>
          </cell>
          <cell r="BE254">
            <v>11</v>
          </cell>
          <cell r="BF254">
            <v>89.318571428571431</v>
          </cell>
          <cell r="BI254">
            <v>4</v>
          </cell>
          <cell r="BJ254">
            <v>97.575000000000003</v>
          </cell>
          <cell r="BK254">
            <v>63</v>
          </cell>
          <cell r="BL254">
            <v>5.9</v>
          </cell>
          <cell r="BM254">
            <v>0.84</v>
          </cell>
          <cell r="BN254">
            <v>0.4</v>
          </cell>
          <cell r="BO254" t="str">
            <v>signée</v>
          </cell>
          <cell r="BP254">
            <v>0.6</v>
          </cell>
          <cell r="BQ254" t="str">
            <v>signée</v>
          </cell>
          <cell r="BR254" t="str">
            <v>CG</v>
          </cell>
          <cell r="BX254" t="str">
            <v>signé</v>
          </cell>
          <cell r="BY254">
            <v>4889</v>
          </cell>
          <cell r="BZ254">
            <v>7665</v>
          </cell>
          <cell r="CA254">
            <v>5013.26</v>
          </cell>
          <cell r="CE254" t="str">
            <v>ECS ind</v>
          </cell>
          <cell r="CF254">
            <v>186717</v>
          </cell>
          <cell r="CG254">
            <v>72150</v>
          </cell>
          <cell r="CH254">
            <v>108225</v>
          </cell>
          <cell r="CI254">
            <v>60125</v>
          </cell>
          <cell r="CJ254" t="str">
            <v>-</v>
          </cell>
          <cell r="CK254" t="str">
            <v>-</v>
          </cell>
          <cell r="CL254" t="str">
            <v>-</v>
          </cell>
          <cell r="CM254" t="str">
            <v>-</v>
          </cell>
          <cell r="CN254">
            <v>0</v>
          </cell>
          <cell r="CQ254" t="str">
            <v>oui</v>
          </cell>
          <cell r="CR254">
            <v>205500</v>
          </cell>
          <cell r="CT254">
            <v>5114497</v>
          </cell>
          <cell r="CX254">
            <v>5319997</v>
          </cell>
          <cell r="DE254">
            <v>180375</v>
          </cell>
          <cell r="DJ254">
            <v>180375</v>
          </cell>
          <cell r="DO254">
            <v>0</v>
          </cell>
          <cell r="DR254">
            <v>39299</v>
          </cell>
          <cell r="DS254">
            <v>39299</v>
          </cell>
          <cell r="DT254">
            <v>78598</v>
          </cell>
          <cell r="DU254">
            <v>-5061024</v>
          </cell>
          <cell r="ED254" t="str">
            <v>G:\Habitat\OPERATIONNEL HABITAT\02- Operations\Photothèque\images locatifs\ZAC Madeleine\madeleine 1.jpg</v>
          </cell>
          <cell r="EE254" t="str">
            <v>G:\Habitat\OPERATIONNEL HABITAT\02- Operations\Photothèque\images locatifs\ZAC Madeleine\madeleine 2.jpg</v>
          </cell>
        </row>
        <row r="255">
          <cell r="A255" t="str">
            <v>ZANZIBAR</v>
          </cell>
          <cell r="B255">
            <v>9605</v>
          </cell>
          <cell r="C255" t="str">
            <v>OUEST</v>
          </cell>
          <cell r="D255" t="str">
            <v>Saint-Benoît</v>
          </cell>
          <cell r="E255" t="str">
            <v>RHI SAY PISCINE</v>
          </cell>
          <cell r="F255">
            <v>37</v>
          </cell>
          <cell r="G255" t="str">
            <v>LLS</v>
          </cell>
          <cell r="J255" t="str">
            <v>COL</v>
          </cell>
          <cell r="K255" t="str">
            <v>CF</v>
          </cell>
          <cell r="L255" t="str">
            <v>SIDR</v>
          </cell>
          <cell r="M255" t="str">
            <v>maitrisé</v>
          </cell>
          <cell r="N255" t="str">
            <v>JPM</v>
          </cell>
          <cell r="O255" t="str">
            <v>GG</v>
          </cell>
          <cell r="P255" t="str">
            <v>CC</v>
          </cell>
          <cell r="Q255" t="str">
            <v>OP</v>
          </cell>
          <cell r="R255">
            <v>2005</v>
          </cell>
          <cell r="T255" t="str">
            <v>retard livraison consuel/DGI 7/01/2007/eval perene ok/enquette clients</v>
          </cell>
          <cell r="U255" t="str">
            <v>REYNAUD</v>
          </cell>
          <cell r="V255" t="str">
            <v>M - LIVRE/GPA</v>
          </cell>
          <cell r="W255">
            <v>38553</v>
          </cell>
          <cell r="X255" t="str">
            <v>d</v>
          </cell>
          <cell r="Y255" t="str">
            <v>97440705A0063</v>
          </cell>
          <cell r="Z255">
            <v>38727</v>
          </cell>
          <cell r="AA255" t="str">
            <v>o</v>
          </cell>
          <cell r="AB255" t="str">
            <v>validé</v>
          </cell>
          <cell r="AC255" t="str">
            <v/>
          </cell>
          <cell r="AD255">
            <v>38624</v>
          </cell>
          <cell r="AE255">
            <v>38551</v>
          </cell>
          <cell r="AF255" t="str">
            <v>f</v>
          </cell>
          <cell r="AG255">
            <v>38722</v>
          </cell>
          <cell r="AH255">
            <v>38657</v>
          </cell>
          <cell r="AI255" t="str">
            <v>ao</v>
          </cell>
          <cell r="AJ255">
            <v>38859</v>
          </cell>
          <cell r="AK255" t="str">
            <v/>
          </cell>
          <cell r="AL255">
            <v>6.6412414518674385</v>
          </cell>
          <cell r="AM255">
            <v>2006</v>
          </cell>
          <cell r="AN255">
            <v>19</v>
          </cell>
          <cell r="AO255">
            <v>39405</v>
          </cell>
          <cell r="AP255">
            <v>39436</v>
          </cell>
          <cell r="AQ255" t="str">
            <v>li</v>
          </cell>
          <cell r="AR255">
            <v>2007</v>
          </cell>
          <cell r="AS255">
            <v>3</v>
          </cell>
          <cell r="AT255">
            <v>28</v>
          </cell>
          <cell r="AU255">
            <v>1</v>
          </cell>
          <cell r="AV255">
            <v>50</v>
          </cell>
          <cell r="AW255">
            <v>7</v>
          </cell>
          <cell r="AX255">
            <v>58</v>
          </cell>
          <cell r="BA255">
            <v>13</v>
          </cell>
          <cell r="BB255">
            <v>69</v>
          </cell>
          <cell r="BE255">
            <v>10</v>
          </cell>
          <cell r="BF255">
            <v>80</v>
          </cell>
          <cell r="BI255">
            <v>3</v>
          </cell>
          <cell r="BJ255">
            <v>90</v>
          </cell>
          <cell r="BK255">
            <v>37</v>
          </cell>
          <cell r="BL255">
            <v>6.33</v>
          </cell>
          <cell r="BM255">
            <v>0.82</v>
          </cell>
          <cell r="BN255">
            <v>0.2</v>
          </cell>
          <cell r="BO255" t="str">
            <v>signée</v>
          </cell>
          <cell r="BP255">
            <v>0.8</v>
          </cell>
          <cell r="BQ255" t="str">
            <v>signée</v>
          </cell>
          <cell r="BX255" t="str">
            <v>signé</v>
          </cell>
          <cell r="BY255">
            <v>2342</v>
          </cell>
          <cell r="BZ255">
            <v>4735</v>
          </cell>
          <cell r="CA255">
            <v>3036</v>
          </cell>
          <cell r="CE255" t="str">
            <v>ECS ind</v>
          </cell>
          <cell r="CF255">
            <v>136900</v>
          </cell>
          <cell r="CG255">
            <v>41070</v>
          </cell>
          <cell r="CH255">
            <v>61605</v>
          </cell>
          <cell r="CI255" t="str">
            <v>AR 07/2006</v>
          </cell>
          <cell r="CJ255" t="str">
            <v>-</v>
          </cell>
          <cell r="CK255" t="str">
            <v>-</v>
          </cell>
          <cell r="CL255" t="str">
            <v>-</v>
          </cell>
          <cell r="CM255" t="str">
            <v>-</v>
          </cell>
          <cell r="CN255">
            <v>0</v>
          </cell>
          <cell r="CQ255" t="str">
            <v>oui</v>
          </cell>
          <cell r="CR255">
            <v>105966</v>
          </cell>
          <cell r="CT255">
            <v>2696438</v>
          </cell>
          <cell r="CX255">
            <v>2802404</v>
          </cell>
          <cell r="DE255">
            <v>102675</v>
          </cell>
          <cell r="DJ255">
            <v>102675</v>
          </cell>
          <cell r="DO255">
            <v>0</v>
          </cell>
          <cell r="DQ255">
            <v>26393</v>
          </cell>
          <cell r="DS255">
            <v>26393</v>
          </cell>
          <cell r="DT255">
            <v>52786</v>
          </cell>
          <cell r="DU255">
            <v>-2646943</v>
          </cell>
          <cell r="ED255" t="str">
            <v>G:\Habitat\OPERATIONNEL HABITAT\02- Operations\Photothèque\images locatifs\Zanzibar\Zanzibar.jpg</v>
          </cell>
          <cell r="EE255" t="str">
            <v>G:\Habitat\OPERATIONNEL HABITAT\02- Operations\Photothèque\images locatifs\Zanzibar\zanzibar ouest juin 2005 copie.jpg</v>
          </cell>
        </row>
      </sheetData>
      <sheetData sheetId="1" refreshError="1"/>
      <sheetData sheetId="2" refreshError="1">
        <row r="1">
          <cell r="B1" t="str">
            <v>FICHE DE SYNTHESE OPERATION | SIDR | Département CONSTRUCTION</v>
          </cell>
          <cell r="P1">
            <v>39920</v>
          </cell>
        </row>
        <row r="3">
          <cell r="B3" t="str">
            <v>opération</v>
          </cell>
          <cell r="C3" t="str">
            <v>BŒUF MORT 2</v>
          </cell>
          <cell r="O3" t="str">
            <v>N° compte</v>
          </cell>
          <cell r="P3">
            <v>9739</v>
          </cell>
        </row>
        <row r="5">
          <cell r="B5" t="str">
            <v>Données opération</v>
          </cell>
          <cell r="I5" t="str">
            <v>Données Gestion Immobilière</v>
          </cell>
        </row>
        <row r="7">
          <cell r="B7" t="str">
            <v>Nbre L</v>
          </cell>
          <cell r="C7">
            <v>36</v>
          </cell>
          <cell r="E7" t="str">
            <v>COP</v>
          </cell>
          <cell r="F7" t="str">
            <v>JEM</v>
          </cell>
          <cell r="I7" t="str">
            <v>Type</v>
          </cell>
          <cell r="J7" t="str">
            <v>Nbre</v>
          </cell>
          <cell r="K7" t="str">
            <v>surfaces</v>
          </cell>
          <cell r="L7" t="str">
            <v>smini</v>
          </cell>
          <cell r="M7" t="str">
            <v>%age|mini</v>
          </cell>
          <cell r="N7" t="str">
            <v>loyer</v>
          </cell>
          <cell r="O7" t="str">
            <v>charges</v>
          </cell>
          <cell r="P7" t="str">
            <v>total</v>
          </cell>
        </row>
        <row r="8">
          <cell r="B8" t="str">
            <v>produit</v>
          </cell>
          <cell r="C8" t="str">
            <v>LLTS</v>
          </cell>
          <cell r="E8" t="str">
            <v>CTX</v>
          </cell>
          <cell r="F8" t="str">
            <v>DL</v>
          </cell>
          <cell r="I8" t="str">
            <v>t1bis</v>
          </cell>
          <cell r="J8">
            <v>0</v>
          </cell>
          <cell r="K8">
            <v>0</v>
          </cell>
          <cell r="L8">
            <v>30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B9" t="str">
            <v>LBU</v>
          </cell>
          <cell r="C9">
            <v>2009</v>
          </cell>
          <cell r="E9" t="str">
            <v>Maitrise d'œuvre</v>
          </cell>
          <cell r="F9" t="str">
            <v>BERTIN LEBEIGLE</v>
          </cell>
          <cell r="I9" t="str">
            <v>T2</v>
          </cell>
          <cell r="J9">
            <v>0</v>
          </cell>
          <cell r="K9">
            <v>0</v>
          </cell>
          <cell r="L9">
            <v>46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B10" t="str">
            <v>Commune</v>
          </cell>
          <cell r="C10" t="str">
            <v>Possession</v>
          </cell>
          <cell r="E10" t="str">
            <v>Surfaces</v>
          </cell>
          <cell r="I10" t="str">
            <v>T2/3</v>
          </cell>
          <cell r="J10">
            <v>0</v>
          </cell>
          <cell r="K10">
            <v>0</v>
          </cell>
          <cell r="L10">
            <v>56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B11" t="str">
            <v>Localisation</v>
          </cell>
          <cell r="C11">
            <v>0</v>
          </cell>
          <cell r="E11" t="str">
            <v>Sha</v>
          </cell>
          <cell r="F11">
            <v>0</v>
          </cell>
          <cell r="G11" t="str">
            <v>m²</v>
          </cell>
          <cell r="I11" t="str">
            <v>T3</v>
          </cell>
          <cell r="J11">
            <v>0</v>
          </cell>
          <cell r="K11">
            <v>0</v>
          </cell>
          <cell r="L11">
            <v>56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B12" t="str">
            <v>zone</v>
          </cell>
          <cell r="C12" t="str">
            <v>OUEST</v>
          </cell>
          <cell r="E12" t="str">
            <v>Shon</v>
          </cell>
          <cell r="F12">
            <v>0</v>
          </cell>
          <cell r="G12" t="str">
            <v>m²</v>
          </cell>
          <cell r="I12" t="str">
            <v>T3/4</v>
          </cell>
          <cell r="J12">
            <v>0</v>
          </cell>
          <cell r="K12">
            <v>0</v>
          </cell>
          <cell r="L12">
            <v>66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B13" t="str">
            <v>n° compt</v>
          </cell>
          <cell r="C13">
            <v>9739</v>
          </cell>
          <cell r="E13" t="str">
            <v>Shob</v>
          </cell>
          <cell r="F13">
            <v>0</v>
          </cell>
          <cell r="G13" t="str">
            <v>m²</v>
          </cell>
          <cell r="I13" t="str">
            <v>T4</v>
          </cell>
          <cell r="J13">
            <v>0</v>
          </cell>
          <cell r="K13">
            <v>0</v>
          </cell>
          <cell r="L13">
            <v>66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 t="str">
            <v>Origine du foncier</v>
          </cell>
          <cell r="C14" t="str">
            <v>CF</v>
          </cell>
          <cell r="E14" t="str">
            <v>S finançables</v>
          </cell>
          <cell r="F14">
            <v>0</v>
          </cell>
          <cell r="G14" t="str">
            <v>m²</v>
          </cell>
          <cell r="I14" t="str">
            <v>T4/5</v>
          </cell>
          <cell r="J14">
            <v>0</v>
          </cell>
          <cell r="K14">
            <v>0</v>
          </cell>
          <cell r="L14">
            <v>76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>si Charge foncière</v>
          </cell>
          <cell r="C15">
            <v>0</v>
          </cell>
          <cell r="E15" t="str">
            <v>S défiscalisable</v>
          </cell>
          <cell r="F15">
            <v>0</v>
          </cell>
          <cell r="G15" t="str">
            <v>m²</v>
          </cell>
          <cell r="I15" t="str">
            <v>T5</v>
          </cell>
          <cell r="J15">
            <v>0</v>
          </cell>
          <cell r="K15">
            <v>0</v>
          </cell>
          <cell r="L15">
            <v>76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 t="str">
            <v>Maitrise duFoncier</v>
          </cell>
          <cell r="C16" t="str">
            <v>autres</v>
          </cell>
          <cell r="E16" t="str">
            <v>terrain</v>
          </cell>
          <cell r="F16">
            <v>0</v>
          </cell>
          <cell r="G16" t="str">
            <v>m²</v>
          </cell>
          <cell r="I16" t="str">
            <v>T5/6</v>
          </cell>
          <cell r="J16">
            <v>0</v>
          </cell>
          <cell r="K16">
            <v>0</v>
          </cell>
          <cell r="L16">
            <v>86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 t="str">
            <v>Identifier au COS</v>
          </cell>
          <cell r="C17">
            <v>0</v>
          </cell>
          <cell r="E17" t="str">
            <v>S espcaces verts</v>
          </cell>
          <cell r="F17">
            <v>0</v>
          </cell>
          <cell r="G17" t="str">
            <v>m²</v>
          </cell>
          <cell r="I17" t="str">
            <v>Total</v>
          </cell>
          <cell r="J17">
            <v>0</v>
          </cell>
          <cell r="K17">
            <v>0</v>
          </cell>
        </row>
        <row r="18">
          <cell r="B18" t="str">
            <v>PérimètreANRU</v>
          </cell>
          <cell r="C18">
            <v>0</v>
          </cell>
          <cell r="E18" t="str">
            <v>S espaces communs</v>
          </cell>
          <cell r="F18">
            <v>0</v>
          </cell>
          <cell r="G18" t="str">
            <v>m²</v>
          </cell>
          <cell r="N18" t="str">
            <v>loyer prev</v>
          </cell>
          <cell r="O18" t="str">
            <v>charges prev</v>
          </cell>
        </row>
        <row r="19">
          <cell r="J19" t="str">
            <v>surface logement moyen</v>
          </cell>
          <cell r="K19">
            <v>0</v>
          </cell>
          <cell r="N19">
            <v>0</v>
          </cell>
          <cell r="O19">
            <v>0</v>
          </cell>
        </row>
        <row r="21">
          <cell r="B21" t="str">
            <v>Données Avancement</v>
          </cell>
          <cell r="F21" t="str">
            <v>Données Financières</v>
          </cell>
          <cell r="I21" t="str">
            <v>Couts</v>
          </cell>
          <cell r="L21" t="str">
            <v>Réservataires</v>
          </cell>
        </row>
        <row r="23">
          <cell r="B23" t="str">
            <v>AVANCEMENT</v>
          </cell>
          <cell r="C23" t="str">
            <v>D - ESQUISSES</v>
          </cell>
          <cell r="F23" t="str">
            <v>Garanties Emprunts</v>
          </cell>
          <cell r="I23" t="str">
            <v>Charge foncière</v>
          </cell>
          <cell r="J23">
            <v>0</v>
          </cell>
          <cell r="M23" t="str">
            <v>nb lgts</v>
          </cell>
          <cell r="N23" t="str">
            <v>Convention</v>
          </cell>
          <cell r="O23" t="str">
            <v>Montant</v>
          </cell>
          <cell r="P23" t="str">
            <v>% reseva°</v>
          </cell>
        </row>
        <row r="24">
          <cell r="F24" t="str">
            <v>Conseil Général</v>
          </cell>
          <cell r="G24">
            <v>0</v>
          </cell>
          <cell r="I24" t="str">
            <v>dont terrain</v>
          </cell>
          <cell r="J24">
            <v>0</v>
          </cell>
          <cell r="L24" t="str">
            <v>CAF (LLTS)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B25" t="str">
            <v>Dépôt PC</v>
          </cell>
          <cell r="C25">
            <v>39933</v>
          </cell>
          <cell r="D25" t="str">
            <v>prévisionnel</v>
          </cell>
          <cell r="F25" t="str">
            <v>Taux garentie CG</v>
          </cell>
          <cell r="G25">
            <v>0</v>
          </cell>
          <cell r="I25" t="str">
            <v>Bâtiment</v>
          </cell>
          <cell r="J25">
            <v>0</v>
          </cell>
          <cell r="L25" t="str">
            <v>1% ACLPME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N° de permis de construire</v>
          </cell>
          <cell r="C26">
            <v>39933</v>
          </cell>
          <cell r="F26" t="str">
            <v>Commune</v>
          </cell>
          <cell r="G26">
            <v>0</v>
          </cell>
          <cell r="I26" t="str">
            <v>Honoraires</v>
          </cell>
          <cell r="J26">
            <v>0</v>
          </cell>
          <cell r="L26" t="str">
            <v>1% CILR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Obtention PC</v>
          </cell>
          <cell r="C27">
            <v>0</v>
          </cell>
          <cell r="F27" t="str">
            <v>Taux garentie com</v>
          </cell>
          <cell r="G27">
            <v>0</v>
          </cell>
          <cell r="I27" t="str">
            <v>Solaire</v>
          </cell>
          <cell r="J27">
            <v>0</v>
          </cell>
          <cell r="L27" t="str">
            <v>LA POSTE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Comité Engt</v>
          </cell>
          <cell r="C28">
            <v>39524</v>
          </cell>
          <cell r="I28" t="str">
            <v>Interet prefinancement</v>
          </cell>
          <cell r="J28">
            <v>0</v>
          </cell>
          <cell r="L28" t="str">
            <v>Préffecture</v>
          </cell>
          <cell r="P28">
            <v>0</v>
          </cell>
        </row>
        <row r="29">
          <cell r="B29" t="str">
            <v>CA du</v>
          </cell>
          <cell r="C29">
            <v>0</v>
          </cell>
          <cell r="F29" t="str">
            <v>Prêt CDC ou autre</v>
          </cell>
          <cell r="I29" t="str">
            <v>TOTAL</v>
          </cell>
          <cell r="J29">
            <v>0</v>
          </cell>
          <cell r="L29" t="str">
            <v>Commune</v>
          </cell>
          <cell r="P29">
            <v>0</v>
          </cell>
        </row>
        <row r="30">
          <cell r="B30" t="str">
            <v>Dépôt FINCT</v>
          </cell>
          <cell r="C30">
            <v>40040</v>
          </cell>
          <cell r="D30" t="str">
            <v>prévisionnel</v>
          </cell>
          <cell r="F30" t="str">
            <v>Prêt CDC ou autre</v>
          </cell>
          <cell r="G30">
            <v>0</v>
          </cell>
          <cell r="L30" t="str">
            <v>Autres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Décision finct</v>
          </cell>
          <cell r="C31">
            <v>0</v>
          </cell>
          <cell r="D31" t="str">
            <v>réel</v>
          </cell>
        </row>
        <row r="32">
          <cell r="B32" t="str">
            <v>lanct AO</v>
          </cell>
          <cell r="C32">
            <v>40053</v>
          </cell>
          <cell r="D32" t="str">
            <v>prévisionnel</v>
          </cell>
        </row>
        <row r="33">
          <cell r="B33" t="str">
            <v>OS</v>
          </cell>
          <cell r="C33">
            <v>40237</v>
          </cell>
          <cell r="D33" t="str">
            <v>prévisionnel</v>
          </cell>
          <cell r="F33" t="str">
            <v>Défiscalisation</v>
          </cell>
          <cell r="I33" t="str">
            <v>Financement</v>
          </cell>
          <cell r="L33" t="str">
            <v>Ratios</v>
          </cell>
        </row>
        <row r="34">
          <cell r="B34" t="str">
            <v>DOC</v>
          </cell>
          <cell r="C34">
            <v>0</v>
          </cell>
        </row>
        <row r="35">
          <cell r="B35" t="str">
            <v>durée cont. Chantier</v>
          </cell>
          <cell r="C35">
            <v>16</v>
          </cell>
          <cell r="F35" t="str">
            <v>Véhicule fiscal</v>
          </cell>
          <cell r="G35" t="str">
            <v>-</v>
          </cell>
          <cell r="I35" t="str">
            <v>Subventions</v>
          </cell>
          <cell r="J35">
            <v>0</v>
          </cell>
          <cell r="L35" t="str">
            <v>Cout de construction</v>
          </cell>
        </row>
        <row r="36">
          <cell r="B36" t="str">
            <v>DAT &amp; Conformité</v>
          </cell>
          <cell r="C36">
            <v>0</v>
          </cell>
          <cell r="F36" t="str">
            <v>Défiscalisateur</v>
          </cell>
          <cell r="G36" t="str">
            <v>-</v>
          </cell>
          <cell r="I36" t="str">
            <v>Prêts</v>
          </cell>
          <cell r="J36">
            <v>0</v>
          </cell>
          <cell r="L36" t="str">
            <v>ratio CF</v>
          </cell>
          <cell r="M36">
            <v>0</v>
          </cell>
          <cell r="N36" t="str">
            <v>au logt</v>
          </cell>
        </row>
        <row r="37">
          <cell r="B37" t="str">
            <v>LIV contract</v>
          </cell>
          <cell r="C37">
            <v>40722</v>
          </cell>
          <cell r="D37" t="str">
            <v>prévisionnel</v>
          </cell>
          <cell r="F37" t="str">
            <v>Demande d'agrément</v>
          </cell>
          <cell r="G37" t="str">
            <v>-</v>
          </cell>
          <cell r="I37" t="str">
            <v>Fonds propres</v>
          </cell>
          <cell r="J37">
            <v>0</v>
          </cell>
          <cell r="L37" t="str">
            <v>ratio BAT</v>
          </cell>
          <cell r="M37">
            <v>0</v>
          </cell>
          <cell r="N37" t="str">
            <v>m² surface finançable</v>
          </cell>
        </row>
        <row r="38">
          <cell r="B38" t="str">
            <v>LIV reelle</v>
          </cell>
          <cell r="C38">
            <v>40737</v>
          </cell>
          <cell r="D38" t="str">
            <v>prévisionnel</v>
          </cell>
          <cell r="F38" t="str">
            <v>Agrément</v>
          </cell>
          <cell r="G38" t="str">
            <v>-</v>
          </cell>
          <cell r="I38" t="str">
            <v>Apport défisc</v>
          </cell>
          <cell r="J38">
            <v>0</v>
          </cell>
        </row>
        <row r="39">
          <cell r="L39" t="str">
            <v>cout logt</v>
          </cell>
          <cell r="M39">
            <v>0</v>
          </cell>
          <cell r="N39" t="str">
            <v>au logt</v>
          </cell>
        </row>
        <row r="40">
          <cell r="M40">
            <v>0</v>
          </cell>
          <cell r="N40" t="str">
            <v>au m² financable</v>
          </cell>
        </row>
        <row r="41">
          <cell r="L41" t="str">
            <v>FP</v>
          </cell>
          <cell r="M41">
            <v>0</v>
          </cell>
          <cell r="N41" t="str">
            <v>au logt</v>
          </cell>
        </row>
        <row r="42">
          <cell r="B42" t="str">
            <v>Images | Photos du Projet</v>
          </cell>
        </row>
        <row r="43">
          <cell r="B43" t="str">
            <v>G:\Habitat\OPERATIONNEL HABITAT\02- Operations\Photothèque\image non disponible.jpg</v>
          </cell>
          <cell r="C43" t="str">
            <v>G:\Habitat\OPERATIONNEL HABITAT\02- Operations\Photothèque\image non disponible.jpg</v>
          </cell>
          <cell r="J43" t="str">
            <v>G:\Habitat\OPERATIONNEL HABITAT\02- Operations\Photothèque\image non disponible.jpg</v>
          </cell>
        </row>
        <row r="44">
          <cell r="L44" t="str">
            <v>Présentation de l'opération</v>
          </cell>
        </row>
        <row r="46">
          <cell r="L46">
            <v>0</v>
          </cell>
        </row>
        <row r="50">
          <cell r="L50" t="str">
            <v>Adresse de l'opération</v>
          </cell>
        </row>
        <row r="52">
          <cell r="L52" t="str">
            <v>Section cadastral</v>
          </cell>
          <cell r="N52">
            <v>0</v>
          </cell>
        </row>
        <row r="53">
          <cell r="L53" t="str">
            <v>Adresse postale</v>
          </cell>
          <cell r="N53">
            <v>0</v>
          </cell>
        </row>
        <row r="55">
          <cell r="L55" t="str">
            <v>Remarques | Commentaires</v>
          </cell>
        </row>
        <row r="57">
          <cell r="L57" t="str">
            <v>validation tracé chemin bœuf mort/financement vrd/planning vrd - En attente autorisation de construire sur terrain appartenant à l'etat de la part de la DDE afin que la commune puisse accorder le PC - En attente du prix du foncier, le bilan est basé sur 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A4" t="str">
            <v>COP</v>
          </cell>
          <cell r="B4" t="str">
            <v>CTX</v>
          </cell>
          <cell r="C4" t="str">
            <v>ASS</v>
          </cell>
          <cell r="D4" t="str">
            <v>AVANCEMENT</v>
          </cell>
          <cell r="E4" t="str">
            <v>COMMUNES</v>
          </cell>
          <cell r="I4" t="str">
            <v>PRODUIT</v>
          </cell>
          <cell r="J4" t="str">
            <v>FINANCT</v>
          </cell>
          <cell r="K4" t="str">
            <v>FONCIER</v>
          </cell>
          <cell r="L4" t="str">
            <v>AMENAGEUR</v>
          </cell>
          <cell r="M4" t="str">
            <v>garanties emprunts</v>
          </cell>
          <cell r="N4" t="str">
            <v>prêts</v>
          </cell>
          <cell r="O4" t="str">
            <v>probabilité finct LBU</v>
          </cell>
          <cell r="Q4" t="str">
            <v>Defiscalisateur</v>
          </cell>
        </row>
        <row r="5">
          <cell r="A5" t="str">
            <v>PC</v>
          </cell>
          <cell r="B5" t="str">
            <v>PC</v>
          </cell>
          <cell r="C5" t="str">
            <v>AM</v>
          </cell>
          <cell r="D5" t="str">
            <v>A - NON LANCE</v>
          </cell>
          <cell r="E5" t="str">
            <v>Avirons</v>
          </cell>
          <cell r="I5" t="str">
            <v>LOCATIF</v>
          </cell>
          <cell r="J5" t="str">
            <v>LLS</v>
          </cell>
          <cell r="K5" t="str">
            <v>CF</v>
          </cell>
          <cell r="L5" t="str">
            <v>SIDR</v>
          </cell>
          <cell r="M5" t="str">
            <v>à faire</v>
          </cell>
          <cell r="N5" t="str">
            <v>demande à faire</v>
          </cell>
          <cell r="O5">
            <v>1</v>
          </cell>
          <cell r="Q5" t="str">
            <v>INFI</v>
          </cell>
        </row>
        <row r="6">
          <cell r="A6" t="str">
            <v>JPM</v>
          </cell>
          <cell r="B6" t="str">
            <v>DL</v>
          </cell>
          <cell r="C6" t="str">
            <v>CS</v>
          </cell>
          <cell r="D6" t="str">
            <v>B - ETUDE PRE-OP</v>
          </cell>
          <cell r="E6" t="str">
            <v>Bras Panon</v>
          </cell>
          <cell r="I6" t="str">
            <v>ACCESSION</v>
          </cell>
          <cell r="J6" t="str">
            <v>LLTS</v>
          </cell>
          <cell r="K6" t="str">
            <v>RF</v>
          </cell>
          <cell r="L6" t="str">
            <v>SEDRE</v>
          </cell>
          <cell r="M6" t="str">
            <v xml:space="preserve">transmis </v>
          </cell>
          <cell r="O6">
            <v>0.75</v>
          </cell>
          <cell r="Q6" t="str">
            <v>ALCYOM</v>
          </cell>
        </row>
        <row r="7">
          <cell r="A7" t="str">
            <v>JEM</v>
          </cell>
          <cell r="B7" t="str">
            <v>Jmo</v>
          </cell>
          <cell r="C7" t="str">
            <v>CC</v>
          </cell>
          <cell r="D7" t="str">
            <v>C - PROGRAMME</v>
          </cell>
          <cell r="E7" t="str">
            <v>Cilaos</v>
          </cell>
          <cell r="I7" t="str">
            <v>ACCESSION SOCIALE</v>
          </cell>
          <cell r="J7" t="str">
            <v>PLS</v>
          </cell>
          <cell r="K7" t="str">
            <v>ACQ</v>
          </cell>
          <cell r="L7" t="str">
            <v>SEMAC</v>
          </cell>
          <cell r="M7" t="str">
            <v>signée</v>
          </cell>
          <cell r="N7" t="str">
            <v>en attente garanties emprunts</v>
          </cell>
          <cell r="O7">
            <v>0.5</v>
          </cell>
          <cell r="Q7" t="str">
            <v>OUTREMER FINANCE</v>
          </cell>
        </row>
        <row r="8">
          <cell r="A8" t="str">
            <v>Cla</v>
          </cell>
          <cell r="B8" t="str">
            <v>JH</v>
          </cell>
          <cell r="C8" t="str">
            <v>LV</v>
          </cell>
          <cell r="D8" t="str">
            <v>D - ESQUISSES</v>
          </cell>
          <cell r="E8" t="str">
            <v>Entre-Deux</v>
          </cell>
          <cell r="J8" t="str">
            <v>FOY</v>
          </cell>
          <cell r="L8" t="str">
            <v>SEMADER</v>
          </cell>
          <cell r="N8" t="str">
            <v>émis signature garants en cours</v>
          </cell>
          <cell r="O8">
            <v>0.25</v>
          </cell>
          <cell r="Q8" t="str">
            <v>-</v>
          </cell>
        </row>
        <row r="9">
          <cell r="A9" t="str">
            <v>BB</v>
          </cell>
          <cell r="B9" t="str">
            <v>CA</v>
          </cell>
          <cell r="D9" t="str">
            <v>E - APS / PC</v>
          </cell>
          <cell r="E9" t="str">
            <v>Etang-Salé</v>
          </cell>
          <cell r="J9" t="str">
            <v>RPA</v>
          </cell>
          <cell r="L9" t="str">
            <v>SDI</v>
          </cell>
          <cell r="N9" t="str">
            <v>signé</v>
          </cell>
          <cell r="O9">
            <v>0</v>
          </cell>
        </row>
        <row r="10">
          <cell r="A10" t="str">
            <v>BS</v>
          </cell>
          <cell r="B10" t="str">
            <v>FG</v>
          </cell>
          <cell r="D10" t="str">
            <v>F - APD</v>
          </cell>
          <cell r="E10" t="str">
            <v>Petite Ile</v>
          </cell>
          <cell r="J10" t="str">
            <v>LESG</v>
          </cell>
          <cell r="L10" t="str">
            <v>SODIAC</v>
          </cell>
        </row>
        <row r="11">
          <cell r="A11" t="str">
            <v>N.A.</v>
          </cell>
          <cell r="B11" t="str">
            <v>OS</v>
          </cell>
          <cell r="D11" t="str">
            <v>G - PROJET</v>
          </cell>
          <cell r="E11" t="str">
            <v>Plaine des Palmistes</v>
          </cell>
          <cell r="J11" t="str">
            <v>LES+</v>
          </cell>
          <cell r="L11" t="str">
            <v>CBO</v>
          </cell>
        </row>
        <row r="12">
          <cell r="A12" t="str">
            <v>LC</v>
          </cell>
          <cell r="B12" t="str">
            <v>PE</v>
          </cell>
          <cell r="D12" t="str">
            <v>H - APPEL D'OFFRES</v>
          </cell>
          <cell r="E12" t="str">
            <v>Port</v>
          </cell>
          <cell r="J12" t="str">
            <v>LESD</v>
          </cell>
          <cell r="L12" t="str">
            <v>autres</v>
          </cell>
        </row>
        <row r="13">
          <cell r="D13" t="str">
            <v>I - ACT</v>
          </cell>
          <cell r="E13" t="str">
            <v>Possession</v>
          </cell>
          <cell r="J13" t="str">
            <v>ACC</v>
          </cell>
        </row>
        <row r="14">
          <cell r="D14" t="str">
            <v>J - PREPARATION MARCHES</v>
          </cell>
          <cell r="E14" t="str">
            <v>Saint-André</v>
          </cell>
          <cell r="J14" t="str">
            <v>PTZ</v>
          </cell>
        </row>
        <row r="15">
          <cell r="D15" t="str">
            <v>K - OS TRAVAUX</v>
          </cell>
          <cell r="E15" t="str">
            <v>Saint-Benoît</v>
          </cell>
          <cell r="J15" t="str">
            <v>nd</v>
          </cell>
        </row>
        <row r="16">
          <cell r="D16" t="str">
            <v>L - CHANTIER EN COURS</v>
          </cell>
          <cell r="E16" t="str">
            <v>Saint-Denis</v>
          </cell>
        </row>
        <row r="17">
          <cell r="D17" t="str">
            <v>M - LIVRE/GPA</v>
          </cell>
          <cell r="E17" t="str">
            <v>Saint-Joseph</v>
          </cell>
        </row>
        <row r="18">
          <cell r="E18" t="str">
            <v>Saint-Leu</v>
          </cell>
        </row>
        <row r="19">
          <cell r="E19" t="str">
            <v>Saint-Louis</v>
          </cell>
        </row>
        <row r="20">
          <cell r="E20" t="str">
            <v>Saint-Paul</v>
          </cell>
        </row>
        <row r="21">
          <cell r="E21" t="str">
            <v>Saint-Pierre</v>
          </cell>
        </row>
        <row r="22">
          <cell r="E22" t="str">
            <v>Saint-Philippe</v>
          </cell>
        </row>
        <row r="23">
          <cell r="E23" t="str">
            <v>Sainte Marie</v>
          </cell>
        </row>
        <row r="24">
          <cell r="E24" t="str">
            <v>Sainte-Rose</v>
          </cell>
        </row>
        <row r="25">
          <cell r="E25" t="str">
            <v>Sainte-Suzanne</v>
          </cell>
        </row>
        <row r="26">
          <cell r="E26" t="str">
            <v>Salazie</v>
          </cell>
        </row>
        <row r="27">
          <cell r="E27" t="str">
            <v>Tampon</v>
          </cell>
        </row>
        <row r="28">
          <cell r="E28" t="str">
            <v>Trois-Bassins</v>
          </cell>
        </row>
        <row r="32">
          <cell r="A32" t="str">
            <v>OUI NON</v>
          </cell>
          <cell r="D32" t="str">
            <v>maitrise foncier</v>
          </cell>
        </row>
        <row r="33">
          <cell r="A33" t="str">
            <v xml:space="preserve">OUI </v>
          </cell>
          <cell r="D33" t="str">
            <v>non maitrisé</v>
          </cell>
        </row>
        <row r="34">
          <cell r="A34" t="str">
            <v>NON</v>
          </cell>
        </row>
        <row r="35">
          <cell r="D35" t="str">
            <v>sous compromis</v>
          </cell>
        </row>
        <row r="36">
          <cell r="D36" t="str">
            <v>acte signé</v>
          </cell>
        </row>
        <row r="37">
          <cell r="D37" t="str">
            <v>maitrisé</v>
          </cell>
        </row>
        <row r="38">
          <cell r="D38" t="str">
            <v>prob foncier</v>
          </cell>
        </row>
        <row r="40">
          <cell r="D40" t="str">
            <v>acq en DUP</v>
          </cell>
        </row>
        <row r="41">
          <cell r="D41" t="str">
            <v>autres</v>
          </cell>
        </row>
      </sheetData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- Process"/>
      <sheetName val="summary"/>
      <sheetName val="Modele"/>
      <sheetName val="Termination Values"/>
      <sheetName val="Schedules-Doc final-CSA"/>
      <sheetName val="Equity-Advance Rental-Set-Off"/>
      <sheetName val="Charts"/>
      <sheetName val="AIRCRAFT PRICE PAYMENT - CF 1"/>
      <sheetName val="AIRCRAFT PRICE PAYMENT - CF 2"/>
      <sheetName val="Cash Flows"/>
      <sheetName val="Fees Sharing"/>
      <sheetName val="BNP Paribas CF"/>
      <sheetName val="BNP Paribas margin"/>
      <sheetName val="Balance"/>
      <sheetName val="Declining Amort"/>
      <sheetName val="RBT Pur - Reco analytique"/>
      <sheetName val="RBT Global"/>
    </sheetNames>
    <sheetDataSet>
      <sheetData sheetId="0" refreshError="1"/>
      <sheetData sheetId="1" refreshError="1"/>
      <sheetData sheetId="2">
        <row r="6">
          <cell r="E6">
            <v>1.2825</v>
          </cell>
        </row>
        <row r="35">
          <cell r="E35">
            <v>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ép et Terr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unt (2)"/>
      <sheetName val="COROSSOL"/>
      <sheetName val="Sub COROSSOL"/>
      <sheetName val="Surfaces Corossol"/>
      <sheetName val="Hypothèses Investissement"/>
      <sheetName val="Données Exploitation"/>
      <sheetName val="Invest"/>
      <sheetName val="Loyers SCI"/>
      <sheetName val="SCI"/>
      <sheetName val="SCI bis"/>
      <sheetName val="Emprunt"/>
      <sheetName val="Rém Compte séquestre CPI"/>
      <sheetName val="Plans de Financement"/>
      <sheetName val="Schéma"/>
    </sheetNames>
    <sheetDataSet>
      <sheetData sheetId="0"/>
      <sheetData sheetId="1"/>
      <sheetData sheetId="2"/>
      <sheetData sheetId="3">
        <row r="15">
          <cell r="BC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C16">
            <v>1</v>
          </cell>
          <cell r="BD16" t="str">
            <v>I</v>
          </cell>
          <cell r="BE16">
            <v>1</v>
          </cell>
          <cell r="BF16">
            <v>14</v>
          </cell>
          <cell r="BG16">
            <v>30</v>
          </cell>
          <cell r="BH16">
            <v>14</v>
          </cell>
          <cell r="BI16">
            <v>30</v>
          </cell>
          <cell r="BJ16">
            <v>14</v>
          </cell>
          <cell r="BK16">
            <v>30</v>
          </cell>
        </row>
        <row r="17">
          <cell r="BC17">
            <v>1.1000000000000001</v>
          </cell>
          <cell r="BD17" t="str">
            <v>I.bis</v>
          </cell>
          <cell r="BE17" t="str">
            <v>1b</v>
          </cell>
          <cell r="BF17">
            <v>28</v>
          </cell>
          <cell r="BG17">
            <v>50</v>
          </cell>
          <cell r="BH17">
            <v>25</v>
          </cell>
          <cell r="BI17">
            <v>52</v>
          </cell>
          <cell r="BJ17">
            <v>25</v>
          </cell>
          <cell r="BK17">
            <v>52</v>
          </cell>
        </row>
        <row r="18">
          <cell r="BC18">
            <v>1.5</v>
          </cell>
          <cell r="BD18" t="str">
            <v>I+v</v>
          </cell>
          <cell r="BE18" t="str">
            <v>1/2</v>
          </cell>
          <cell r="BF18">
            <v>14</v>
          </cell>
          <cell r="BG18">
            <v>30</v>
          </cell>
          <cell r="BH18">
            <v>14</v>
          </cell>
          <cell r="BI18">
            <v>30</v>
          </cell>
          <cell r="BJ18">
            <v>14</v>
          </cell>
          <cell r="BK18">
            <v>30</v>
          </cell>
        </row>
        <row r="19">
          <cell r="BC19">
            <v>1.6</v>
          </cell>
          <cell r="BD19" t="str">
            <v>I.bis+v</v>
          </cell>
          <cell r="BE19" t="str">
            <v>1b/2</v>
          </cell>
          <cell r="BF19">
            <v>28</v>
          </cell>
          <cell r="BG19">
            <v>50</v>
          </cell>
          <cell r="BH19">
            <v>25</v>
          </cell>
          <cell r="BI19">
            <v>52</v>
          </cell>
          <cell r="BJ19">
            <v>25</v>
          </cell>
          <cell r="BK19">
            <v>52</v>
          </cell>
        </row>
        <row r="20">
          <cell r="BC20">
            <v>2</v>
          </cell>
          <cell r="BD20" t="str">
            <v>II</v>
          </cell>
          <cell r="BE20" t="str">
            <v>2</v>
          </cell>
          <cell r="BF20">
            <v>42</v>
          </cell>
          <cell r="BG20">
            <v>70</v>
          </cell>
          <cell r="BH20">
            <v>42</v>
          </cell>
          <cell r="BI20">
            <v>64</v>
          </cell>
          <cell r="BJ20">
            <v>42</v>
          </cell>
          <cell r="BK20">
            <v>64</v>
          </cell>
        </row>
        <row r="21">
          <cell r="BC21">
            <v>2.5</v>
          </cell>
          <cell r="BD21" t="str">
            <v>II+v</v>
          </cell>
          <cell r="BE21" t="str">
            <v>2/3</v>
          </cell>
          <cell r="BF21">
            <v>56</v>
          </cell>
          <cell r="BG21">
            <v>85</v>
          </cell>
          <cell r="BH21">
            <v>55</v>
          </cell>
          <cell r="BI21">
            <v>90</v>
          </cell>
          <cell r="BJ21">
            <v>55</v>
          </cell>
          <cell r="BK21">
            <v>90</v>
          </cell>
        </row>
        <row r="22">
          <cell r="BC22">
            <v>3</v>
          </cell>
          <cell r="BD22" t="str">
            <v>III</v>
          </cell>
          <cell r="BE22" t="str">
            <v>3</v>
          </cell>
          <cell r="BF22">
            <v>56</v>
          </cell>
          <cell r="BG22">
            <v>85</v>
          </cell>
          <cell r="BH22">
            <v>55</v>
          </cell>
          <cell r="BI22">
            <v>90</v>
          </cell>
          <cell r="BJ22">
            <v>55</v>
          </cell>
          <cell r="BK22">
            <v>90</v>
          </cell>
        </row>
        <row r="23">
          <cell r="BC23">
            <v>3.5</v>
          </cell>
          <cell r="BD23" t="str">
            <v>III+v</v>
          </cell>
          <cell r="BE23" t="str">
            <v>3/4</v>
          </cell>
          <cell r="BF23">
            <v>66</v>
          </cell>
          <cell r="BG23">
            <v>100</v>
          </cell>
          <cell r="BH23">
            <v>66</v>
          </cell>
          <cell r="BI23">
            <v>104</v>
          </cell>
          <cell r="BJ23">
            <v>66</v>
          </cell>
          <cell r="BK23">
            <v>104</v>
          </cell>
        </row>
        <row r="24">
          <cell r="BC24">
            <v>4</v>
          </cell>
          <cell r="BD24" t="str">
            <v>IV</v>
          </cell>
          <cell r="BE24" t="str">
            <v>4</v>
          </cell>
          <cell r="BF24">
            <v>66</v>
          </cell>
          <cell r="BG24">
            <v>100</v>
          </cell>
          <cell r="BH24">
            <v>66</v>
          </cell>
          <cell r="BI24">
            <v>104</v>
          </cell>
          <cell r="BJ24">
            <v>66</v>
          </cell>
          <cell r="BK24">
            <v>104</v>
          </cell>
        </row>
        <row r="25">
          <cell r="BC25">
            <v>4.5</v>
          </cell>
          <cell r="BD25" t="str">
            <v>IV+v</v>
          </cell>
          <cell r="BE25" t="str">
            <v>4/5</v>
          </cell>
          <cell r="BF25">
            <v>76</v>
          </cell>
          <cell r="BG25">
            <v>115</v>
          </cell>
          <cell r="BH25">
            <v>80</v>
          </cell>
          <cell r="BI25">
            <v>126</v>
          </cell>
          <cell r="BJ25">
            <v>80</v>
          </cell>
          <cell r="BK25">
            <v>126</v>
          </cell>
        </row>
        <row r="26">
          <cell r="BC26">
            <v>5</v>
          </cell>
          <cell r="BD26" t="str">
            <v>V</v>
          </cell>
          <cell r="BE26" t="str">
            <v>5</v>
          </cell>
          <cell r="BF26">
            <v>76</v>
          </cell>
          <cell r="BG26">
            <v>115</v>
          </cell>
          <cell r="BH26">
            <v>80</v>
          </cell>
          <cell r="BI26">
            <v>126</v>
          </cell>
          <cell r="BJ26">
            <v>80</v>
          </cell>
          <cell r="BK26">
            <v>126</v>
          </cell>
        </row>
        <row r="27">
          <cell r="BC27">
            <v>5.5</v>
          </cell>
          <cell r="BD27" t="str">
            <v>V+v</v>
          </cell>
          <cell r="BE27" t="str">
            <v>5/6</v>
          </cell>
          <cell r="BF27">
            <v>86</v>
          </cell>
          <cell r="BG27">
            <v>130</v>
          </cell>
          <cell r="BH27">
            <v>90</v>
          </cell>
          <cell r="BI27">
            <v>148</v>
          </cell>
          <cell r="BJ27">
            <v>90</v>
          </cell>
          <cell r="BK27">
            <v>148</v>
          </cell>
        </row>
        <row r="28">
          <cell r="BC28">
            <v>6</v>
          </cell>
          <cell r="BD28" t="str">
            <v>VI</v>
          </cell>
          <cell r="BE28" t="str">
            <v>6</v>
          </cell>
          <cell r="BF28">
            <v>86</v>
          </cell>
          <cell r="BG28">
            <v>130</v>
          </cell>
          <cell r="BH28">
            <v>90</v>
          </cell>
          <cell r="BI28">
            <v>148</v>
          </cell>
          <cell r="BJ28">
            <v>90</v>
          </cell>
          <cell r="BK28">
            <v>148</v>
          </cell>
        </row>
        <row r="29">
          <cell r="BC29">
            <v>6.5</v>
          </cell>
          <cell r="BD29" t="str">
            <v>VI+v</v>
          </cell>
          <cell r="BE29" t="str">
            <v>6/7</v>
          </cell>
          <cell r="BF29">
            <v>96</v>
          </cell>
          <cell r="BG29">
            <v>145</v>
          </cell>
          <cell r="BH29">
            <v>110</v>
          </cell>
          <cell r="BI29">
            <v>176</v>
          </cell>
          <cell r="BJ29">
            <v>110</v>
          </cell>
          <cell r="BK29">
            <v>176</v>
          </cell>
        </row>
        <row r="30">
          <cell r="BC30">
            <v>7</v>
          </cell>
          <cell r="BD30" t="str">
            <v>VII</v>
          </cell>
          <cell r="BE30">
            <v>7</v>
          </cell>
          <cell r="BF30">
            <v>96</v>
          </cell>
          <cell r="BG30">
            <v>145</v>
          </cell>
          <cell r="BH30">
            <v>110</v>
          </cell>
          <cell r="BI30">
            <v>176</v>
          </cell>
          <cell r="BJ30">
            <v>110</v>
          </cell>
          <cell r="BK30">
            <v>176</v>
          </cell>
        </row>
        <row r="31">
          <cell r="BC31">
            <v>7.5</v>
          </cell>
          <cell r="BD31" t="str">
            <v>VII+v</v>
          </cell>
          <cell r="BE31" t="str">
            <v>7/8</v>
          </cell>
          <cell r="BF31">
            <v>106</v>
          </cell>
          <cell r="BG31">
            <v>160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BC32">
            <v>8</v>
          </cell>
          <cell r="BD32" t="str">
            <v>VIII</v>
          </cell>
          <cell r="BE32">
            <v>8</v>
          </cell>
          <cell r="BF32">
            <v>106</v>
          </cell>
          <cell r="BG32">
            <v>160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63">
          <cell r="E63">
            <v>2027.32</v>
          </cell>
        </row>
        <row r="65">
          <cell r="E65">
            <v>948.6</v>
          </cell>
        </row>
        <row r="85">
          <cell r="D85" t="str">
            <v>1 368,64</v>
          </cell>
        </row>
      </sheetData>
      <sheetData sheetId="4">
        <row r="26">
          <cell r="I26">
            <v>4</v>
          </cell>
        </row>
        <row r="38">
          <cell r="J38">
            <v>0.4</v>
          </cell>
        </row>
        <row r="47">
          <cell r="D47">
            <v>1522434.4786581756</v>
          </cell>
        </row>
        <row r="50">
          <cell r="D50">
            <v>624199</v>
          </cell>
        </row>
        <row r="58">
          <cell r="C58">
            <v>0</v>
          </cell>
          <cell r="E58">
            <v>463120</v>
          </cell>
          <cell r="I58" t="str">
            <v>Semestriel</v>
          </cell>
        </row>
      </sheetData>
      <sheetData sheetId="5"/>
      <sheetData sheetId="6"/>
      <sheetData sheetId="7">
        <row r="1">
          <cell r="A1" t="str">
            <v>Annuel</v>
          </cell>
          <cell r="B1">
            <v>1</v>
          </cell>
          <cell r="C1">
            <v>2</v>
          </cell>
          <cell r="D1" t="str">
            <v>secteur libre</v>
          </cell>
          <cell r="E1">
            <v>5</v>
          </cell>
          <cell r="F1">
            <v>6</v>
          </cell>
        </row>
        <row r="2">
          <cell r="A2" t="str">
            <v>Mensuel</v>
          </cell>
          <cell r="B2">
            <v>12</v>
          </cell>
          <cell r="D2" t="str">
            <v>secteur intermédiaire</v>
          </cell>
          <cell r="E2">
            <v>6</v>
          </cell>
        </row>
        <row r="3">
          <cell r="A3" t="str">
            <v>Semestriel</v>
          </cell>
          <cell r="B3">
            <v>2</v>
          </cell>
        </row>
        <row r="4">
          <cell r="A4" t="str">
            <v>Trimestriel</v>
          </cell>
          <cell r="B4">
            <v>4</v>
          </cell>
        </row>
        <row r="11">
          <cell r="G11">
            <v>40178</v>
          </cell>
          <cell r="H11">
            <v>2009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F12">
            <v>0</v>
          </cell>
          <cell r="G12">
            <v>40359</v>
          </cell>
          <cell r="H12">
            <v>2010</v>
          </cell>
          <cell r="I12">
            <v>0</v>
          </cell>
          <cell r="J12">
            <v>0</v>
          </cell>
          <cell r="K12">
            <v>0</v>
          </cell>
          <cell r="L12">
            <v>761.26666666666665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 t="str">
            <v>Semestriel</v>
          </cell>
          <cell r="F13">
            <v>0</v>
          </cell>
          <cell r="G13">
            <v>40543</v>
          </cell>
          <cell r="H13">
            <v>2010</v>
          </cell>
          <cell r="I13">
            <v>0</v>
          </cell>
          <cell r="J13">
            <v>0</v>
          </cell>
          <cell r="K13">
            <v>0</v>
          </cell>
          <cell r="L13">
            <v>761.26666666666665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F14">
            <v>0</v>
          </cell>
          <cell r="G14">
            <v>40724</v>
          </cell>
          <cell r="H14">
            <v>2011</v>
          </cell>
          <cell r="I14">
            <v>0</v>
          </cell>
          <cell r="J14">
            <v>0</v>
          </cell>
          <cell r="K14">
            <v>0</v>
          </cell>
          <cell r="L14">
            <v>761.26666666666665</v>
          </cell>
          <cell r="M14">
            <v>0</v>
          </cell>
          <cell r="N14">
            <v>0</v>
          </cell>
          <cell r="O14">
            <v>0</v>
          </cell>
          <cell r="P14">
            <v>8100</v>
          </cell>
          <cell r="Q14">
            <v>2250</v>
          </cell>
          <cell r="R14">
            <v>0</v>
          </cell>
          <cell r="S14">
            <v>0</v>
          </cell>
        </row>
        <row r="15">
          <cell r="F15">
            <v>1</v>
          </cell>
          <cell r="G15">
            <v>40908</v>
          </cell>
          <cell r="H15">
            <v>2011</v>
          </cell>
          <cell r="I15">
            <v>36083.646143999998</v>
          </cell>
          <cell r="J15">
            <v>36083.646143999998</v>
          </cell>
          <cell r="K15">
            <v>0</v>
          </cell>
          <cell r="L15">
            <v>761.26666666666665</v>
          </cell>
          <cell r="M15">
            <v>7216.7292287999999</v>
          </cell>
          <cell r="N15">
            <v>721.67292287999999</v>
          </cell>
          <cell r="O15">
            <v>0</v>
          </cell>
          <cell r="P15">
            <v>8100</v>
          </cell>
          <cell r="Q15">
            <v>2250</v>
          </cell>
          <cell r="R15">
            <v>0</v>
          </cell>
          <cell r="S15">
            <v>0</v>
          </cell>
        </row>
        <row r="16">
          <cell r="F16">
            <v>2</v>
          </cell>
          <cell r="G16">
            <v>41090</v>
          </cell>
          <cell r="H16">
            <v>2012</v>
          </cell>
          <cell r="I16">
            <v>36083.646143999998</v>
          </cell>
          <cell r="J16">
            <v>36083.646143999998</v>
          </cell>
          <cell r="K16">
            <v>0</v>
          </cell>
          <cell r="L16">
            <v>761.26666666666665</v>
          </cell>
          <cell r="M16">
            <v>7216.7292287999999</v>
          </cell>
          <cell r="N16">
            <v>721.67292287999999</v>
          </cell>
          <cell r="O16">
            <v>0</v>
          </cell>
          <cell r="P16">
            <v>8302.5</v>
          </cell>
          <cell r="Q16">
            <v>2306.25</v>
          </cell>
          <cell r="R16">
            <v>0</v>
          </cell>
          <cell r="S16">
            <v>0</v>
          </cell>
        </row>
        <row r="17">
          <cell r="F17">
            <v>3</v>
          </cell>
          <cell r="G17">
            <v>41274</v>
          </cell>
          <cell r="H17">
            <v>2012</v>
          </cell>
          <cell r="I17">
            <v>36805.319066880002</v>
          </cell>
          <cell r="J17">
            <v>36805.319066880002</v>
          </cell>
          <cell r="K17">
            <v>0</v>
          </cell>
          <cell r="L17">
            <v>761.26666666666665</v>
          </cell>
          <cell r="M17">
            <v>7361.0638133760003</v>
          </cell>
          <cell r="N17">
            <v>736.10638133760006</v>
          </cell>
          <cell r="O17">
            <v>0</v>
          </cell>
          <cell r="P17">
            <v>8302.5</v>
          </cell>
          <cell r="Q17">
            <v>2306.25</v>
          </cell>
          <cell r="R17">
            <v>0</v>
          </cell>
          <cell r="S17">
            <v>0</v>
          </cell>
        </row>
        <row r="18">
          <cell r="F18">
            <v>4</v>
          </cell>
          <cell r="G18">
            <v>41455</v>
          </cell>
          <cell r="H18">
            <v>2013</v>
          </cell>
          <cell r="I18">
            <v>36805.319066880002</v>
          </cell>
          <cell r="J18">
            <v>36805.319066880002</v>
          </cell>
          <cell r="K18">
            <v>0</v>
          </cell>
          <cell r="L18">
            <v>761.26666666666665</v>
          </cell>
          <cell r="M18">
            <v>7361.0638133760003</v>
          </cell>
          <cell r="N18">
            <v>736.10638133760006</v>
          </cell>
          <cell r="O18">
            <v>0</v>
          </cell>
          <cell r="P18">
            <v>8510.0625</v>
          </cell>
          <cell r="Q18">
            <v>2363.90625</v>
          </cell>
          <cell r="R18">
            <v>0</v>
          </cell>
          <cell r="S18">
            <v>0</v>
          </cell>
        </row>
        <row r="19">
          <cell r="F19">
            <v>5</v>
          </cell>
          <cell r="G19">
            <v>41639</v>
          </cell>
          <cell r="H19">
            <v>2013</v>
          </cell>
          <cell r="I19">
            <v>37541.425448217604</v>
          </cell>
          <cell r="J19">
            <v>37541.425448217604</v>
          </cell>
          <cell r="K19">
            <v>0</v>
          </cell>
          <cell r="L19">
            <v>761.26666666666665</v>
          </cell>
          <cell r="M19">
            <v>7508.2850896435211</v>
          </cell>
          <cell r="N19">
            <v>750.82850896435207</v>
          </cell>
          <cell r="O19">
            <v>0</v>
          </cell>
          <cell r="P19">
            <v>8510.0625</v>
          </cell>
          <cell r="Q19">
            <v>2363.90625</v>
          </cell>
          <cell r="R19">
            <v>0</v>
          </cell>
          <cell r="S19">
            <v>0</v>
          </cell>
        </row>
        <row r="20">
          <cell r="F20">
            <v>6</v>
          </cell>
          <cell r="G20">
            <v>41820</v>
          </cell>
          <cell r="H20">
            <v>2014</v>
          </cell>
          <cell r="I20">
            <v>37541.425448217604</v>
          </cell>
          <cell r="J20">
            <v>37541.425448217604</v>
          </cell>
          <cell r="K20">
            <v>0</v>
          </cell>
          <cell r="L20">
            <v>761.26666666666665</v>
          </cell>
          <cell r="M20">
            <v>7508.2850896435211</v>
          </cell>
          <cell r="N20">
            <v>750.82850896435207</v>
          </cell>
          <cell r="O20">
            <v>0</v>
          </cell>
          <cell r="P20">
            <v>8722.8140624999996</v>
          </cell>
          <cell r="Q20">
            <v>2423.00390625</v>
          </cell>
          <cell r="R20">
            <v>0</v>
          </cell>
          <cell r="S20">
            <v>0</v>
          </cell>
        </row>
        <row r="21">
          <cell r="F21">
            <v>7</v>
          </cell>
          <cell r="G21">
            <v>42004</v>
          </cell>
          <cell r="H21">
            <v>2014</v>
          </cell>
          <cell r="I21">
            <v>38292.253957181958</v>
          </cell>
          <cell r="J21">
            <v>38292.253957181958</v>
          </cell>
          <cell r="K21">
            <v>0</v>
          </cell>
          <cell r="L21">
            <v>761.26666666666665</v>
          </cell>
          <cell r="M21">
            <v>7658.4507914363921</v>
          </cell>
          <cell r="N21">
            <v>765.84507914363917</v>
          </cell>
          <cell r="O21">
            <v>0</v>
          </cell>
          <cell r="P21">
            <v>8722.8140624999996</v>
          </cell>
          <cell r="Q21">
            <v>2423.00390625</v>
          </cell>
          <cell r="R21">
            <v>0</v>
          </cell>
          <cell r="S21">
            <v>0</v>
          </cell>
        </row>
        <row r="22">
          <cell r="F22">
            <v>8</v>
          </cell>
          <cell r="G22">
            <v>42185</v>
          </cell>
          <cell r="H22">
            <v>2015</v>
          </cell>
          <cell r="I22">
            <v>38292.253957181958</v>
          </cell>
          <cell r="J22">
            <v>38292.253957181958</v>
          </cell>
          <cell r="K22">
            <v>0</v>
          </cell>
          <cell r="L22">
            <v>761.26666666666665</v>
          </cell>
          <cell r="M22">
            <v>7658.4507914363921</v>
          </cell>
          <cell r="N22">
            <v>765.84507914363917</v>
          </cell>
          <cell r="O22">
            <v>0</v>
          </cell>
          <cell r="P22">
            <v>8940.8844140624988</v>
          </cell>
          <cell r="Q22">
            <v>2483.5790039062499</v>
          </cell>
          <cell r="R22">
            <v>0</v>
          </cell>
          <cell r="S22">
            <v>0</v>
          </cell>
        </row>
        <row r="23">
          <cell r="F23">
            <v>9</v>
          </cell>
          <cell r="G23">
            <v>42369</v>
          </cell>
          <cell r="H23">
            <v>2015</v>
          </cell>
          <cell r="I23">
            <v>39058.099036325599</v>
          </cell>
          <cell r="J23">
            <v>39058.099036325599</v>
          </cell>
          <cell r="K23">
            <v>0</v>
          </cell>
          <cell r="L23">
            <v>761.26666666666665</v>
          </cell>
          <cell r="M23">
            <v>7811.6198072651205</v>
          </cell>
          <cell r="N23">
            <v>781.16198072651196</v>
          </cell>
          <cell r="O23">
            <v>0</v>
          </cell>
          <cell r="P23">
            <v>8940.8844140624988</v>
          </cell>
          <cell r="Q23">
            <v>2483.5790039062499</v>
          </cell>
          <cell r="R23">
            <v>0</v>
          </cell>
          <cell r="S23">
            <v>0</v>
          </cell>
        </row>
        <row r="24">
          <cell r="F24">
            <v>10</v>
          </cell>
          <cell r="G24">
            <v>42551</v>
          </cell>
          <cell r="H24">
            <v>2016</v>
          </cell>
          <cell r="I24">
            <v>39058.099036325599</v>
          </cell>
          <cell r="J24">
            <v>39058.099036325599</v>
          </cell>
          <cell r="K24">
            <v>0</v>
          </cell>
          <cell r="L24">
            <v>761.26666666666665</v>
          </cell>
          <cell r="M24">
            <v>7811.6198072651205</v>
          </cell>
          <cell r="N24">
            <v>781.16198072651196</v>
          </cell>
          <cell r="O24">
            <v>0</v>
          </cell>
          <cell r="P24">
            <v>9164.4065244140602</v>
          </cell>
          <cell r="Q24">
            <v>2545.6684790039058</v>
          </cell>
          <cell r="R24">
            <v>0</v>
          </cell>
          <cell r="S24">
            <v>0</v>
          </cell>
        </row>
        <row r="25">
          <cell r="F25">
            <v>11</v>
          </cell>
          <cell r="G25">
            <v>42735</v>
          </cell>
          <cell r="H25">
            <v>2016</v>
          </cell>
          <cell r="I25">
            <v>39839.261017052115</v>
          </cell>
          <cell r="J25">
            <v>39839.261017052115</v>
          </cell>
          <cell r="K25">
            <v>0</v>
          </cell>
          <cell r="L25">
            <v>761.26666666666665</v>
          </cell>
          <cell r="M25">
            <v>7967.8522034104235</v>
          </cell>
          <cell r="N25">
            <v>796.7852203410423</v>
          </cell>
          <cell r="O25">
            <v>4625.7845422465316</v>
          </cell>
          <cell r="P25">
            <v>9164.4065244140602</v>
          </cell>
          <cell r="Q25">
            <v>2545.6684790039058</v>
          </cell>
          <cell r="R25">
            <v>0</v>
          </cell>
          <cell r="S25">
            <v>0</v>
          </cell>
        </row>
        <row r="26">
          <cell r="F26">
            <v>12</v>
          </cell>
          <cell r="G26">
            <v>42916</v>
          </cell>
          <cell r="H26">
            <v>2017</v>
          </cell>
          <cell r="I26">
            <v>39839.261017052115</v>
          </cell>
          <cell r="J26">
            <v>39839.261017052115</v>
          </cell>
          <cell r="K26">
            <v>0</v>
          </cell>
          <cell r="L26">
            <v>761.26666666666665</v>
          </cell>
          <cell r="M26">
            <v>7967.8522034104235</v>
          </cell>
          <cell r="N26">
            <v>796.7852203410423</v>
          </cell>
          <cell r="O26">
            <v>4625.7845422465316</v>
          </cell>
          <cell r="P26">
            <v>9393.5166875244104</v>
          </cell>
          <cell r="Q26">
            <v>2609.310190979003</v>
          </cell>
          <cell r="R26">
            <v>0</v>
          </cell>
          <cell r="S26">
            <v>0</v>
          </cell>
        </row>
        <row r="27">
          <cell r="F27">
            <v>13</v>
          </cell>
          <cell r="G27">
            <v>43100</v>
          </cell>
          <cell r="H27">
            <v>2017</v>
          </cell>
          <cell r="I27">
            <v>40636.046237393159</v>
          </cell>
          <cell r="J27">
            <v>40636.046237393159</v>
          </cell>
          <cell r="K27">
            <v>0</v>
          </cell>
          <cell r="L27">
            <v>0</v>
          </cell>
          <cell r="M27">
            <v>8127.2092474786323</v>
          </cell>
          <cell r="N27">
            <v>812.72092474786314</v>
          </cell>
          <cell r="O27">
            <v>4741.4291558026944</v>
          </cell>
          <cell r="P27">
            <v>9393.5166875244104</v>
          </cell>
          <cell r="Q27">
            <v>2609.310190979003</v>
          </cell>
          <cell r="R27">
            <v>0</v>
          </cell>
          <cell r="S27">
            <v>0</v>
          </cell>
        </row>
        <row r="28">
          <cell r="F28">
            <v>14</v>
          </cell>
          <cell r="G28">
            <v>43281</v>
          </cell>
          <cell r="H28">
            <v>2018</v>
          </cell>
          <cell r="I28">
            <v>40636.046237393159</v>
          </cell>
          <cell r="J28">
            <v>40636.046237393159</v>
          </cell>
          <cell r="K28">
            <v>0</v>
          </cell>
          <cell r="L28">
            <v>0</v>
          </cell>
          <cell r="M28">
            <v>8127.2092474786323</v>
          </cell>
          <cell r="N28">
            <v>812.72092474786314</v>
          </cell>
          <cell r="O28">
            <v>4741.4291558026944</v>
          </cell>
          <cell r="P28">
            <v>9628.3546047125201</v>
          </cell>
          <cell r="Q28">
            <v>2674.5429457534779</v>
          </cell>
          <cell r="R28">
            <v>0</v>
          </cell>
          <cell r="S28">
            <v>0</v>
          </cell>
        </row>
        <row r="29">
          <cell r="F29">
            <v>15</v>
          </cell>
          <cell r="G29">
            <v>43465</v>
          </cell>
          <cell r="H29">
            <v>2018</v>
          </cell>
          <cell r="I29">
            <v>41448.767162141019</v>
          </cell>
          <cell r="J29">
            <v>41448.767162141019</v>
          </cell>
          <cell r="K29">
            <v>0</v>
          </cell>
          <cell r="L29">
            <v>0</v>
          </cell>
          <cell r="M29">
            <v>8289.7534324282042</v>
          </cell>
          <cell r="N29">
            <v>828.97534324282037</v>
          </cell>
          <cell r="O29">
            <v>4859.9648846977616</v>
          </cell>
          <cell r="P29">
            <v>9628.3546047125201</v>
          </cell>
          <cell r="Q29">
            <v>2674.5429457534779</v>
          </cell>
          <cell r="R29">
            <v>0</v>
          </cell>
          <cell r="S29">
            <v>0</v>
          </cell>
        </row>
        <row r="30">
          <cell r="F30">
            <v>16</v>
          </cell>
          <cell r="G30">
            <v>43646</v>
          </cell>
          <cell r="H30">
            <v>2019</v>
          </cell>
          <cell r="I30">
            <v>41448.767162141019</v>
          </cell>
          <cell r="J30">
            <v>41448.767162141019</v>
          </cell>
          <cell r="K30">
            <v>0</v>
          </cell>
          <cell r="L30">
            <v>0</v>
          </cell>
          <cell r="M30">
            <v>8289.7534324282042</v>
          </cell>
          <cell r="N30">
            <v>828.97534324282037</v>
          </cell>
          <cell r="O30">
            <v>4859.9648846977616</v>
          </cell>
          <cell r="P30">
            <v>9869.0634698303329</v>
          </cell>
          <cell r="Q30">
            <v>2741.4065193973147</v>
          </cell>
          <cell r="R30">
            <v>0</v>
          </cell>
          <cell r="S30">
            <v>0</v>
          </cell>
        </row>
        <row r="31">
          <cell r="F31">
            <v>17</v>
          </cell>
          <cell r="G31">
            <v>43830</v>
          </cell>
          <cell r="H31">
            <v>2019</v>
          </cell>
          <cell r="I31">
            <v>42277.742505383838</v>
          </cell>
          <cell r="J31">
            <v>42277.742505383838</v>
          </cell>
          <cell r="K31">
            <v>0</v>
          </cell>
          <cell r="L31">
            <v>0</v>
          </cell>
          <cell r="M31">
            <v>8455.5485010767679</v>
          </cell>
          <cell r="N31">
            <v>845.55485010767677</v>
          </cell>
          <cell r="O31">
            <v>4981.4640068152048</v>
          </cell>
          <cell r="P31">
            <v>9869.0634698303329</v>
          </cell>
          <cell r="Q31">
            <v>2741.4065193973147</v>
          </cell>
          <cell r="R31">
            <v>0</v>
          </cell>
          <cell r="S31">
            <v>0</v>
          </cell>
        </row>
        <row r="32">
          <cell r="F32">
            <v>18</v>
          </cell>
          <cell r="G32">
            <v>44012</v>
          </cell>
          <cell r="H32">
            <v>2020</v>
          </cell>
          <cell r="I32">
            <v>42277.742505383838</v>
          </cell>
          <cell r="J32">
            <v>42277.742505383838</v>
          </cell>
          <cell r="K32">
            <v>0</v>
          </cell>
          <cell r="L32">
            <v>0</v>
          </cell>
          <cell r="M32">
            <v>8455.5485010767679</v>
          </cell>
          <cell r="N32">
            <v>845.55485010767677</v>
          </cell>
          <cell r="O32">
            <v>4981.4640068152048</v>
          </cell>
          <cell r="P32">
            <v>10115.79005657609</v>
          </cell>
          <cell r="Q32">
            <v>2809.9416823822471</v>
          </cell>
          <cell r="R32">
            <v>0</v>
          </cell>
          <cell r="S32">
            <v>0</v>
          </cell>
        </row>
        <row r="33">
          <cell r="F33">
            <v>19</v>
          </cell>
          <cell r="G33">
            <v>44196</v>
          </cell>
          <cell r="H33">
            <v>2020</v>
          </cell>
          <cell r="I33">
            <v>43123.297355491515</v>
          </cell>
          <cell r="J33">
            <v>43123.297355491515</v>
          </cell>
          <cell r="K33">
            <v>0</v>
          </cell>
          <cell r="L33">
            <v>0</v>
          </cell>
          <cell r="M33">
            <v>8624.6594710983027</v>
          </cell>
          <cell r="N33">
            <v>862.46594710983027</v>
          </cell>
          <cell r="O33">
            <v>5106.0006069855845</v>
          </cell>
          <cell r="P33">
            <v>10115.79005657609</v>
          </cell>
          <cell r="Q33">
            <v>2809.9416823822471</v>
          </cell>
          <cell r="R33">
            <v>0</v>
          </cell>
          <cell r="S33">
            <v>0</v>
          </cell>
        </row>
        <row r="34">
          <cell r="F34">
            <v>20</v>
          </cell>
          <cell r="G34">
            <v>44377</v>
          </cell>
          <cell r="H34">
            <v>2021</v>
          </cell>
          <cell r="I34">
            <v>43123.297355491515</v>
          </cell>
          <cell r="J34">
            <v>43123.297355491515</v>
          </cell>
          <cell r="K34">
            <v>0</v>
          </cell>
          <cell r="L34">
            <v>0</v>
          </cell>
          <cell r="M34">
            <v>8624.6594710983027</v>
          </cell>
          <cell r="N34">
            <v>862.46594710983027</v>
          </cell>
          <cell r="O34">
            <v>5106.0006069855845</v>
          </cell>
          <cell r="P34">
            <v>10368.684807990492</v>
          </cell>
          <cell r="Q34">
            <v>2880.1902244418029</v>
          </cell>
          <cell r="R34">
            <v>0</v>
          </cell>
          <cell r="S34">
            <v>0</v>
          </cell>
        </row>
        <row r="35">
          <cell r="F35">
            <v>21</v>
          </cell>
          <cell r="G35">
            <v>44561</v>
          </cell>
          <cell r="H35">
            <v>2021</v>
          </cell>
          <cell r="I35">
            <v>43985.763302601343</v>
          </cell>
          <cell r="J35">
            <v>43985.763302601343</v>
          </cell>
          <cell r="K35">
            <v>0</v>
          </cell>
          <cell r="L35">
            <v>0</v>
          </cell>
          <cell r="M35">
            <v>8797.1526605202689</v>
          </cell>
          <cell r="N35">
            <v>879.71526605202689</v>
          </cell>
          <cell r="O35">
            <v>5233.650622160224</v>
          </cell>
          <cell r="P35">
            <v>10368.684807990492</v>
          </cell>
          <cell r="Q35">
            <v>2880.1902244418029</v>
          </cell>
          <cell r="R35">
            <v>0</v>
          </cell>
          <cell r="S35">
            <v>0</v>
          </cell>
        </row>
        <row r="36">
          <cell r="F36">
            <v>22</v>
          </cell>
          <cell r="G36">
            <v>44742</v>
          </cell>
          <cell r="H36">
            <v>2022</v>
          </cell>
          <cell r="I36">
            <v>43985.763302601343</v>
          </cell>
          <cell r="J36">
            <v>43985.763302601343</v>
          </cell>
          <cell r="K36">
            <v>0</v>
          </cell>
          <cell r="L36">
            <v>0</v>
          </cell>
          <cell r="M36">
            <v>8797.1526605202689</v>
          </cell>
          <cell r="N36">
            <v>879.71526605202689</v>
          </cell>
          <cell r="O36">
            <v>5233.650622160224</v>
          </cell>
          <cell r="P36">
            <v>10627.901928190253</v>
          </cell>
          <cell r="Q36">
            <v>2952.1949800528478</v>
          </cell>
          <cell r="R36">
            <v>0</v>
          </cell>
          <cell r="S36">
            <v>0</v>
          </cell>
        </row>
        <row r="37">
          <cell r="F37">
            <v>23</v>
          </cell>
          <cell r="G37">
            <v>44926</v>
          </cell>
          <cell r="H37">
            <v>2022</v>
          </cell>
          <cell r="I37">
            <v>44865.478568653372</v>
          </cell>
          <cell r="J37">
            <v>44865.478568653372</v>
          </cell>
          <cell r="K37">
            <v>0</v>
          </cell>
          <cell r="L37">
            <v>0</v>
          </cell>
          <cell r="M37">
            <v>8973.0957137306741</v>
          </cell>
          <cell r="N37">
            <v>897.30957137306746</v>
          </cell>
          <cell r="O37">
            <v>5364.4918877142291</v>
          </cell>
          <cell r="P37">
            <v>10627.901928190253</v>
          </cell>
          <cell r="Q37">
            <v>2952.1949800528478</v>
          </cell>
          <cell r="R37">
            <v>0</v>
          </cell>
          <cell r="S37">
            <v>0</v>
          </cell>
        </row>
        <row r="38">
          <cell r="F38">
            <v>24</v>
          </cell>
          <cell r="G38">
            <v>45107</v>
          </cell>
          <cell r="H38">
            <v>2023</v>
          </cell>
          <cell r="I38">
            <v>44865.478568653372</v>
          </cell>
          <cell r="J38">
            <v>44865.478568653372</v>
          </cell>
          <cell r="K38">
            <v>0</v>
          </cell>
          <cell r="L38">
            <v>0</v>
          </cell>
          <cell r="M38">
            <v>8973.0957137306741</v>
          </cell>
          <cell r="N38">
            <v>897.30957137306746</v>
          </cell>
          <cell r="O38">
            <v>5364.4918877142291</v>
          </cell>
          <cell r="P38">
            <v>10893.599476395008</v>
          </cell>
          <cell r="Q38">
            <v>3025.9998545541689</v>
          </cell>
          <cell r="R38">
            <v>0</v>
          </cell>
          <cell r="S38">
            <v>0</v>
          </cell>
        </row>
        <row r="39">
          <cell r="F39">
            <v>25</v>
          </cell>
          <cell r="G39">
            <v>45291</v>
          </cell>
          <cell r="H39">
            <v>2023</v>
          </cell>
          <cell r="I39">
            <v>45762.788140026438</v>
          </cell>
          <cell r="J39">
            <v>45762.788140026438</v>
          </cell>
          <cell r="K39">
            <v>0</v>
          </cell>
          <cell r="L39">
            <v>0</v>
          </cell>
          <cell r="M39">
            <v>9152.5576280052883</v>
          </cell>
          <cell r="N39">
            <v>915.25576280052883</v>
          </cell>
          <cell r="O39">
            <v>5498.6041849070843</v>
          </cell>
          <cell r="P39">
            <v>10893.599476395008</v>
          </cell>
          <cell r="Q39">
            <v>3025.9998545541689</v>
          </cell>
          <cell r="R39">
            <v>0</v>
          </cell>
          <cell r="S39">
            <v>0</v>
          </cell>
        </row>
        <row r="40">
          <cell r="F40">
            <v>26</v>
          </cell>
          <cell r="G40">
            <v>45473</v>
          </cell>
          <cell r="H40">
            <v>2024</v>
          </cell>
          <cell r="I40">
            <v>45762.788140026438</v>
          </cell>
          <cell r="J40">
            <v>45762.788140026438</v>
          </cell>
          <cell r="K40">
            <v>0</v>
          </cell>
          <cell r="L40">
            <v>0</v>
          </cell>
          <cell r="M40">
            <v>9152.5576280052883</v>
          </cell>
          <cell r="N40">
            <v>915.25576280052883</v>
          </cell>
          <cell r="O40">
            <v>5498.6041849070843</v>
          </cell>
          <cell r="P40">
            <v>11165.939463304881</v>
          </cell>
          <cell r="Q40">
            <v>3101.6498509180228</v>
          </cell>
          <cell r="R40">
            <v>0</v>
          </cell>
          <cell r="S40">
            <v>0</v>
          </cell>
        </row>
        <row r="41">
          <cell r="F41">
            <v>27</v>
          </cell>
          <cell r="G41">
            <v>45657</v>
          </cell>
          <cell r="H41">
            <v>2024</v>
          </cell>
          <cell r="I41">
            <v>46678.043902826968</v>
          </cell>
          <cell r="J41">
            <v>46678.043902826968</v>
          </cell>
          <cell r="K41">
            <v>0</v>
          </cell>
          <cell r="L41">
            <v>0</v>
          </cell>
          <cell r="M41">
            <v>9335.6087805653933</v>
          </cell>
          <cell r="N41">
            <v>933.56087805653942</v>
          </cell>
          <cell r="O41">
            <v>5636.0692895297607</v>
          </cell>
          <cell r="P41">
            <v>11165.939463304881</v>
          </cell>
          <cell r="Q41">
            <v>3101.6498509180228</v>
          </cell>
          <cell r="R41">
            <v>0</v>
          </cell>
          <cell r="S41">
            <v>0</v>
          </cell>
        </row>
        <row r="42">
          <cell r="F42">
            <v>28</v>
          </cell>
          <cell r="G42">
            <v>45838</v>
          </cell>
          <cell r="H42">
            <v>2025</v>
          </cell>
          <cell r="I42">
            <v>46678.043902826968</v>
          </cell>
          <cell r="J42">
            <v>46678.043902826968</v>
          </cell>
          <cell r="K42">
            <v>0</v>
          </cell>
          <cell r="L42">
            <v>0</v>
          </cell>
          <cell r="M42">
            <v>9335.6087805653933</v>
          </cell>
          <cell r="N42">
            <v>933.56087805653942</v>
          </cell>
          <cell r="O42">
            <v>5636.0692895297607</v>
          </cell>
          <cell r="P42">
            <v>11445.087949887502</v>
          </cell>
          <cell r="Q42">
            <v>3179.1910971909733</v>
          </cell>
          <cell r="R42">
            <v>0</v>
          </cell>
          <cell r="S42">
            <v>0</v>
          </cell>
        </row>
        <row r="43">
          <cell r="F43">
            <v>29</v>
          </cell>
          <cell r="G43">
            <v>46022</v>
          </cell>
          <cell r="H43">
            <v>2025</v>
          </cell>
          <cell r="I43">
            <v>47611.604780883506</v>
          </cell>
          <cell r="J43">
            <v>47611.604780883506</v>
          </cell>
          <cell r="K43">
            <v>0</v>
          </cell>
          <cell r="L43">
            <v>0</v>
          </cell>
          <cell r="M43">
            <v>9522.3209561767017</v>
          </cell>
          <cell r="N43">
            <v>952.2320956176701</v>
          </cell>
          <cell r="O43">
            <v>5776.971021768004</v>
          </cell>
          <cell r="P43">
            <v>11445.087949887502</v>
          </cell>
          <cell r="Q43">
            <v>3179.1910971909733</v>
          </cell>
          <cell r="R43">
            <v>0</v>
          </cell>
          <cell r="S43">
            <v>0</v>
          </cell>
        </row>
        <row r="44">
          <cell r="F44">
            <v>30</v>
          </cell>
          <cell r="G44">
            <v>46203</v>
          </cell>
          <cell r="H44">
            <v>2026</v>
          </cell>
          <cell r="I44">
            <v>47611.604780883506</v>
          </cell>
          <cell r="J44">
            <v>47611.604780883506</v>
          </cell>
          <cell r="K44">
            <v>0</v>
          </cell>
          <cell r="L44">
            <v>0</v>
          </cell>
          <cell r="M44">
            <v>9522.3209561767017</v>
          </cell>
          <cell r="N44">
            <v>952.2320956176701</v>
          </cell>
          <cell r="O44">
            <v>5776.971021768004</v>
          </cell>
          <cell r="P44">
            <v>11731.215148634688</v>
          </cell>
          <cell r="Q44">
            <v>3258.6708746207473</v>
          </cell>
          <cell r="R44">
            <v>0</v>
          </cell>
          <cell r="S44">
            <v>0</v>
          </cell>
        </row>
        <row r="45">
          <cell r="F45">
            <v>31</v>
          </cell>
          <cell r="G45">
            <v>46387</v>
          </cell>
          <cell r="H45">
            <v>2026</v>
          </cell>
          <cell r="I45">
            <v>48563.836876501176</v>
          </cell>
          <cell r="J45">
            <v>48563.836876501176</v>
          </cell>
          <cell r="K45">
            <v>0</v>
          </cell>
          <cell r="L45">
            <v>0</v>
          </cell>
          <cell r="M45">
            <v>9712.7673753002364</v>
          </cell>
          <cell r="N45">
            <v>971.27673753002352</v>
          </cell>
          <cell r="O45">
            <v>5921.3952973122032</v>
          </cell>
          <cell r="P45">
            <v>11731.215148634688</v>
          </cell>
          <cell r="Q45">
            <v>3258.6708746207473</v>
          </cell>
          <cell r="R45">
            <v>0</v>
          </cell>
          <cell r="S45">
            <v>0</v>
          </cell>
        </row>
        <row r="46">
          <cell r="F46">
            <v>32</v>
          </cell>
          <cell r="G46">
            <v>46568</v>
          </cell>
          <cell r="H46">
            <v>2027</v>
          </cell>
          <cell r="I46">
            <v>48563.836876501176</v>
          </cell>
          <cell r="J46">
            <v>48563.836876501176</v>
          </cell>
          <cell r="K46">
            <v>0</v>
          </cell>
          <cell r="L46">
            <v>0</v>
          </cell>
          <cell r="M46">
            <v>9712.7673753002364</v>
          </cell>
          <cell r="N46">
            <v>971.27673753002352</v>
          </cell>
          <cell r="O46">
            <v>5921.3952973122032</v>
          </cell>
          <cell r="P46">
            <v>12024.495527350555</v>
          </cell>
          <cell r="Q46">
            <v>3340.1376464862656</v>
          </cell>
          <cell r="R46">
            <v>0</v>
          </cell>
          <cell r="S46">
            <v>0</v>
          </cell>
        </row>
        <row r="47">
          <cell r="F47">
            <v>33</v>
          </cell>
          <cell r="G47">
            <v>46752</v>
          </cell>
          <cell r="H47">
            <v>2027</v>
          </cell>
          <cell r="I47">
            <v>49535.113614031201</v>
          </cell>
          <cell r="J47">
            <v>49535.113614031201</v>
          </cell>
          <cell r="K47">
            <v>0</v>
          </cell>
          <cell r="L47">
            <v>0</v>
          </cell>
          <cell r="M47">
            <v>9907.0227228062413</v>
          </cell>
          <cell r="N47">
            <v>990.70227228062402</v>
          </cell>
          <cell r="O47">
            <v>6069.430179745008</v>
          </cell>
          <cell r="P47">
            <v>12024.495527350555</v>
          </cell>
          <cell r="Q47">
            <v>3340.1376464862656</v>
          </cell>
          <cell r="R47">
            <v>0</v>
          </cell>
          <cell r="S47">
            <v>0</v>
          </cell>
        </row>
        <row r="48">
          <cell r="F48">
            <v>34</v>
          </cell>
          <cell r="G48">
            <v>46934</v>
          </cell>
          <cell r="H48">
            <v>2028</v>
          </cell>
          <cell r="I48">
            <v>49535.113614031201</v>
          </cell>
          <cell r="J48">
            <v>49535.113614031201</v>
          </cell>
          <cell r="K48">
            <v>0</v>
          </cell>
          <cell r="L48">
            <v>0</v>
          </cell>
          <cell r="M48">
            <v>9907.0227228062413</v>
          </cell>
          <cell r="N48">
            <v>990.70227228062402</v>
          </cell>
          <cell r="O48">
            <v>6069.430179745008</v>
          </cell>
          <cell r="P48">
            <v>12325.107915534318</v>
          </cell>
          <cell r="Q48">
            <v>3423.6410876484219</v>
          </cell>
          <cell r="R48">
            <v>0</v>
          </cell>
          <cell r="S48">
            <v>0</v>
          </cell>
        </row>
        <row r="49">
          <cell r="F49">
            <v>35</v>
          </cell>
          <cell r="G49">
            <v>47118</v>
          </cell>
          <cell r="H49">
            <v>2028</v>
          </cell>
          <cell r="I49">
            <v>50525.815886311822</v>
          </cell>
          <cell r="J49">
            <v>50525.815886311822</v>
          </cell>
          <cell r="K49">
            <v>0</v>
          </cell>
          <cell r="L49">
            <v>0</v>
          </cell>
          <cell r="M49">
            <v>10105.163177262366</v>
          </cell>
          <cell r="N49">
            <v>1010.5163177262365</v>
          </cell>
          <cell r="O49">
            <v>6221.1659342386329</v>
          </cell>
          <cell r="P49">
            <v>12325.107915534318</v>
          </cell>
          <cell r="Q49">
            <v>3423.6410876484219</v>
          </cell>
          <cell r="R49">
            <v>0</v>
          </cell>
          <cell r="S49">
            <v>0</v>
          </cell>
        </row>
        <row r="50">
          <cell r="F50">
            <v>36</v>
          </cell>
          <cell r="G50">
            <v>47299</v>
          </cell>
          <cell r="H50">
            <v>2029</v>
          </cell>
          <cell r="I50">
            <v>50525.815886311822</v>
          </cell>
          <cell r="J50">
            <v>50525.815886311822</v>
          </cell>
          <cell r="K50">
            <v>0</v>
          </cell>
          <cell r="L50">
            <v>0</v>
          </cell>
          <cell r="M50">
            <v>10105.163177262366</v>
          </cell>
          <cell r="N50">
            <v>1010.5163177262365</v>
          </cell>
          <cell r="O50">
            <v>6221.1659342386329</v>
          </cell>
          <cell r="P50">
            <v>12633.235613422674</v>
          </cell>
          <cell r="Q50">
            <v>3509.2321148396322</v>
          </cell>
          <cell r="R50">
            <v>0</v>
          </cell>
          <cell r="S50">
            <v>0</v>
          </cell>
        </row>
        <row r="51">
          <cell r="F51">
            <v>37</v>
          </cell>
          <cell r="G51">
            <v>47483</v>
          </cell>
          <cell r="H51">
            <v>2029</v>
          </cell>
          <cell r="I51">
            <v>51536.332204038059</v>
          </cell>
          <cell r="J51">
            <v>51536.332204038059</v>
          </cell>
          <cell r="K51">
            <v>0</v>
          </cell>
          <cell r="L51">
            <v>0</v>
          </cell>
          <cell r="M51">
            <v>10307.266440807613</v>
          </cell>
          <cell r="N51">
            <v>1030.7266440807612</v>
          </cell>
          <cell r="O51">
            <v>6376.6950825945978</v>
          </cell>
          <cell r="P51">
            <v>12633.235613422674</v>
          </cell>
          <cell r="Q51">
            <v>3509.2321148396322</v>
          </cell>
          <cell r="R51">
            <v>0</v>
          </cell>
          <cell r="S51">
            <v>0</v>
          </cell>
        </row>
        <row r="52">
          <cell r="F52">
            <v>38</v>
          </cell>
          <cell r="G52">
            <v>47664</v>
          </cell>
          <cell r="H52">
            <v>2030</v>
          </cell>
          <cell r="I52">
            <v>51536.332204038059</v>
          </cell>
          <cell r="J52">
            <v>51536.332204038059</v>
          </cell>
          <cell r="K52">
            <v>0</v>
          </cell>
          <cell r="L52">
            <v>0</v>
          </cell>
          <cell r="M52">
            <v>10307.266440807613</v>
          </cell>
          <cell r="N52">
            <v>1030.7266440807612</v>
          </cell>
          <cell r="O52">
            <v>6376.6950825945978</v>
          </cell>
          <cell r="P52">
            <v>12949.06650375824</v>
          </cell>
          <cell r="Q52">
            <v>3596.9629177106226</v>
          </cell>
          <cell r="R52">
            <v>0</v>
          </cell>
          <cell r="S52">
            <v>0</v>
          </cell>
        </row>
        <row r="53">
          <cell r="F53">
            <v>39</v>
          </cell>
          <cell r="G53">
            <v>47848</v>
          </cell>
          <cell r="H53">
            <v>2030</v>
          </cell>
          <cell r="I53">
            <v>52567.058848118824</v>
          </cell>
          <cell r="J53">
            <v>52567.058848118824</v>
          </cell>
          <cell r="K53">
            <v>0</v>
          </cell>
          <cell r="L53">
            <v>0</v>
          </cell>
          <cell r="M53">
            <v>10513.411769623766</v>
          </cell>
          <cell r="N53">
            <v>1051.3411769623765</v>
          </cell>
          <cell r="O53">
            <v>6536.1124596594618</v>
          </cell>
          <cell r="P53">
            <v>12949.06650375824</v>
          </cell>
          <cell r="Q53">
            <v>3596.9629177106226</v>
          </cell>
          <cell r="R53">
            <v>0</v>
          </cell>
          <cell r="S53">
            <v>0</v>
          </cell>
        </row>
        <row r="54">
          <cell r="F54">
            <v>40</v>
          </cell>
          <cell r="G54">
            <v>48029</v>
          </cell>
          <cell r="H54">
            <v>2031</v>
          </cell>
          <cell r="I54">
            <v>52567.058848118824</v>
          </cell>
          <cell r="J54">
            <v>52567.058848118824</v>
          </cell>
          <cell r="K54">
            <v>0</v>
          </cell>
          <cell r="L54">
            <v>0</v>
          </cell>
          <cell r="M54">
            <v>10513.411769623766</v>
          </cell>
          <cell r="N54">
            <v>1051.3411769623765</v>
          </cell>
          <cell r="O54">
            <v>6536.1124596594618</v>
          </cell>
          <cell r="P54">
            <v>13272.793166352196</v>
          </cell>
          <cell r="Q54">
            <v>3686.8869906533878</v>
          </cell>
          <cell r="R54">
            <v>0</v>
          </cell>
          <cell r="S54">
            <v>0</v>
          </cell>
        </row>
        <row r="55">
          <cell r="F55">
            <v>41</v>
          </cell>
          <cell r="G55">
            <v>48213</v>
          </cell>
          <cell r="H55">
            <v>2031</v>
          </cell>
          <cell r="I55">
            <v>53618.400025081202</v>
          </cell>
          <cell r="J55">
            <v>53618.400025081202</v>
          </cell>
          <cell r="K55">
            <v>0</v>
          </cell>
          <cell r="L55">
            <v>0</v>
          </cell>
          <cell r="M55">
            <v>10723.680005016242</v>
          </cell>
          <cell r="N55">
            <v>1072.368000501624</v>
          </cell>
          <cell r="O55">
            <v>6699.5152711509481</v>
          </cell>
          <cell r="P55">
            <v>13272.793166352196</v>
          </cell>
          <cell r="Q55">
            <v>3686.8869906533878</v>
          </cell>
          <cell r="R55">
            <v>0</v>
          </cell>
          <cell r="S55">
            <v>0</v>
          </cell>
        </row>
        <row r="56">
          <cell r="F56">
            <v>42</v>
          </cell>
          <cell r="G56">
            <v>48395</v>
          </cell>
          <cell r="H56">
            <v>2032</v>
          </cell>
          <cell r="I56">
            <v>53618.400025081202</v>
          </cell>
          <cell r="J56">
            <v>53618.400025081202</v>
          </cell>
          <cell r="K56">
            <v>0</v>
          </cell>
          <cell r="L56">
            <v>0</v>
          </cell>
          <cell r="M56">
            <v>10723.680005016242</v>
          </cell>
          <cell r="N56">
            <v>1072.368000501624</v>
          </cell>
          <cell r="O56">
            <v>6699.5152711509481</v>
          </cell>
          <cell r="P56">
            <v>13604.612995510999</v>
          </cell>
          <cell r="Q56">
            <v>3779.0591654197224</v>
          </cell>
          <cell r="R56">
            <v>0</v>
          </cell>
          <cell r="S56">
            <v>0</v>
          </cell>
        </row>
        <row r="57">
          <cell r="F57">
            <v>43</v>
          </cell>
          <cell r="G57">
            <v>48579</v>
          </cell>
          <cell r="H57">
            <v>2032</v>
          </cell>
          <cell r="I57">
            <v>54690.768025582831</v>
          </cell>
          <cell r="J57">
            <v>54690.768025582831</v>
          </cell>
          <cell r="K57">
            <v>0</v>
          </cell>
          <cell r="L57">
            <v>0</v>
          </cell>
          <cell r="M57">
            <v>10938.153605116568</v>
          </cell>
          <cell r="N57">
            <v>1093.8153605116565</v>
          </cell>
          <cell r="O57">
            <v>6867.0031529297212</v>
          </cell>
          <cell r="P57">
            <v>13604.612995510999</v>
          </cell>
          <cell r="Q57">
            <v>3779.0591654197224</v>
          </cell>
          <cell r="R57">
            <v>0</v>
          </cell>
          <cell r="S57">
            <v>0</v>
          </cell>
        </row>
        <row r="58">
          <cell r="F58">
            <v>44</v>
          </cell>
          <cell r="G58">
            <v>48760</v>
          </cell>
          <cell r="H58">
            <v>2033</v>
          </cell>
          <cell r="I58">
            <v>54690.768025582831</v>
          </cell>
          <cell r="J58">
            <v>54690.768025582831</v>
          </cell>
          <cell r="K58">
            <v>0</v>
          </cell>
          <cell r="L58">
            <v>0</v>
          </cell>
          <cell r="M58">
            <v>10938.153605116568</v>
          </cell>
          <cell r="N58">
            <v>1093.8153605116565</v>
          </cell>
          <cell r="O58">
            <v>6867.0031529297212</v>
          </cell>
          <cell r="P58">
            <v>13944.728320398774</v>
          </cell>
          <cell r="Q58">
            <v>3873.5356445552152</v>
          </cell>
          <cell r="R58">
            <v>0</v>
          </cell>
          <cell r="S58">
            <v>0</v>
          </cell>
        </row>
        <row r="59">
          <cell r="F59">
            <v>45</v>
          </cell>
          <cell r="G59">
            <v>48944</v>
          </cell>
          <cell r="H59">
            <v>2033</v>
          </cell>
          <cell r="I59">
            <v>55784.583386094491</v>
          </cell>
          <cell r="J59">
            <v>55784.583386094491</v>
          </cell>
          <cell r="K59">
            <v>0</v>
          </cell>
          <cell r="L59">
            <v>0</v>
          </cell>
          <cell r="M59">
            <v>11156.916677218898</v>
          </cell>
          <cell r="N59">
            <v>1115.6916677218899</v>
          </cell>
          <cell r="O59">
            <v>7038.6782317529633</v>
          </cell>
          <cell r="P59">
            <v>13944.728320398774</v>
          </cell>
          <cell r="Q59">
            <v>3873.5356445552152</v>
          </cell>
          <cell r="R59">
            <v>0</v>
          </cell>
          <cell r="S59">
            <v>0</v>
          </cell>
        </row>
        <row r="60">
          <cell r="F60">
            <v>46</v>
          </cell>
          <cell r="G60">
            <v>49125</v>
          </cell>
          <cell r="H60">
            <v>2034</v>
          </cell>
          <cell r="I60">
            <v>55784.583386094491</v>
          </cell>
          <cell r="J60">
            <v>55784.583386094491</v>
          </cell>
          <cell r="K60">
            <v>0</v>
          </cell>
          <cell r="L60">
            <v>0</v>
          </cell>
          <cell r="M60">
            <v>11156.916677218898</v>
          </cell>
          <cell r="N60">
            <v>1115.6916677218899</v>
          </cell>
          <cell r="O60">
            <v>7038.6782317529633</v>
          </cell>
          <cell r="P60">
            <v>14293.346528408742</v>
          </cell>
          <cell r="Q60">
            <v>3970.3740356690951</v>
          </cell>
          <cell r="R60">
            <v>0</v>
          </cell>
          <cell r="S60">
            <v>0</v>
          </cell>
        </row>
        <row r="61">
          <cell r="F61">
            <v>47</v>
          </cell>
          <cell r="G61">
            <v>49309</v>
          </cell>
          <cell r="H61">
            <v>2034</v>
          </cell>
          <cell r="I61">
            <v>56900.275053816382</v>
          </cell>
          <cell r="J61">
            <v>56900.275053816382</v>
          </cell>
          <cell r="K61">
            <v>0</v>
          </cell>
          <cell r="L61">
            <v>0</v>
          </cell>
          <cell r="M61">
            <v>11380.055010763277</v>
          </cell>
          <cell r="N61">
            <v>1138.0055010763276</v>
          </cell>
          <cell r="O61">
            <v>7214.6451875467865</v>
          </cell>
          <cell r="P61">
            <v>14293.346528408742</v>
          </cell>
          <cell r="Q61">
            <v>3970.3740356690951</v>
          </cell>
          <cell r="R61">
            <v>0</v>
          </cell>
          <cell r="S61">
            <v>0</v>
          </cell>
        </row>
        <row r="62">
          <cell r="F62">
            <v>48</v>
          </cell>
          <cell r="G62">
            <v>49490</v>
          </cell>
          <cell r="H62">
            <v>2035</v>
          </cell>
          <cell r="I62">
            <v>56900.275053816382</v>
          </cell>
          <cell r="J62">
            <v>56900.275053816382</v>
          </cell>
          <cell r="K62">
            <v>0</v>
          </cell>
          <cell r="L62">
            <v>0</v>
          </cell>
          <cell r="M62">
            <v>11380.055010763277</v>
          </cell>
          <cell r="N62">
            <v>1138.0055010763276</v>
          </cell>
          <cell r="O62">
            <v>7214.6451875467865</v>
          </cell>
          <cell r="P62">
            <v>14650.680191618958</v>
          </cell>
          <cell r="Q62">
            <v>4069.6333865608221</v>
          </cell>
          <cell r="R62">
            <v>0</v>
          </cell>
          <cell r="S62">
            <v>0</v>
          </cell>
        </row>
        <row r="63">
          <cell r="F63">
            <v>49</v>
          </cell>
          <cell r="G63">
            <v>49674</v>
          </cell>
          <cell r="H63">
            <v>2035</v>
          </cell>
          <cell r="I63">
            <v>58038.280554892714</v>
          </cell>
          <cell r="J63">
            <v>58038.280554892714</v>
          </cell>
          <cell r="K63">
            <v>0</v>
          </cell>
          <cell r="L63">
            <v>0</v>
          </cell>
          <cell r="M63">
            <v>11607.656110978543</v>
          </cell>
          <cell r="N63">
            <v>1160.7656110978544</v>
          </cell>
          <cell r="O63">
            <v>7395.0113172354559</v>
          </cell>
          <cell r="P63">
            <v>14650.680191618958</v>
          </cell>
          <cell r="Q63">
            <v>4069.6333865608221</v>
          </cell>
          <cell r="R63">
            <v>9000</v>
          </cell>
          <cell r="S63">
            <v>9000</v>
          </cell>
        </row>
        <row r="64">
          <cell r="F64">
            <v>50</v>
          </cell>
          <cell r="G64">
            <v>49856</v>
          </cell>
          <cell r="H64">
            <v>2036</v>
          </cell>
          <cell r="I64">
            <v>58038.280554892714</v>
          </cell>
          <cell r="J64">
            <v>58038.280554892714</v>
          </cell>
          <cell r="K64">
            <v>0</v>
          </cell>
          <cell r="L64">
            <v>0</v>
          </cell>
          <cell r="M64">
            <v>11607.656110978543</v>
          </cell>
          <cell r="N64">
            <v>1160.7656110978544</v>
          </cell>
          <cell r="O64">
            <v>7395.0113172354559</v>
          </cell>
          <cell r="P64">
            <v>15016.94719640943</v>
          </cell>
          <cell r="Q64">
            <v>4171.3742212248426</v>
          </cell>
          <cell r="R64">
            <v>0</v>
          </cell>
          <cell r="S64">
            <v>0</v>
          </cell>
        </row>
        <row r="65">
          <cell r="F65">
            <v>51</v>
          </cell>
          <cell r="G65">
            <v>50040</v>
          </cell>
          <cell r="H65">
            <v>2036</v>
          </cell>
          <cell r="I65">
            <v>59199.04616599057</v>
          </cell>
          <cell r="J65">
            <v>59199.04616599057</v>
          </cell>
          <cell r="K65">
            <v>0</v>
          </cell>
          <cell r="L65">
            <v>0</v>
          </cell>
          <cell r="M65">
            <v>11839.809233198115</v>
          </cell>
          <cell r="N65">
            <v>1183.9809233198114</v>
          </cell>
          <cell r="O65">
            <v>7579.8866001663419</v>
          </cell>
          <cell r="P65">
            <v>15016.94719640943</v>
          </cell>
          <cell r="Q65">
            <v>4171.3742212248426</v>
          </cell>
          <cell r="R65">
            <v>9180</v>
          </cell>
          <cell r="S65">
            <v>9180</v>
          </cell>
        </row>
        <row r="66">
          <cell r="F66">
            <v>52</v>
          </cell>
          <cell r="G66">
            <v>50221</v>
          </cell>
          <cell r="H66">
            <v>2037</v>
          </cell>
          <cell r="I66">
            <v>59199.04616599057</v>
          </cell>
          <cell r="J66">
            <v>59199.04616599057</v>
          </cell>
          <cell r="K66">
            <v>0</v>
          </cell>
          <cell r="L66">
            <v>0</v>
          </cell>
          <cell r="M66">
            <v>11839.809233198115</v>
          </cell>
          <cell r="N66">
            <v>1183.9809233198114</v>
          </cell>
          <cell r="O66">
            <v>7579.8866001663419</v>
          </cell>
          <cell r="P66">
            <v>15392.370876319665</v>
          </cell>
          <cell r="Q66">
            <v>4275.6585767554634</v>
          </cell>
          <cell r="R66">
            <v>0</v>
          </cell>
          <cell r="S66">
            <v>0</v>
          </cell>
        </row>
        <row r="67">
          <cell r="F67">
            <v>53</v>
          </cell>
          <cell r="G67">
            <v>50405</v>
          </cell>
          <cell r="H67">
            <v>2037</v>
          </cell>
          <cell r="I67">
            <v>60383.027089310381</v>
          </cell>
          <cell r="J67">
            <v>60383.027089310381</v>
          </cell>
          <cell r="K67">
            <v>0</v>
          </cell>
          <cell r="L67">
            <v>0</v>
          </cell>
          <cell r="M67">
            <v>12076.605417862076</v>
          </cell>
          <cell r="N67">
            <v>1207.6605417862077</v>
          </cell>
          <cell r="O67">
            <v>7769.3837651704998</v>
          </cell>
          <cell r="P67">
            <v>15392.370876319665</v>
          </cell>
          <cell r="Q67">
            <v>4275.6585767554634</v>
          </cell>
          <cell r="R67">
            <v>9363.6</v>
          </cell>
          <cell r="S67">
            <v>9363.6</v>
          </cell>
        </row>
        <row r="68">
          <cell r="F68">
            <v>54</v>
          </cell>
          <cell r="G68">
            <v>50586</v>
          </cell>
          <cell r="H68">
            <v>2038</v>
          </cell>
          <cell r="I68">
            <v>60383.027089310381</v>
          </cell>
          <cell r="J68">
            <v>60383.027089310381</v>
          </cell>
          <cell r="K68">
            <v>0</v>
          </cell>
          <cell r="L68">
            <v>0</v>
          </cell>
          <cell r="M68">
            <v>12076.605417862076</v>
          </cell>
          <cell r="N68">
            <v>1207.6605417862077</v>
          </cell>
          <cell r="O68">
            <v>7769.3837651704998</v>
          </cell>
          <cell r="P68">
            <v>15777.180148227655</v>
          </cell>
          <cell r="Q68">
            <v>4382.5500411743496</v>
          </cell>
          <cell r="R68">
            <v>0</v>
          </cell>
          <cell r="S68">
            <v>0</v>
          </cell>
        </row>
        <row r="69">
          <cell r="F69">
            <v>55</v>
          </cell>
          <cell r="G69">
            <v>50770</v>
          </cell>
          <cell r="H69">
            <v>2038</v>
          </cell>
          <cell r="I69">
            <v>61590.687631096589</v>
          </cell>
          <cell r="J69">
            <v>61590.687631096589</v>
          </cell>
          <cell r="K69">
            <v>0</v>
          </cell>
          <cell r="L69">
            <v>0</v>
          </cell>
          <cell r="M69">
            <v>12318.137526219318</v>
          </cell>
          <cell r="N69">
            <v>1231.8137526219318</v>
          </cell>
          <cell r="O69">
            <v>7963.6183592997613</v>
          </cell>
          <cell r="P69">
            <v>15777.180148227655</v>
          </cell>
          <cell r="Q69">
            <v>4382.5500411743496</v>
          </cell>
          <cell r="R69">
            <v>9550.8720000000012</v>
          </cell>
          <cell r="S69">
            <v>9550.8720000000012</v>
          </cell>
        </row>
        <row r="70">
          <cell r="F70">
            <v>56</v>
          </cell>
          <cell r="G70">
            <v>50951</v>
          </cell>
          <cell r="H70">
            <v>2039</v>
          </cell>
          <cell r="I70">
            <v>61590.687631096589</v>
          </cell>
          <cell r="J70">
            <v>61590.687631096589</v>
          </cell>
          <cell r="K70">
            <v>0</v>
          </cell>
          <cell r="L70">
            <v>0</v>
          </cell>
          <cell r="M70">
            <v>12318.137526219318</v>
          </cell>
          <cell r="N70">
            <v>1231.8137526219318</v>
          </cell>
          <cell r="O70">
            <v>7963.6183592997613</v>
          </cell>
          <cell r="P70">
            <v>16171.609651933346</v>
          </cell>
          <cell r="Q70">
            <v>4492.1137922037078</v>
          </cell>
          <cell r="R70">
            <v>0</v>
          </cell>
          <cell r="S70">
            <v>0</v>
          </cell>
        </row>
        <row r="71">
          <cell r="F71">
            <v>57</v>
          </cell>
          <cell r="G71">
            <v>51135</v>
          </cell>
          <cell r="H71">
            <v>2039</v>
          </cell>
          <cell r="I71">
            <v>62822.501383718525</v>
          </cell>
          <cell r="J71">
            <v>62822.501383718525</v>
          </cell>
          <cell r="K71">
            <v>0</v>
          </cell>
          <cell r="L71">
            <v>0</v>
          </cell>
          <cell r="M71">
            <v>12564.500276743705</v>
          </cell>
          <cell r="N71">
            <v>1256.4500276743706</v>
          </cell>
          <cell r="O71">
            <v>8162.7088182822545</v>
          </cell>
          <cell r="P71">
            <v>16171.609651933346</v>
          </cell>
          <cell r="Q71">
            <v>4492.1137922037078</v>
          </cell>
          <cell r="R71">
            <v>9741.8894400000008</v>
          </cell>
          <cell r="S71">
            <v>9741.8894400000008</v>
          </cell>
        </row>
        <row r="72">
          <cell r="F72">
            <v>58</v>
          </cell>
          <cell r="G72">
            <v>51317</v>
          </cell>
          <cell r="H72">
            <v>2040</v>
          </cell>
          <cell r="I72">
            <v>62822.501383718525</v>
          </cell>
          <cell r="J72">
            <v>62822.501383718525</v>
          </cell>
          <cell r="K72">
            <v>0</v>
          </cell>
          <cell r="L72">
            <v>0</v>
          </cell>
          <cell r="M72">
            <v>12564.500276743705</v>
          </cell>
          <cell r="N72">
            <v>1256.4500276743706</v>
          </cell>
          <cell r="O72">
            <v>8162.7088182822545</v>
          </cell>
          <cell r="P72">
            <v>16575.899893231679</v>
          </cell>
          <cell r="Q72">
            <v>4604.4166370088005</v>
          </cell>
          <cell r="R72">
            <v>0</v>
          </cell>
          <cell r="S72">
            <v>0</v>
          </cell>
        </row>
        <row r="73">
          <cell r="F73">
            <v>59</v>
          </cell>
          <cell r="G73">
            <v>51501</v>
          </cell>
          <cell r="H73">
            <v>2040</v>
          </cell>
          <cell r="I73">
            <v>64078.951411392896</v>
          </cell>
          <cell r="J73">
            <v>64078.951411392896</v>
          </cell>
          <cell r="K73">
            <v>0</v>
          </cell>
          <cell r="L73">
            <v>0</v>
          </cell>
          <cell r="M73">
            <v>12815.79028227858</v>
          </cell>
          <cell r="N73">
            <v>1281.5790282278579</v>
          </cell>
          <cell r="O73">
            <v>8366.7765387393101</v>
          </cell>
          <cell r="P73">
            <v>16575.899893231679</v>
          </cell>
          <cell r="Q73">
            <v>4604.4166370088005</v>
          </cell>
          <cell r="R73">
            <v>9936.7272288000004</v>
          </cell>
          <cell r="S73">
            <v>9936.7272288000004</v>
          </cell>
        </row>
        <row r="74">
          <cell r="F74">
            <v>60</v>
          </cell>
          <cell r="G74">
            <v>51682</v>
          </cell>
          <cell r="H74">
            <v>2041</v>
          </cell>
          <cell r="I74">
            <v>64078.951411392896</v>
          </cell>
          <cell r="J74">
            <v>64078.951411392896</v>
          </cell>
          <cell r="K74">
            <v>0</v>
          </cell>
          <cell r="L74">
            <v>0</v>
          </cell>
          <cell r="M74">
            <v>12815.79028227858</v>
          </cell>
          <cell r="N74">
            <v>1281.5790282278579</v>
          </cell>
          <cell r="O74">
            <v>8366.7765387393101</v>
          </cell>
          <cell r="P74">
            <v>16990.297390562471</v>
          </cell>
          <cell r="Q74">
            <v>4719.5270529340205</v>
          </cell>
          <cell r="R74">
            <v>0</v>
          </cell>
          <cell r="S74">
            <v>0</v>
          </cell>
        </row>
        <row r="75">
          <cell r="F75">
            <v>61</v>
          </cell>
          <cell r="G75">
            <v>51866</v>
          </cell>
          <cell r="H75">
            <v>2041</v>
          </cell>
          <cell r="I75">
            <v>65360.530439620758</v>
          </cell>
          <cell r="J75">
            <v>65360.530439620758</v>
          </cell>
          <cell r="K75">
            <v>0</v>
          </cell>
          <cell r="L75">
            <v>0</v>
          </cell>
          <cell r="M75">
            <v>13072.106087924152</v>
          </cell>
          <cell r="N75">
            <v>1307.2106087924151</v>
          </cell>
          <cell r="O75">
            <v>8575.9459522077923</v>
          </cell>
          <cell r="P75">
            <v>16990.297390562471</v>
          </cell>
          <cell r="Q75">
            <v>4719.5270529340205</v>
          </cell>
          <cell r="R75">
            <v>10135.461773376001</v>
          </cell>
          <cell r="S75">
            <v>10135.461773376001</v>
          </cell>
        </row>
        <row r="76">
          <cell r="F76">
            <v>62</v>
          </cell>
          <cell r="G76">
            <v>52047</v>
          </cell>
          <cell r="H76">
            <v>2042</v>
          </cell>
          <cell r="I76">
            <v>65360.530439620758</v>
          </cell>
          <cell r="J76">
            <v>65360.530439620758</v>
          </cell>
          <cell r="K76">
            <v>0</v>
          </cell>
          <cell r="L76">
            <v>0</v>
          </cell>
          <cell r="M76">
            <v>13072.106087924152</v>
          </cell>
          <cell r="N76">
            <v>1307.2106087924151</v>
          </cell>
          <cell r="O76">
            <v>8575.9459522077923</v>
          </cell>
          <cell r="P76">
            <v>17415.054825326533</v>
          </cell>
          <cell r="Q76">
            <v>4837.5152292573703</v>
          </cell>
          <cell r="R76">
            <v>0</v>
          </cell>
          <cell r="S76">
            <v>0</v>
          </cell>
        </row>
        <row r="77">
          <cell r="F77">
            <v>63</v>
          </cell>
          <cell r="G77">
            <v>52231</v>
          </cell>
          <cell r="H77">
            <v>2042</v>
          </cell>
          <cell r="I77">
            <v>66667.741048413169</v>
          </cell>
          <cell r="J77">
            <v>66667.741048413169</v>
          </cell>
          <cell r="K77">
            <v>0</v>
          </cell>
          <cell r="L77">
            <v>0</v>
          </cell>
          <cell r="M77">
            <v>13333.548209682634</v>
          </cell>
          <cell r="N77">
            <v>1333.3548209682633</v>
          </cell>
          <cell r="O77">
            <v>8790.3446010129865</v>
          </cell>
          <cell r="P77">
            <v>17415.054825326533</v>
          </cell>
          <cell r="Q77">
            <v>4837.5152292573703</v>
          </cell>
          <cell r="R77">
            <v>10338.171008843521</v>
          </cell>
          <cell r="S77">
            <v>10338.171008843521</v>
          </cell>
        </row>
        <row r="78">
          <cell r="F78">
            <v>64</v>
          </cell>
          <cell r="G78">
            <v>52412</v>
          </cell>
          <cell r="H78">
            <v>2043</v>
          </cell>
          <cell r="I78">
            <v>66667.741048413169</v>
          </cell>
          <cell r="J78">
            <v>66667.741048413169</v>
          </cell>
          <cell r="K78">
            <v>0</v>
          </cell>
          <cell r="L78">
            <v>0</v>
          </cell>
          <cell r="M78">
            <v>13333.548209682634</v>
          </cell>
          <cell r="N78">
            <v>1333.3548209682633</v>
          </cell>
          <cell r="O78">
            <v>8790.3446010129865</v>
          </cell>
          <cell r="P78">
            <v>17850.431195959696</v>
          </cell>
          <cell r="Q78">
            <v>4958.4531099888045</v>
          </cell>
          <cell r="R78">
            <v>0</v>
          </cell>
          <cell r="S78">
            <v>0</v>
          </cell>
        </row>
        <row r="79">
          <cell r="F79">
            <v>65</v>
          </cell>
          <cell r="G79">
            <v>52596</v>
          </cell>
          <cell r="H79">
            <v>2043</v>
          </cell>
          <cell r="I79">
            <v>68001.095869381432</v>
          </cell>
          <cell r="J79">
            <v>68001.095869381432</v>
          </cell>
          <cell r="K79">
            <v>0</v>
          </cell>
          <cell r="L79">
            <v>0</v>
          </cell>
          <cell r="M79">
            <v>13600.219173876287</v>
          </cell>
          <cell r="N79">
            <v>1360.0219173876287</v>
          </cell>
          <cell r="O79">
            <v>9010.1032160383111</v>
          </cell>
          <cell r="P79">
            <v>17850.431195959696</v>
          </cell>
          <cell r="Q79">
            <v>4958.4531099888045</v>
          </cell>
          <cell r="R79">
            <v>10544.934429020392</v>
          </cell>
          <cell r="S79">
            <v>10544.934429020392</v>
          </cell>
        </row>
        <row r="80">
          <cell r="F80">
            <v>66</v>
          </cell>
          <cell r="G80">
            <v>52778</v>
          </cell>
          <cell r="H80">
            <v>2044</v>
          </cell>
          <cell r="I80">
            <v>68001.095869381432</v>
          </cell>
          <cell r="J80">
            <v>68001.095869381432</v>
          </cell>
          <cell r="K80">
            <v>0</v>
          </cell>
          <cell r="L80">
            <v>0</v>
          </cell>
          <cell r="M80">
            <v>13600.219173876287</v>
          </cell>
          <cell r="N80">
            <v>1360.0219173876287</v>
          </cell>
          <cell r="O80">
            <v>9010.1032160383111</v>
          </cell>
          <cell r="P80">
            <v>18296.691975858688</v>
          </cell>
          <cell r="Q80">
            <v>5082.4144377385246</v>
          </cell>
          <cell r="R80">
            <v>0</v>
          </cell>
          <cell r="S80">
            <v>0</v>
          </cell>
        </row>
        <row r="81">
          <cell r="F81">
            <v>67</v>
          </cell>
          <cell r="G81">
            <v>52962</v>
          </cell>
          <cell r="H81">
            <v>2044</v>
          </cell>
          <cell r="I81">
            <v>69361.117786769057</v>
          </cell>
          <cell r="J81">
            <v>69361.117786769057</v>
          </cell>
          <cell r="K81">
            <v>0</v>
          </cell>
          <cell r="L81">
            <v>0</v>
          </cell>
          <cell r="M81">
            <v>13872.223557353813</v>
          </cell>
          <cell r="N81">
            <v>1387.2223557353811</v>
          </cell>
          <cell r="O81">
            <v>9235.3557964392676</v>
          </cell>
          <cell r="P81">
            <v>18296.691975858688</v>
          </cell>
          <cell r="Q81">
            <v>5082.4144377385246</v>
          </cell>
          <cell r="R81">
            <v>10755.8331176008</v>
          </cell>
          <cell r="S81">
            <v>10755.8331176008</v>
          </cell>
        </row>
        <row r="82">
          <cell r="F82">
            <v>68</v>
          </cell>
          <cell r="G82">
            <v>53143</v>
          </cell>
          <cell r="H82">
            <v>2045</v>
          </cell>
          <cell r="I82">
            <v>69361.117786769057</v>
          </cell>
          <cell r="J82">
            <v>69361.117786769057</v>
          </cell>
          <cell r="K82">
            <v>0</v>
          </cell>
          <cell r="L82">
            <v>0</v>
          </cell>
          <cell r="M82">
            <v>13872.223557353813</v>
          </cell>
          <cell r="N82">
            <v>1387.2223557353811</v>
          </cell>
          <cell r="O82">
            <v>9235.3557964392676</v>
          </cell>
          <cell r="P82">
            <v>18754.109275255152</v>
          </cell>
          <cell r="Q82">
            <v>5209.4747986819875</v>
          </cell>
          <cell r="R82">
            <v>0</v>
          </cell>
          <cell r="S82">
            <v>0</v>
          </cell>
        </row>
        <row r="83">
          <cell r="F83">
            <v>69</v>
          </cell>
          <cell r="G83">
            <v>53327</v>
          </cell>
          <cell r="H83">
            <v>2045</v>
          </cell>
          <cell r="I83">
            <v>70748.340142504443</v>
          </cell>
          <cell r="J83">
            <v>70748.340142504443</v>
          </cell>
          <cell r="K83">
            <v>0</v>
          </cell>
          <cell r="L83">
            <v>0</v>
          </cell>
          <cell r="M83">
            <v>14149.66802850089</v>
          </cell>
          <cell r="N83">
            <v>1414.9668028500889</v>
          </cell>
          <cell r="O83">
            <v>9466.2396913502489</v>
          </cell>
          <cell r="P83">
            <v>18754.109275255152</v>
          </cell>
          <cell r="Q83">
            <v>5209.4747986819875</v>
          </cell>
          <cell r="R83">
            <v>10970.949779952816</v>
          </cell>
          <cell r="S83">
            <v>10970.949779952816</v>
          </cell>
        </row>
        <row r="84">
          <cell r="F84">
            <v>70</v>
          </cell>
          <cell r="G84">
            <v>53508</v>
          </cell>
          <cell r="H84">
            <v>2046</v>
          </cell>
          <cell r="I84">
            <v>70748.340142504443</v>
          </cell>
          <cell r="J84">
            <v>70748.340142504443</v>
          </cell>
          <cell r="K84">
            <v>0</v>
          </cell>
          <cell r="L84">
            <v>0</v>
          </cell>
          <cell r="M84">
            <v>14149.66802850089</v>
          </cell>
          <cell r="N84">
            <v>1414.9668028500889</v>
          </cell>
          <cell r="O84">
            <v>9466.2396913502489</v>
          </cell>
          <cell r="P84">
            <v>19222.962007136528</v>
          </cell>
          <cell r="Q84">
            <v>5339.7116686490372</v>
          </cell>
          <cell r="R84">
            <v>0</v>
          </cell>
          <cell r="S84">
            <v>0</v>
          </cell>
        </row>
        <row r="85">
          <cell r="F85">
            <v>71</v>
          </cell>
          <cell r="G85">
            <v>53692</v>
          </cell>
          <cell r="H85">
            <v>2046</v>
          </cell>
          <cell r="I85">
            <v>72163.306945354532</v>
          </cell>
          <cell r="J85">
            <v>72163.306945354532</v>
          </cell>
          <cell r="K85">
            <v>0</v>
          </cell>
          <cell r="L85">
            <v>0</v>
          </cell>
          <cell r="M85">
            <v>14432.661389070907</v>
          </cell>
          <cell r="N85">
            <v>1443.2661389070906</v>
          </cell>
          <cell r="O85">
            <v>9702.8956836340039</v>
          </cell>
          <cell r="P85">
            <v>19222.962007136528</v>
          </cell>
          <cell r="Q85">
            <v>5339.7116686490372</v>
          </cell>
          <cell r="R85">
            <v>11190.368775551873</v>
          </cell>
          <cell r="S85">
            <v>11190.368775551873</v>
          </cell>
        </row>
        <row r="86">
          <cell r="F86">
            <v>72</v>
          </cell>
          <cell r="G86">
            <v>53873</v>
          </cell>
          <cell r="H86">
            <v>2047</v>
          </cell>
          <cell r="I86">
            <v>72163.306945354532</v>
          </cell>
          <cell r="J86">
            <v>72163.306945354532</v>
          </cell>
          <cell r="K86">
            <v>0</v>
          </cell>
          <cell r="L86">
            <v>0</v>
          </cell>
          <cell r="M86">
            <v>14432.661389070907</v>
          </cell>
          <cell r="N86">
            <v>1443.2661389070906</v>
          </cell>
          <cell r="O86">
            <v>9702.8956836340039</v>
          </cell>
          <cell r="P86">
            <v>19703.536057314941</v>
          </cell>
          <cell r="Q86">
            <v>5473.204460365263</v>
          </cell>
          <cell r="R86">
            <v>0</v>
          </cell>
          <cell r="S86">
            <v>0</v>
          </cell>
        </row>
        <row r="87">
          <cell r="F87">
            <v>73</v>
          </cell>
          <cell r="G87">
            <v>54057</v>
          </cell>
          <cell r="H87">
            <v>2047</v>
          </cell>
          <cell r="I87">
            <v>73606.573084261618</v>
          </cell>
          <cell r="J87">
            <v>73606.573084261618</v>
          </cell>
          <cell r="K87">
            <v>0</v>
          </cell>
          <cell r="L87">
            <v>0</v>
          </cell>
          <cell r="M87">
            <v>14721.314616852324</v>
          </cell>
          <cell r="N87">
            <v>1472.1314616852324</v>
          </cell>
          <cell r="O87">
            <v>9945.4680757248534</v>
          </cell>
          <cell r="P87">
            <v>19703.536057314941</v>
          </cell>
          <cell r="Q87">
            <v>5473.204460365263</v>
          </cell>
          <cell r="R87">
            <v>11414.176151062911</v>
          </cell>
          <cell r="S87">
            <v>11414.176151062911</v>
          </cell>
        </row>
        <row r="88">
          <cell r="F88">
            <v>74</v>
          </cell>
          <cell r="G88">
            <v>54239</v>
          </cell>
          <cell r="H88">
            <v>2048</v>
          </cell>
          <cell r="I88">
            <v>73606.573084261618</v>
          </cell>
          <cell r="J88">
            <v>73606.573084261618</v>
          </cell>
          <cell r="K88">
            <v>0</v>
          </cell>
          <cell r="L88">
            <v>0</v>
          </cell>
          <cell r="M88">
            <v>14721.314616852324</v>
          </cell>
          <cell r="N88">
            <v>1472.1314616852324</v>
          </cell>
          <cell r="O88">
            <v>9945.4680757248534</v>
          </cell>
          <cell r="P88">
            <v>20196.124458747814</v>
          </cell>
          <cell r="Q88">
            <v>5610.0345718743938</v>
          </cell>
          <cell r="R88">
            <v>0</v>
          </cell>
          <cell r="S88">
            <v>0</v>
          </cell>
        </row>
        <row r="89">
          <cell r="F89">
            <v>75</v>
          </cell>
          <cell r="G89">
            <v>54423</v>
          </cell>
          <cell r="H89">
            <v>2048</v>
          </cell>
          <cell r="I89">
            <v>75078.70454594685</v>
          </cell>
          <cell r="J89">
            <v>75078.70454594685</v>
          </cell>
          <cell r="K89">
            <v>0</v>
          </cell>
          <cell r="L89">
            <v>0</v>
          </cell>
          <cell r="M89">
            <v>15015.740909189371</v>
          </cell>
          <cell r="N89">
            <v>1501.5740909189369</v>
          </cell>
          <cell r="O89">
            <v>10194.104777617973</v>
          </cell>
          <cell r="P89">
            <v>20196.124458747814</v>
          </cell>
          <cell r="Q89">
            <v>5610.0345718743938</v>
          </cell>
          <cell r="R89">
            <v>11642.45967408417</v>
          </cell>
          <cell r="S89">
            <v>11642.45967408417</v>
          </cell>
        </row>
        <row r="90">
          <cell r="F90">
            <v>76</v>
          </cell>
          <cell r="G90">
            <v>54604</v>
          </cell>
          <cell r="H90">
            <v>2049</v>
          </cell>
          <cell r="I90">
            <v>75078.70454594685</v>
          </cell>
          <cell r="J90">
            <v>75078.70454594685</v>
          </cell>
          <cell r="K90">
            <v>0</v>
          </cell>
          <cell r="L90">
            <v>0</v>
          </cell>
          <cell r="M90">
            <v>15015.740909189371</v>
          </cell>
          <cell r="N90">
            <v>1501.5740909189369</v>
          </cell>
          <cell r="O90">
            <v>10194.104777617973</v>
          </cell>
          <cell r="P90">
            <v>20701.027570216509</v>
          </cell>
          <cell r="Q90">
            <v>5750.2854361712534</v>
          </cell>
          <cell r="R90">
            <v>0</v>
          </cell>
          <cell r="S90">
            <v>0</v>
          </cell>
        </row>
        <row r="91">
          <cell r="F91">
            <v>77</v>
          </cell>
          <cell r="G91">
            <v>54788</v>
          </cell>
          <cell r="H91">
            <v>2049</v>
          </cell>
          <cell r="I91">
            <v>76580.278636865783</v>
          </cell>
          <cell r="J91">
            <v>76580.278636865783</v>
          </cell>
          <cell r="K91">
            <v>0</v>
          </cell>
          <cell r="L91">
            <v>0</v>
          </cell>
          <cell r="M91">
            <v>15316.055727373157</v>
          </cell>
          <cell r="N91">
            <v>1531.6055727373157</v>
          </cell>
          <cell r="O91">
            <v>10448.957397058421</v>
          </cell>
          <cell r="P91">
            <v>20701.027570216509</v>
          </cell>
          <cell r="Q91">
            <v>5750.2854361712534</v>
          </cell>
          <cell r="R91">
            <v>11875.308867565853</v>
          </cell>
          <cell r="S91">
            <v>11875.308867565853</v>
          </cell>
        </row>
        <row r="92">
          <cell r="F92">
            <v>78</v>
          </cell>
          <cell r="G92">
            <v>54969</v>
          </cell>
          <cell r="H92">
            <v>2050</v>
          </cell>
          <cell r="I92">
            <v>76580.278636865783</v>
          </cell>
          <cell r="J92">
            <v>76580.278636865783</v>
          </cell>
          <cell r="K92">
            <v>0</v>
          </cell>
          <cell r="L92">
            <v>0</v>
          </cell>
          <cell r="M92">
            <v>15316.055727373157</v>
          </cell>
          <cell r="N92">
            <v>1531.6055727373157</v>
          </cell>
          <cell r="O92">
            <v>10448.957397058421</v>
          </cell>
          <cell r="P92">
            <v>21218.553259471919</v>
          </cell>
          <cell r="Q92">
            <v>5894.0425720755338</v>
          </cell>
          <cell r="R92">
            <v>0</v>
          </cell>
          <cell r="S92">
            <v>0</v>
          </cell>
        </row>
        <row r="93">
          <cell r="F93">
            <v>79</v>
          </cell>
          <cell r="G93">
            <v>55153</v>
          </cell>
          <cell r="H93">
            <v>2050</v>
          </cell>
          <cell r="I93">
            <v>78111.8842096031</v>
          </cell>
          <cell r="J93">
            <v>78111.8842096031</v>
          </cell>
          <cell r="K93">
            <v>0</v>
          </cell>
          <cell r="L93">
            <v>0</v>
          </cell>
          <cell r="M93">
            <v>15622.376841920621</v>
          </cell>
          <cell r="N93">
            <v>1562.237684192062</v>
          </cell>
          <cell r="O93">
            <v>10710.181331984881</v>
          </cell>
          <cell r="P93">
            <v>21218.553259471919</v>
          </cell>
          <cell r="Q93">
            <v>5894.0425720755338</v>
          </cell>
          <cell r="R93">
            <v>12112.81504491717</v>
          </cell>
          <cell r="S93">
            <v>12112.81504491717</v>
          </cell>
        </row>
        <row r="94">
          <cell r="F94">
            <v>80</v>
          </cell>
          <cell r="G94">
            <v>55334</v>
          </cell>
          <cell r="H94">
            <v>2051</v>
          </cell>
          <cell r="I94">
            <v>78111.8842096031</v>
          </cell>
          <cell r="J94">
            <v>78111.8842096031</v>
          </cell>
          <cell r="K94">
            <v>0</v>
          </cell>
          <cell r="L94">
            <v>0</v>
          </cell>
          <cell r="M94">
            <v>15622.376841920621</v>
          </cell>
          <cell r="N94">
            <v>1562.237684192062</v>
          </cell>
          <cell r="O94">
            <v>10710.181331984881</v>
          </cell>
          <cell r="P94">
            <v>21749.017090958714</v>
          </cell>
          <cell r="Q94">
            <v>6041.3936363774219</v>
          </cell>
          <cell r="R94">
            <v>0</v>
          </cell>
          <cell r="S94">
            <v>0</v>
          </cell>
        </row>
        <row r="95">
          <cell r="F95">
            <v>81</v>
          </cell>
          <cell r="G95">
            <v>55518</v>
          </cell>
          <cell r="H95">
            <v>2051</v>
          </cell>
          <cell r="I95">
            <v>79674.121893795163</v>
          </cell>
          <cell r="J95">
            <v>79674.121893795163</v>
          </cell>
          <cell r="K95">
            <v>0</v>
          </cell>
          <cell r="L95">
            <v>0</v>
          </cell>
          <cell r="M95">
            <v>15934.824378759033</v>
          </cell>
          <cell r="N95">
            <v>1593.4824378759033</v>
          </cell>
          <cell r="O95">
            <v>10977.935865284502</v>
          </cell>
          <cell r="P95">
            <v>21749.017090958714</v>
          </cell>
          <cell r="Q95">
            <v>6041.3936363774219</v>
          </cell>
          <cell r="R95">
            <v>12355.071345815513</v>
          </cell>
          <cell r="S95">
            <v>12355.071345815513</v>
          </cell>
        </row>
        <row r="96">
          <cell r="F96">
            <v>82</v>
          </cell>
          <cell r="G96">
            <v>55700</v>
          </cell>
          <cell r="H96">
            <v>2052</v>
          </cell>
          <cell r="I96">
            <v>79674.121893795163</v>
          </cell>
          <cell r="J96">
            <v>79674.121893795163</v>
          </cell>
          <cell r="K96">
            <v>0</v>
          </cell>
          <cell r="L96">
            <v>0</v>
          </cell>
          <cell r="M96">
            <v>15934.824378759033</v>
          </cell>
          <cell r="N96">
            <v>1593.4824378759033</v>
          </cell>
          <cell r="O96">
            <v>10977.935865284502</v>
          </cell>
          <cell r="P96">
            <v>22292.742518232681</v>
          </cell>
          <cell r="Q96">
            <v>6192.4284772868568</v>
          </cell>
          <cell r="R96">
            <v>0</v>
          </cell>
          <cell r="S96">
            <v>0</v>
          </cell>
        </row>
        <row r="97">
          <cell r="F97">
            <v>83</v>
          </cell>
          <cell r="G97">
            <v>55884</v>
          </cell>
          <cell r="H97">
            <v>2052</v>
          </cell>
          <cell r="I97">
            <v>81267.604331671071</v>
          </cell>
          <cell r="J97">
            <v>81267.604331671071</v>
          </cell>
          <cell r="K97">
            <v>0</v>
          </cell>
          <cell r="L97">
            <v>0</v>
          </cell>
          <cell r="M97">
            <v>16253.520866334215</v>
          </cell>
          <cell r="N97">
            <v>1625.3520866334215</v>
          </cell>
          <cell r="O97">
            <v>11252.384261916613</v>
          </cell>
          <cell r="P97">
            <v>22292.742518232681</v>
          </cell>
          <cell r="Q97">
            <v>6192.4284772868568</v>
          </cell>
          <cell r="R97">
            <v>12602.172772731823</v>
          </cell>
          <cell r="S97">
            <v>12602.172772731823</v>
          </cell>
        </row>
        <row r="98">
          <cell r="F98">
            <v>84</v>
          </cell>
          <cell r="G98">
            <v>56065</v>
          </cell>
          <cell r="H98">
            <v>2053</v>
          </cell>
          <cell r="I98">
            <v>81267.604331671071</v>
          </cell>
          <cell r="J98">
            <v>81267.604331671071</v>
          </cell>
          <cell r="K98">
            <v>0</v>
          </cell>
          <cell r="L98">
            <v>0</v>
          </cell>
          <cell r="M98">
            <v>16253.520866334215</v>
          </cell>
          <cell r="N98">
            <v>1625.3520866334215</v>
          </cell>
          <cell r="O98">
            <v>11252.384261916613</v>
          </cell>
          <cell r="P98">
            <v>22850.061081188494</v>
          </cell>
          <cell r="Q98">
            <v>6347.239189219028</v>
          </cell>
          <cell r="R98">
            <v>0</v>
          </cell>
          <cell r="S98">
            <v>0</v>
          </cell>
        </row>
        <row r="99">
          <cell r="F99">
            <v>85</v>
          </cell>
          <cell r="G99">
            <v>56249</v>
          </cell>
          <cell r="H99">
            <v>2053</v>
          </cell>
          <cell r="I99">
            <v>82892.9564183045</v>
          </cell>
          <cell r="J99">
            <v>82892.9564183045</v>
          </cell>
          <cell r="K99">
            <v>0</v>
          </cell>
          <cell r="L99">
            <v>0</v>
          </cell>
          <cell r="M99">
            <v>16578.591283660902</v>
          </cell>
          <cell r="N99">
            <v>1657.8591283660901</v>
          </cell>
          <cell r="O99">
            <v>11533.693868464528</v>
          </cell>
          <cell r="P99">
            <v>22850.061081188494</v>
          </cell>
          <cell r="Q99">
            <v>6347.239189219028</v>
          </cell>
          <cell r="R99">
            <v>12854.21622818646</v>
          </cell>
          <cell r="S99">
            <v>12854.21622818646</v>
          </cell>
        </row>
        <row r="100">
          <cell r="F100">
            <v>86</v>
          </cell>
          <cell r="G100">
            <v>56430</v>
          </cell>
          <cell r="H100">
            <v>2054</v>
          </cell>
          <cell r="I100">
            <v>82892.9564183045</v>
          </cell>
          <cell r="J100">
            <v>82892.9564183045</v>
          </cell>
          <cell r="K100">
            <v>0</v>
          </cell>
          <cell r="L100">
            <v>0</v>
          </cell>
          <cell r="M100">
            <v>16578.591283660902</v>
          </cell>
          <cell r="N100">
            <v>1657.8591283660901</v>
          </cell>
          <cell r="O100">
            <v>11533.693868464528</v>
          </cell>
          <cell r="P100">
            <v>23421.312608218206</v>
          </cell>
          <cell r="Q100">
            <v>6505.920168949503</v>
          </cell>
          <cell r="R100">
            <v>0</v>
          </cell>
          <cell r="S100">
            <v>0</v>
          </cell>
        </row>
        <row r="101">
          <cell r="F101">
            <v>87</v>
          </cell>
          <cell r="G101">
            <v>56614</v>
          </cell>
          <cell r="H101">
            <v>2054</v>
          </cell>
          <cell r="I101">
            <v>84550.815546670594</v>
          </cell>
          <cell r="J101">
            <v>84550.815546670594</v>
          </cell>
          <cell r="K101">
            <v>0</v>
          </cell>
          <cell r="L101">
            <v>0</v>
          </cell>
          <cell r="M101">
            <v>16910.16310933412</v>
          </cell>
          <cell r="N101">
            <v>1691.0163109334119</v>
          </cell>
          <cell r="O101">
            <v>11822.03621517614</v>
          </cell>
          <cell r="P101">
            <v>23421.312608218206</v>
          </cell>
          <cell r="Q101">
            <v>6505.920168949503</v>
          </cell>
          <cell r="R101">
            <v>13111.30055275019</v>
          </cell>
          <cell r="S101">
            <v>13111.30055275019</v>
          </cell>
        </row>
        <row r="102">
          <cell r="F102">
            <v>88</v>
          </cell>
          <cell r="G102">
            <v>56795</v>
          </cell>
          <cell r="H102">
            <v>2055</v>
          </cell>
          <cell r="I102">
            <v>84550.815546670594</v>
          </cell>
          <cell r="J102">
            <v>84550.815546670594</v>
          </cell>
          <cell r="K102">
            <v>0</v>
          </cell>
          <cell r="L102">
            <v>0</v>
          </cell>
          <cell r="M102">
            <v>16910.16310933412</v>
          </cell>
          <cell r="N102">
            <v>1691.0163109334119</v>
          </cell>
          <cell r="O102">
            <v>11822.03621517614</v>
          </cell>
          <cell r="P102">
            <v>24006.84542342366</v>
          </cell>
          <cell r="Q102">
            <v>6668.5681731732402</v>
          </cell>
          <cell r="R102">
            <v>0</v>
          </cell>
          <cell r="S102">
            <v>0</v>
          </cell>
        </row>
        <row r="103">
          <cell r="F103">
            <v>89</v>
          </cell>
          <cell r="G103">
            <v>56979</v>
          </cell>
          <cell r="H103">
            <v>2055</v>
          </cell>
          <cell r="I103">
            <v>86241.831857604004</v>
          </cell>
          <cell r="J103">
            <v>86241.831857604004</v>
          </cell>
          <cell r="K103">
            <v>0</v>
          </cell>
          <cell r="L103">
            <v>0</v>
          </cell>
          <cell r="M103">
            <v>17248.366371520802</v>
          </cell>
          <cell r="N103">
            <v>1724.8366371520801</v>
          </cell>
          <cell r="O103">
            <v>12117.587120555543</v>
          </cell>
          <cell r="P103">
            <v>24006.84542342366</v>
          </cell>
          <cell r="Q103">
            <v>6668.5681731732402</v>
          </cell>
          <cell r="R103">
            <v>13373.526563805193</v>
          </cell>
          <cell r="S103">
            <v>13373.526563805193</v>
          </cell>
        </row>
        <row r="104">
          <cell r="F104">
            <v>90</v>
          </cell>
          <cell r="G104">
            <v>57161</v>
          </cell>
          <cell r="H104">
            <v>2056</v>
          </cell>
          <cell r="I104">
            <v>86241.831857604004</v>
          </cell>
          <cell r="J104">
            <v>86241.831857604004</v>
          </cell>
          <cell r="K104">
            <v>0</v>
          </cell>
          <cell r="L104">
            <v>0</v>
          </cell>
          <cell r="M104">
            <v>17248.366371520802</v>
          </cell>
          <cell r="N104">
            <v>1724.8366371520801</v>
          </cell>
          <cell r="O104">
            <v>12117.587120555543</v>
          </cell>
          <cell r="P104">
            <v>24607.016559009247</v>
          </cell>
          <cell r="Q104">
            <v>6835.2823775025709</v>
          </cell>
          <cell r="R104">
            <v>0</v>
          </cell>
          <cell r="S104">
            <v>0</v>
          </cell>
        </row>
        <row r="105">
          <cell r="F105">
            <v>91</v>
          </cell>
          <cell r="G105">
            <v>57345</v>
          </cell>
          <cell r="H105">
            <v>2056</v>
          </cell>
          <cell r="I105">
            <v>87966.668494756086</v>
          </cell>
          <cell r="J105">
            <v>87966.668494756086</v>
          </cell>
          <cell r="K105">
            <v>0</v>
          </cell>
          <cell r="L105">
            <v>0</v>
          </cell>
          <cell r="M105">
            <v>17593.333698951217</v>
          </cell>
          <cell r="N105">
            <v>1759.3333698951217</v>
          </cell>
          <cell r="O105">
            <v>12420.52679856943</v>
          </cell>
          <cell r="P105">
            <v>24607.016559009247</v>
          </cell>
          <cell r="Q105">
            <v>6835.2823775025709</v>
          </cell>
          <cell r="R105">
            <v>13640.997095081297</v>
          </cell>
          <cell r="S105">
            <v>13640.997095081297</v>
          </cell>
        </row>
        <row r="106">
          <cell r="F106">
            <v>92</v>
          </cell>
          <cell r="G106">
            <v>57526</v>
          </cell>
          <cell r="H106">
            <v>2057</v>
          </cell>
          <cell r="I106">
            <v>87966.668494756086</v>
          </cell>
          <cell r="J106">
            <v>87966.668494756086</v>
          </cell>
          <cell r="K106">
            <v>0</v>
          </cell>
          <cell r="L106">
            <v>0</v>
          </cell>
          <cell r="M106">
            <v>17593.333698951217</v>
          </cell>
          <cell r="N106">
            <v>1759.3333698951217</v>
          </cell>
          <cell r="O106">
            <v>12420.52679856943</v>
          </cell>
          <cell r="P106">
            <v>25222.191972984478</v>
          </cell>
          <cell r="Q106">
            <v>7006.1644369401347</v>
          </cell>
          <cell r="R106">
            <v>0</v>
          </cell>
          <cell r="S106">
            <v>0</v>
          </cell>
        </row>
        <row r="107">
          <cell r="F107">
            <v>93</v>
          </cell>
          <cell r="G107">
            <v>57710</v>
          </cell>
          <cell r="H107">
            <v>2057</v>
          </cell>
          <cell r="I107">
            <v>89726.001864651204</v>
          </cell>
          <cell r="J107">
            <v>89726.001864651204</v>
          </cell>
          <cell r="K107">
            <v>0</v>
          </cell>
          <cell r="L107">
            <v>0</v>
          </cell>
          <cell r="M107">
            <v>17945.200372930241</v>
          </cell>
          <cell r="N107">
            <v>1794.5200372930242</v>
          </cell>
          <cell r="O107">
            <v>12731.039968533665</v>
          </cell>
          <cell r="P107">
            <v>25222.191972984478</v>
          </cell>
          <cell r="Q107">
            <v>7006.1644369401347</v>
          </cell>
          <cell r="R107">
            <v>13913.817036982922</v>
          </cell>
          <cell r="S107">
            <v>13913.817036982922</v>
          </cell>
        </row>
        <row r="108">
          <cell r="F108">
            <v>94</v>
          </cell>
          <cell r="G108">
            <v>57891</v>
          </cell>
          <cell r="H108">
            <v>2058</v>
          </cell>
          <cell r="I108">
            <v>89726.001864651204</v>
          </cell>
          <cell r="J108">
            <v>89726.001864651204</v>
          </cell>
          <cell r="K108">
            <v>0</v>
          </cell>
          <cell r="L108">
            <v>0</v>
          </cell>
          <cell r="M108">
            <v>17945.200372930241</v>
          </cell>
          <cell r="N108">
            <v>1794.5200372930242</v>
          </cell>
          <cell r="O108">
            <v>12731.039968533665</v>
          </cell>
          <cell r="P108">
            <v>25852.746772309089</v>
          </cell>
          <cell r="Q108">
            <v>7181.3185478636378</v>
          </cell>
          <cell r="R108">
            <v>0</v>
          </cell>
          <cell r="S108">
            <v>0</v>
          </cell>
        </row>
        <row r="109">
          <cell r="F109">
            <v>95</v>
          </cell>
          <cell r="G109">
            <v>58075</v>
          </cell>
          <cell r="H109">
            <v>2058</v>
          </cell>
          <cell r="I109">
            <v>91520.52190194423</v>
          </cell>
          <cell r="J109">
            <v>91520.52190194423</v>
          </cell>
          <cell r="K109">
            <v>0</v>
          </cell>
          <cell r="L109">
            <v>0</v>
          </cell>
          <cell r="M109">
            <v>18304.104380388846</v>
          </cell>
          <cell r="N109">
            <v>1830.4104380388846</v>
          </cell>
          <cell r="O109">
            <v>13049.315967747005</v>
          </cell>
          <cell r="P109">
            <v>25852.746772309089</v>
          </cell>
          <cell r="Q109">
            <v>7181.3185478636378</v>
          </cell>
          <cell r="R109">
            <v>14192.09337772258</v>
          </cell>
          <cell r="S109">
            <v>14192.09337772258</v>
          </cell>
        </row>
        <row r="110">
          <cell r="F110">
            <v>96</v>
          </cell>
          <cell r="G110">
            <v>58256</v>
          </cell>
          <cell r="H110">
            <v>2059</v>
          </cell>
          <cell r="I110">
            <v>91520.52190194423</v>
          </cell>
          <cell r="J110">
            <v>91520.52190194423</v>
          </cell>
          <cell r="K110">
            <v>0</v>
          </cell>
          <cell r="L110">
            <v>0</v>
          </cell>
          <cell r="M110">
            <v>18304.104380388846</v>
          </cell>
          <cell r="N110">
            <v>1830.4104380388846</v>
          </cell>
          <cell r="O110">
            <v>13049.315967747005</v>
          </cell>
          <cell r="P110">
            <v>26499.065441616814</v>
          </cell>
          <cell r="Q110">
            <v>7360.8515115602286</v>
          </cell>
          <cell r="R110">
            <v>0</v>
          </cell>
          <cell r="S110">
            <v>0</v>
          </cell>
        </row>
        <row r="111">
          <cell r="F111">
            <v>97</v>
          </cell>
          <cell r="G111">
            <v>58440</v>
          </cell>
          <cell r="H111">
            <v>2059</v>
          </cell>
          <cell r="I111">
            <v>93350.932339983119</v>
          </cell>
          <cell r="J111">
            <v>93350.932339983119</v>
          </cell>
          <cell r="K111">
            <v>0</v>
          </cell>
          <cell r="L111">
            <v>0</v>
          </cell>
          <cell r="M111">
            <v>18670.186467996624</v>
          </cell>
          <cell r="N111">
            <v>1867.0186467996625</v>
          </cell>
          <cell r="O111">
            <v>13375.548866940679</v>
          </cell>
          <cell r="P111">
            <v>26499.065441616814</v>
          </cell>
          <cell r="Q111">
            <v>7360.8515115602286</v>
          </cell>
          <cell r="R111">
            <v>14475.935245277033</v>
          </cell>
          <cell r="S111">
            <v>14475.935245277033</v>
          </cell>
        </row>
        <row r="112">
          <cell r="F112">
            <v>98</v>
          </cell>
          <cell r="G112">
            <v>58622</v>
          </cell>
          <cell r="H112">
            <v>2060</v>
          </cell>
          <cell r="I112">
            <v>93350.932339983119</v>
          </cell>
          <cell r="J112">
            <v>93350.932339983119</v>
          </cell>
          <cell r="K112">
            <v>0</v>
          </cell>
          <cell r="L112">
            <v>0</v>
          </cell>
          <cell r="M112">
            <v>18670.186467996624</v>
          </cell>
          <cell r="N112">
            <v>1867.0186467996625</v>
          </cell>
          <cell r="O112">
            <v>13375.548866940679</v>
          </cell>
          <cell r="P112">
            <v>27161.542077657232</v>
          </cell>
          <cell r="Q112">
            <v>7544.8727993492339</v>
          </cell>
          <cell r="R112">
            <v>0</v>
          </cell>
          <cell r="S112">
            <v>0</v>
          </cell>
        </row>
        <row r="113">
          <cell r="F113">
            <v>99</v>
          </cell>
          <cell r="G113">
            <v>58806</v>
          </cell>
          <cell r="H113">
            <v>2060</v>
          </cell>
          <cell r="I113">
            <v>95217.950986782787</v>
          </cell>
          <cell r="J113">
            <v>95217.950986782787</v>
          </cell>
          <cell r="K113">
            <v>0</v>
          </cell>
          <cell r="L113">
            <v>0</v>
          </cell>
          <cell r="M113">
            <v>19043.59019735656</v>
          </cell>
          <cell r="N113">
            <v>1904.3590197356557</v>
          </cell>
          <cell r="O113">
            <v>13709.937588614195</v>
          </cell>
          <cell r="P113">
            <v>27161.542077657232</v>
          </cell>
          <cell r="Q113">
            <v>7544.8727993492339</v>
          </cell>
          <cell r="R113">
            <v>14765.453950182573</v>
          </cell>
          <cell r="S113">
            <v>14765.453950182573</v>
          </cell>
        </row>
        <row r="114">
          <cell r="F114">
            <v>100</v>
          </cell>
          <cell r="G114">
            <v>58987</v>
          </cell>
          <cell r="H114">
            <v>2061</v>
          </cell>
          <cell r="I114">
            <v>95217.950986782787</v>
          </cell>
          <cell r="J114">
            <v>95217.950986782787</v>
          </cell>
          <cell r="K114">
            <v>0</v>
          </cell>
          <cell r="L114">
            <v>0</v>
          </cell>
          <cell r="M114">
            <v>19043.59019735656</v>
          </cell>
          <cell r="N114">
            <v>1904.3590197356557</v>
          </cell>
          <cell r="O114">
            <v>13709.937588614195</v>
          </cell>
          <cell r="P114">
            <v>27840.580629598659</v>
          </cell>
          <cell r="Q114">
            <v>7733.4946193329642</v>
          </cell>
          <cell r="R114">
            <v>0</v>
          </cell>
          <cell r="S114">
            <v>0</v>
          </cell>
        </row>
        <row r="115"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</row>
        <row r="154"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</row>
        <row r="156"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</row>
        <row r="157"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</row>
        <row r="159"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</row>
        <row r="160"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</row>
        <row r="161"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</row>
        <row r="162"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</row>
        <row r="166"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</row>
        <row r="168"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</row>
        <row r="173"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</row>
        <row r="174"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</row>
        <row r="175"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</row>
        <row r="179"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</row>
        <row r="181"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</row>
        <row r="182"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</row>
        <row r="186"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</row>
        <row r="193"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</row>
        <row r="209"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</row>
        <row r="212"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</row>
        <row r="213"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</row>
        <row r="214"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</row>
        <row r="215"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</row>
        <row r="216"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</row>
        <row r="217"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</row>
        <row r="218"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</row>
        <row r="219"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</row>
        <row r="220"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</row>
        <row r="221"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</row>
        <row r="222"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</row>
        <row r="223"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</row>
        <row r="224"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</row>
        <row r="225"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</row>
        <row r="226"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</row>
        <row r="227"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</row>
        <row r="228"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</row>
        <row r="229"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</row>
        <row r="230"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</row>
        <row r="231"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 t="str">
            <v/>
          </cell>
          <cell r="R231" t="str">
            <v/>
          </cell>
          <cell r="S231" t="str">
            <v/>
          </cell>
        </row>
        <row r="232"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</row>
        <row r="233"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</row>
        <row r="234"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</row>
        <row r="235"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</row>
        <row r="236"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</row>
        <row r="237"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</row>
        <row r="238"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</row>
        <row r="239"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</row>
        <row r="240"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</row>
        <row r="241"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</row>
        <row r="242"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</row>
        <row r="243"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</row>
        <row r="244"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</row>
        <row r="245"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</row>
        <row r="246"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</row>
        <row r="247"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</row>
        <row r="248"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</row>
        <row r="249"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</row>
        <row r="250"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</row>
        <row r="251"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</row>
      </sheetData>
      <sheetData sheetId="8"/>
      <sheetData sheetId="9"/>
      <sheetData sheetId="10"/>
      <sheetData sheetId="11">
        <row r="11">
          <cell r="A11">
            <v>39872</v>
          </cell>
        </row>
        <row r="12">
          <cell r="A12">
            <v>39903</v>
          </cell>
        </row>
        <row r="13">
          <cell r="A13">
            <v>39933</v>
          </cell>
        </row>
        <row r="14">
          <cell r="A14">
            <v>39964</v>
          </cell>
        </row>
        <row r="15">
          <cell r="A15">
            <v>39994</v>
          </cell>
        </row>
        <row r="16">
          <cell r="A16">
            <v>40025</v>
          </cell>
        </row>
        <row r="17">
          <cell r="A17">
            <v>40056</v>
          </cell>
        </row>
        <row r="18">
          <cell r="A18">
            <v>40086</v>
          </cell>
        </row>
        <row r="19">
          <cell r="A19">
            <v>40117</v>
          </cell>
        </row>
        <row r="20">
          <cell r="A20">
            <v>40147</v>
          </cell>
        </row>
        <row r="21">
          <cell r="A21">
            <v>40178</v>
          </cell>
        </row>
        <row r="22">
          <cell r="A22">
            <v>40209</v>
          </cell>
        </row>
        <row r="23">
          <cell r="A23">
            <v>40237</v>
          </cell>
        </row>
        <row r="24">
          <cell r="A24">
            <v>40268</v>
          </cell>
        </row>
        <row r="25">
          <cell r="A25">
            <v>40298</v>
          </cell>
        </row>
        <row r="26">
          <cell r="A26">
            <v>40329</v>
          </cell>
        </row>
        <row r="27">
          <cell r="A27">
            <v>40359</v>
          </cell>
        </row>
        <row r="28">
          <cell r="A28">
            <v>40390</v>
          </cell>
        </row>
        <row r="29">
          <cell r="A29">
            <v>40421</v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</sheetData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faces et loyers Malte"/>
      <sheetName val="Surfaces"/>
      <sheetName val="Data"/>
      <sheetName val="Loyers SCI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Model Semestriel"/>
      <sheetName val="RBT"/>
      <sheetName val="return on equity"/>
      <sheetName val="DF"/>
      <sheetName val="Synthese"/>
    </sheetNames>
    <sheetDataSet>
      <sheetData sheetId="0">
        <row r="5">
          <cell r="B5">
            <v>37</v>
          </cell>
        </row>
        <row r="8">
          <cell r="B8">
            <v>0.185</v>
          </cell>
        </row>
        <row r="14">
          <cell r="B14">
            <v>2.2199999999999998</v>
          </cell>
        </row>
        <row r="21">
          <cell r="B21">
            <v>5.0000000000000001E-4</v>
          </cell>
        </row>
        <row r="51">
          <cell r="B51">
            <v>0.74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 communaux"/>
      <sheetName val="Param globaux"/>
      <sheetName val="Param opération"/>
      <sheetName val="Surfaces"/>
      <sheetName val="Présentations"/>
      <sheetName val="Prix rev.CE"/>
      <sheetName val="Bilan Détaillé CE DDE"/>
      <sheetName val="Bilan Récap. CE DDE"/>
      <sheetName val="Attestations DDE"/>
      <sheetName val="Contingent CE DDE"/>
      <sheetName val="ODSDataSheet"/>
      <sheetName val="ODSTempDataSheet"/>
    </sheetNames>
    <sheetDataSet>
      <sheetData sheetId="0" refreshError="1"/>
      <sheetData sheetId="1" refreshError="1"/>
      <sheetData sheetId="2" refreshError="1">
        <row r="4">
          <cell r="F4" t="str">
            <v>FIDJI individuels</v>
          </cell>
        </row>
        <row r="5">
          <cell r="F5">
            <v>15</v>
          </cell>
        </row>
        <row r="7">
          <cell r="F7" t="str">
            <v>LLTS</v>
          </cell>
        </row>
        <row r="27">
          <cell r="F27" t="str">
            <v>Aménagement</v>
          </cell>
        </row>
        <row r="32">
          <cell r="F32" t="str">
            <v>Say Piscine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Graphique"/>
      <sheetName val="Résultats"/>
      <sheetName val="Synthèse VAN TRI TRFP"/>
      <sheetName val="Saisie_Données_Obligatoires"/>
      <sheetName val="Calcul VAN TRI TRFP"/>
      <sheetName val="Saisie_Données_Facultatives"/>
    </sheetNames>
    <sheetDataSet>
      <sheetData sheetId="0" refreshError="1">
        <row r="17">
          <cell r="F17" t="str">
            <v xml:space="preserve"> LLTS</v>
          </cell>
        </row>
        <row r="26">
          <cell r="D26">
            <v>847437.92295999988</v>
          </cell>
          <cell r="F26">
            <v>830007.76</v>
          </cell>
        </row>
        <row r="29">
          <cell r="C29">
            <v>0.01</v>
          </cell>
        </row>
        <row r="31">
          <cell r="D31">
            <v>45893.759999999995</v>
          </cell>
        </row>
        <row r="38">
          <cell r="C38">
            <v>19</v>
          </cell>
        </row>
        <row r="39">
          <cell r="C39">
            <v>2</v>
          </cell>
        </row>
        <row r="40">
          <cell r="C40">
            <v>322.5</v>
          </cell>
        </row>
        <row r="41">
          <cell r="C41">
            <v>432.96</v>
          </cell>
        </row>
        <row r="48">
          <cell r="E48" t="e">
            <v>#NAME?</v>
          </cell>
          <cell r="F48">
            <v>1084926</v>
          </cell>
        </row>
        <row r="49">
          <cell r="F49">
            <v>1105968</v>
          </cell>
        </row>
        <row r="50">
          <cell r="E50" t="e">
            <v>#NAME?</v>
          </cell>
        </row>
        <row r="56">
          <cell r="F56">
            <v>847437.92295999988</v>
          </cell>
        </row>
        <row r="57">
          <cell r="D57">
            <v>0</v>
          </cell>
          <cell r="F57">
            <v>0</v>
          </cell>
        </row>
        <row r="59">
          <cell r="F59">
            <v>-255496.92295999988</v>
          </cell>
        </row>
        <row r="60">
          <cell r="F60">
            <v>-255496.92295999988</v>
          </cell>
        </row>
        <row r="61">
          <cell r="F61">
            <v>378596</v>
          </cell>
        </row>
        <row r="62">
          <cell r="F62">
            <v>0</v>
          </cell>
        </row>
        <row r="63">
          <cell r="F63">
            <v>0</v>
          </cell>
        </row>
        <row r="64">
          <cell r="C64">
            <v>3.3</v>
          </cell>
          <cell r="D64">
            <v>50</v>
          </cell>
        </row>
        <row r="68">
          <cell r="E68">
            <v>6</v>
          </cell>
        </row>
        <row r="70">
          <cell r="D70">
            <v>16796</v>
          </cell>
        </row>
        <row r="72">
          <cell r="D72">
            <v>41</v>
          </cell>
        </row>
        <row r="78">
          <cell r="C78">
            <v>39918</v>
          </cell>
        </row>
        <row r="79">
          <cell r="C79">
            <v>14</v>
          </cell>
        </row>
        <row r="82">
          <cell r="C82">
            <v>40816</v>
          </cell>
        </row>
        <row r="84">
          <cell r="C84">
            <v>3.3</v>
          </cell>
        </row>
        <row r="85">
          <cell r="C85">
            <v>5.0000000000000001E-3</v>
          </cell>
        </row>
        <row r="86">
          <cell r="C86">
            <v>40</v>
          </cell>
        </row>
        <row r="87">
          <cell r="D87">
            <v>900</v>
          </cell>
        </row>
        <row r="88">
          <cell r="D88">
            <v>250</v>
          </cell>
        </row>
        <row r="89">
          <cell r="C89">
            <v>0.6</v>
          </cell>
          <cell r="D89">
            <v>5</v>
          </cell>
        </row>
        <row r="90">
          <cell r="C90">
            <v>1.5</v>
          </cell>
        </row>
        <row r="91">
          <cell r="C91">
            <v>1.5</v>
          </cell>
        </row>
        <row r="92">
          <cell r="C92">
            <v>25</v>
          </cell>
          <cell r="D92">
            <v>500</v>
          </cell>
        </row>
        <row r="93">
          <cell r="C93">
            <v>2.5</v>
          </cell>
        </row>
        <row r="94">
          <cell r="C94">
            <v>2.5</v>
          </cell>
        </row>
        <row r="95">
          <cell r="C95">
            <v>2</v>
          </cell>
        </row>
        <row r="99">
          <cell r="F99">
            <v>0.03</v>
          </cell>
        </row>
        <row r="100">
          <cell r="F100">
            <v>26033.29</v>
          </cell>
        </row>
        <row r="101">
          <cell r="F101">
            <v>0.05</v>
          </cell>
        </row>
        <row r="102">
          <cell r="F102">
            <v>43388.82</v>
          </cell>
        </row>
        <row r="104">
          <cell r="F104">
            <v>43389</v>
          </cell>
        </row>
        <row r="109">
          <cell r="B109" t="str">
            <v>Résultats cumulés en fin de cycle (en euros)</v>
          </cell>
        </row>
        <row r="111">
          <cell r="B111" t="str">
            <v>dont déficits cumulés (en euros) =</v>
          </cell>
        </row>
        <row r="113">
          <cell r="B113" t="str">
            <v>Nombre d'années déficitaires...</v>
          </cell>
        </row>
      </sheetData>
      <sheetData sheetId="1" refreshError="1"/>
      <sheetData sheetId="2" refreshError="1">
        <row r="1">
          <cell r="R1">
            <v>40359</v>
          </cell>
        </row>
        <row r="9">
          <cell r="CS9">
            <v>2011</v>
          </cell>
          <cell r="ET9">
            <v>0</v>
          </cell>
          <cell r="FD9">
            <v>1901</v>
          </cell>
          <cell r="FE9">
            <v>1901</v>
          </cell>
          <cell r="FF9">
            <v>1901</v>
          </cell>
          <cell r="FG9">
            <v>2011</v>
          </cell>
          <cell r="FH9">
            <v>1901</v>
          </cell>
          <cell r="FI9">
            <v>1901</v>
          </cell>
          <cell r="FJ9">
            <v>2011</v>
          </cell>
        </row>
        <row r="10">
          <cell r="ET10">
            <v>0.44176134875766382</v>
          </cell>
        </row>
        <row r="11">
          <cell r="ET11">
            <v>0</v>
          </cell>
        </row>
        <row r="12">
          <cell r="ET12">
            <v>0</v>
          </cell>
        </row>
        <row r="13">
          <cell r="G13">
            <v>3.4500000000000003E-2</v>
          </cell>
          <cell r="O13">
            <v>0</v>
          </cell>
          <cell r="ET13">
            <v>0</v>
          </cell>
        </row>
        <row r="14">
          <cell r="G14">
            <v>3.3000000000000002E-2</v>
          </cell>
          <cell r="O14">
            <v>40451</v>
          </cell>
        </row>
        <row r="18">
          <cell r="G18">
            <v>3.3000000000000002E-2</v>
          </cell>
          <cell r="O18">
            <v>40451</v>
          </cell>
        </row>
        <row r="19">
          <cell r="G19">
            <v>2.9499999999999998E-2</v>
          </cell>
          <cell r="O19">
            <v>0</v>
          </cell>
        </row>
        <row r="26">
          <cell r="J26">
            <v>0.02</v>
          </cell>
        </row>
        <row r="30">
          <cell r="H30">
            <v>262.65625</v>
          </cell>
          <cell r="J30">
            <v>2.5000000000000001E-2</v>
          </cell>
          <cell r="K30">
            <v>2.5000000000000001E-2</v>
          </cell>
        </row>
        <row r="31">
          <cell r="H31">
            <v>945.56249999999989</v>
          </cell>
        </row>
        <row r="32">
          <cell r="H32">
            <v>525.3125</v>
          </cell>
          <cell r="J32">
            <v>2.5000000000000001E-2</v>
          </cell>
          <cell r="K32">
            <v>2.5000000000000001E-2</v>
          </cell>
        </row>
        <row r="33">
          <cell r="C33">
            <v>970.04700000000003</v>
          </cell>
        </row>
        <row r="34">
          <cell r="H34">
            <v>6.0000000000000001E-3</v>
          </cell>
          <cell r="J34">
            <v>2.5000000000000001E-2</v>
          </cell>
        </row>
        <row r="39">
          <cell r="C39">
            <v>40359</v>
          </cell>
        </row>
        <row r="43">
          <cell r="H43">
            <v>45141.9156</v>
          </cell>
        </row>
        <row r="50">
          <cell r="AT50">
            <v>-813.82538903505076</v>
          </cell>
        </row>
        <row r="51">
          <cell r="AV51">
            <v>-492.67131086069423</v>
          </cell>
          <cell r="AX51">
            <v>37</v>
          </cell>
          <cell r="AY51">
            <v>-683.17332408760808</v>
          </cell>
          <cell r="BA51">
            <v>37</v>
          </cell>
        </row>
        <row r="61">
          <cell r="BV61">
            <v>49840</v>
          </cell>
          <cell r="BW61">
            <v>42551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Par. com."/>
      <sheetName val="Par. glob."/>
      <sheetName val="Par. prêt"/>
      <sheetName val="Par. Op."/>
      <sheetName val="Surf."/>
      <sheetName val="Prés."/>
      <sheetName val="CA"/>
      <sheetName val="DDE - B simpl."/>
      <sheetName val="DDE - B détail."/>
      <sheetName val="DDE - Attest."/>
      <sheetName val="DDE - Cont."/>
      <sheetName val="Prix rev.CE"/>
      <sheetName val="CEX - Recap"/>
      <sheetName val="CEX - Graph."/>
      <sheetName val="CEX - Résult."/>
      <sheetName val="ODSDataSheet"/>
      <sheetName val="ODSTempDataSheet"/>
      <sheetName val="ADMINISTRATIF"/>
      <sheetName val="BUDGET PROMOTEUR"/>
      <sheetName val="TABLEAU DE SURFACE"/>
      <sheetName val="Exemple Tableau de surface"/>
      <sheetName val="Listes"/>
    </sheetNames>
    <sheetDataSet>
      <sheetData sheetId="0" refreshError="1">
        <row r="10">
          <cell r="C10" t="str">
            <v>Simulation VEFA</v>
          </cell>
        </row>
      </sheetData>
      <sheetData sheetId="1"/>
      <sheetData sheetId="2" refreshError="1">
        <row r="27">
          <cell r="K27">
            <v>246</v>
          </cell>
        </row>
        <row r="37">
          <cell r="K37">
            <v>8000</v>
          </cell>
        </row>
        <row r="38">
          <cell r="K38">
            <v>9500</v>
          </cell>
        </row>
        <row r="39">
          <cell r="K39">
            <v>15000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</row>
        <row r="37">
          <cell r="E37">
            <v>0</v>
          </cell>
        </row>
        <row r="56">
          <cell r="E56">
            <v>0</v>
          </cell>
        </row>
      </sheetData>
      <sheetData sheetId="13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F"/>
      <sheetName val="Tableau de surface"/>
      <sheetName val="Tableau financier"/>
      <sheetName val="Exemple Tableau de surface"/>
      <sheetName val="Listes"/>
    </sheetNames>
    <sheetDataSet>
      <sheetData sheetId="0"/>
      <sheetData sheetId="1"/>
      <sheetData sheetId="2"/>
      <sheetData sheetId="3"/>
      <sheetData sheetId="4">
        <row r="4">
          <cell r="A4" t="str">
            <v>COP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OS 2008 + Réhabilitation"/>
      <sheetName val="OS 2009"/>
      <sheetName val="VEFA OS 2009_2010-2011"/>
      <sheetName val="Graphique"/>
      <sheetName val="Suivi décaiss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">
          <cell r="G11">
            <v>1</v>
          </cell>
          <cell r="CM11">
            <v>465000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U11">
            <v>0</v>
          </cell>
          <cell r="CV11">
            <v>2790000</v>
          </cell>
          <cell r="CW11">
            <v>0</v>
          </cell>
          <cell r="CX11">
            <v>0</v>
          </cell>
          <cell r="DE11">
            <v>6045000</v>
          </cell>
          <cell r="DK11">
            <v>0</v>
          </cell>
          <cell r="EB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J11">
            <v>0</v>
          </cell>
          <cell r="EK11">
            <v>0</v>
          </cell>
          <cell r="EL11">
            <v>6045000</v>
          </cell>
          <cell r="EM11">
            <v>0</v>
          </cell>
          <cell r="ET11">
            <v>3255000</v>
          </cell>
          <cell r="EZ11">
            <v>0</v>
          </cell>
        </row>
        <row r="12">
          <cell r="G12">
            <v>2</v>
          </cell>
          <cell r="CM12">
            <v>2415000</v>
          </cell>
          <cell r="CO12">
            <v>2070000</v>
          </cell>
          <cell r="CP12">
            <v>0</v>
          </cell>
          <cell r="CQ12">
            <v>0</v>
          </cell>
          <cell r="CR12">
            <v>0</v>
          </cell>
          <cell r="CU12">
            <v>345000</v>
          </cell>
          <cell r="CV12">
            <v>2070000</v>
          </cell>
          <cell r="CW12">
            <v>0</v>
          </cell>
          <cell r="CX12">
            <v>0</v>
          </cell>
          <cell r="DE12">
            <v>0</v>
          </cell>
          <cell r="DK12">
            <v>0</v>
          </cell>
          <cell r="EB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J12">
            <v>0</v>
          </cell>
          <cell r="EK12">
            <v>0</v>
          </cell>
          <cell r="EL12">
            <v>4485000</v>
          </cell>
          <cell r="EM12">
            <v>2415000</v>
          </cell>
          <cell r="ET12">
            <v>0</v>
          </cell>
          <cell r="EZ12">
            <v>0</v>
          </cell>
        </row>
        <row r="13">
          <cell r="G13">
            <v>3</v>
          </cell>
          <cell r="CM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1155733.2</v>
          </cell>
          <cell r="CU13">
            <v>866799.9</v>
          </cell>
          <cell r="CV13">
            <v>0</v>
          </cell>
          <cell r="CW13">
            <v>0</v>
          </cell>
          <cell r="CX13">
            <v>2022533.1</v>
          </cell>
          <cell r="DE13">
            <v>1733599.8</v>
          </cell>
          <cell r="DK13">
            <v>0</v>
          </cell>
          <cell r="EB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3756132.9</v>
          </cell>
          <cell r="ET13">
            <v>2022533.0999999999</v>
          </cell>
          <cell r="EZ13">
            <v>0</v>
          </cell>
        </row>
        <row r="14">
          <cell r="G14">
            <v>4</v>
          </cell>
          <cell r="CM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1878066.8</v>
          </cell>
          <cell r="CU14">
            <v>1408550.0999999999</v>
          </cell>
          <cell r="CV14">
            <v>0</v>
          </cell>
          <cell r="CW14">
            <v>0</v>
          </cell>
          <cell r="CX14">
            <v>3286616.9</v>
          </cell>
          <cell r="DE14">
            <v>2817100.2</v>
          </cell>
          <cell r="DK14">
            <v>0</v>
          </cell>
          <cell r="EB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6103717.1000000006</v>
          </cell>
          <cell r="ET14">
            <v>3286616.9</v>
          </cell>
          <cell r="EZ14">
            <v>0</v>
          </cell>
        </row>
        <row r="15">
          <cell r="G15">
            <v>5</v>
          </cell>
          <cell r="CM15">
            <v>0</v>
          </cell>
          <cell r="CO15">
            <v>0</v>
          </cell>
          <cell r="CP15">
            <v>91079.38</v>
          </cell>
          <cell r="CQ15">
            <v>0</v>
          </cell>
          <cell r="CR15">
            <v>592015.97</v>
          </cell>
          <cell r="CU15">
            <v>683095.35</v>
          </cell>
          <cell r="CV15">
            <v>0</v>
          </cell>
          <cell r="CW15">
            <v>0</v>
          </cell>
          <cell r="CX15">
            <v>1593889.15</v>
          </cell>
          <cell r="DE15">
            <v>1593889.15</v>
          </cell>
          <cell r="DK15">
            <v>0</v>
          </cell>
          <cell r="EB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2960079.85</v>
          </cell>
          <cell r="ET15">
            <v>1593889.15</v>
          </cell>
          <cell r="EZ15">
            <v>0</v>
          </cell>
        </row>
        <row r="16">
          <cell r="G16">
            <v>6</v>
          </cell>
          <cell r="CM16">
            <v>0</v>
          </cell>
          <cell r="CO16">
            <v>0</v>
          </cell>
          <cell r="CP16">
            <v>0</v>
          </cell>
          <cell r="CQ16">
            <v>73623</v>
          </cell>
          <cell r="CR16">
            <v>478549.5</v>
          </cell>
          <cell r="CU16">
            <v>552172.5</v>
          </cell>
          <cell r="CV16">
            <v>0</v>
          </cell>
          <cell r="CW16">
            <v>0</v>
          </cell>
          <cell r="CX16">
            <v>1472460</v>
          </cell>
          <cell r="DE16">
            <v>1104345</v>
          </cell>
          <cell r="DK16">
            <v>0</v>
          </cell>
          <cell r="EB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2392747.5</v>
          </cell>
          <cell r="ET16">
            <v>1288402.5</v>
          </cell>
          <cell r="EZ16">
            <v>0</v>
          </cell>
        </row>
        <row r="17">
          <cell r="G17">
            <v>7</v>
          </cell>
          <cell r="CM17">
            <v>0</v>
          </cell>
          <cell r="CO17">
            <v>0</v>
          </cell>
          <cell r="CP17">
            <v>0</v>
          </cell>
          <cell r="CQ17">
            <v>118680</v>
          </cell>
          <cell r="CR17">
            <v>771420</v>
          </cell>
          <cell r="CU17">
            <v>890100</v>
          </cell>
          <cell r="CV17">
            <v>0</v>
          </cell>
          <cell r="CW17">
            <v>0</v>
          </cell>
          <cell r="CX17">
            <v>2373600</v>
          </cell>
          <cell r="DE17">
            <v>1780200</v>
          </cell>
          <cell r="DK17">
            <v>0</v>
          </cell>
          <cell r="EB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3857100</v>
          </cell>
          <cell r="ET17">
            <v>2076899.9999999998</v>
          </cell>
          <cell r="EZ17">
            <v>0</v>
          </cell>
        </row>
        <row r="18">
          <cell r="G18">
            <v>8</v>
          </cell>
          <cell r="CM18">
            <v>0</v>
          </cell>
          <cell r="CO18">
            <v>0</v>
          </cell>
          <cell r="CP18">
            <v>0</v>
          </cell>
          <cell r="CQ18">
            <v>148600</v>
          </cell>
          <cell r="CR18">
            <v>965900</v>
          </cell>
          <cell r="CU18">
            <v>0</v>
          </cell>
          <cell r="CV18">
            <v>1114500</v>
          </cell>
          <cell r="CW18">
            <v>0</v>
          </cell>
          <cell r="CX18">
            <v>2972000</v>
          </cell>
          <cell r="DE18">
            <v>2229000</v>
          </cell>
          <cell r="DK18">
            <v>0</v>
          </cell>
          <cell r="EB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4829500</v>
          </cell>
          <cell r="ET18">
            <v>2600500</v>
          </cell>
          <cell r="EZ18">
            <v>0</v>
          </cell>
        </row>
        <row r="19">
          <cell r="G19">
            <v>9</v>
          </cell>
          <cell r="CM19">
            <v>0</v>
          </cell>
          <cell r="CO19">
            <v>0</v>
          </cell>
          <cell r="CP19">
            <v>0</v>
          </cell>
          <cell r="CQ19">
            <v>142144.80000000002</v>
          </cell>
          <cell r="CR19">
            <v>923941.20000000007</v>
          </cell>
          <cell r="CU19">
            <v>1066086</v>
          </cell>
          <cell r="CV19">
            <v>0</v>
          </cell>
          <cell r="CW19">
            <v>0</v>
          </cell>
          <cell r="CX19">
            <v>2487534</v>
          </cell>
          <cell r="DE19">
            <v>2487534</v>
          </cell>
          <cell r="DK19">
            <v>0</v>
          </cell>
          <cell r="EB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4619706</v>
          </cell>
          <cell r="ET19">
            <v>2487534</v>
          </cell>
          <cell r="EZ19">
            <v>0</v>
          </cell>
        </row>
        <row r="20">
          <cell r="G20">
            <v>10</v>
          </cell>
          <cell r="CM20">
            <v>0</v>
          </cell>
          <cell r="CO20">
            <v>0</v>
          </cell>
          <cell r="CP20">
            <v>0</v>
          </cell>
          <cell r="CQ20">
            <v>274831.30160000001</v>
          </cell>
          <cell r="CR20">
            <v>1786403.4604</v>
          </cell>
          <cell r="CU20">
            <v>0</v>
          </cell>
          <cell r="CV20">
            <v>2061234.7619999999</v>
          </cell>
          <cell r="CW20">
            <v>0</v>
          </cell>
          <cell r="CX20">
            <v>2748313.0160000003</v>
          </cell>
          <cell r="DE20">
            <v>6870782.5399999991</v>
          </cell>
          <cell r="DK20">
            <v>0</v>
          </cell>
          <cell r="EB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8932017.3020000011</v>
          </cell>
          <cell r="ET20">
            <v>4809547.7779999999</v>
          </cell>
          <cell r="EZ20">
            <v>0</v>
          </cell>
        </row>
        <row r="21">
          <cell r="G21">
            <v>11</v>
          </cell>
          <cell r="CM21">
            <v>0</v>
          </cell>
          <cell r="CO21">
            <v>0</v>
          </cell>
          <cell r="CP21">
            <v>0</v>
          </cell>
          <cell r="CQ21">
            <v>101430.9754</v>
          </cell>
          <cell r="CR21">
            <v>659301.34009999991</v>
          </cell>
          <cell r="CU21">
            <v>0</v>
          </cell>
          <cell r="CV21">
            <v>760732.31549999991</v>
          </cell>
          <cell r="CW21">
            <v>0</v>
          </cell>
          <cell r="CX21">
            <v>1775042.0694999998</v>
          </cell>
          <cell r="DE21">
            <v>1775042.0694999998</v>
          </cell>
          <cell r="DK21">
            <v>0</v>
          </cell>
          <cell r="EB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3296506.7004999998</v>
          </cell>
          <cell r="ET21">
            <v>1775042.0694999998</v>
          </cell>
          <cell r="EZ21">
            <v>0</v>
          </cell>
        </row>
        <row r="22">
          <cell r="G22">
            <v>12</v>
          </cell>
          <cell r="CM22">
            <v>0</v>
          </cell>
          <cell r="CO22">
            <v>0</v>
          </cell>
          <cell r="CP22">
            <v>0</v>
          </cell>
          <cell r="CQ22">
            <v>97238.375800000009</v>
          </cell>
          <cell r="CR22">
            <v>632049.44270000001</v>
          </cell>
          <cell r="CU22">
            <v>0</v>
          </cell>
          <cell r="CV22">
            <v>729287.81849999994</v>
          </cell>
          <cell r="CW22">
            <v>0</v>
          </cell>
          <cell r="CX22">
            <v>1701671.5765</v>
          </cell>
          <cell r="DE22">
            <v>1701671.5765</v>
          </cell>
          <cell r="DK22">
            <v>0</v>
          </cell>
          <cell r="EB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3160247.2135000001</v>
          </cell>
          <cell r="ET22">
            <v>1701671.5765</v>
          </cell>
          <cell r="EZ22">
            <v>0</v>
          </cell>
        </row>
        <row r="23">
          <cell r="G23">
            <v>13</v>
          </cell>
          <cell r="CM23">
            <v>0</v>
          </cell>
          <cell r="CO23">
            <v>0</v>
          </cell>
          <cell r="CP23">
            <v>0</v>
          </cell>
          <cell r="CQ23">
            <v>113719.5266</v>
          </cell>
          <cell r="CR23">
            <v>739176.92290000001</v>
          </cell>
          <cell r="CU23">
            <v>0</v>
          </cell>
          <cell r="CV23">
            <v>852896.44949999999</v>
          </cell>
          <cell r="CW23">
            <v>0</v>
          </cell>
          <cell r="CX23">
            <v>1137195.2660000001</v>
          </cell>
          <cell r="DE23">
            <v>2842988.165</v>
          </cell>
          <cell r="DK23">
            <v>0</v>
          </cell>
          <cell r="EB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3695884.6145000001</v>
          </cell>
          <cell r="ET23">
            <v>1990091.7154999999</v>
          </cell>
          <cell r="EZ23">
            <v>0</v>
          </cell>
        </row>
        <row r="24">
          <cell r="G24">
            <v>14</v>
          </cell>
          <cell r="CM24">
            <v>0</v>
          </cell>
          <cell r="CO24">
            <v>0</v>
          </cell>
          <cell r="CP24">
            <v>0</v>
          </cell>
          <cell r="CQ24">
            <v>68763.661999999997</v>
          </cell>
          <cell r="CR24">
            <v>446963.80300000001</v>
          </cell>
          <cell r="CU24">
            <v>0</v>
          </cell>
          <cell r="CV24">
            <v>515727.46499999997</v>
          </cell>
          <cell r="CW24">
            <v>0</v>
          </cell>
          <cell r="CX24">
            <v>687636.62000000011</v>
          </cell>
          <cell r="DE24">
            <v>1719091.55</v>
          </cell>
          <cell r="DK24">
            <v>0</v>
          </cell>
          <cell r="EB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2234819.0150000001</v>
          </cell>
          <cell r="ET24">
            <v>1203364.085</v>
          </cell>
          <cell r="EZ24">
            <v>0</v>
          </cell>
        </row>
        <row r="25">
          <cell r="G25">
            <v>15</v>
          </cell>
          <cell r="CM25">
            <v>0</v>
          </cell>
          <cell r="CO25">
            <v>0</v>
          </cell>
          <cell r="CP25">
            <v>0</v>
          </cell>
          <cell r="CQ25">
            <v>171160.44</v>
          </cell>
          <cell r="CR25">
            <v>1112542.8600000001</v>
          </cell>
          <cell r="CU25">
            <v>0</v>
          </cell>
          <cell r="CV25">
            <v>1283703.3</v>
          </cell>
          <cell r="CW25">
            <v>0</v>
          </cell>
          <cell r="CX25">
            <v>1711604.4000000001</v>
          </cell>
          <cell r="DE25">
            <v>4279011</v>
          </cell>
          <cell r="DK25">
            <v>0</v>
          </cell>
          <cell r="EB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5562714.2999999998</v>
          </cell>
          <cell r="ET25">
            <v>2995307.6999999997</v>
          </cell>
          <cell r="EZ25">
            <v>0</v>
          </cell>
        </row>
        <row r="26">
          <cell r="G26">
            <v>16</v>
          </cell>
          <cell r="CM26">
            <v>0</v>
          </cell>
          <cell r="CO26">
            <v>0</v>
          </cell>
          <cell r="CP26">
            <v>0</v>
          </cell>
          <cell r="CQ26">
            <v>48021.700000000004</v>
          </cell>
          <cell r="CR26">
            <v>312141.05</v>
          </cell>
          <cell r="CU26">
            <v>360162.75</v>
          </cell>
          <cell r="CV26">
            <v>480217</v>
          </cell>
          <cell r="CW26">
            <v>0</v>
          </cell>
          <cell r="CX26">
            <v>1200542.5</v>
          </cell>
          <cell r="DE26">
            <v>0</v>
          </cell>
          <cell r="DK26">
            <v>0</v>
          </cell>
          <cell r="EB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2401085</v>
          </cell>
          <cell r="ET26">
            <v>0</v>
          </cell>
          <cell r="EZ26">
            <v>0</v>
          </cell>
        </row>
        <row r="27">
          <cell r="G27">
            <v>17</v>
          </cell>
          <cell r="CM27">
            <v>0</v>
          </cell>
          <cell r="CO27">
            <v>0</v>
          </cell>
          <cell r="CP27">
            <v>0</v>
          </cell>
          <cell r="CQ27">
            <v>74941.400000000009</v>
          </cell>
          <cell r="CR27">
            <v>487119.10000000003</v>
          </cell>
          <cell r="CU27">
            <v>0</v>
          </cell>
          <cell r="CV27">
            <v>562060.5</v>
          </cell>
          <cell r="CW27">
            <v>749414</v>
          </cell>
          <cell r="CX27">
            <v>1873535</v>
          </cell>
          <cell r="DE27">
            <v>0</v>
          </cell>
          <cell r="DK27">
            <v>0</v>
          </cell>
          <cell r="EB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3747070</v>
          </cell>
          <cell r="ET27">
            <v>0</v>
          </cell>
          <cell r="EZ27">
            <v>0</v>
          </cell>
        </row>
        <row r="28">
          <cell r="G28">
            <v>18</v>
          </cell>
          <cell r="CM28">
            <v>0</v>
          </cell>
          <cell r="CO28">
            <v>0</v>
          </cell>
          <cell r="CP28">
            <v>107375.36</v>
          </cell>
          <cell r="CQ28">
            <v>0</v>
          </cell>
          <cell r="CR28">
            <v>697939.84</v>
          </cell>
          <cell r="CU28">
            <v>0</v>
          </cell>
          <cell r="CV28">
            <v>805315.2</v>
          </cell>
          <cell r="CW28">
            <v>1073753.6000000001</v>
          </cell>
          <cell r="CX28">
            <v>1879068.7999999998</v>
          </cell>
          <cell r="DE28">
            <v>805315.2</v>
          </cell>
          <cell r="DK28">
            <v>0</v>
          </cell>
          <cell r="EB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5368768</v>
          </cell>
          <cell r="ET28">
            <v>0</v>
          </cell>
          <cell r="EZ28">
            <v>0</v>
          </cell>
        </row>
        <row r="29">
          <cell r="G29">
            <v>19</v>
          </cell>
          <cell r="CM29">
            <v>0</v>
          </cell>
          <cell r="CO29">
            <v>0</v>
          </cell>
          <cell r="CP29">
            <v>89286.040000000008</v>
          </cell>
          <cell r="CQ29">
            <v>0</v>
          </cell>
          <cell r="CR29">
            <v>580359.26</v>
          </cell>
          <cell r="CU29">
            <v>669645.29999999993</v>
          </cell>
          <cell r="CV29">
            <v>0</v>
          </cell>
          <cell r="CW29">
            <v>892860.4</v>
          </cell>
          <cell r="CX29">
            <v>2232151</v>
          </cell>
          <cell r="DE29">
            <v>0</v>
          </cell>
          <cell r="DK29">
            <v>0</v>
          </cell>
          <cell r="EB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4464302</v>
          </cell>
          <cell r="ET29">
            <v>0</v>
          </cell>
          <cell r="EZ29">
            <v>0</v>
          </cell>
        </row>
        <row r="30">
          <cell r="G30">
            <v>20</v>
          </cell>
          <cell r="CM30">
            <v>0</v>
          </cell>
          <cell r="CO30">
            <v>0</v>
          </cell>
          <cell r="CP30">
            <v>130232.36</v>
          </cell>
          <cell r="CQ30">
            <v>0</v>
          </cell>
          <cell r="CR30">
            <v>846510.34000000008</v>
          </cell>
          <cell r="CU30">
            <v>976742.7</v>
          </cell>
          <cell r="CV30">
            <v>0</v>
          </cell>
          <cell r="CW30">
            <v>1302323.6000000001</v>
          </cell>
          <cell r="CX30">
            <v>3255809</v>
          </cell>
          <cell r="DE30">
            <v>0</v>
          </cell>
          <cell r="DK30">
            <v>0</v>
          </cell>
          <cell r="EB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6511618</v>
          </cell>
          <cell r="ET30">
            <v>0</v>
          </cell>
          <cell r="EZ30">
            <v>0</v>
          </cell>
        </row>
        <row r="31">
          <cell r="G31">
            <v>21</v>
          </cell>
          <cell r="CM31">
            <v>0</v>
          </cell>
          <cell r="CO31">
            <v>0</v>
          </cell>
          <cell r="CP31">
            <v>74836.14</v>
          </cell>
          <cell r="CQ31">
            <v>0</v>
          </cell>
          <cell r="CR31">
            <v>486434.91000000003</v>
          </cell>
          <cell r="CU31">
            <v>561271.04999999993</v>
          </cell>
          <cell r="CV31">
            <v>0</v>
          </cell>
          <cell r="CW31">
            <v>748361.4</v>
          </cell>
          <cell r="CX31">
            <v>1870903.5</v>
          </cell>
          <cell r="DE31">
            <v>0</v>
          </cell>
          <cell r="DK31">
            <v>0</v>
          </cell>
          <cell r="EB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3741807</v>
          </cell>
          <cell r="ET31">
            <v>0</v>
          </cell>
          <cell r="EZ31">
            <v>0</v>
          </cell>
        </row>
        <row r="32">
          <cell r="G32">
            <v>22</v>
          </cell>
          <cell r="CM32">
            <v>0</v>
          </cell>
          <cell r="CO32">
            <v>0</v>
          </cell>
          <cell r="CP32">
            <v>0</v>
          </cell>
          <cell r="CQ32">
            <v>85644.747200000013</v>
          </cell>
          <cell r="CR32">
            <v>556690.85680000007</v>
          </cell>
          <cell r="CU32">
            <v>642335.60400000005</v>
          </cell>
          <cell r="CV32">
            <v>0</v>
          </cell>
          <cell r="CW32">
            <v>0</v>
          </cell>
          <cell r="CX32">
            <v>2997566.1520000002</v>
          </cell>
          <cell r="DE32">
            <v>0</v>
          </cell>
          <cell r="DK32">
            <v>0</v>
          </cell>
          <cell r="EB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4282237.3600000003</v>
          </cell>
          <cell r="ET32">
            <v>0</v>
          </cell>
          <cell r="EZ32">
            <v>0</v>
          </cell>
        </row>
        <row r="33">
          <cell r="G33">
            <v>23</v>
          </cell>
          <cell r="CM33">
            <v>0</v>
          </cell>
          <cell r="CO33">
            <v>0</v>
          </cell>
          <cell r="CP33">
            <v>0</v>
          </cell>
          <cell r="CQ33">
            <v>54569.489200000004</v>
          </cell>
          <cell r="CR33">
            <v>354701.67979999998</v>
          </cell>
          <cell r="CU33">
            <v>409271.16899999999</v>
          </cell>
          <cell r="CV33">
            <v>0</v>
          </cell>
          <cell r="CW33">
            <v>0</v>
          </cell>
          <cell r="CX33">
            <v>1909932.122</v>
          </cell>
          <cell r="DE33">
            <v>0</v>
          </cell>
          <cell r="DK33">
            <v>0</v>
          </cell>
          <cell r="EB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2728474.46</v>
          </cell>
          <cell r="ET33">
            <v>0</v>
          </cell>
          <cell r="EZ33">
            <v>0</v>
          </cell>
        </row>
        <row r="34">
          <cell r="G34">
            <v>24</v>
          </cell>
          <cell r="CM34">
            <v>0</v>
          </cell>
          <cell r="CO34">
            <v>0</v>
          </cell>
          <cell r="CP34">
            <v>0</v>
          </cell>
          <cell r="CQ34">
            <v>58814.700000000004</v>
          </cell>
          <cell r="CR34">
            <v>382295.55</v>
          </cell>
          <cell r="CU34">
            <v>441110.25</v>
          </cell>
          <cell r="CV34">
            <v>0</v>
          </cell>
          <cell r="CW34">
            <v>588147</v>
          </cell>
          <cell r="CX34">
            <v>1470367.5</v>
          </cell>
          <cell r="DE34">
            <v>0</v>
          </cell>
          <cell r="DK34">
            <v>0</v>
          </cell>
          <cell r="EB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2940735</v>
          </cell>
          <cell r="ET34">
            <v>0</v>
          </cell>
          <cell r="EZ34">
            <v>0</v>
          </cell>
        </row>
        <row r="35">
          <cell r="G35">
            <v>25</v>
          </cell>
          <cell r="CM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641203.05000000005</v>
          </cell>
          <cell r="CU35">
            <v>641203.04999999993</v>
          </cell>
          <cell r="CV35">
            <v>0</v>
          </cell>
          <cell r="CW35">
            <v>854937.4</v>
          </cell>
          <cell r="CX35">
            <v>2137343.5</v>
          </cell>
          <cell r="DE35">
            <v>0</v>
          </cell>
          <cell r="DK35">
            <v>0</v>
          </cell>
          <cell r="EB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4274687</v>
          </cell>
          <cell r="ET35">
            <v>0</v>
          </cell>
          <cell r="EZ35">
            <v>0</v>
          </cell>
        </row>
        <row r="36">
          <cell r="G36">
            <v>26</v>
          </cell>
          <cell r="CM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U36">
            <v>181087.52</v>
          </cell>
          <cell r="CV36">
            <v>0</v>
          </cell>
          <cell r="CW36">
            <v>1177068.8800000001</v>
          </cell>
          <cell r="CX36">
            <v>1358156.4</v>
          </cell>
          <cell r="DE36">
            <v>6338063.1999999993</v>
          </cell>
          <cell r="DK36">
            <v>0</v>
          </cell>
          <cell r="EB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T36">
            <v>9054376</v>
          </cell>
          <cell r="EZ36">
            <v>0</v>
          </cell>
        </row>
        <row r="37">
          <cell r="G37">
            <v>27</v>
          </cell>
          <cell r="CM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U37">
            <v>312755.31063829787</v>
          </cell>
          <cell r="CV37">
            <v>0</v>
          </cell>
          <cell r="CW37">
            <v>2032909.5191489363</v>
          </cell>
          <cell r="CX37">
            <v>2345664.8297872338</v>
          </cell>
          <cell r="DE37">
            <v>5473217.9361702129</v>
          </cell>
          <cell r="DK37">
            <v>5473217.9361702129</v>
          </cell>
          <cell r="EB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T37">
            <v>10164547.595744681</v>
          </cell>
          <cell r="EZ37">
            <v>5473217.936170212</v>
          </cell>
        </row>
        <row r="38">
          <cell r="G38">
            <v>28</v>
          </cell>
          <cell r="CM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U38">
            <v>177228.00936170213</v>
          </cell>
          <cell r="CV38">
            <v>0</v>
          </cell>
          <cell r="CW38">
            <v>1151982.0608510638</v>
          </cell>
          <cell r="CX38">
            <v>1329210.0702127658</v>
          </cell>
          <cell r="DE38">
            <v>3101490.1638297872</v>
          </cell>
          <cell r="DK38">
            <v>3101490.1638297872</v>
          </cell>
          <cell r="EB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T38">
            <v>5759910.3042553198</v>
          </cell>
          <cell r="EZ38">
            <v>3101490.1638297872</v>
          </cell>
        </row>
        <row r="39">
          <cell r="G39">
            <v>29</v>
          </cell>
          <cell r="CM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U39">
            <v>187247.82</v>
          </cell>
          <cell r="CV39">
            <v>0</v>
          </cell>
          <cell r="CW39">
            <v>1217110.83</v>
          </cell>
          <cell r="CX39">
            <v>1404358.65</v>
          </cell>
          <cell r="DE39">
            <v>6553673.6999999993</v>
          </cell>
          <cell r="DK39">
            <v>0</v>
          </cell>
          <cell r="EB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T39">
            <v>9362391</v>
          </cell>
          <cell r="EZ39">
            <v>0</v>
          </cell>
        </row>
        <row r="40">
          <cell r="G40">
            <v>30</v>
          </cell>
          <cell r="CM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U40">
            <v>192540.02</v>
          </cell>
          <cell r="CV40">
            <v>0</v>
          </cell>
          <cell r="CW40">
            <v>1251510.1300000001</v>
          </cell>
          <cell r="CX40">
            <v>1444050.15</v>
          </cell>
          <cell r="DE40">
            <v>6738900.6999999993</v>
          </cell>
          <cell r="DK40">
            <v>0</v>
          </cell>
          <cell r="EB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T40">
            <v>9627001</v>
          </cell>
          <cell r="EZ40">
            <v>0</v>
          </cell>
        </row>
        <row r="41">
          <cell r="G41">
            <v>31</v>
          </cell>
          <cell r="CM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U41">
            <v>190600</v>
          </cell>
          <cell r="CV41">
            <v>0</v>
          </cell>
          <cell r="CW41">
            <v>1238900</v>
          </cell>
          <cell r="CX41">
            <v>1429500</v>
          </cell>
          <cell r="DE41">
            <v>6671000</v>
          </cell>
          <cell r="DK41">
            <v>0</v>
          </cell>
          <cell r="EB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T41">
            <v>9530000</v>
          </cell>
          <cell r="EZ41">
            <v>0</v>
          </cell>
        </row>
        <row r="42">
          <cell r="G42">
            <v>32</v>
          </cell>
          <cell r="CM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U42">
            <v>112524.42</v>
          </cell>
          <cell r="CV42">
            <v>0</v>
          </cell>
          <cell r="CW42">
            <v>731408.73</v>
          </cell>
          <cell r="CX42">
            <v>843933.15</v>
          </cell>
          <cell r="DE42">
            <v>3938354.6999999997</v>
          </cell>
          <cell r="DK42">
            <v>0</v>
          </cell>
          <cell r="EB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T42">
            <v>5626221</v>
          </cell>
          <cell r="EZ42">
            <v>0</v>
          </cell>
        </row>
        <row r="43">
          <cell r="G43">
            <v>33</v>
          </cell>
          <cell r="CM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U43">
            <v>113221.34</v>
          </cell>
          <cell r="CV43">
            <v>0</v>
          </cell>
          <cell r="CW43">
            <v>735938.71000000008</v>
          </cell>
          <cell r="CX43">
            <v>849160.04999999993</v>
          </cell>
          <cell r="DE43">
            <v>3962746.9000000004</v>
          </cell>
          <cell r="DK43">
            <v>0</v>
          </cell>
          <cell r="EB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T43">
            <v>5661067</v>
          </cell>
          <cell r="EZ43">
            <v>0</v>
          </cell>
        </row>
        <row r="44">
          <cell r="G44">
            <v>34</v>
          </cell>
          <cell r="CM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U44">
            <v>315475</v>
          </cell>
          <cell r="CV44">
            <v>0</v>
          </cell>
          <cell r="CW44">
            <v>2050587.5</v>
          </cell>
          <cell r="CX44">
            <v>2366062.5</v>
          </cell>
          <cell r="DE44">
            <v>11041625</v>
          </cell>
          <cell r="DK44">
            <v>0</v>
          </cell>
          <cell r="EB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T44">
            <v>15773750</v>
          </cell>
          <cell r="EZ44">
            <v>0</v>
          </cell>
        </row>
        <row r="45">
          <cell r="G45">
            <v>35</v>
          </cell>
          <cell r="CM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U45">
            <v>296723.06</v>
          </cell>
          <cell r="CV45">
            <v>0</v>
          </cell>
          <cell r="CW45">
            <v>1928699.8900000001</v>
          </cell>
          <cell r="CX45">
            <v>2225422.9499999997</v>
          </cell>
          <cell r="DE45">
            <v>10385307.099999998</v>
          </cell>
          <cell r="DK45">
            <v>0</v>
          </cell>
          <cell r="EB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T45">
            <v>14836153</v>
          </cell>
          <cell r="EZ45">
            <v>0</v>
          </cell>
        </row>
        <row r="46">
          <cell r="G46">
            <v>36</v>
          </cell>
          <cell r="CM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U46">
            <v>84609.84</v>
          </cell>
          <cell r="CV46">
            <v>0</v>
          </cell>
          <cell r="CW46">
            <v>549963.96</v>
          </cell>
          <cell r="CX46">
            <v>634573.79999999993</v>
          </cell>
          <cell r="DE46">
            <v>2961344.3999999994</v>
          </cell>
          <cell r="DK46">
            <v>0</v>
          </cell>
          <cell r="EB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T46">
            <v>4230492</v>
          </cell>
          <cell r="EZ46">
            <v>0</v>
          </cell>
        </row>
        <row r="47">
          <cell r="G47">
            <v>37</v>
          </cell>
          <cell r="CM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U47">
            <v>97086.48</v>
          </cell>
          <cell r="CV47">
            <v>0</v>
          </cell>
          <cell r="CW47">
            <v>631062.12</v>
          </cell>
          <cell r="CX47">
            <v>728148.6</v>
          </cell>
          <cell r="DE47">
            <v>3398026.8000000003</v>
          </cell>
          <cell r="DK47">
            <v>0</v>
          </cell>
          <cell r="EB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T47">
            <v>4854324</v>
          </cell>
          <cell r="EZ47">
            <v>0</v>
          </cell>
        </row>
        <row r="48">
          <cell r="G48">
            <v>38</v>
          </cell>
          <cell r="CM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U48">
            <v>96985</v>
          </cell>
          <cell r="CV48">
            <v>0</v>
          </cell>
          <cell r="CW48">
            <v>630402.5</v>
          </cell>
          <cell r="CX48">
            <v>727387.5</v>
          </cell>
          <cell r="DE48">
            <v>3394475</v>
          </cell>
          <cell r="DK48">
            <v>0</v>
          </cell>
          <cell r="EB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T48">
            <v>4849250</v>
          </cell>
          <cell r="EZ48">
            <v>0</v>
          </cell>
        </row>
        <row r="49">
          <cell r="G49">
            <v>39</v>
          </cell>
          <cell r="CM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U49">
            <v>34241.08</v>
          </cell>
          <cell r="CV49">
            <v>0</v>
          </cell>
          <cell r="CW49">
            <v>222567.02000000002</v>
          </cell>
          <cell r="CX49">
            <v>256808.09999999998</v>
          </cell>
          <cell r="DE49">
            <v>1198437.8</v>
          </cell>
          <cell r="DK49">
            <v>0</v>
          </cell>
          <cell r="EB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T49">
            <v>1712054</v>
          </cell>
          <cell r="EZ49">
            <v>0</v>
          </cell>
        </row>
        <row r="50">
          <cell r="G50">
            <v>40</v>
          </cell>
          <cell r="CM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U50">
            <v>47149.78</v>
          </cell>
          <cell r="CV50">
            <v>0</v>
          </cell>
          <cell r="CW50">
            <v>2310339.2199999997</v>
          </cell>
          <cell r="CX50">
            <v>0</v>
          </cell>
          <cell r="DE50">
            <v>0</v>
          </cell>
          <cell r="DK50">
            <v>0</v>
          </cell>
          <cell r="EB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J50">
            <v>0</v>
          </cell>
          <cell r="EK50">
            <v>0</v>
          </cell>
          <cell r="EL50">
            <v>825121.14999999991</v>
          </cell>
          <cell r="EM50">
            <v>0</v>
          </cell>
          <cell r="ET50">
            <v>1532367.85</v>
          </cell>
          <cell r="EZ50">
            <v>0</v>
          </cell>
        </row>
        <row r="51">
          <cell r="G51">
            <v>41</v>
          </cell>
          <cell r="CM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U51">
            <v>68620.960000000006</v>
          </cell>
          <cell r="CV51">
            <v>0</v>
          </cell>
          <cell r="CW51">
            <v>446036.24</v>
          </cell>
          <cell r="CX51">
            <v>514657.19999999995</v>
          </cell>
          <cell r="DE51">
            <v>2401733.6</v>
          </cell>
          <cell r="DK51">
            <v>0</v>
          </cell>
          <cell r="EB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T51">
            <v>3431048</v>
          </cell>
          <cell r="EZ51">
            <v>0</v>
          </cell>
        </row>
        <row r="52">
          <cell r="G52">
            <v>42</v>
          </cell>
          <cell r="CM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U52">
            <v>28506.32</v>
          </cell>
          <cell r="CV52">
            <v>0</v>
          </cell>
          <cell r="CW52">
            <v>0</v>
          </cell>
          <cell r="CX52">
            <v>185291.08000000002</v>
          </cell>
          <cell r="DE52">
            <v>1211518.6000000001</v>
          </cell>
          <cell r="DK52">
            <v>0</v>
          </cell>
          <cell r="EB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T52">
            <v>1425316</v>
          </cell>
          <cell r="EZ52">
            <v>0</v>
          </cell>
        </row>
        <row r="53">
          <cell r="G53">
            <v>43</v>
          </cell>
          <cell r="CM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U53">
            <v>406478.98</v>
          </cell>
          <cell r="CV53">
            <v>0</v>
          </cell>
          <cell r="CW53">
            <v>0</v>
          </cell>
          <cell r="CX53">
            <v>2642113.37</v>
          </cell>
          <cell r="DE53">
            <v>10161974.5</v>
          </cell>
          <cell r="DK53">
            <v>7113382.1500000004</v>
          </cell>
          <cell r="EB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T53">
            <v>13210566.85</v>
          </cell>
          <cell r="EZ53">
            <v>7113382.1499999994</v>
          </cell>
        </row>
        <row r="54">
          <cell r="G54">
            <v>44</v>
          </cell>
          <cell r="CM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U54">
            <v>47713</v>
          </cell>
          <cell r="CV54">
            <v>0</v>
          </cell>
          <cell r="CW54">
            <v>0</v>
          </cell>
          <cell r="CX54">
            <v>310134.5</v>
          </cell>
          <cell r="DE54">
            <v>1789237.5</v>
          </cell>
          <cell r="DK54">
            <v>238565</v>
          </cell>
          <cell r="EB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T54">
            <v>2385650</v>
          </cell>
          <cell r="EZ54">
            <v>0</v>
          </cell>
        </row>
        <row r="55">
          <cell r="G55">
            <v>45</v>
          </cell>
          <cell r="CM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U55">
            <v>290000</v>
          </cell>
          <cell r="CV55">
            <v>0</v>
          </cell>
          <cell r="CW55">
            <v>0</v>
          </cell>
          <cell r="CX55">
            <v>1885000</v>
          </cell>
          <cell r="DE55">
            <v>7250000</v>
          </cell>
          <cell r="DK55">
            <v>5075000</v>
          </cell>
          <cell r="EB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T55">
            <v>9425000</v>
          </cell>
          <cell r="EZ55">
            <v>5075000</v>
          </cell>
        </row>
        <row r="56">
          <cell r="G56">
            <v>46</v>
          </cell>
          <cell r="CM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U56">
            <v>69560</v>
          </cell>
          <cell r="CV56">
            <v>0</v>
          </cell>
          <cell r="CW56">
            <v>0</v>
          </cell>
          <cell r="CX56">
            <v>452140</v>
          </cell>
          <cell r="DE56">
            <v>2678060</v>
          </cell>
          <cell r="DK56">
            <v>278240</v>
          </cell>
          <cell r="EB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T56">
            <v>3478000</v>
          </cell>
          <cell r="EZ56">
            <v>0</v>
          </cell>
        </row>
        <row r="57">
          <cell r="G57">
            <v>47</v>
          </cell>
          <cell r="CM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U57">
            <v>43008</v>
          </cell>
          <cell r="CV57">
            <v>0</v>
          </cell>
          <cell r="CW57">
            <v>0</v>
          </cell>
          <cell r="CX57">
            <v>279552</v>
          </cell>
          <cell r="DE57">
            <v>1827840</v>
          </cell>
          <cell r="DK57">
            <v>0</v>
          </cell>
          <cell r="EB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T57">
            <v>2150400</v>
          </cell>
          <cell r="EZ57">
            <v>0</v>
          </cell>
        </row>
        <row r="58">
          <cell r="G58">
            <v>48</v>
          </cell>
          <cell r="CM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U58">
            <v>33896.28</v>
          </cell>
          <cell r="CV58">
            <v>0</v>
          </cell>
          <cell r="CW58">
            <v>0</v>
          </cell>
          <cell r="CX58">
            <v>220325.82</v>
          </cell>
          <cell r="DE58">
            <v>1440591.9</v>
          </cell>
          <cell r="DK58">
            <v>0</v>
          </cell>
          <cell r="EB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T58">
            <v>1694814</v>
          </cell>
          <cell r="EZ58">
            <v>0</v>
          </cell>
        </row>
        <row r="59">
          <cell r="G59">
            <v>49</v>
          </cell>
          <cell r="CM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U59">
            <v>127928.84960000002</v>
          </cell>
          <cell r="CV59">
            <v>0</v>
          </cell>
          <cell r="CW59">
            <v>0</v>
          </cell>
          <cell r="CX59">
            <v>831537.52240000013</v>
          </cell>
          <cell r="DE59">
            <v>3198221.24</v>
          </cell>
          <cell r="DK59">
            <v>2238754.8680000002</v>
          </cell>
          <cell r="EB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T59">
            <v>4157687.6120000007</v>
          </cell>
          <cell r="EZ59">
            <v>2238754.8679999998</v>
          </cell>
        </row>
        <row r="60">
          <cell r="G60">
            <v>50</v>
          </cell>
          <cell r="CM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U60">
            <v>123564</v>
          </cell>
          <cell r="CV60">
            <v>0</v>
          </cell>
          <cell r="CW60">
            <v>0</v>
          </cell>
          <cell r="CX60">
            <v>803166</v>
          </cell>
          <cell r="DE60">
            <v>3089100</v>
          </cell>
          <cell r="DK60">
            <v>2162370</v>
          </cell>
          <cell r="EB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T60">
            <v>4015830</v>
          </cell>
          <cell r="EZ60">
            <v>2162370</v>
          </cell>
        </row>
        <row r="61">
          <cell r="G61">
            <v>51</v>
          </cell>
          <cell r="CM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U61">
            <v>367548.68</v>
          </cell>
          <cell r="CV61">
            <v>0</v>
          </cell>
          <cell r="CW61">
            <v>0</v>
          </cell>
          <cell r="CX61">
            <v>2389066.42</v>
          </cell>
          <cell r="DE61">
            <v>9188717</v>
          </cell>
          <cell r="DK61">
            <v>6432101.9000000004</v>
          </cell>
          <cell r="EB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T61">
            <v>11945332.1</v>
          </cell>
          <cell r="EZ61">
            <v>6432101.8999999994</v>
          </cell>
        </row>
        <row r="62">
          <cell r="G62">
            <v>52</v>
          </cell>
          <cell r="CM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U62">
            <v>84744.88</v>
          </cell>
          <cell r="CV62">
            <v>0</v>
          </cell>
          <cell r="CW62">
            <v>0</v>
          </cell>
          <cell r="CX62">
            <v>550841.72</v>
          </cell>
          <cell r="DE62">
            <v>3601657.4</v>
          </cell>
          <cell r="DK62">
            <v>0</v>
          </cell>
          <cell r="EB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T62">
            <v>4237244</v>
          </cell>
          <cell r="EZ62">
            <v>0</v>
          </cell>
        </row>
        <row r="63">
          <cell r="G63">
            <v>53</v>
          </cell>
          <cell r="CM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U63">
            <v>39776.5</v>
          </cell>
          <cell r="CV63">
            <v>0</v>
          </cell>
          <cell r="CW63">
            <v>0</v>
          </cell>
          <cell r="CX63">
            <v>258547.25</v>
          </cell>
          <cell r="DE63">
            <v>1690501.25</v>
          </cell>
          <cell r="DK63">
            <v>0</v>
          </cell>
          <cell r="EB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T63">
            <v>1988825</v>
          </cell>
          <cell r="EZ63">
            <v>0</v>
          </cell>
        </row>
        <row r="64">
          <cell r="G64">
            <v>54</v>
          </cell>
          <cell r="CM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U64">
            <v>89350.58</v>
          </cell>
          <cell r="CV64">
            <v>0</v>
          </cell>
          <cell r="CW64">
            <v>0</v>
          </cell>
          <cell r="CX64">
            <v>580778.77</v>
          </cell>
          <cell r="DE64">
            <v>3439997.33</v>
          </cell>
          <cell r="DK64">
            <v>357402.32</v>
          </cell>
          <cell r="EB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T64">
            <v>4467529</v>
          </cell>
          <cell r="EZ64">
            <v>0</v>
          </cell>
        </row>
        <row r="65">
          <cell r="G65">
            <v>55</v>
          </cell>
          <cell r="CM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U65">
            <v>44802.574800000002</v>
          </cell>
          <cell r="CV65">
            <v>0</v>
          </cell>
          <cell r="CW65">
            <v>0</v>
          </cell>
          <cell r="CX65">
            <v>291216.73620000004</v>
          </cell>
          <cell r="DE65">
            <v>1904109.4290000002</v>
          </cell>
          <cell r="DK65">
            <v>0</v>
          </cell>
          <cell r="EB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T65">
            <v>2240128.7400000002</v>
          </cell>
          <cell r="EZ65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"/>
      <sheetName val="dette SAS"/>
      <sheetName val="dette BNPP SA"/>
      <sheetName val="Inv"/>
      <sheetName val="Amortissement"/>
      <sheetName val="SAS"/>
      <sheetName val="BNP P SA"/>
      <sheetName val="Echéancier d'IS"/>
      <sheetName val="Conso"/>
      <sheetName val="Synthèse"/>
      <sheetName val="Graph1"/>
      <sheetName val="Sortie"/>
      <sheetName val="t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_Res"/>
      <sheetName val="Modèle"/>
      <sheetName val="Fiche ROE"/>
    </sheetNames>
    <sheetDataSet>
      <sheetData sheetId="0">
        <row r="17">
          <cell r="D17">
            <v>0.88315559634966445</v>
          </cell>
        </row>
      </sheetData>
      <sheetData sheetId="1">
        <row r="34">
          <cell r="A34">
            <v>39447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s Poly"/>
      <sheetName val="Liste dép et Terr"/>
      <sheetName val="Plafonds ress &amp; loyers "/>
      <sheetName val="Hypothèses"/>
      <sheetName val="Détail des surfaces"/>
      <sheetName val="Girardin"/>
      <sheetName val="Economie"/>
      <sheetName val="Loyers SCI €"/>
      <sheetName val="Echéancier d'emprunt"/>
      <sheetName val="Echéancier tréso"/>
      <sheetName val="Echéancier apports"/>
      <sheetName val="Rev Fonciers NC"/>
      <sheetName val="Rev Fonciers DOM"/>
      <sheetName val="RF DOM Ind"/>
    </sheetNames>
    <sheetDataSet>
      <sheetData sheetId="0" refreshError="1"/>
      <sheetData sheetId="1" refreshError="1"/>
      <sheetData sheetId="2" refreshError="1"/>
      <sheetData sheetId="3" refreshError="1">
        <row r="44">
          <cell r="C44">
            <v>39083</v>
          </cell>
        </row>
        <row r="47">
          <cell r="C47">
            <v>0.01</v>
          </cell>
        </row>
      </sheetData>
      <sheetData sheetId="4" refreshError="1">
        <row r="5">
          <cell r="K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"/>
      <sheetName val="Financement EXIM"/>
      <sheetName val="Financement SOAR"/>
      <sheetName val="Loyers"/>
      <sheetName val="Amortissement"/>
      <sheetName val="Compta - RBT"/>
      <sheetName val="Echéancier d'IS"/>
      <sheetName val="Reconnaissance analytique"/>
      <sheetName val="Courbe"/>
      <sheetName val="Comptes"/>
    </sheetNames>
    <sheetDataSet>
      <sheetData sheetId="0" refreshError="1">
        <row r="4">
          <cell r="M4">
            <v>0.34429999999999999</v>
          </cell>
        </row>
        <row r="10">
          <cell r="C10">
            <v>39335</v>
          </cell>
        </row>
        <row r="14">
          <cell r="C14">
            <v>13</v>
          </cell>
        </row>
        <row r="15">
          <cell r="C15">
            <v>2.25</v>
          </cell>
        </row>
      </sheetData>
      <sheetData sheetId="1"/>
      <sheetData sheetId="2"/>
      <sheetData sheetId="3"/>
      <sheetData sheetId="4"/>
      <sheetData sheetId="5" refreshError="1">
        <row r="48">
          <cell r="D48">
            <v>2007</v>
          </cell>
          <cell r="E48">
            <v>2008</v>
          </cell>
          <cell r="F48">
            <v>2009</v>
          </cell>
          <cell r="G48">
            <v>2010</v>
          </cell>
          <cell r="H48">
            <v>2011</v>
          </cell>
          <cell r="I48">
            <v>2012</v>
          </cell>
          <cell r="J48">
            <v>2013</v>
          </cell>
          <cell r="K48">
            <v>2014</v>
          </cell>
          <cell r="L48">
            <v>2015</v>
          </cell>
          <cell r="M48">
            <v>2016</v>
          </cell>
          <cell r="N48">
            <v>2017</v>
          </cell>
          <cell r="O48">
            <v>2018</v>
          </cell>
          <cell r="P48">
            <v>2019</v>
          </cell>
          <cell r="Q48">
            <v>2020</v>
          </cell>
        </row>
        <row r="50">
          <cell r="B50" t="str">
            <v>Amortissement Actif Cible</v>
          </cell>
          <cell r="D50">
            <v>-1844770.7532139092</v>
          </cell>
          <cell r="E50">
            <v>-5692688.8696360551</v>
          </cell>
          <cell r="F50">
            <v>-4707415.796045199</v>
          </cell>
          <cell r="G50">
            <v>-3892670.7544219913</v>
          </cell>
          <cell r="H50">
            <v>-3218939.2776951082</v>
          </cell>
          <cell r="I50">
            <v>-2661815.1719401856</v>
          </cell>
          <cell r="J50">
            <v>-2201116.3921813075</v>
          </cell>
          <cell r="K50">
            <v>-1820153.9396883887</v>
          </cell>
          <cell r="L50">
            <v>-1739258.2090355717</v>
          </cell>
          <cell r="M50">
            <v>-1739258.2090355717</v>
          </cell>
          <cell r="N50">
            <v>-1739258.2090355717</v>
          </cell>
          <cell r="O50">
            <v>-1739258.2090355717</v>
          </cell>
          <cell r="P50">
            <v>-1739258.2090355717</v>
          </cell>
          <cell r="Q50">
            <v>0</v>
          </cell>
        </row>
        <row r="51">
          <cell r="B51">
            <v>0</v>
          </cell>
        </row>
        <row r="52">
          <cell r="B52" t="str">
            <v>Loyer - payés</v>
          </cell>
          <cell r="D52">
            <v>755372.23896127276</v>
          </cell>
          <cell r="E52">
            <v>2993830.4353641928</v>
          </cell>
          <cell r="F52">
            <v>2997422.5068516261</v>
          </cell>
          <cell r="G52">
            <v>3001283.6949096969</v>
          </cell>
          <cell r="H52">
            <v>3005354.5497192978</v>
          </cell>
          <cell r="I52">
            <v>3009761.2316808659</v>
          </cell>
          <cell r="J52">
            <v>3014173.9636930833</v>
          </cell>
          <cell r="K52">
            <v>3018944.7742524459</v>
          </cell>
          <cell r="L52">
            <v>3023974.6450640163</v>
          </cell>
          <cell r="M52">
            <v>3029447.2837749938</v>
          </cell>
          <cell r="N52">
            <v>3034874.1249077702</v>
          </cell>
          <cell r="O52">
            <v>3040768.9769519689</v>
          </cell>
          <cell r="P52">
            <v>2287194.0851130579</v>
          </cell>
          <cell r="Q52">
            <v>0</v>
          </cell>
        </row>
        <row r="53">
          <cell r="B53" t="str">
            <v>Loyer - Différés</v>
          </cell>
          <cell r="D53">
            <v>122327.526547338</v>
          </cell>
          <cell r="E53">
            <v>505852.69067720789</v>
          </cell>
          <cell r="F53">
            <v>533302.4827856546</v>
          </cell>
          <cell r="G53">
            <v>562261.39322118694</v>
          </cell>
          <cell r="H53">
            <v>592792.80429319222</v>
          </cell>
          <cell r="I53">
            <v>625333.6630522518</v>
          </cell>
          <cell r="J53">
            <v>658938.40909658466</v>
          </cell>
          <cell r="K53">
            <v>694719.48829180258</v>
          </cell>
          <cell r="L53">
            <v>732443.51937857911</v>
          </cell>
          <cell r="M53">
            <v>772979.05375820724</v>
          </cell>
          <cell r="N53">
            <v>814189.61820673419</v>
          </cell>
          <cell r="O53">
            <v>858401.00853822334</v>
          </cell>
          <cell r="P53">
            <v>674553.58540859947</v>
          </cell>
          <cell r="Q53">
            <v>0</v>
          </cell>
        </row>
        <row r="54">
          <cell r="B54" t="str">
            <v>Option d'achat</v>
          </cell>
          <cell r="P54">
            <v>5210379.3</v>
          </cell>
        </row>
        <row r="55">
          <cell r="B55" t="str">
            <v>Prêt Exim - Intérêts</v>
          </cell>
          <cell r="D55">
            <v>-422800.81150251394</v>
          </cell>
          <cell r="E55">
            <v>-1635805.2508456151</v>
          </cell>
          <cell r="F55">
            <v>-1523832.216170978</v>
          </cell>
          <cell r="G55">
            <v>-1410541.1116932933</v>
          </cell>
          <cell r="H55">
            <v>-1291098.1758373354</v>
          </cell>
          <cell r="I55">
            <v>-1168629.5252626848</v>
          </cell>
          <cell r="J55">
            <v>-1032590.3567613059</v>
          </cell>
          <cell r="K55">
            <v>-892624.27988423989</v>
          </cell>
          <cell r="L55">
            <v>-745057.89133578597</v>
          </cell>
          <cell r="M55">
            <v>-591329.7162561306</v>
          </cell>
          <cell r="N55">
            <v>-425551.47164079337</v>
          </cell>
          <cell r="O55">
            <v>-252622.516711356</v>
          </cell>
          <cell r="P55">
            <v>-70303.329635701448</v>
          </cell>
        </row>
        <row r="56">
          <cell r="B56" t="str">
            <v>Prêt Exim - Marge</v>
          </cell>
          <cell r="D56">
            <v>19218.218704659725</v>
          </cell>
          <cell r="E56">
            <v>74354.784129346139</v>
          </cell>
          <cell r="F56">
            <v>69265.100735044456</v>
          </cell>
          <cell r="G56">
            <v>64115.505076967871</v>
          </cell>
          <cell r="H56">
            <v>58686.28071987888</v>
          </cell>
          <cell r="I56">
            <v>53119.523875576589</v>
          </cell>
          <cell r="J56">
            <v>46935.925307332094</v>
          </cell>
          <cell r="K56">
            <v>40573.830903829083</v>
          </cell>
          <cell r="L56">
            <v>33866.267787990269</v>
          </cell>
          <cell r="M56">
            <v>26878.623466187761</v>
          </cell>
          <cell r="N56">
            <v>19343.24871094515</v>
          </cell>
          <cell r="O56">
            <v>11482.841668698</v>
          </cell>
          <cell r="P56">
            <v>3195.6058925318835</v>
          </cell>
        </row>
        <row r="57">
          <cell r="B57" t="str">
            <v>Prêt Exim - Premium</v>
          </cell>
          <cell r="D57">
            <v>-22649.685358904109</v>
          </cell>
          <cell r="E57">
            <v>-73813.706749999998</v>
          </cell>
          <cell r="F57">
            <v>-73813.706749999998</v>
          </cell>
          <cell r="G57">
            <v>-73813.706749999998</v>
          </cell>
          <cell r="H57">
            <v>-73813.706749999998</v>
          </cell>
          <cell r="I57">
            <v>-73813.706749999998</v>
          </cell>
          <cell r="J57">
            <v>-73813.706749999998</v>
          </cell>
          <cell r="K57">
            <v>-73813.706749999998</v>
          </cell>
          <cell r="L57">
            <v>-73813.706749999998</v>
          </cell>
          <cell r="M57">
            <v>-73813.706749999998</v>
          </cell>
          <cell r="N57">
            <v>-73813.706749999998</v>
          </cell>
          <cell r="O57">
            <v>-73813.706749999998</v>
          </cell>
          <cell r="P57">
            <v>-51164.021391095885</v>
          </cell>
        </row>
        <row r="58">
          <cell r="B58" t="str">
            <v>Prêt SOAR - Intérêts</v>
          </cell>
          <cell r="D58">
            <v>0</v>
          </cell>
          <cell r="E58">
            <v>-17330.32660632527</v>
          </cell>
          <cell r="F58">
            <v>-46087.25167231739</v>
          </cell>
          <cell r="G58">
            <v>-76425.157842874949</v>
          </cell>
          <cell r="H58">
            <v>-108410.4456325949</v>
          </cell>
          <cell r="I58">
            <v>-142500.86909446667</v>
          </cell>
          <cell r="J58">
            <v>-177705.8411409109</v>
          </cell>
          <cell r="K58">
            <v>-215190.78125018728</v>
          </cell>
          <cell r="L58">
            <v>-254711.19476966729</v>
          </cell>
          <cell r="M58">
            <v>-297176.99269118282</v>
          </cell>
          <cell r="N58">
            <v>-340349.96497059183</v>
          </cell>
          <cell r="O58">
            <v>-386666.65960358072</v>
          </cell>
          <cell r="P58">
            <v>-322217.24413642369</v>
          </cell>
        </row>
        <row r="59">
          <cell r="B59" t="str">
            <v>Prêt SOAR - Marge</v>
          </cell>
          <cell r="D59">
            <v>0</v>
          </cell>
          <cell r="E59">
            <v>-2363.2263554079909</v>
          </cell>
          <cell r="F59">
            <v>-6284.62522804328</v>
          </cell>
          <cell r="G59">
            <v>-10421.61243311931</v>
          </cell>
          <cell r="H59">
            <v>-14783.242586262941</v>
          </cell>
          <cell r="I59">
            <v>-19431.936694700002</v>
          </cell>
          <cell r="J59">
            <v>-24232.614701033308</v>
          </cell>
          <cell r="K59">
            <v>-29344.197443207355</v>
          </cell>
          <cell r="L59">
            <v>-34733.344741318273</v>
          </cell>
          <cell r="M59">
            <v>-40524.13536697947</v>
          </cell>
          <cell r="N59">
            <v>-46411.358859626147</v>
          </cell>
          <cell r="O59">
            <v>-52727.271764124642</v>
          </cell>
          <cell r="P59">
            <v>-43938.715109512326</v>
          </cell>
        </row>
        <row r="61">
          <cell r="B61" t="str">
            <v>Management &amp; agency fees</v>
          </cell>
          <cell r="D61">
            <v>-3068.4931506849316</v>
          </cell>
          <cell r="E61">
            <v>-16931.506849315068</v>
          </cell>
          <cell r="F61">
            <v>-10000</v>
          </cell>
          <cell r="G61">
            <v>-10000</v>
          </cell>
          <cell r="H61">
            <v>-10000</v>
          </cell>
          <cell r="I61">
            <v>-10000</v>
          </cell>
          <cell r="J61">
            <v>-10000</v>
          </cell>
          <cell r="K61">
            <v>-10000</v>
          </cell>
          <cell r="L61">
            <v>-10000</v>
          </cell>
          <cell r="M61">
            <v>-10000</v>
          </cell>
          <cell r="N61">
            <v>-10000</v>
          </cell>
          <cell r="O61">
            <v>-10000</v>
          </cell>
          <cell r="P61">
            <v>-10000</v>
          </cell>
        </row>
        <row r="62">
          <cell r="B62" t="str">
            <v>Commitment fee</v>
          </cell>
          <cell r="D62">
            <v>-6178.9722261354691</v>
          </cell>
          <cell r="E62">
            <v>-23906.39994976627</v>
          </cell>
          <cell r="F62">
            <v>-22269.939607018354</v>
          </cell>
          <cell r="G62">
            <v>-20615.144724987946</v>
          </cell>
          <cell r="H62">
            <v>-18870.492663730489</v>
          </cell>
          <cell r="I62">
            <v>-17078.915814049466</v>
          </cell>
          <cell r="J62">
            <v>-15090.743817822344</v>
          </cell>
          <cell r="K62">
            <v>-13046.110720952725</v>
          </cell>
          <cell r="L62">
            <v>-10890.451801708361</v>
          </cell>
          <cell r="M62">
            <v>-8642.0363451376743</v>
          </cell>
          <cell r="N62">
            <v>-6219.2461543852078</v>
          </cell>
          <cell r="O62">
            <v>-3692.8809925858131</v>
          </cell>
          <cell r="P62">
            <v>-1029.3314282952713</v>
          </cell>
        </row>
        <row r="63">
          <cell r="B63" t="str">
            <v>IFA SAS/Parilease</v>
          </cell>
          <cell r="D63">
            <v>-2016</v>
          </cell>
          <cell r="E63">
            <v>-4800</v>
          </cell>
          <cell r="F63">
            <v>-4800</v>
          </cell>
          <cell r="G63">
            <v>-4800</v>
          </cell>
          <cell r="H63">
            <v>-4800</v>
          </cell>
          <cell r="I63">
            <v>-4800</v>
          </cell>
          <cell r="J63">
            <v>-4800</v>
          </cell>
          <cell r="K63">
            <v>-4800</v>
          </cell>
          <cell r="L63">
            <v>-4800</v>
          </cell>
          <cell r="M63">
            <v>-4800</v>
          </cell>
          <cell r="N63">
            <v>-4800</v>
          </cell>
          <cell r="O63">
            <v>-4800</v>
          </cell>
          <cell r="P63">
            <v>-4800</v>
          </cell>
        </row>
        <row r="64">
          <cell r="B64" t="str">
            <v>TP</v>
          </cell>
          <cell r="D64">
            <v>-67.84</v>
          </cell>
          <cell r="E64">
            <v>-67.84</v>
          </cell>
          <cell r="F64">
            <v>-67.84</v>
          </cell>
          <cell r="G64">
            <v>-67.84</v>
          </cell>
          <cell r="H64">
            <v>-67.84</v>
          </cell>
          <cell r="I64">
            <v>-67.84</v>
          </cell>
          <cell r="J64">
            <v>-67.84</v>
          </cell>
          <cell r="K64">
            <v>-67.84</v>
          </cell>
          <cell r="L64">
            <v>-67.84</v>
          </cell>
          <cell r="M64">
            <v>-67.84</v>
          </cell>
          <cell r="N64">
            <v>-67.84</v>
          </cell>
          <cell r="O64">
            <v>-67.84</v>
          </cell>
          <cell r="P64">
            <v>-67.84</v>
          </cell>
        </row>
        <row r="65">
          <cell r="B65" t="str">
            <v>Rémunération de la trésorerie SAS/Parilease</v>
          </cell>
          <cell r="D65">
            <v>0</v>
          </cell>
          <cell r="E65">
            <v>-88.929133399596466</v>
          </cell>
          <cell r="F65">
            <v>-298.81170378140314</v>
          </cell>
          <cell r="G65">
            <v>-522.64779844689053</v>
          </cell>
          <cell r="H65">
            <v>-752.01189907994433</v>
          </cell>
          <cell r="I65">
            <v>-1003.8158124359844</v>
          </cell>
          <cell r="J65">
            <v>-1277.6153156616554</v>
          </cell>
          <cell r="K65">
            <v>-1594.9778218829786</v>
          </cell>
          <cell r="L65">
            <v>-1892.8933500240487</v>
          </cell>
          <cell r="M65">
            <v>-2271.6781530363692</v>
          </cell>
          <cell r="N65">
            <v>-2610.8642175622813</v>
          </cell>
          <cell r="O65">
            <v>-3003.9946867314352</v>
          </cell>
          <cell r="P65">
            <v>-3345.8327742815682</v>
          </cell>
          <cell r="Q65">
            <v>-3774.1265858886836</v>
          </cell>
        </row>
        <row r="66">
          <cell r="B66" t="str">
            <v>RNAI</v>
          </cell>
          <cell r="C66">
            <v>0</v>
          </cell>
          <cell r="D66">
            <v>-1404634.5712388775</v>
          </cell>
          <cell r="E66">
            <v>-3893758.145955137</v>
          </cell>
          <cell r="F66">
            <v>-2794880.0968050114</v>
          </cell>
          <cell r="G66">
            <v>-1872217.3824568619</v>
          </cell>
          <cell r="H66">
            <v>-1084701.5583317429</v>
          </cell>
          <cell r="I66">
            <v>-410927.36275982828</v>
          </cell>
          <cell r="J66">
            <v>179353.18742895831</v>
          </cell>
          <cell r="K66">
            <v>693602.25988921861</v>
          </cell>
          <cell r="L66">
            <v>915058.90044651052</v>
          </cell>
          <cell r="M66">
            <v>1061420.6464013504</v>
          </cell>
          <cell r="N66">
            <v>1219324.3301969194</v>
          </cell>
          <cell r="O66">
            <v>1383999.7476149397</v>
          </cell>
          <cell r="P66">
            <v>5929198.0529033076</v>
          </cell>
          <cell r="Q66">
            <v>-3774.1265858886836</v>
          </cell>
        </row>
        <row r="67">
          <cell r="B67" t="str">
            <v>Rés taxable du au seul différé d'IS</v>
          </cell>
          <cell r="C67">
            <v>0</v>
          </cell>
          <cell r="D67">
            <v>-1402550.7312388774</v>
          </cell>
          <cell r="E67">
            <v>-3888801.3768217377</v>
          </cell>
          <cell r="F67">
            <v>-2789713.4451012299</v>
          </cell>
          <cell r="G67">
            <v>-1866826.8946584149</v>
          </cell>
          <cell r="H67">
            <v>-1079081.7064326629</v>
          </cell>
          <cell r="I67">
            <v>-405055.70694739226</v>
          </cell>
          <cell r="J67">
            <v>185498.64274461995</v>
          </cell>
          <cell r="K67">
            <v>700065.0777111015</v>
          </cell>
          <cell r="L67">
            <v>921819.6337965345</v>
          </cell>
          <cell r="M67">
            <v>1068560.1645543869</v>
          </cell>
          <cell r="N67">
            <v>1226803.0344144818</v>
          </cell>
          <cell r="O67">
            <v>1391871.5823016712</v>
          </cell>
          <cell r="P67">
            <v>5937411.725677589</v>
          </cell>
          <cell r="Q67">
            <v>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OS 2008 + Réhabilitation"/>
      <sheetName val="OS 2009"/>
      <sheetName val="Graphique"/>
      <sheetName val="VEFA OS 2009_2010-2011"/>
      <sheetName val="Suivi décaiss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">
          <cell r="H11" t="str">
            <v>LE FLORENTIN</v>
          </cell>
          <cell r="L11">
            <v>65</v>
          </cell>
          <cell r="N11">
            <v>9300000</v>
          </cell>
          <cell r="O11">
            <v>6045000</v>
          </cell>
          <cell r="R11">
            <v>3255000</v>
          </cell>
          <cell r="T11">
            <v>39845</v>
          </cell>
          <cell r="BG11">
            <v>40787</v>
          </cell>
        </row>
        <row r="12">
          <cell r="H12" t="str">
            <v>LES JACQUIERS</v>
          </cell>
          <cell r="L12">
            <v>63</v>
          </cell>
          <cell r="N12">
            <v>6900000</v>
          </cell>
          <cell r="O12">
            <v>4485000</v>
          </cell>
          <cell r="R12">
            <v>2415000</v>
          </cell>
          <cell r="T12">
            <v>39706</v>
          </cell>
          <cell r="BG12">
            <v>40298</v>
          </cell>
        </row>
        <row r="13">
          <cell r="H13" t="str">
            <v>ANTHURA 1</v>
          </cell>
          <cell r="L13">
            <v>40</v>
          </cell>
          <cell r="N13">
            <v>5778666</v>
          </cell>
          <cell r="O13">
            <v>3756132.9</v>
          </cell>
          <cell r="R13">
            <v>2022533.0999999999</v>
          </cell>
          <cell r="T13">
            <v>40179</v>
          </cell>
          <cell r="BG13">
            <v>40635.25</v>
          </cell>
        </row>
        <row r="14">
          <cell r="H14" t="str">
            <v>ANTHURA 2</v>
          </cell>
          <cell r="L14">
            <v>65</v>
          </cell>
          <cell r="N14">
            <v>9390334</v>
          </cell>
          <cell r="O14">
            <v>6103717.1000000006</v>
          </cell>
          <cell r="R14">
            <v>3286616.9</v>
          </cell>
          <cell r="T14">
            <v>40179</v>
          </cell>
          <cell r="BG14">
            <v>40635.25</v>
          </cell>
        </row>
        <row r="15">
          <cell r="H15" t="str">
            <v>FARNIENTE</v>
          </cell>
          <cell r="L15">
            <v>30</v>
          </cell>
          <cell r="N15">
            <v>4553969</v>
          </cell>
          <cell r="O15">
            <v>2960079.85</v>
          </cell>
          <cell r="R15">
            <v>1593889.15</v>
          </cell>
          <cell r="T15">
            <v>40179</v>
          </cell>
          <cell r="BG15">
            <v>40665.666666666664</v>
          </cell>
        </row>
        <row r="16">
          <cell r="H16" t="str">
            <v>GABRIELLE</v>
          </cell>
          <cell r="L16">
            <v>24</v>
          </cell>
          <cell r="N16">
            <v>3681150</v>
          </cell>
          <cell r="O16">
            <v>2392747.5</v>
          </cell>
          <cell r="R16">
            <v>1288402.5</v>
          </cell>
          <cell r="T16">
            <v>40179</v>
          </cell>
          <cell r="BG16">
            <v>40604.833333333336</v>
          </cell>
        </row>
        <row r="17">
          <cell r="H17" t="str">
            <v>LES TERRASSES DE SOPHIE</v>
          </cell>
          <cell r="L17">
            <v>36</v>
          </cell>
          <cell r="N17">
            <v>5934000</v>
          </cell>
          <cell r="O17">
            <v>3857100</v>
          </cell>
          <cell r="R17">
            <v>2076899.9999999998</v>
          </cell>
          <cell r="T17">
            <v>40179</v>
          </cell>
          <cell r="BG17">
            <v>40604.833333333336</v>
          </cell>
        </row>
        <row r="18">
          <cell r="H18" t="str">
            <v>CANAMELLE</v>
          </cell>
          <cell r="L18">
            <v>39</v>
          </cell>
          <cell r="N18">
            <v>7430000</v>
          </cell>
          <cell r="O18">
            <v>4829500</v>
          </cell>
          <cell r="R18">
            <v>2600500</v>
          </cell>
          <cell r="T18">
            <v>40179</v>
          </cell>
          <cell r="BG18">
            <v>40665.666666666664</v>
          </cell>
        </row>
        <row r="19">
          <cell r="H19" t="str">
            <v>ALEXANDRA</v>
          </cell>
          <cell r="L19">
            <v>48</v>
          </cell>
          <cell r="N19">
            <v>7107240</v>
          </cell>
          <cell r="O19">
            <v>4619706</v>
          </cell>
          <cell r="R19">
            <v>2487534</v>
          </cell>
          <cell r="T19">
            <v>40179</v>
          </cell>
          <cell r="BG19">
            <v>40665.666666666664</v>
          </cell>
        </row>
        <row r="20">
          <cell r="H20" t="str">
            <v>LE GUETALI</v>
          </cell>
          <cell r="L20">
            <v>84</v>
          </cell>
          <cell r="N20">
            <v>13741565.08</v>
          </cell>
          <cell r="O20">
            <v>8932017.3020000011</v>
          </cell>
          <cell r="R20">
            <v>4809547.7779999999</v>
          </cell>
          <cell r="T20">
            <v>40179</v>
          </cell>
          <cell r="BG20">
            <v>40696.083333333336</v>
          </cell>
        </row>
        <row r="21">
          <cell r="H21" t="str">
            <v>CARDAMONE</v>
          </cell>
          <cell r="L21">
            <v>38</v>
          </cell>
          <cell r="N21">
            <v>5071548.7699999996</v>
          </cell>
          <cell r="O21">
            <v>3296506.7004999998</v>
          </cell>
          <cell r="R21">
            <v>1775042.0694999998</v>
          </cell>
          <cell r="T21">
            <v>40179</v>
          </cell>
          <cell r="BG21">
            <v>40635.25</v>
          </cell>
        </row>
        <row r="22">
          <cell r="H22" t="str">
            <v>QUAI DES REVES</v>
          </cell>
          <cell r="L22">
            <v>27</v>
          </cell>
          <cell r="N22">
            <v>4861918.79</v>
          </cell>
          <cell r="O22">
            <v>3160247.2135000001</v>
          </cell>
          <cell r="R22">
            <v>1701671.5765</v>
          </cell>
          <cell r="T22">
            <v>40179</v>
          </cell>
          <cell r="BG22">
            <v>40604.833333333336</v>
          </cell>
        </row>
        <row r="23">
          <cell r="H23" t="str">
            <v>LES DIPLOMES D'ANJOU</v>
          </cell>
          <cell r="L23">
            <v>31</v>
          </cell>
          <cell r="N23">
            <v>5685976.3300000001</v>
          </cell>
          <cell r="O23">
            <v>3695884.6145000001</v>
          </cell>
          <cell r="R23">
            <v>1990091.7154999999</v>
          </cell>
          <cell r="T23">
            <v>40179</v>
          </cell>
          <cell r="BG23">
            <v>40635.25</v>
          </cell>
        </row>
        <row r="24">
          <cell r="H24" t="str">
            <v>DOMAINE DES VAVANGUES 1</v>
          </cell>
          <cell r="L24">
            <v>19</v>
          </cell>
          <cell r="N24">
            <v>3438183.1</v>
          </cell>
          <cell r="O24">
            <v>2234819.0150000001</v>
          </cell>
          <cell r="R24">
            <v>1203364.085</v>
          </cell>
          <cell r="T24">
            <v>40179</v>
          </cell>
          <cell r="BG24">
            <v>40604.833333333336</v>
          </cell>
        </row>
        <row r="25">
          <cell r="H25" t="str">
            <v>DOMAINE DES VAVANGUES 2</v>
          </cell>
          <cell r="L25">
            <v>42</v>
          </cell>
          <cell r="N25">
            <v>8558022</v>
          </cell>
          <cell r="O25">
            <v>5562714.2999999998</v>
          </cell>
          <cell r="R25">
            <v>2995307.6999999997</v>
          </cell>
          <cell r="T25">
            <v>40179</v>
          </cell>
          <cell r="BG25">
            <v>40604.833333333336</v>
          </cell>
        </row>
        <row r="26">
          <cell r="H26" t="str">
            <v>LE GALABERT</v>
          </cell>
          <cell r="L26">
            <v>14</v>
          </cell>
          <cell r="N26">
            <v>2401085</v>
          </cell>
          <cell r="O26">
            <v>1560705.25</v>
          </cell>
          <cell r="R26">
            <v>840379.75</v>
          </cell>
          <cell r="T26">
            <v>40179</v>
          </cell>
          <cell r="BG26">
            <v>40540.958333333336</v>
          </cell>
        </row>
        <row r="27">
          <cell r="H27" t="str">
            <v>CLOS DES VACOAS</v>
          </cell>
          <cell r="L27">
            <v>24</v>
          </cell>
          <cell r="N27">
            <v>3747070</v>
          </cell>
          <cell r="O27">
            <v>2435595.5</v>
          </cell>
          <cell r="R27">
            <v>1311474.5</v>
          </cell>
          <cell r="T27">
            <v>40179</v>
          </cell>
          <cell r="BG27">
            <v>40540.958333333336</v>
          </cell>
        </row>
        <row r="28">
          <cell r="H28" t="str">
            <v>LES VILLAS DE LA PEPINIERE</v>
          </cell>
          <cell r="L28">
            <v>23</v>
          </cell>
          <cell r="N28">
            <v>5368768</v>
          </cell>
          <cell r="O28">
            <v>3489699.2</v>
          </cell>
          <cell r="R28">
            <v>1879068.7999999998</v>
          </cell>
          <cell r="T28">
            <v>40179</v>
          </cell>
          <cell r="BG28">
            <v>40540.958333333336</v>
          </cell>
        </row>
        <row r="29">
          <cell r="H29" t="str">
            <v>LES VILLAS FREMICOURT</v>
          </cell>
          <cell r="L29">
            <v>23</v>
          </cell>
          <cell r="N29">
            <v>4464302</v>
          </cell>
          <cell r="O29">
            <v>2901796.3000000003</v>
          </cell>
          <cell r="R29">
            <v>1562505.7</v>
          </cell>
          <cell r="T29">
            <v>40179</v>
          </cell>
          <cell r="BG29">
            <v>40540.958333333336</v>
          </cell>
        </row>
        <row r="30">
          <cell r="H30" t="str">
            <v>THUYAS</v>
          </cell>
          <cell r="L30">
            <v>31</v>
          </cell>
          <cell r="N30">
            <v>6511618</v>
          </cell>
          <cell r="O30">
            <v>4232551.7</v>
          </cell>
          <cell r="R30">
            <v>2279066.2999999998</v>
          </cell>
          <cell r="T30">
            <v>40179</v>
          </cell>
          <cell r="BG30">
            <v>40540.958333333336</v>
          </cell>
        </row>
        <row r="31">
          <cell r="H31" t="str">
            <v>SAINT ODILON</v>
          </cell>
          <cell r="L31">
            <v>25</v>
          </cell>
          <cell r="N31">
            <v>3741807</v>
          </cell>
          <cell r="O31">
            <v>2432174.5500000003</v>
          </cell>
          <cell r="R31">
            <v>1309632.45</v>
          </cell>
          <cell r="T31">
            <v>40179</v>
          </cell>
          <cell r="BG31">
            <v>40540.958333333336</v>
          </cell>
        </row>
        <row r="32">
          <cell r="H32" t="str">
            <v>CLOS DES CAMPHRIERS</v>
          </cell>
          <cell r="L32">
            <v>21</v>
          </cell>
          <cell r="N32">
            <v>4282237.3600000003</v>
          </cell>
          <cell r="O32">
            <v>2783454.2840000005</v>
          </cell>
          <cell r="R32">
            <v>1498783.0760000001</v>
          </cell>
          <cell r="T32">
            <v>40179</v>
          </cell>
          <cell r="BG32">
            <v>40540.958333333336</v>
          </cell>
        </row>
        <row r="33">
          <cell r="H33" t="str">
            <v>LE JUGE</v>
          </cell>
          <cell r="L33">
            <v>12</v>
          </cell>
          <cell r="N33">
            <v>2728474.46</v>
          </cell>
          <cell r="O33">
            <v>1773508.399</v>
          </cell>
          <cell r="R33">
            <v>954966.06099999987</v>
          </cell>
          <cell r="T33">
            <v>40179</v>
          </cell>
          <cell r="BG33">
            <v>40540.958333333336</v>
          </cell>
        </row>
        <row r="34">
          <cell r="H34" t="str">
            <v>LE COLOSSE</v>
          </cell>
          <cell r="L34">
            <v>20</v>
          </cell>
          <cell r="N34">
            <v>2940735</v>
          </cell>
          <cell r="O34">
            <v>1911477.75</v>
          </cell>
          <cell r="R34">
            <v>1029257.2499999999</v>
          </cell>
          <cell r="T34">
            <v>40179</v>
          </cell>
          <cell r="BG34">
            <v>40540.958333333336</v>
          </cell>
        </row>
        <row r="35">
          <cell r="H35" t="str">
            <v>SOLENE</v>
          </cell>
          <cell r="L35">
            <v>26</v>
          </cell>
          <cell r="N35">
            <v>4274687</v>
          </cell>
          <cell r="O35">
            <v>2778546.5500000003</v>
          </cell>
          <cell r="R35">
            <v>1496140.45</v>
          </cell>
          <cell r="T35">
            <v>40179</v>
          </cell>
          <cell r="BG35">
            <v>40540.958333333336</v>
          </cell>
        </row>
        <row r="36">
          <cell r="H36" t="str">
            <v>JULIETTE</v>
          </cell>
          <cell r="L36">
            <v>60</v>
          </cell>
          <cell r="N36">
            <v>9054376</v>
          </cell>
          <cell r="O36">
            <v>5885344.4000000004</v>
          </cell>
          <cell r="R36">
            <v>3169031.5999999996</v>
          </cell>
          <cell r="T36">
            <v>40360</v>
          </cell>
          <cell r="BG36">
            <v>40816.25</v>
          </cell>
        </row>
        <row r="37">
          <cell r="H37" t="str">
            <v xml:space="preserve">MATISSE </v>
          </cell>
          <cell r="L37">
            <v>90</v>
          </cell>
          <cell r="N37">
            <v>15637765.531914894</v>
          </cell>
          <cell r="O37">
            <v>10164547.595744681</v>
          </cell>
          <cell r="R37">
            <v>5473217.936170212</v>
          </cell>
          <cell r="T37">
            <v>40360</v>
          </cell>
          <cell r="BG37">
            <v>40968.333333333336</v>
          </cell>
        </row>
        <row r="38">
          <cell r="H38" t="str">
            <v xml:space="preserve">MATISSE </v>
          </cell>
          <cell r="L38">
            <v>51</v>
          </cell>
          <cell r="N38">
            <v>8861400.4680851065</v>
          </cell>
          <cell r="O38">
            <v>5759910.3042553198</v>
          </cell>
          <cell r="R38">
            <v>3101490.1638297872</v>
          </cell>
          <cell r="T38">
            <v>40360</v>
          </cell>
          <cell r="BG38">
            <v>40968.333333333336</v>
          </cell>
        </row>
        <row r="39">
          <cell r="H39" t="str">
            <v>FERMONTE</v>
          </cell>
          <cell r="L39">
            <v>49</v>
          </cell>
          <cell r="N39">
            <v>9362391</v>
          </cell>
          <cell r="O39">
            <v>6085554.1500000004</v>
          </cell>
          <cell r="R39">
            <v>3276836.8499999996</v>
          </cell>
          <cell r="T39">
            <v>40360</v>
          </cell>
          <cell r="BG39">
            <v>40816.25</v>
          </cell>
        </row>
        <row r="40">
          <cell r="H40" t="str">
            <v xml:space="preserve">FREGATE 1 </v>
          </cell>
          <cell r="L40">
            <v>56</v>
          </cell>
          <cell r="N40">
            <v>9627001</v>
          </cell>
          <cell r="O40">
            <v>6257550.6500000004</v>
          </cell>
          <cell r="R40">
            <v>3369450.3499999996</v>
          </cell>
          <cell r="T40">
            <v>40360</v>
          </cell>
          <cell r="BG40">
            <v>40816.25</v>
          </cell>
        </row>
        <row r="41">
          <cell r="H41" t="str">
            <v>FREGATE 2</v>
          </cell>
          <cell r="L41">
            <v>58</v>
          </cell>
          <cell r="N41">
            <v>9530000</v>
          </cell>
          <cell r="O41">
            <v>6194500</v>
          </cell>
          <cell r="R41">
            <v>3335500</v>
          </cell>
          <cell r="T41">
            <v>40360</v>
          </cell>
          <cell r="BG41">
            <v>40816.25</v>
          </cell>
        </row>
        <row r="42">
          <cell r="H42" t="str">
            <v>ALIZEA</v>
          </cell>
          <cell r="L42">
            <v>31</v>
          </cell>
          <cell r="N42">
            <v>5626221</v>
          </cell>
          <cell r="O42">
            <v>3657043.65</v>
          </cell>
          <cell r="R42">
            <v>1969177.3499999999</v>
          </cell>
          <cell r="T42">
            <v>40360</v>
          </cell>
          <cell r="BG42">
            <v>40816.25</v>
          </cell>
        </row>
        <row r="43">
          <cell r="H43" t="str">
            <v>LE PHOENIX</v>
          </cell>
          <cell r="L43">
            <v>20</v>
          </cell>
          <cell r="N43">
            <v>5661067</v>
          </cell>
          <cell r="O43">
            <v>3679693.5500000003</v>
          </cell>
          <cell r="R43">
            <v>1981373.45</v>
          </cell>
          <cell r="T43">
            <v>40360</v>
          </cell>
          <cell r="BG43">
            <v>40816.25</v>
          </cell>
        </row>
        <row r="44">
          <cell r="H44" t="str">
            <v>ROSSAN</v>
          </cell>
          <cell r="L44">
            <v>95</v>
          </cell>
          <cell r="N44">
            <v>15773750</v>
          </cell>
          <cell r="O44">
            <v>10252937.5</v>
          </cell>
          <cell r="R44">
            <v>5520812.5</v>
          </cell>
          <cell r="T44">
            <v>40360</v>
          </cell>
          <cell r="BG44">
            <v>40816.25</v>
          </cell>
        </row>
        <row r="45">
          <cell r="H45" t="str">
            <v>CHAMBLY</v>
          </cell>
          <cell r="L45">
            <v>91</v>
          </cell>
          <cell r="N45">
            <v>14836153</v>
          </cell>
          <cell r="O45">
            <v>9643499.4500000011</v>
          </cell>
          <cell r="R45">
            <v>5192653.55</v>
          </cell>
          <cell r="T45">
            <v>40360</v>
          </cell>
          <cell r="BG45">
            <v>40816.25</v>
          </cell>
        </row>
        <row r="46">
          <cell r="H46" t="str">
            <v>INDIANNA</v>
          </cell>
          <cell r="L46">
            <v>23</v>
          </cell>
          <cell r="N46">
            <v>4230492</v>
          </cell>
          <cell r="O46">
            <v>2749819.8000000003</v>
          </cell>
          <cell r="R46">
            <v>1480672.2</v>
          </cell>
          <cell r="T46">
            <v>40360</v>
          </cell>
          <cell r="BG46">
            <v>40816.25</v>
          </cell>
        </row>
        <row r="47">
          <cell r="H47" t="str">
            <v>BADAMIERS</v>
          </cell>
          <cell r="L47">
            <v>32</v>
          </cell>
          <cell r="N47">
            <v>4854324</v>
          </cell>
          <cell r="O47">
            <v>3155310.6</v>
          </cell>
          <cell r="R47">
            <v>1699013.4</v>
          </cell>
          <cell r="T47">
            <v>40360</v>
          </cell>
          <cell r="BG47">
            <v>40816.25</v>
          </cell>
        </row>
        <row r="48">
          <cell r="H48" t="str">
            <v>LE CLOS DES MANGUIERS</v>
          </cell>
          <cell r="L48">
            <v>27</v>
          </cell>
          <cell r="N48">
            <v>4849250</v>
          </cell>
          <cell r="O48">
            <v>3152012.5</v>
          </cell>
          <cell r="R48">
            <v>1697237.5</v>
          </cell>
          <cell r="T48">
            <v>40360</v>
          </cell>
          <cell r="BG48">
            <v>40816.25</v>
          </cell>
        </row>
        <row r="49">
          <cell r="H49" t="str">
            <v>MARINE</v>
          </cell>
          <cell r="L49">
            <v>10</v>
          </cell>
          <cell r="N49">
            <v>1712054</v>
          </cell>
          <cell r="O49">
            <v>1112835.1000000001</v>
          </cell>
          <cell r="R49">
            <v>599218.89999999991</v>
          </cell>
          <cell r="T49">
            <v>40360</v>
          </cell>
          <cell r="BG49">
            <v>40816.25</v>
          </cell>
        </row>
        <row r="50">
          <cell r="H50" t="str">
            <v>LE DOMAINE DES CHENES</v>
          </cell>
          <cell r="L50">
            <v>12</v>
          </cell>
          <cell r="N50">
            <v>2357489</v>
          </cell>
          <cell r="O50">
            <v>1532367.85</v>
          </cell>
          <cell r="R50">
            <v>825121.14999999991</v>
          </cell>
          <cell r="T50">
            <v>40360</v>
          </cell>
          <cell r="BG50">
            <v>40360</v>
          </cell>
        </row>
        <row r="51">
          <cell r="H51" t="str">
            <v>SAINTE AGATHE</v>
          </cell>
          <cell r="L51">
            <v>18</v>
          </cell>
          <cell r="N51">
            <v>3431048</v>
          </cell>
          <cell r="O51">
            <v>2230181.2000000002</v>
          </cell>
          <cell r="R51">
            <v>1200866.7999999998</v>
          </cell>
          <cell r="T51">
            <v>40360</v>
          </cell>
          <cell r="BG51">
            <v>40816.25</v>
          </cell>
        </row>
        <row r="52">
          <cell r="H52" t="str">
            <v>SALVETERRE</v>
          </cell>
          <cell r="L52">
            <v>9</v>
          </cell>
          <cell r="N52">
            <v>1425316</v>
          </cell>
          <cell r="O52">
            <v>926455.4</v>
          </cell>
          <cell r="R52">
            <v>498860.6</v>
          </cell>
          <cell r="T52">
            <v>40452</v>
          </cell>
          <cell r="BG52">
            <v>40817</v>
          </cell>
        </row>
        <row r="53">
          <cell r="H53" t="str">
            <v>MARINA</v>
          </cell>
          <cell r="L53">
            <v>114</v>
          </cell>
          <cell r="N53">
            <v>20323949</v>
          </cell>
          <cell r="O53">
            <v>13210566.85</v>
          </cell>
          <cell r="R53">
            <v>7113382.1499999994</v>
          </cell>
          <cell r="T53">
            <v>40452</v>
          </cell>
          <cell r="BG53">
            <v>40999.5</v>
          </cell>
        </row>
        <row r="54">
          <cell r="H54" t="str">
            <v>SAPOTILLES</v>
          </cell>
          <cell r="L54">
            <v>14</v>
          </cell>
          <cell r="N54">
            <v>2385650</v>
          </cell>
          <cell r="O54">
            <v>1550672.5</v>
          </cell>
          <cell r="R54">
            <v>834977.5</v>
          </cell>
          <cell r="T54">
            <v>40452</v>
          </cell>
          <cell r="BG54">
            <v>40817</v>
          </cell>
        </row>
        <row r="55">
          <cell r="H55" t="str">
            <v>TAMARINA</v>
          </cell>
          <cell r="L55">
            <v>88</v>
          </cell>
          <cell r="N55">
            <v>14500000</v>
          </cell>
          <cell r="O55">
            <v>9425000</v>
          </cell>
          <cell r="R55">
            <v>5075000</v>
          </cell>
          <cell r="T55">
            <v>40452</v>
          </cell>
          <cell r="BG55">
            <v>40999.5</v>
          </cell>
        </row>
        <row r="56">
          <cell r="H56" t="str">
            <v>RAISSA</v>
          </cell>
          <cell r="L56">
            <v>25</v>
          </cell>
          <cell r="N56">
            <v>3478000</v>
          </cell>
          <cell r="O56">
            <v>2260700</v>
          </cell>
          <cell r="R56">
            <v>1217300</v>
          </cell>
          <cell r="T56">
            <v>40452</v>
          </cell>
          <cell r="BG56">
            <v>40877.833333333336</v>
          </cell>
        </row>
        <row r="57">
          <cell r="H57" t="str">
            <v>SAMIYA</v>
          </cell>
          <cell r="L57">
            <v>13</v>
          </cell>
          <cell r="N57">
            <v>2150400</v>
          </cell>
          <cell r="O57">
            <v>1397760</v>
          </cell>
          <cell r="R57">
            <v>752640</v>
          </cell>
          <cell r="T57">
            <v>40452</v>
          </cell>
          <cell r="BG57">
            <v>40817</v>
          </cell>
        </row>
        <row r="58">
          <cell r="H58" t="str">
            <v>LIANE PAPILLON</v>
          </cell>
          <cell r="L58">
            <v>12</v>
          </cell>
          <cell r="N58">
            <v>1694814</v>
          </cell>
          <cell r="O58">
            <v>1101629.1000000001</v>
          </cell>
          <cell r="R58">
            <v>593184.89999999991</v>
          </cell>
          <cell r="T58">
            <v>40452</v>
          </cell>
          <cell r="BG58">
            <v>40817</v>
          </cell>
        </row>
        <row r="59">
          <cell r="H59" t="str">
            <v>SAINT MAXIME</v>
          </cell>
          <cell r="L59">
            <v>34</v>
          </cell>
          <cell r="N59">
            <v>6396442.4800000004</v>
          </cell>
          <cell r="O59">
            <v>4157687.6120000007</v>
          </cell>
          <cell r="R59">
            <v>2238754.8679999998</v>
          </cell>
          <cell r="T59">
            <v>40452</v>
          </cell>
          <cell r="BG59">
            <v>40938.666666666664</v>
          </cell>
        </row>
        <row r="60">
          <cell r="H60" t="str">
            <v>ENTREE DE VILLE</v>
          </cell>
          <cell r="L60">
            <v>39</v>
          </cell>
          <cell r="N60">
            <v>6178200</v>
          </cell>
          <cell r="O60">
            <v>4015830</v>
          </cell>
          <cell r="R60">
            <v>2162370</v>
          </cell>
          <cell r="T60">
            <v>40452</v>
          </cell>
          <cell r="BG60">
            <v>40938.666666666664</v>
          </cell>
        </row>
        <row r="61">
          <cell r="H61" t="str">
            <v>Résidence ETANG DU GOL</v>
          </cell>
          <cell r="L61">
            <v>99</v>
          </cell>
          <cell r="N61">
            <v>18377434</v>
          </cell>
          <cell r="O61">
            <v>11945332.1</v>
          </cell>
          <cell r="R61">
            <v>6432101.8999999994</v>
          </cell>
          <cell r="T61">
            <v>40452</v>
          </cell>
          <cell r="BG61">
            <v>40999.5</v>
          </cell>
        </row>
        <row r="62">
          <cell r="H62" t="str">
            <v>PETIT FRERE</v>
          </cell>
          <cell r="L62">
            <v>25</v>
          </cell>
          <cell r="N62">
            <v>4237244</v>
          </cell>
          <cell r="O62">
            <v>2754208.6</v>
          </cell>
          <cell r="R62">
            <v>1483035.4</v>
          </cell>
          <cell r="T62">
            <v>40452</v>
          </cell>
          <cell r="BG62">
            <v>40847.416666666664</v>
          </cell>
        </row>
        <row r="63">
          <cell r="H63" t="str">
            <v>DOMAINE MONTVERT</v>
          </cell>
          <cell r="L63">
            <v>10</v>
          </cell>
          <cell r="N63">
            <v>1988825</v>
          </cell>
          <cell r="O63">
            <v>1292736.25</v>
          </cell>
          <cell r="R63">
            <v>696088.75</v>
          </cell>
          <cell r="T63">
            <v>40452</v>
          </cell>
          <cell r="BG63">
            <v>40817</v>
          </cell>
        </row>
        <row r="64">
          <cell r="H64" t="str">
            <v>PK22</v>
          </cell>
          <cell r="L64">
            <v>23</v>
          </cell>
          <cell r="N64">
            <v>4467529</v>
          </cell>
          <cell r="O64">
            <v>2903893.85</v>
          </cell>
          <cell r="R64">
            <v>1563635.15</v>
          </cell>
          <cell r="T64">
            <v>40452</v>
          </cell>
          <cell r="BG64">
            <v>40877.833333333336</v>
          </cell>
        </row>
        <row r="65">
          <cell r="H65" t="str">
            <v>LE CAP</v>
          </cell>
          <cell r="L65">
            <v>12</v>
          </cell>
          <cell r="N65">
            <v>2240128.7400000002</v>
          </cell>
          <cell r="O65">
            <v>1456083.6810000001</v>
          </cell>
          <cell r="R65">
            <v>784045.05900000001</v>
          </cell>
          <cell r="T65">
            <v>40452</v>
          </cell>
          <cell r="BG65">
            <v>40817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"/>
      <sheetName val="Informations"/>
      <sheetName val="Surface"/>
      <sheetName val="CAO"/>
      <sheetName val="Bilan"/>
      <sheetName val="montage défiscalisation"/>
      <sheetName val="DDE et plan financement"/>
      <sheetName val="Crédit vendeur et cdt bail"/>
      <sheetName val="Trésorerie immeuble"/>
      <sheetName val="SNC"/>
      <sheetName val="gain fiscal et rentabilité"/>
      <sheetName val="Paramètres"/>
      <sheetName val="Aide"/>
      <sheetName val="Bloc (2)"/>
    </sheetNames>
    <sheetDataSet>
      <sheetData sheetId="0"/>
      <sheetData sheetId="1">
        <row r="9">
          <cell r="C9" t="str">
            <v>opération test defiscalisation</v>
          </cell>
        </row>
      </sheetData>
      <sheetData sheetId="2">
        <row r="60">
          <cell r="D60">
            <v>60</v>
          </cell>
        </row>
      </sheetData>
      <sheetData sheetId="3">
        <row r="8">
          <cell r="G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D24">
            <v>3.0000000000000001E-3</v>
          </cell>
        </row>
      </sheetData>
      <sheetData sheetId="12"/>
      <sheetData sheetId="1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Par. com."/>
      <sheetName val="Par. glob."/>
      <sheetName val="Par. prêt"/>
      <sheetName val="Par. Op."/>
      <sheetName val="Surf."/>
      <sheetName val="Prix rev.CE"/>
      <sheetName val="Defisc"/>
      <sheetName val="Prés."/>
      <sheetName val="CA"/>
      <sheetName val="Financeurs"/>
      <sheetName val="DDE - B simpl."/>
      <sheetName val="DDE - B détail."/>
      <sheetName val="DDE - Attest."/>
      <sheetName val="DDE - Cont."/>
      <sheetName val="CEX - Recap"/>
      <sheetName val="CEX - Graph."/>
      <sheetName val="CEX - Résult."/>
      <sheetName val="ODSDataSheet"/>
      <sheetName val="ODSTempData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F5" t="str">
            <v>WALLIS</v>
          </cell>
        </row>
        <row r="7">
          <cell r="F7">
            <v>9643</v>
          </cell>
        </row>
        <row r="28">
          <cell r="F28" t="str">
            <v>St-PIERRE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Mode d'emploi"/>
      <sheetName val="Lots"/>
      <sheetName val="Programme"/>
      <sheetName val="Ménage"/>
      <sheetName val="Résultats"/>
      <sheetName val="Paramètres"/>
      <sheetName val="Prêts"/>
      <sheetName val="Calculs"/>
    </sheetNames>
    <sheetDataSet>
      <sheetData sheetId="0"/>
      <sheetData sheetId="1"/>
      <sheetData sheetId="2"/>
      <sheetData sheetId="3">
        <row r="19">
          <cell r="B19">
            <v>153455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B25">
            <v>1207585</v>
          </cell>
        </row>
      </sheetData>
      <sheetData sheetId="4">
        <row r="15">
          <cell r="B15">
            <v>710.46077315111052</v>
          </cell>
        </row>
        <row r="19">
          <cell r="B19">
            <v>54.539226848889484</v>
          </cell>
        </row>
      </sheetData>
      <sheetData sheetId="5"/>
      <sheetData sheetId="6">
        <row r="4">
          <cell r="C4">
            <v>1.7500000000000002E-2</v>
          </cell>
        </row>
        <row r="5">
          <cell r="C5">
            <v>1.7500000000000002E-2</v>
          </cell>
        </row>
        <row r="8">
          <cell r="C8">
            <v>5</v>
          </cell>
        </row>
        <row r="9">
          <cell r="C9">
            <v>0.03</v>
          </cell>
        </row>
        <row r="10">
          <cell r="C10">
            <v>450</v>
          </cell>
        </row>
        <row r="15">
          <cell r="C15">
            <v>0.02</v>
          </cell>
        </row>
        <row r="16">
          <cell r="C16">
            <v>7.0000000000000007E-2</v>
          </cell>
        </row>
      </sheetData>
      <sheetData sheetId="7"/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 souscription F CFP"/>
      <sheetName val="Budget PAR BATIMENT"/>
      <sheetName val="Budget avec frais"/>
      <sheetName val="Data"/>
      <sheetName val="Invest"/>
      <sheetName val="Loyers SCI"/>
      <sheetName val="SCI"/>
      <sheetName val="SCI bis"/>
      <sheetName val="Emprunts"/>
      <sheetName val="Emprunt Investisseurs"/>
      <sheetName val="Encours Gage espèces"/>
      <sheetName val="Rém Compte séquestre CPI"/>
      <sheetName val="Plans de Financement"/>
      <sheetName val="Sché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 opération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"/>
      <sheetName val="dette SAS"/>
      <sheetName val="dette BNPP SA"/>
      <sheetName val="Inv"/>
      <sheetName val="Amortissement"/>
      <sheetName val="SAS"/>
      <sheetName val="BNP P SA"/>
      <sheetName val="Echéancier d'IS"/>
      <sheetName val="Conso"/>
      <sheetName val="Synthèse"/>
      <sheetName val="Graph1"/>
      <sheetName val="Sortie"/>
      <sheetName val="t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x rev.CE"/>
      <sheetName val="Par. Op.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\\S3E116\partage\Affaires\116 E"/>
      <sheetName val="A faire 116 C 3646"/>
      <sheetName val="\\F"/>
    </sheetNames>
    <definedNames>
      <definedName name="Macro3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 FRAFU LLTS"/>
      <sheetName val="Bilan FRAFU"/>
      <sheetName val="Bilan FRAFU.xls"/>
      <sheetName val="\\FICS-01\Organisation\4 - Dépa"/>
    </sheetNames>
    <definedNames>
      <definedName name="Macro3" refersTo="#REF!"/>
      <definedName name="Macro4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"/>
      <sheetName val="Financement+loyers"/>
      <sheetName val="tréso"/>
      <sheetName val="Amortissement"/>
      <sheetName val="Amortissement gf"/>
      <sheetName val="Compta - RBT"/>
      <sheetName val="Echéancier d'IS"/>
      <sheetName val="Courbe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1000000</v>
          </cell>
        </row>
      </sheetData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.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forme 2009"/>
      <sheetName val="Prgr. 2010 Avant"/>
      <sheetName val="Prgr. 2010 DDE"/>
      <sheetName val="Prgr. 2010"/>
    </sheetNames>
    <sheetDataSet>
      <sheetData sheetId="0"/>
      <sheetData sheetId="1">
        <row r="36">
          <cell r="U36">
            <v>2</v>
          </cell>
          <cell r="Y36">
            <v>149.69999999999999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 communaux"/>
      <sheetName val="Param globaux"/>
      <sheetName val="Param opération"/>
      <sheetName val="Surfaces"/>
      <sheetName val="Présentations"/>
      <sheetName val="Fiche CA"/>
      <sheetName val="Prix rev.CE"/>
      <sheetName val="Bilan Simplifié DDE"/>
      <sheetName val="Bilan Détaillé DDE"/>
      <sheetName val="Attestations DDE"/>
      <sheetName val="Contingent DDE"/>
      <sheetName val="ODSDataSheet"/>
      <sheetName val="ODSTempDataSheet"/>
    </sheetNames>
    <sheetDataSet>
      <sheetData sheetId="0" refreshError="1"/>
      <sheetData sheetId="1" refreshError="1">
        <row r="45">
          <cell r="J45">
            <v>0.31</v>
          </cell>
        </row>
        <row r="46">
          <cell r="J46">
            <v>0.84</v>
          </cell>
        </row>
      </sheetData>
      <sheetData sheetId="2" refreshError="1">
        <row r="9">
          <cell r="F9" t="str">
            <v>Collectif sans ascenseur</v>
          </cell>
        </row>
        <row r="36">
          <cell r="F36" t="str">
            <v/>
          </cell>
        </row>
        <row r="110">
          <cell r="F110">
            <v>0.84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6">
          <cell r="K66">
            <v>5.6355242517010637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6 Fiche PRG"/>
      <sheetName val="76 Budget"/>
      <sheetName val="LLS-LLTS  BDG"/>
      <sheetName val="  AS17   BDG"/>
      <sheetName val="PAETS 225"/>
      <sheetName val="Autre prêt "/>
      <sheetName val="76 Suivi financier"/>
      <sheetName val="76  Equilibre LT"/>
    </sheetNames>
    <sheetDataSet>
      <sheetData sheetId="0" refreshError="1"/>
      <sheetData sheetId="1" refreshError="1">
        <row r="3">
          <cell r="H3">
            <v>2.1000000000000001E-2</v>
          </cell>
        </row>
        <row r="4">
          <cell r="H4">
            <v>9.5000000000000001E-2</v>
          </cell>
        </row>
      </sheetData>
      <sheetData sheetId="2" refreshError="1">
        <row r="1">
          <cell r="A1" t="str">
            <v>SODEGIS</v>
          </cell>
          <cell r="D1" t="str">
            <v>OPERATION:</v>
          </cell>
          <cell r="E1" t="str">
            <v>LA CRESSONNIERE II</v>
          </cell>
          <cell r="F1">
            <v>76</v>
          </cell>
          <cell r="G1" t="str">
            <v>Opération mixte logement-commerce en ZA</v>
          </cell>
          <cell r="M1">
            <v>1</v>
          </cell>
          <cell r="N1">
            <v>76</v>
          </cell>
          <cell r="Q1">
            <v>2</v>
          </cell>
          <cell r="U1">
            <v>3</v>
          </cell>
          <cell r="V1" t="str">
            <v>76</v>
          </cell>
          <cell r="Y1">
            <v>4</v>
          </cell>
        </row>
        <row r="2">
          <cell r="D2" t="str">
            <v>Nbre équiv/log.</v>
          </cell>
          <cell r="E2">
            <v>15</v>
          </cell>
          <cell r="G2" t="str">
            <v xml:space="preserve">BUDGET </v>
          </cell>
          <cell r="H2" t="str">
            <v>TVAO</v>
          </cell>
          <cell r="I2">
            <v>0</v>
          </cell>
          <cell r="N2" t="str">
            <v>LLTS</v>
          </cell>
          <cell r="O2">
            <v>14</v>
          </cell>
          <cell r="R2" t="str">
            <v>LLTS</v>
          </cell>
          <cell r="V2" t="str">
            <v>Com</v>
          </cell>
          <cell r="W2">
            <v>1</v>
          </cell>
          <cell r="Z2" t="str">
            <v>Local</v>
          </cell>
          <cell r="AE2" t="str">
            <v>Engagements</v>
          </cell>
          <cell r="AG2" t="str">
            <v>Droits constatés</v>
          </cell>
          <cell r="AK2" t="str">
            <v>Droits constatés</v>
          </cell>
          <cell r="AO2" t="str">
            <v>Reste</v>
          </cell>
          <cell r="AP2" t="str">
            <v>Reste</v>
          </cell>
        </row>
        <row r="3">
          <cell r="D3" t="str">
            <v>SHFUT</v>
          </cell>
          <cell r="E3">
            <v>821.26</v>
          </cell>
          <cell r="F3" t="str">
            <v xml:space="preserve">Etabli le       : </v>
          </cell>
          <cell r="H3" t="str">
            <v>TVAS</v>
          </cell>
          <cell r="I3">
            <v>2.1000000000000001E-2</v>
          </cell>
          <cell r="J3">
            <v>0.97943192948090119</v>
          </cell>
          <cell r="N3" t="str">
            <v>SHF</v>
          </cell>
          <cell r="O3">
            <v>761.26</v>
          </cell>
          <cell r="R3" t="str">
            <v>SHF</v>
          </cell>
          <cell r="V3" t="str">
            <v>SHF</v>
          </cell>
          <cell r="W3">
            <v>60</v>
          </cell>
          <cell r="Z3" t="str">
            <v>SHF</v>
          </cell>
          <cell r="AE3" t="str">
            <v>au</v>
          </cell>
          <cell r="AG3" t="str">
            <v>Situation au</v>
          </cell>
          <cell r="AK3" t="str">
            <v>Situation au</v>
          </cell>
          <cell r="AO3" t="str">
            <v>à engager</v>
          </cell>
          <cell r="AP3" t="str">
            <v>à réaliser</v>
          </cell>
        </row>
        <row r="4">
          <cell r="B4" t="str">
            <v>CPT</v>
          </cell>
          <cell r="C4" t="str">
            <v>Lots</v>
          </cell>
          <cell r="E4">
            <v>0</v>
          </cell>
          <cell r="F4" t="str">
            <v xml:space="preserve">Actualisé le  :      </v>
          </cell>
          <cell r="H4" t="str">
            <v>TVAN</v>
          </cell>
          <cell r="I4">
            <v>9.5000000000000001E-2</v>
          </cell>
          <cell r="J4">
            <v>0.91324200913242015</v>
          </cell>
          <cell r="K4" t="str">
            <v>Ratios</v>
          </cell>
          <cell r="AE4">
            <v>36406</v>
          </cell>
          <cell r="AG4">
            <v>36160</v>
          </cell>
          <cell r="AK4">
            <v>36406</v>
          </cell>
          <cell r="AO4">
            <v>36406</v>
          </cell>
          <cell r="AP4">
            <v>36406</v>
          </cell>
        </row>
        <row r="5">
          <cell r="D5" t="str">
            <v>Surf.terrain</v>
          </cell>
          <cell r="G5" t="str">
            <v>Cumul HT</v>
          </cell>
          <cell r="H5" t="str">
            <v>code</v>
          </cell>
          <cell r="I5" t="str">
            <v>TVA</v>
          </cell>
          <cell r="J5" t="str">
            <v>Cumul TTC</v>
          </cell>
          <cell r="K5" t="str">
            <v>m2/SHON</v>
          </cell>
          <cell r="L5" t="str">
            <v>équiv/log.</v>
          </cell>
          <cell r="N5" t="str">
            <v>Cumul  HT</v>
          </cell>
          <cell r="O5" t="str">
            <v>TVA</v>
          </cell>
          <cell r="P5" t="str">
            <v>Cumul TTC</v>
          </cell>
          <cell r="R5" t="str">
            <v>Cumul  HT</v>
          </cell>
          <cell r="S5" t="str">
            <v>TVA</v>
          </cell>
          <cell r="T5" t="str">
            <v>Cumul TTC</v>
          </cell>
          <cell r="V5" t="str">
            <v>Cumul  HT</v>
          </cell>
          <cell r="W5" t="str">
            <v>TVA</v>
          </cell>
          <cell r="X5" t="str">
            <v>Cumul TTC</v>
          </cell>
          <cell r="Z5" t="str">
            <v>Cumul  HT</v>
          </cell>
          <cell r="AA5" t="str">
            <v>TVA</v>
          </cell>
          <cell r="AB5" t="str">
            <v>Cumul TTC</v>
          </cell>
          <cell r="AC5" t="str">
            <v>Cr</v>
          </cell>
          <cell r="AE5" t="str">
            <v>Cumul  HT</v>
          </cell>
          <cell r="AG5" t="str">
            <v>Cumul HT</v>
          </cell>
          <cell r="AH5" t="str">
            <v>TVA</v>
          </cell>
          <cell r="AI5" t="str">
            <v>Cumul TTC</v>
          </cell>
          <cell r="AK5" t="str">
            <v>Cumul HT</v>
          </cell>
          <cell r="AL5" t="str">
            <v>TVA</v>
          </cell>
          <cell r="AM5" t="str">
            <v>Cumul TTC</v>
          </cell>
          <cell r="AO5" t="str">
            <v>HT</v>
          </cell>
          <cell r="AP5" t="str">
            <v>HT</v>
          </cell>
        </row>
        <row r="6">
          <cell r="A6" t="str">
            <v>A</v>
          </cell>
          <cell r="D6" t="str">
            <v>CHARGE FONCIERE</v>
          </cell>
          <cell r="G6">
            <v>805541</v>
          </cell>
          <cell r="I6">
            <v>20189</v>
          </cell>
          <cell r="J6">
            <v>825730</v>
          </cell>
          <cell r="K6">
            <v>980.85989820519694</v>
          </cell>
          <cell r="L6">
            <v>53702.73333333333</v>
          </cell>
          <cell r="N6">
            <v>746689.40610768821</v>
          </cell>
          <cell r="O6">
            <v>18714.022526361932</v>
          </cell>
          <cell r="P6">
            <v>765403.42863405019</v>
          </cell>
          <cell r="R6">
            <v>0</v>
          </cell>
          <cell r="S6">
            <v>0</v>
          </cell>
          <cell r="T6">
            <v>0</v>
          </cell>
          <cell r="V6">
            <v>58851.593892311808</v>
          </cell>
          <cell r="W6">
            <v>1474.9774736380682</v>
          </cell>
          <cell r="X6">
            <v>60326.571365949872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G6">
            <v>0</v>
          </cell>
          <cell r="AH6">
            <v>0</v>
          </cell>
          <cell r="AI6">
            <v>0</v>
          </cell>
          <cell r="AK6">
            <v>0</v>
          </cell>
          <cell r="AL6">
            <v>0</v>
          </cell>
          <cell r="AM6">
            <v>0</v>
          </cell>
          <cell r="AO6">
            <v>805541</v>
          </cell>
          <cell r="AP6">
            <v>805541</v>
          </cell>
        </row>
        <row r="7">
          <cell r="A7" t="str">
            <v>A1</v>
          </cell>
          <cell r="D7" t="str">
            <v>Terrain aménagé</v>
          </cell>
          <cell r="G7">
            <v>722341</v>
          </cell>
          <cell r="I7">
            <v>12285</v>
          </cell>
          <cell r="J7">
            <v>734626</v>
          </cell>
          <cell r="K7">
            <v>879.55215157197483</v>
          </cell>
          <cell r="L7">
            <v>48156.066666666666</v>
          </cell>
          <cell r="N7">
            <v>669567.87090568151</v>
          </cell>
          <cell r="O7">
            <v>11387.476682171296</v>
          </cell>
          <cell r="P7">
            <v>680955.34758785286</v>
          </cell>
          <cell r="R7">
            <v>0</v>
          </cell>
          <cell r="S7">
            <v>0</v>
          </cell>
          <cell r="T7">
            <v>0</v>
          </cell>
          <cell r="V7">
            <v>52773.129094318479</v>
          </cell>
          <cell r="W7">
            <v>897.52331782870226</v>
          </cell>
          <cell r="X7">
            <v>53670.652412147181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G7">
            <v>0</v>
          </cell>
          <cell r="AH7">
            <v>0</v>
          </cell>
          <cell r="AI7">
            <v>0</v>
          </cell>
          <cell r="AK7">
            <v>0</v>
          </cell>
          <cell r="AL7">
            <v>0</v>
          </cell>
          <cell r="AM7">
            <v>0</v>
          </cell>
          <cell r="AO7">
            <v>722341</v>
          </cell>
          <cell r="AP7">
            <v>722341</v>
          </cell>
        </row>
        <row r="8">
          <cell r="A8" t="str">
            <v xml:space="preserve"> </v>
          </cell>
          <cell r="D8" t="str">
            <v xml:space="preserve">Valeur d'apport du terrain équipé </v>
          </cell>
          <cell r="E8" t="str">
            <v>RHI</v>
          </cell>
          <cell r="F8">
            <v>39000</v>
          </cell>
          <cell r="G8">
            <v>585000</v>
          </cell>
          <cell r="H8">
            <v>2.1000000000000001E-2</v>
          </cell>
          <cell r="I8">
            <v>12285</v>
          </cell>
          <cell r="J8">
            <v>597285</v>
          </cell>
          <cell r="K8">
            <v>712.32009351484305</v>
          </cell>
          <cell r="L8">
            <v>39000</v>
          </cell>
          <cell r="N8">
            <v>542260.79438910936</v>
          </cell>
          <cell r="O8">
            <v>11387.476682171296</v>
          </cell>
          <cell r="P8">
            <v>553648.2710712807</v>
          </cell>
          <cell r="R8">
            <v>0</v>
          </cell>
          <cell r="S8">
            <v>0</v>
          </cell>
          <cell r="T8">
            <v>0</v>
          </cell>
          <cell r="V8">
            <v>42739.205610890582</v>
          </cell>
          <cell r="W8">
            <v>897.52331782870226</v>
          </cell>
          <cell r="X8">
            <v>43636.728928719283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H8">
            <v>0</v>
          </cell>
          <cell r="AI8">
            <v>0</v>
          </cell>
          <cell r="AK8">
            <v>0</v>
          </cell>
          <cell r="AL8">
            <v>0</v>
          </cell>
          <cell r="AM8">
            <v>0</v>
          </cell>
          <cell r="AO8">
            <v>585000</v>
          </cell>
          <cell r="AP8">
            <v>585000</v>
          </cell>
        </row>
        <row r="9">
          <cell r="D9" t="str">
            <v>Participations : DPLD…</v>
          </cell>
          <cell r="F9" t="str">
            <v xml:space="preserve"> 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R9">
            <v>0</v>
          </cell>
          <cell r="S9">
            <v>0</v>
          </cell>
          <cell r="T9">
            <v>0</v>
          </cell>
          <cell r="V9">
            <v>0</v>
          </cell>
          <cell r="W9">
            <v>0</v>
          </cell>
          <cell r="X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H9">
            <v>0</v>
          </cell>
          <cell r="AI9">
            <v>0</v>
          </cell>
          <cell r="AK9">
            <v>0</v>
          </cell>
          <cell r="AL9">
            <v>0</v>
          </cell>
          <cell r="AM9">
            <v>0</v>
          </cell>
          <cell r="AO9">
            <v>0</v>
          </cell>
          <cell r="AP9">
            <v>0</v>
          </cell>
        </row>
        <row r="10">
          <cell r="D10" t="str">
            <v>Taxe de raccordement</v>
          </cell>
          <cell r="F10">
            <v>6000</v>
          </cell>
          <cell r="G10">
            <v>90000</v>
          </cell>
          <cell r="H10">
            <v>0</v>
          </cell>
          <cell r="I10">
            <v>0</v>
          </cell>
          <cell r="J10">
            <v>90000</v>
          </cell>
          <cell r="K10">
            <v>109.58770669459123</v>
          </cell>
          <cell r="L10">
            <v>6000</v>
          </cell>
          <cell r="N10">
            <v>83424.737598324515</v>
          </cell>
          <cell r="O10">
            <v>0</v>
          </cell>
          <cell r="P10">
            <v>83424.737598324515</v>
          </cell>
          <cell r="R10">
            <v>0</v>
          </cell>
          <cell r="S10">
            <v>0</v>
          </cell>
          <cell r="T10">
            <v>0</v>
          </cell>
          <cell r="V10">
            <v>6575.2624016754744</v>
          </cell>
          <cell r="W10">
            <v>0</v>
          </cell>
          <cell r="X10">
            <v>6575.2624016754744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H10">
            <v>0</v>
          </cell>
          <cell r="AI10">
            <v>0</v>
          </cell>
          <cell r="AK10">
            <v>0</v>
          </cell>
          <cell r="AL10">
            <v>0</v>
          </cell>
          <cell r="AM10">
            <v>0</v>
          </cell>
          <cell r="AO10">
            <v>90000</v>
          </cell>
          <cell r="AP10">
            <v>90000</v>
          </cell>
        </row>
        <row r="11">
          <cell r="D11" t="str">
            <v>Taxes d'urbanisme : TLE, TDCAUE…</v>
          </cell>
          <cell r="E11" t="str">
            <v>SHON*1200*(2,5+1,4+0,3)%</v>
          </cell>
          <cell r="G11">
            <v>47341</v>
          </cell>
          <cell r="H11">
            <v>0</v>
          </cell>
          <cell r="I11">
            <v>0</v>
          </cell>
          <cell r="J11">
            <v>47341</v>
          </cell>
          <cell r="K11">
            <v>57.64435136254049</v>
          </cell>
          <cell r="L11">
            <v>3156.0666666666666</v>
          </cell>
          <cell r="N11">
            <v>43882.338918247573</v>
          </cell>
          <cell r="O11">
            <v>0</v>
          </cell>
          <cell r="P11">
            <v>43882.338918247573</v>
          </cell>
          <cell r="R11">
            <v>0</v>
          </cell>
          <cell r="S11">
            <v>0</v>
          </cell>
          <cell r="T11">
            <v>0</v>
          </cell>
          <cell r="V11">
            <v>3458.6610817524293</v>
          </cell>
          <cell r="W11">
            <v>0</v>
          </cell>
          <cell r="X11">
            <v>3458.6610817524293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H11">
            <v>0</v>
          </cell>
          <cell r="AI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47341</v>
          </cell>
          <cell r="AP11">
            <v>47341</v>
          </cell>
        </row>
        <row r="12">
          <cell r="D12" t="str">
            <v>Divers</v>
          </cell>
          <cell r="H12">
            <v>9.5000000000000001E-2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H12">
            <v>0</v>
          </cell>
          <cell r="AI12">
            <v>0</v>
          </cell>
          <cell r="AK12">
            <v>0</v>
          </cell>
          <cell r="AL12">
            <v>0</v>
          </cell>
          <cell r="AM12">
            <v>0</v>
          </cell>
          <cell r="AO12">
            <v>0</v>
          </cell>
          <cell r="AP12">
            <v>0</v>
          </cell>
        </row>
        <row r="13">
          <cell r="A13" t="str">
            <v>A3</v>
          </cell>
          <cell r="D13" t="str">
            <v>Aménagement tertiaire</v>
          </cell>
          <cell r="G13">
            <v>83200</v>
          </cell>
          <cell r="I13">
            <v>7904</v>
          </cell>
          <cell r="J13">
            <v>91104</v>
          </cell>
          <cell r="K13">
            <v>101.30774663322212</v>
          </cell>
          <cell r="L13">
            <v>5546.666666666667</v>
          </cell>
          <cell r="N13">
            <v>77121.535202006678</v>
          </cell>
          <cell r="O13">
            <v>7326.5458441906349</v>
          </cell>
          <cell r="P13">
            <v>84448.081046197316</v>
          </cell>
          <cell r="R13">
            <v>0</v>
          </cell>
          <cell r="S13">
            <v>0</v>
          </cell>
          <cell r="T13">
            <v>0</v>
          </cell>
          <cell r="V13">
            <v>6078.4647979933279</v>
          </cell>
          <cell r="W13">
            <v>577.45415580936606</v>
          </cell>
          <cell r="X13">
            <v>6655.918953802694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E13">
            <v>0</v>
          </cell>
          <cell r="AG13">
            <v>0</v>
          </cell>
          <cell r="AH13">
            <v>0</v>
          </cell>
          <cell r="AI13">
            <v>0</v>
          </cell>
          <cell r="AK13">
            <v>0</v>
          </cell>
          <cell r="AL13">
            <v>0</v>
          </cell>
          <cell r="AM13">
            <v>0</v>
          </cell>
          <cell r="AO13">
            <v>83200</v>
          </cell>
          <cell r="AP13">
            <v>83200</v>
          </cell>
        </row>
        <row r="14">
          <cell r="A14" t="str">
            <v>A31</v>
          </cell>
          <cell r="D14" t="str">
            <v>Terrassements généraux et Voirie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G14">
            <v>0</v>
          </cell>
          <cell r="AH14">
            <v>0</v>
          </cell>
          <cell r="AI14">
            <v>0</v>
          </cell>
          <cell r="AK14">
            <v>0</v>
          </cell>
          <cell r="AL14">
            <v>0</v>
          </cell>
          <cell r="AM14">
            <v>0</v>
          </cell>
          <cell r="AO14">
            <v>0</v>
          </cell>
          <cell r="AP14">
            <v>0</v>
          </cell>
        </row>
        <row r="15">
          <cell r="E15" t="str">
            <v>Préparation des terrains</v>
          </cell>
          <cell r="H15">
            <v>9.5000000000000001E-2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H15">
            <v>0</v>
          </cell>
          <cell r="AI15">
            <v>0</v>
          </cell>
          <cell r="AK15">
            <v>0</v>
          </cell>
          <cell r="AL15">
            <v>0</v>
          </cell>
          <cell r="AM15">
            <v>0</v>
          </cell>
          <cell r="AO15">
            <v>0</v>
          </cell>
          <cell r="AP15">
            <v>0</v>
          </cell>
        </row>
        <row r="16">
          <cell r="E16" t="str">
            <v>Dessertes et chemins piétons</v>
          </cell>
          <cell r="H16">
            <v>9.5000000000000001E-2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  <cell r="T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H16">
            <v>0</v>
          </cell>
          <cell r="AI16">
            <v>0</v>
          </cell>
          <cell r="AK16">
            <v>0</v>
          </cell>
          <cell r="AL16">
            <v>0</v>
          </cell>
          <cell r="AM16">
            <v>0</v>
          </cell>
          <cell r="AO16">
            <v>0</v>
          </cell>
          <cell r="AP16">
            <v>0</v>
          </cell>
        </row>
        <row r="17">
          <cell r="E17" t="str">
            <v>Soutènements</v>
          </cell>
          <cell r="H17">
            <v>9.5000000000000001E-2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H17">
            <v>0</v>
          </cell>
          <cell r="AI17">
            <v>0</v>
          </cell>
          <cell r="AK17">
            <v>0</v>
          </cell>
          <cell r="AL17">
            <v>0</v>
          </cell>
          <cell r="AM17">
            <v>0</v>
          </cell>
          <cell r="AO17">
            <v>0</v>
          </cell>
          <cell r="AP17">
            <v>0</v>
          </cell>
        </row>
        <row r="18">
          <cell r="E18" t="str">
            <v>Estimation TCE</v>
          </cell>
          <cell r="H18">
            <v>9.5000000000000001E-2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H18">
            <v>0</v>
          </cell>
          <cell r="AI18">
            <v>0</v>
          </cell>
          <cell r="AK18">
            <v>0</v>
          </cell>
          <cell r="AL18">
            <v>0</v>
          </cell>
          <cell r="AM18">
            <v>0</v>
          </cell>
          <cell r="AO18">
            <v>0</v>
          </cell>
          <cell r="AP18">
            <v>0</v>
          </cell>
        </row>
        <row r="19">
          <cell r="A19" t="str">
            <v>A32</v>
          </cell>
          <cell r="D19" t="str">
            <v>Réseaux divers (tertiaires)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  <cell r="T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G19">
            <v>0</v>
          </cell>
          <cell r="AH19">
            <v>0</v>
          </cell>
          <cell r="AI19">
            <v>0</v>
          </cell>
          <cell r="AK19">
            <v>0</v>
          </cell>
          <cell r="AL19">
            <v>0</v>
          </cell>
          <cell r="AM19">
            <v>0</v>
          </cell>
          <cell r="AO19">
            <v>0</v>
          </cell>
          <cell r="AP19">
            <v>0</v>
          </cell>
        </row>
        <row r="20">
          <cell r="E20" t="str">
            <v>Réseau EP - EU - EV</v>
          </cell>
          <cell r="H20">
            <v>9.5000000000000001E-2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H20">
            <v>0</v>
          </cell>
          <cell r="AI20">
            <v>0</v>
          </cell>
          <cell r="AK20">
            <v>0</v>
          </cell>
          <cell r="AL20">
            <v>0</v>
          </cell>
          <cell r="AM20">
            <v>0</v>
          </cell>
          <cell r="AO20">
            <v>0</v>
          </cell>
          <cell r="AP20">
            <v>0</v>
          </cell>
        </row>
        <row r="21">
          <cell r="E21" t="str">
            <v>Epuration/Refoulement/Fosses septiques</v>
          </cell>
          <cell r="H21">
            <v>9.5000000000000001E-2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  <cell r="T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H21">
            <v>0</v>
          </cell>
          <cell r="AI21">
            <v>0</v>
          </cell>
          <cell r="AK21">
            <v>0</v>
          </cell>
          <cell r="AL21">
            <v>0</v>
          </cell>
          <cell r="AM21">
            <v>0</v>
          </cell>
          <cell r="AO21">
            <v>0</v>
          </cell>
          <cell r="AP21">
            <v>0</v>
          </cell>
        </row>
        <row r="22">
          <cell r="E22" t="str">
            <v>Eau Potable</v>
          </cell>
          <cell r="H22">
            <v>9.5000000000000001E-2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V22">
            <v>0</v>
          </cell>
          <cell r="W22">
            <v>0</v>
          </cell>
          <cell r="X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H22">
            <v>0</v>
          </cell>
          <cell r="AI22">
            <v>0</v>
          </cell>
          <cell r="AK22">
            <v>0</v>
          </cell>
          <cell r="AL22">
            <v>0</v>
          </cell>
          <cell r="AM22">
            <v>0</v>
          </cell>
          <cell r="AO22">
            <v>0</v>
          </cell>
          <cell r="AP22">
            <v>0</v>
          </cell>
        </row>
        <row r="23">
          <cell r="E23" t="str">
            <v>Eclairage Public/ BT</v>
          </cell>
          <cell r="H23">
            <v>9.5000000000000001E-2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H23">
            <v>0</v>
          </cell>
          <cell r="AI23">
            <v>0</v>
          </cell>
          <cell r="AK23">
            <v>0</v>
          </cell>
          <cell r="AL23">
            <v>0</v>
          </cell>
          <cell r="AM23">
            <v>0</v>
          </cell>
          <cell r="AO23">
            <v>0</v>
          </cell>
          <cell r="AP23">
            <v>0</v>
          </cell>
        </row>
        <row r="24">
          <cell r="E24" t="str">
            <v>Courants faibles / télécom-télévision</v>
          </cell>
          <cell r="H24">
            <v>9.5000000000000001E-2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H24">
            <v>0</v>
          </cell>
          <cell r="AI24">
            <v>0</v>
          </cell>
          <cell r="AK24">
            <v>0</v>
          </cell>
          <cell r="AL24">
            <v>0</v>
          </cell>
          <cell r="AM24">
            <v>0</v>
          </cell>
          <cell r="AO24">
            <v>0</v>
          </cell>
          <cell r="AP24">
            <v>0</v>
          </cell>
        </row>
        <row r="25">
          <cell r="E25" t="str">
            <v xml:space="preserve">Divers </v>
          </cell>
          <cell r="H25">
            <v>9.5000000000000001E-2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H25">
            <v>0</v>
          </cell>
          <cell r="AI25">
            <v>0</v>
          </cell>
          <cell r="AK25">
            <v>0</v>
          </cell>
          <cell r="AL25">
            <v>0</v>
          </cell>
          <cell r="AM25">
            <v>0</v>
          </cell>
          <cell r="AO25">
            <v>0</v>
          </cell>
          <cell r="AP25">
            <v>0</v>
          </cell>
        </row>
        <row r="26">
          <cell r="E26" t="str">
            <v>Estimation TCE</v>
          </cell>
          <cell r="H26">
            <v>9.5000000000000001E-2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H26">
            <v>0</v>
          </cell>
          <cell r="AI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0</v>
          </cell>
        </row>
        <row r="27">
          <cell r="A27" t="str">
            <v>A33</v>
          </cell>
          <cell r="D27" t="str">
            <v>Branchements (concessionnaires)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V27">
            <v>0</v>
          </cell>
          <cell r="W27">
            <v>0</v>
          </cell>
          <cell r="X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E27">
            <v>0</v>
          </cell>
          <cell r="AG27">
            <v>0</v>
          </cell>
          <cell r="AH27">
            <v>0</v>
          </cell>
          <cell r="AI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0</v>
          </cell>
        </row>
        <row r="28">
          <cell r="E28" t="str">
            <v>EDF-MT/BT</v>
          </cell>
          <cell r="F28" t="str">
            <v>EDF</v>
          </cell>
          <cell r="H28">
            <v>9.5000000000000001E-2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H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0</v>
          </cell>
        </row>
        <row r="29">
          <cell r="E29" t="str">
            <v>Concessionnaire EAU</v>
          </cell>
          <cell r="H29">
            <v>9.5000000000000001E-2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V29">
            <v>0</v>
          </cell>
          <cell r="W29">
            <v>0</v>
          </cell>
          <cell r="X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H29">
            <v>0</v>
          </cell>
          <cell r="AI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0</v>
          </cell>
        </row>
        <row r="30">
          <cell r="A30" t="str">
            <v>A34</v>
          </cell>
          <cell r="D30" t="str">
            <v>Aménagements</v>
          </cell>
          <cell r="G30">
            <v>75000</v>
          </cell>
          <cell r="I30">
            <v>7125</v>
          </cell>
          <cell r="J30">
            <v>82125</v>
          </cell>
          <cell r="K30">
            <v>91.323088912159363</v>
          </cell>
          <cell r="L30">
            <v>5000</v>
          </cell>
          <cell r="N30">
            <v>69520.614665270448</v>
          </cell>
          <cell r="O30">
            <v>6604.4583932006926</v>
          </cell>
          <cell r="P30">
            <v>76125.073058471142</v>
          </cell>
          <cell r="R30">
            <v>0</v>
          </cell>
          <cell r="S30">
            <v>0</v>
          </cell>
          <cell r="T30">
            <v>0</v>
          </cell>
          <cell r="V30">
            <v>5479.3853347295626</v>
          </cell>
          <cell r="W30">
            <v>520.5416067993084</v>
          </cell>
          <cell r="X30">
            <v>5999.9269415288709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E30">
            <v>0</v>
          </cell>
          <cell r="AG30">
            <v>0</v>
          </cell>
          <cell r="AH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75000</v>
          </cell>
          <cell r="AP30">
            <v>75000</v>
          </cell>
        </row>
        <row r="31">
          <cell r="E31" t="str">
            <v>Espaces verts</v>
          </cell>
          <cell r="H31">
            <v>9.5000000000000001E-2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V31">
            <v>0</v>
          </cell>
          <cell r="W31">
            <v>0</v>
          </cell>
          <cell r="X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H31">
            <v>0</v>
          </cell>
          <cell r="AI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0</v>
          </cell>
        </row>
        <row r="32">
          <cell r="E32" t="str">
            <v>Clôtures</v>
          </cell>
          <cell r="G32">
            <v>25000</v>
          </cell>
          <cell r="H32">
            <v>9.5000000000000001E-2</v>
          </cell>
          <cell r="I32">
            <v>2375</v>
          </cell>
          <cell r="J32">
            <v>27375</v>
          </cell>
          <cell r="K32">
            <v>30.441029637386457</v>
          </cell>
          <cell r="L32">
            <v>1666.6666666666667</v>
          </cell>
          <cell r="N32">
            <v>23173.538221756815</v>
          </cell>
          <cell r="O32">
            <v>2201.4861310668975</v>
          </cell>
          <cell r="P32">
            <v>25375.024352823712</v>
          </cell>
          <cell r="R32">
            <v>0</v>
          </cell>
          <cell r="S32">
            <v>0</v>
          </cell>
          <cell r="T32">
            <v>0</v>
          </cell>
          <cell r="V32">
            <v>1826.4617782431874</v>
          </cell>
          <cell r="W32">
            <v>173.5138689331028</v>
          </cell>
          <cell r="X32">
            <v>1999.9756471762903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H32">
            <v>0</v>
          </cell>
          <cell r="AI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25000</v>
          </cell>
          <cell r="AP32">
            <v>25000</v>
          </cell>
        </row>
        <row r="33">
          <cell r="E33" t="str">
            <v>Signalitique</v>
          </cell>
          <cell r="G33">
            <v>50000</v>
          </cell>
          <cell r="H33">
            <v>9.5000000000000001E-2</v>
          </cell>
          <cell r="I33">
            <v>4750</v>
          </cell>
          <cell r="J33">
            <v>54750</v>
          </cell>
          <cell r="K33">
            <v>60.882059274772914</v>
          </cell>
          <cell r="L33">
            <v>3333.3333333333335</v>
          </cell>
          <cell r="N33">
            <v>46347.07644351363</v>
          </cell>
          <cell r="O33">
            <v>4402.9722621337951</v>
          </cell>
          <cell r="P33">
            <v>50750.048705647423</v>
          </cell>
          <cell r="R33">
            <v>0</v>
          </cell>
          <cell r="S33">
            <v>0</v>
          </cell>
          <cell r="T33">
            <v>0</v>
          </cell>
          <cell r="V33">
            <v>3652.9235564863748</v>
          </cell>
          <cell r="W33">
            <v>347.0277378662056</v>
          </cell>
          <cell r="X33">
            <v>3999.9512943525806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H33">
            <v>0</v>
          </cell>
          <cell r="AI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50000</v>
          </cell>
          <cell r="AP33">
            <v>50000</v>
          </cell>
        </row>
        <row r="34">
          <cell r="E34" t="str">
            <v>Mobilier urbain</v>
          </cell>
          <cell r="H34">
            <v>9.5000000000000001E-2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H34">
            <v>0</v>
          </cell>
          <cell r="AI34">
            <v>0</v>
          </cell>
          <cell r="AK34">
            <v>0</v>
          </cell>
          <cell r="AL34">
            <v>0</v>
          </cell>
          <cell r="AM34">
            <v>0</v>
          </cell>
          <cell r="AO34">
            <v>0</v>
          </cell>
          <cell r="AP34">
            <v>0</v>
          </cell>
        </row>
        <row r="35">
          <cell r="E35" t="str">
            <v xml:space="preserve">Divers </v>
          </cell>
          <cell r="H35">
            <v>9.5000000000000001E-2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H35">
            <v>0</v>
          </cell>
          <cell r="AI35">
            <v>0</v>
          </cell>
          <cell r="AK35">
            <v>0</v>
          </cell>
          <cell r="AL35">
            <v>0</v>
          </cell>
          <cell r="AM35">
            <v>0</v>
          </cell>
          <cell r="AO35">
            <v>0</v>
          </cell>
          <cell r="AP35">
            <v>0</v>
          </cell>
        </row>
        <row r="36">
          <cell r="E36" t="str">
            <v>Estimation TCE</v>
          </cell>
          <cell r="H36">
            <v>9.5000000000000001E-2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H36">
            <v>0</v>
          </cell>
          <cell r="AI36">
            <v>0</v>
          </cell>
          <cell r="AK36">
            <v>0</v>
          </cell>
          <cell r="AL36">
            <v>0</v>
          </cell>
          <cell r="AM36">
            <v>0</v>
          </cell>
          <cell r="AO36">
            <v>0</v>
          </cell>
          <cell r="AP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H37">
            <v>0</v>
          </cell>
          <cell r="AI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0</v>
          </cell>
        </row>
        <row r="38">
          <cell r="A38" t="str">
            <v>A35</v>
          </cell>
          <cell r="D38" t="str">
            <v>Divers</v>
          </cell>
          <cell r="G38">
            <v>8200</v>
          </cell>
          <cell r="H38">
            <v>9.5000000000000001E-2</v>
          </cell>
          <cell r="I38">
            <v>779</v>
          </cell>
          <cell r="J38">
            <v>8979</v>
          </cell>
          <cell r="K38">
            <v>9.9846577210627565</v>
          </cell>
          <cell r="L38">
            <v>546.66666666666663</v>
          </cell>
          <cell r="N38">
            <v>7600.9205367362338</v>
          </cell>
          <cell r="O38">
            <v>722.08745098994223</v>
          </cell>
          <cell r="P38">
            <v>8323.007987726176</v>
          </cell>
          <cell r="R38">
            <v>0</v>
          </cell>
          <cell r="S38">
            <v>0</v>
          </cell>
          <cell r="T38">
            <v>0</v>
          </cell>
          <cell r="V38">
            <v>599.07946326376543</v>
          </cell>
          <cell r="W38">
            <v>56.912549010057717</v>
          </cell>
          <cell r="X38">
            <v>655.99201227382309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H38">
            <v>0</v>
          </cell>
          <cell r="AI38">
            <v>0</v>
          </cell>
          <cell r="AK38">
            <v>0</v>
          </cell>
          <cell r="AL38">
            <v>0</v>
          </cell>
          <cell r="AM38">
            <v>0</v>
          </cell>
          <cell r="AO38">
            <v>8200</v>
          </cell>
          <cell r="AP38">
            <v>8200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H39">
            <v>0</v>
          </cell>
          <cell r="AI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0</v>
          </cell>
        </row>
        <row r="40">
          <cell r="A40" t="str">
            <v>B</v>
          </cell>
          <cell r="D40" t="str">
            <v>COUT TECHNIQUE</v>
          </cell>
          <cell r="G40">
            <v>3784111</v>
          </cell>
          <cell r="I40">
            <v>352719.04000000004</v>
          </cell>
          <cell r="J40">
            <v>4136830.04</v>
          </cell>
          <cell r="K40">
            <v>4607.6894040864036</v>
          </cell>
          <cell r="L40">
            <v>252274.06666666665</v>
          </cell>
          <cell r="N40">
            <v>3507649.6357548162</v>
          </cell>
          <cell r="O40">
            <v>326949.92619925487</v>
          </cell>
          <cell r="P40">
            <v>3834599.5619540717</v>
          </cell>
          <cell r="R40">
            <v>0</v>
          </cell>
          <cell r="S40">
            <v>0</v>
          </cell>
          <cell r="T40">
            <v>0</v>
          </cell>
          <cell r="V40">
            <v>276461.36424518423</v>
          </cell>
          <cell r="W40">
            <v>25769.113800745192</v>
          </cell>
          <cell r="X40">
            <v>302230.47804592946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E40">
            <v>0</v>
          </cell>
          <cell r="AG40">
            <v>0</v>
          </cell>
          <cell r="AH40">
            <v>0</v>
          </cell>
          <cell r="AI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3784111</v>
          </cell>
          <cell r="AP40">
            <v>3784111</v>
          </cell>
        </row>
        <row r="41">
          <cell r="A41" t="str">
            <v>B1</v>
          </cell>
          <cell r="D41" t="str">
            <v>Travaux de bâtiment</v>
          </cell>
          <cell r="G41">
            <v>3299632</v>
          </cell>
          <cell r="I41">
            <v>313465.04000000004</v>
          </cell>
          <cell r="J41">
            <v>3613097.04</v>
          </cell>
          <cell r="K41">
            <v>4017.7678201787498</v>
          </cell>
          <cell r="L41">
            <v>219975.46666666667</v>
          </cell>
          <cell r="N41">
            <v>3058565.9307892751</v>
          </cell>
          <cell r="O41">
            <v>290563.76342498121</v>
          </cell>
          <cell r="P41">
            <v>3349129.6942142569</v>
          </cell>
          <cell r="R41">
            <v>0</v>
          </cell>
          <cell r="S41">
            <v>0</v>
          </cell>
          <cell r="T41">
            <v>0</v>
          </cell>
          <cell r="V41">
            <v>241066.06921072499</v>
          </cell>
          <cell r="W41">
            <v>22901.27657501887</v>
          </cell>
          <cell r="X41">
            <v>263967.34578574385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E41">
            <v>0</v>
          </cell>
          <cell r="AG41">
            <v>0</v>
          </cell>
          <cell r="AH41">
            <v>0</v>
          </cell>
          <cell r="AI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3299632</v>
          </cell>
          <cell r="AP41">
            <v>3299632</v>
          </cell>
        </row>
        <row r="42">
          <cell r="A42" t="str">
            <v>B11</v>
          </cell>
          <cell r="C42">
            <v>0</v>
          </cell>
          <cell r="D42" t="str">
            <v>Fondations spéciales</v>
          </cell>
          <cell r="H42">
            <v>9.5000000000000001E-2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R42">
            <v>0</v>
          </cell>
          <cell r="S42">
            <v>0</v>
          </cell>
          <cell r="T42">
            <v>0</v>
          </cell>
          <cell r="V42">
            <v>0</v>
          </cell>
          <cell r="W42">
            <v>0</v>
          </cell>
          <cell r="X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H42">
            <v>0</v>
          </cell>
          <cell r="AI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0</v>
          </cell>
        </row>
        <row r="43">
          <cell r="A43" t="str">
            <v>B12</v>
          </cell>
          <cell r="D43" t="str">
            <v>Travaux de construction</v>
          </cell>
          <cell r="G43">
            <v>3299632</v>
          </cell>
          <cell r="I43">
            <v>313465.04000000004</v>
          </cell>
          <cell r="J43">
            <v>3613097.04</v>
          </cell>
          <cell r="K43">
            <v>4017.7678201787498</v>
          </cell>
          <cell r="L43">
            <v>219975.46666666667</v>
          </cell>
          <cell r="N43">
            <v>3058565.9307892751</v>
          </cell>
          <cell r="O43">
            <v>290563.76342498121</v>
          </cell>
          <cell r="P43">
            <v>3349129.6942142569</v>
          </cell>
          <cell r="R43">
            <v>0</v>
          </cell>
          <cell r="S43">
            <v>0</v>
          </cell>
          <cell r="T43">
            <v>0</v>
          </cell>
          <cell r="V43">
            <v>241066.06921072499</v>
          </cell>
          <cell r="W43">
            <v>22901.27657501887</v>
          </cell>
          <cell r="X43">
            <v>263967.34578574385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E43">
            <v>0</v>
          </cell>
          <cell r="AG43">
            <v>0</v>
          </cell>
          <cell r="AH43">
            <v>0</v>
          </cell>
          <cell r="AI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3299632</v>
          </cell>
          <cell r="AP43">
            <v>3299632</v>
          </cell>
        </row>
        <row r="44">
          <cell r="C44">
            <v>1</v>
          </cell>
          <cell r="D44" t="str">
            <v xml:space="preserve">     Terrassements généraux</v>
          </cell>
          <cell r="H44">
            <v>9.5000000000000001E-2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H44">
            <v>0</v>
          </cell>
          <cell r="AI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0</v>
          </cell>
        </row>
        <row r="45">
          <cell r="C45">
            <v>2</v>
          </cell>
          <cell r="D45" t="str">
            <v xml:space="preserve">     Gros œuvre / Maçonnerie</v>
          </cell>
          <cell r="F45" t="str">
            <v>BBOI</v>
          </cell>
          <cell r="G45">
            <v>2008636</v>
          </cell>
          <cell r="H45">
            <v>9.5000000000000001E-2</v>
          </cell>
          <cell r="I45">
            <v>190820.42</v>
          </cell>
          <cell r="J45">
            <v>2199456.42</v>
          </cell>
          <cell r="K45">
            <v>2445.7979202688553</v>
          </cell>
          <cell r="L45">
            <v>133909.06666666668</v>
          </cell>
          <cell r="N45">
            <v>1861888.1247838687</v>
          </cell>
          <cell r="O45">
            <v>176879.37185446752</v>
          </cell>
          <cell r="P45">
            <v>2038767.4966383362</v>
          </cell>
          <cell r="R45">
            <v>0</v>
          </cell>
          <cell r="S45">
            <v>0</v>
          </cell>
          <cell r="T45">
            <v>0</v>
          </cell>
          <cell r="V45">
            <v>146747.8752161313</v>
          </cell>
          <cell r="W45">
            <v>13941.048145532473</v>
          </cell>
          <cell r="X45">
            <v>160688.92336166376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H45">
            <v>0</v>
          </cell>
          <cell r="AI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2008636</v>
          </cell>
          <cell r="AP45">
            <v>2008636</v>
          </cell>
        </row>
        <row r="46">
          <cell r="C46">
            <v>3</v>
          </cell>
          <cell r="D46" t="str">
            <v xml:space="preserve">     Charpente / couverture</v>
          </cell>
          <cell r="G46">
            <v>170000</v>
          </cell>
          <cell r="H46">
            <v>9.5000000000000001E-2</v>
          </cell>
          <cell r="I46">
            <v>16150</v>
          </cell>
          <cell r="J46">
            <v>186150</v>
          </cell>
          <cell r="K46">
            <v>206.99900153422789</v>
          </cell>
          <cell r="L46">
            <v>11333.333333333334</v>
          </cell>
          <cell r="N46">
            <v>157580.05990794633</v>
          </cell>
          <cell r="O46">
            <v>14970.105691254901</v>
          </cell>
          <cell r="P46">
            <v>172550.16559920122</v>
          </cell>
          <cell r="R46">
            <v>0</v>
          </cell>
          <cell r="S46">
            <v>0</v>
          </cell>
          <cell r="T46">
            <v>0</v>
          </cell>
          <cell r="V46">
            <v>12419.940092053674</v>
          </cell>
          <cell r="W46">
            <v>1179.8943087450991</v>
          </cell>
          <cell r="X46">
            <v>13599.834400798773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H46">
            <v>0</v>
          </cell>
          <cell r="AI46">
            <v>0</v>
          </cell>
          <cell r="AK46">
            <v>0</v>
          </cell>
          <cell r="AL46">
            <v>0</v>
          </cell>
          <cell r="AM46">
            <v>0</v>
          </cell>
          <cell r="AO46">
            <v>170000</v>
          </cell>
          <cell r="AP46">
            <v>170000</v>
          </cell>
        </row>
        <row r="47">
          <cell r="C47" t="str">
            <v>3a</v>
          </cell>
          <cell r="D47" t="str">
            <v xml:space="preserve">     Etanchéité</v>
          </cell>
          <cell r="F47" t="str">
            <v>SCPE</v>
          </cell>
          <cell r="G47">
            <v>75540</v>
          </cell>
          <cell r="H47">
            <v>9.5000000000000001E-2</v>
          </cell>
          <cell r="I47">
            <v>7176.3</v>
          </cell>
          <cell r="J47">
            <v>82716.3</v>
          </cell>
          <cell r="K47">
            <v>91.980615152326919</v>
          </cell>
          <cell r="L47">
            <v>5036</v>
          </cell>
          <cell r="N47">
            <v>70021.163090860384</v>
          </cell>
          <cell r="O47">
            <v>6652.0104936317366</v>
          </cell>
          <cell r="P47">
            <v>76673.17358449212</v>
          </cell>
          <cell r="R47">
            <v>0</v>
          </cell>
          <cell r="S47">
            <v>0</v>
          </cell>
          <cell r="T47">
            <v>0</v>
          </cell>
          <cell r="V47">
            <v>5518.8369091396153</v>
          </cell>
          <cell r="W47">
            <v>524.28950636826346</v>
          </cell>
          <cell r="X47">
            <v>6043.1264155078788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H47">
            <v>0</v>
          </cell>
          <cell r="AI47">
            <v>0</v>
          </cell>
          <cell r="AK47">
            <v>0</v>
          </cell>
          <cell r="AL47">
            <v>0</v>
          </cell>
          <cell r="AM47">
            <v>0</v>
          </cell>
          <cell r="AO47">
            <v>75540</v>
          </cell>
          <cell r="AP47">
            <v>75540</v>
          </cell>
        </row>
        <row r="48">
          <cell r="C48">
            <v>4</v>
          </cell>
          <cell r="D48" t="str">
            <v xml:space="preserve">     Menuiseries Extérieures</v>
          </cell>
          <cell r="E48" t="str">
            <v>Alu/PVC/Bois</v>
          </cell>
          <cell r="F48" t="str">
            <v>SOREMIR</v>
          </cell>
          <cell r="G48">
            <v>145832</v>
          </cell>
          <cell r="H48">
            <v>9.5000000000000001E-2</v>
          </cell>
          <cell r="I48">
            <v>13854.04</v>
          </cell>
          <cell r="J48">
            <v>159686.04</v>
          </cell>
          <cell r="K48">
            <v>177.57104936317367</v>
          </cell>
          <cell r="L48">
            <v>9722.1333333333332</v>
          </cell>
          <cell r="N48">
            <v>135177.7370382096</v>
          </cell>
          <cell r="O48">
            <v>12841.885018629911</v>
          </cell>
          <cell r="P48">
            <v>148019.62205683952</v>
          </cell>
          <cell r="R48">
            <v>0</v>
          </cell>
          <cell r="S48">
            <v>0</v>
          </cell>
          <cell r="T48">
            <v>0</v>
          </cell>
          <cell r="V48">
            <v>10654.26296179042</v>
          </cell>
          <cell r="W48">
            <v>1012.1549813700899</v>
          </cell>
          <cell r="X48">
            <v>11666.41794316051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H48">
            <v>0</v>
          </cell>
          <cell r="AI48">
            <v>0</v>
          </cell>
          <cell r="AK48">
            <v>0</v>
          </cell>
          <cell r="AL48">
            <v>0</v>
          </cell>
          <cell r="AM48">
            <v>0</v>
          </cell>
          <cell r="AO48">
            <v>145832</v>
          </cell>
          <cell r="AP48">
            <v>145832</v>
          </cell>
        </row>
        <row r="49">
          <cell r="C49">
            <v>5</v>
          </cell>
          <cell r="D49" t="str">
            <v xml:space="preserve">     Ferronerie / Serrrurerie</v>
          </cell>
          <cell r="F49" t="str">
            <v>2FR</v>
          </cell>
          <cell r="G49">
            <v>87491</v>
          </cell>
          <cell r="H49">
            <v>9.5000000000000001E-2</v>
          </cell>
          <cell r="I49">
            <v>8311.6450000000004</v>
          </cell>
          <cell r="J49">
            <v>95802.645000000004</v>
          </cell>
          <cell r="K49">
            <v>106.53264496018313</v>
          </cell>
          <cell r="L49">
            <v>5832.7333333333336</v>
          </cell>
          <cell r="N49">
            <v>81099.041302389014</v>
          </cell>
          <cell r="O49">
            <v>7704.4089237269563</v>
          </cell>
          <cell r="P49">
            <v>88803.450226115965</v>
          </cell>
          <cell r="R49">
            <v>0</v>
          </cell>
          <cell r="S49">
            <v>0</v>
          </cell>
          <cell r="T49">
            <v>0</v>
          </cell>
          <cell r="V49">
            <v>6391.9586976109877</v>
          </cell>
          <cell r="W49">
            <v>607.23607627304386</v>
          </cell>
          <cell r="X49">
            <v>6999.1947738840317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H49">
            <v>0</v>
          </cell>
          <cell r="AI49">
            <v>0</v>
          </cell>
          <cell r="AK49">
            <v>0</v>
          </cell>
          <cell r="AL49">
            <v>0</v>
          </cell>
          <cell r="AM49">
            <v>0</v>
          </cell>
          <cell r="AO49">
            <v>87491</v>
          </cell>
          <cell r="AP49">
            <v>87491</v>
          </cell>
        </row>
        <row r="50">
          <cell r="C50">
            <v>6</v>
          </cell>
          <cell r="D50" t="str">
            <v xml:space="preserve">     Menuiseries Intérieures</v>
          </cell>
          <cell r="F50" t="str">
            <v>TTPM</v>
          </cell>
          <cell r="G50">
            <v>131580</v>
          </cell>
          <cell r="H50">
            <v>9.5000000000000001E-2</v>
          </cell>
          <cell r="I50">
            <v>12500.1</v>
          </cell>
          <cell r="J50">
            <v>144080.1</v>
          </cell>
          <cell r="K50">
            <v>160.2172271874924</v>
          </cell>
          <cell r="L50">
            <v>8772</v>
          </cell>
          <cell r="N50">
            <v>121966.96636875047</v>
          </cell>
          <cell r="O50">
            <v>11586.861805031294</v>
          </cell>
          <cell r="P50">
            <v>133553.82817378175</v>
          </cell>
          <cell r="R50">
            <v>0</v>
          </cell>
          <cell r="S50">
            <v>0</v>
          </cell>
          <cell r="T50">
            <v>0</v>
          </cell>
          <cell r="V50">
            <v>9613.0336312495438</v>
          </cell>
          <cell r="W50">
            <v>913.23819496870669</v>
          </cell>
          <cell r="X50">
            <v>10526.27182621825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H50">
            <v>0</v>
          </cell>
          <cell r="AI50">
            <v>0</v>
          </cell>
          <cell r="AK50">
            <v>0</v>
          </cell>
          <cell r="AL50">
            <v>0</v>
          </cell>
          <cell r="AM50">
            <v>0</v>
          </cell>
          <cell r="AO50">
            <v>131580</v>
          </cell>
          <cell r="AP50">
            <v>131580</v>
          </cell>
        </row>
        <row r="51">
          <cell r="C51">
            <v>7</v>
          </cell>
          <cell r="D51" t="str">
            <v xml:space="preserve">     Cloisons sèches / faux plafonds </v>
          </cell>
          <cell r="F51" t="str">
            <v>Plaq-Réunion</v>
          </cell>
          <cell r="G51">
            <v>54709</v>
          </cell>
          <cell r="H51">
            <v>9.5000000000000001E-2</v>
          </cell>
          <cell r="I51">
            <v>5197.3550000000005</v>
          </cell>
          <cell r="J51">
            <v>59906.355000000003</v>
          </cell>
          <cell r="K51">
            <v>66.615931617271016</v>
          </cell>
          <cell r="L51">
            <v>3647.2666666666669</v>
          </cell>
          <cell r="N51">
            <v>50712.044102963737</v>
          </cell>
          <cell r="O51">
            <v>4817.6441897815548</v>
          </cell>
          <cell r="P51">
            <v>55529.68829274529</v>
          </cell>
          <cell r="R51">
            <v>0</v>
          </cell>
          <cell r="S51">
            <v>0</v>
          </cell>
          <cell r="T51">
            <v>0</v>
          </cell>
          <cell r="V51">
            <v>3996.9558970362609</v>
          </cell>
          <cell r="W51">
            <v>379.71081021844481</v>
          </cell>
          <cell r="X51">
            <v>4376.6667072547061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H51">
            <v>0</v>
          </cell>
          <cell r="AI51">
            <v>0</v>
          </cell>
          <cell r="AK51">
            <v>0</v>
          </cell>
          <cell r="AL51">
            <v>0</v>
          </cell>
          <cell r="AM51">
            <v>0</v>
          </cell>
          <cell r="AO51">
            <v>54709</v>
          </cell>
          <cell r="AP51">
            <v>54709</v>
          </cell>
        </row>
        <row r="52">
          <cell r="C52">
            <v>8</v>
          </cell>
          <cell r="D52" t="str">
            <v xml:space="preserve">     Revêtements de sol souples </v>
          </cell>
          <cell r="F52" t="str">
            <v>en lot 10</v>
          </cell>
          <cell r="H52">
            <v>9.5000000000000001E-2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S52">
            <v>0</v>
          </cell>
          <cell r="T52">
            <v>0</v>
          </cell>
          <cell r="V52">
            <v>0</v>
          </cell>
          <cell r="W52">
            <v>0</v>
          </cell>
          <cell r="X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H52">
            <v>0</v>
          </cell>
          <cell r="AI52">
            <v>0</v>
          </cell>
          <cell r="AK52">
            <v>0</v>
          </cell>
          <cell r="AL52">
            <v>0</v>
          </cell>
          <cell r="AM52">
            <v>0</v>
          </cell>
          <cell r="AO52">
            <v>0</v>
          </cell>
          <cell r="AP52">
            <v>0</v>
          </cell>
        </row>
        <row r="53">
          <cell r="C53">
            <v>9</v>
          </cell>
          <cell r="D53" t="str">
            <v xml:space="preserve">     Carrelage / faïence</v>
          </cell>
          <cell r="F53" t="str">
            <v>SRDC</v>
          </cell>
          <cell r="G53">
            <v>18020</v>
          </cell>
          <cell r="H53">
            <v>9.5000000000000001E-2</v>
          </cell>
          <cell r="I53">
            <v>1711.9</v>
          </cell>
          <cell r="J53">
            <v>19731.900000000001</v>
          </cell>
          <cell r="K53">
            <v>21.941894162628156</v>
          </cell>
          <cell r="L53">
            <v>1201.3333333333333</v>
          </cell>
          <cell r="N53">
            <v>16703.48635024231</v>
          </cell>
          <cell r="O53">
            <v>1586.8312032730196</v>
          </cell>
          <cell r="P53">
            <v>18290.317553515331</v>
          </cell>
          <cell r="R53">
            <v>0</v>
          </cell>
          <cell r="S53">
            <v>0</v>
          </cell>
          <cell r="T53">
            <v>0</v>
          </cell>
          <cell r="V53">
            <v>1316.5136497576893</v>
          </cell>
          <cell r="W53">
            <v>125.06879672698049</v>
          </cell>
          <cell r="X53">
            <v>1441.5824464846698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H53">
            <v>0</v>
          </cell>
          <cell r="AI53">
            <v>0</v>
          </cell>
          <cell r="AK53">
            <v>0</v>
          </cell>
          <cell r="AL53">
            <v>0</v>
          </cell>
          <cell r="AM53">
            <v>0</v>
          </cell>
          <cell r="AO53">
            <v>18020</v>
          </cell>
          <cell r="AP53">
            <v>18020</v>
          </cell>
        </row>
        <row r="54">
          <cell r="C54">
            <v>10</v>
          </cell>
          <cell r="D54" t="str">
            <v xml:space="preserve">     Peinture / Ravalement</v>
          </cell>
          <cell r="F54" t="str">
            <v>Marine Peint.</v>
          </cell>
          <cell r="G54">
            <v>301369</v>
          </cell>
          <cell r="H54">
            <v>9.5000000000000001E-2</v>
          </cell>
          <cell r="I54">
            <v>28630.055</v>
          </cell>
          <cell r="J54">
            <v>329999.05499999999</v>
          </cell>
          <cell r="K54">
            <v>366.95930643158073</v>
          </cell>
          <cell r="L54">
            <v>20091.266666666666</v>
          </cell>
          <cell r="N54">
            <v>279351.44161410513</v>
          </cell>
          <cell r="O54">
            <v>26538.386953339988</v>
          </cell>
          <cell r="P54">
            <v>305889.8285674451</v>
          </cell>
          <cell r="R54">
            <v>0</v>
          </cell>
          <cell r="S54">
            <v>0</v>
          </cell>
          <cell r="T54">
            <v>0</v>
          </cell>
          <cell r="V54">
            <v>22017.558385894845</v>
          </cell>
          <cell r="W54">
            <v>2091.6680466600101</v>
          </cell>
          <cell r="X54">
            <v>24109.226432554853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H54">
            <v>0</v>
          </cell>
          <cell r="AI54">
            <v>0</v>
          </cell>
          <cell r="AK54">
            <v>0</v>
          </cell>
          <cell r="AL54">
            <v>0</v>
          </cell>
          <cell r="AM54">
            <v>0</v>
          </cell>
          <cell r="AO54">
            <v>301369</v>
          </cell>
          <cell r="AP54">
            <v>301369</v>
          </cell>
        </row>
        <row r="55">
          <cell r="C55">
            <v>11</v>
          </cell>
          <cell r="D55" t="str">
            <v xml:space="preserve">     Electricité / Courants faibles</v>
          </cell>
          <cell r="F55" t="str">
            <v>SNTR</v>
          </cell>
          <cell r="G55">
            <v>134485</v>
          </cell>
          <cell r="H55">
            <v>9.5000000000000001E-2</v>
          </cell>
          <cell r="I55">
            <v>12776.075000000001</v>
          </cell>
          <cell r="J55">
            <v>147261.07500000001</v>
          </cell>
          <cell r="K55">
            <v>163.7544748313567</v>
          </cell>
          <cell r="L55">
            <v>8965.6666666666661</v>
          </cell>
          <cell r="N55">
            <v>124659.7315101186</v>
          </cell>
          <cell r="O55">
            <v>11842.674493461267</v>
          </cell>
          <cell r="P55">
            <v>136502.40600357988</v>
          </cell>
          <cell r="R55">
            <v>0</v>
          </cell>
          <cell r="S55">
            <v>0</v>
          </cell>
          <cell r="T55">
            <v>0</v>
          </cell>
          <cell r="V55">
            <v>9825.2684898814023</v>
          </cell>
          <cell r="W55">
            <v>933.40050653873323</v>
          </cell>
          <cell r="X55">
            <v>10758.668996420136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H55">
            <v>0</v>
          </cell>
          <cell r="AI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134485</v>
          </cell>
          <cell r="AP55">
            <v>134485</v>
          </cell>
        </row>
        <row r="56">
          <cell r="C56" t="str">
            <v>11a</v>
          </cell>
          <cell r="D56" t="str">
            <v xml:space="preserve">     Télévision</v>
          </cell>
          <cell r="F56" t="str">
            <v>Gualtieri</v>
          </cell>
          <cell r="G56">
            <v>25000</v>
          </cell>
          <cell r="H56">
            <v>9.5000000000000001E-2</v>
          </cell>
          <cell r="I56">
            <v>2375</v>
          </cell>
          <cell r="J56">
            <v>27375</v>
          </cell>
          <cell r="K56">
            <v>30.441029637386457</v>
          </cell>
          <cell r="L56">
            <v>1666.6666666666667</v>
          </cell>
          <cell r="N56">
            <v>23173.538221756815</v>
          </cell>
          <cell r="O56">
            <v>2201.4861310668975</v>
          </cell>
          <cell r="P56">
            <v>25375.024352823712</v>
          </cell>
          <cell r="R56">
            <v>0</v>
          </cell>
          <cell r="S56">
            <v>0</v>
          </cell>
          <cell r="T56">
            <v>0</v>
          </cell>
          <cell r="V56">
            <v>1826.4617782431874</v>
          </cell>
          <cell r="W56">
            <v>173.5138689331028</v>
          </cell>
          <cell r="X56">
            <v>1999.9756471762903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H56">
            <v>0</v>
          </cell>
          <cell r="AI56">
            <v>0</v>
          </cell>
          <cell r="AK56">
            <v>0</v>
          </cell>
          <cell r="AL56">
            <v>0</v>
          </cell>
          <cell r="AM56">
            <v>0</v>
          </cell>
          <cell r="AO56">
            <v>25000</v>
          </cell>
          <cell r="AP56">
            <v>25000</v>
          </cell>
        </row>
        <row r="57">
          <cell r="C57">
            <v>12</v>
          </cell>
          <cell r="D57" t="str">
            <v xml:space="preserve">     Plomberie / Sanitaire / VMC</v>
          </cell>
          <cell r="F57" t="str">
            <v>SODURE</v>
          </cell>
          <cell r="G57">
            <v>146970</v>
          </cell>
          <cell r="H57">
            <v>9.5000000000000001E-2</v>
          </cell>
          <cell r="I57">
            <v>13962.15</v>
          </cell>
          <cell r="J57">
            <v>160932.15</v>
          </cell>
          <cell r="K57">
            <v>178.95672503226749</v>
          </cell>
          <cell r="L57">
            <v>9798</v>
          </cell>
          <cell r="N57">
            <v>136232.59649806394</v>
          </cell>
          <cell r="O57">
            <v>12942.096667316075</v>
          </cell>
          <cell r="P57">
            <v>149174.69316538001</v>
          </cell>
          <cell r="R57">
            <v>0</v>
          </cell>
          <cell r="S57">
            <v>0</v>
          </cell>
          <cell r="T57">
            <v>0</v>
          </cell>
          <cell r="V57">
            <v>10737.403501936049</v>
          </cell>
          <cell r="W57">
            <v>1020.0533326839246</v>
          </cell>
          <cell r="X57">
            <v>11757.456834619974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H57">
            <v>0</v>
          </cell>
          <cell r="AI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146970</v>
          </cell>
          <cell r="AP57">
            <v>146970</v>
          </cell>
        </row>
        <row r="58">
          <cell r="C58">
            <v>13</v>
          </cell>
          <cell r="D58" t="str">
            <v xml:space="preserve">     Boîtes aux lettres / Signalitique</v>
          </cell>
          <cell r="H58">
            <v>9.5000000000000001E-2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H58">
            <v>0</v>
          </cell>
          <cell r="AI58">
            <v>0</v>
          </cell>
          <cell r="AK58">
            <v>0</v>
          </cell>
          <cell r="AL58">
            <v>0</v>
          </cell>
          <cell r="AM58">
            <v>0</v>
          </cell>
          <cell r="AO58">
            <v>0</v>
          </cell>
          <cell r="AP58">
            <v>0</v>
          </cell>
        </row>
        <row r="59">
          <cell r="C59">
            <v>14</v>
          </cell>
          <cell r="D59" t="str">
            <v xml:space="preserve">     Nettoyage</v>
          </cell>
          <cell r="H59">
            <v>9.5000000000000001E-2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H59">
            <v>0</v>
          </cell>
          <cell r="AI59">
            <v>0</v>
          </cell>
          <cell r="AK59">
            <v>0</v>
          </cell>
          <cell r="AL59">
            <v>0</v>
          </cell>
          <cell r="AM59">
            <v>0</v>
          </cell>
          <cell r="AO59">
            <v>0</v>
          </cell>
          <cell r="AP59">
            <v>0</v>
          </cell>
        </row>
        <row r="60">
          <cell r="C60">
            <v>15</v>
          </cell>
          <cell r="D60" t="str">
            <v xml:space="preserve">     Frais de mandataire</v>
          </cell>
          <cell r="H60">
            <v>9.5000000000000001E-2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H60">
            <v>0</v>
          </cell>
          <cell r="AI60">
            <v>0</v>
          </cell>
          <cell r="AK60">
            <v>0</v>
          </cell>
          <cell r="AL60">
            <v>0</v>
          </cell>
          <cell r="AM60">
            <v>0</v>
          </cell>
          <cell r="AO60">
            <v>0</v>
          </cell>
          <cell r="AP60">
            <v>0</v>
          </cell>
        </row>
        <row r="61">
          <cell r="E61" t="str">
            <v>Estimation TCE</v>
          </cell>
          <cell r="H61">
            <v>9.5000000000000001E-2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T61">
            <v>0</v>
          </cell>
          <cell r="V61">
            <v>0</v>
          </cell>
          <cell r="W61">
            <v>0</v>
          </cell>
          <cell r="X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H61">
            <v>0</v>
          </cell>
          <cell r="AI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0</v>
          </cell>
        </row>
        <row r="62">
          <cell r="A62" t="str">
            <v>B2</v>
          </cell>
          <cell r="D62" t="str">
            <v>Honoraires tecniques</v>
          </cell>
          <cell r="G62">
            <v>313200</v>
          </cell>
          <cell r="I62">
            <v>29754</v>
          </cell>
          <cell r="J62">
            <v>342954</v>
          </cell>
          <cell r="K62">
            <v>381.36521929717748</v>
          </cell>
          <cell r="L62">
            <v>20880</v>
          </cell>
          <cell r="N62">
            <v>290318.08684216934</v>
          </cell>
          <cell r="O62">
            <v>27580.218250006084</v>
          </cell>
          <cell r="P62">
            <v>317898.30509217543</v>
          </cell>
          <cell r="R62">
            <v>0</v>
          </cell>
          <cell r="S62">
            <v>0</v>
          </cell>
          <cell r="T62">
            <v>0</v>
          </cell>
          <cell r="V62">
            <v>22881.913157830651</v>
          </cell>
          <cell r="W62">
            <v>2173.7817499939124</v>
          </cell>
          <cell r="X62">
            <v>25055.694907824567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E62">
            <v>0</v>
          </cell>
          <cell r="AG62">
            <v>0</v>
          </cell>
          <cell r="AH62">
            <v>0</v>
          </cell>
          <cell r="AI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313200</v>
          </cell>
          <cell r="AP62">
            <v>313200</v>
          </cell>
        </row>
        <row r="63">
          <cell r="D63" t="str">
            <v>Maîtrise d'oeuvre - Arch.</v>
          </cell>
          <cell r="E63" t="str">
            <v>ETAVE</v>
          </cell>
          <cell r="F63">
            <v>8.3039563199774999E-2</v>
          </cell>
          <cell r="G63">
            <v>274000</v>
          </cell>
          <cell r="H63">
            <v>9.5000000000000001E-2</v>
          </cell>
          <cell r="I63">
            <v>26030</v>
          </cell>
          <cell r="J63">
            <v>300030</v>
          </cell>
          <cell r="K63">
            <v>333.63368482575555</v>
          </cell>
          <cell r="L63">
            <v>18266.666666666668</v>
          </cell>
          <cell r="N63">
            <v>253981.97891045467</v>
          </cell>
          <cell r="O63">
            <v>24128.287996493193</v>
          </cell>
          <cell r="P63">
            <v>278110.26690694783</v>
          </cell>
          <cell r="R63">
            <v>0</v>
          </cell>
          <cell r="S63">
            <v>0</v>
          </cell>
          <cell r="T63">
            <v>0</v>
          </cell>
          <cell r="V63">
            <v>20018.021089545335</v>
          </cell>
          <cell r="W63">
            <v>1901.7120035068069</v>
          </cell>
          <cell r="X63">
            <v>21919.733093052142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H63">
            <v>0</v>
          </cell>
          <cell r="AI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274000</v>
          </cell>
          <cell r="AP63">
            <v>274000</v>
          </cell>
        </row>
        <row r="64">
          <cell r="D64" t="str">
            <v>Maîtrise d'oeuvre - BET</v>
          </cell>
          <cell r="E64" t="str">
            <v>INDEX</v>
          </cell>
          <cell r="G64">
            <v>35000</v>
          </cell>
          <cell r="H64">
            <v>9.5000000000000001E-2</v>
          </cell>
          <cell r="I64">
            <v>3325</v>
          </cell>
          <cell r="J64">
            <v>38325</v>
          </cell>
          <cell r="K64">
            <v>42.617441492341037</v>
          </cell>
          <cell r="L64">
            <v>2333.3333333333335</v>
          </cell>
          <cell r="N64">
            <v>32442.953510459538</v>
          </cell>
          <cell r="O64">
            <v>3082.0805834936559</v>
          </cell>
          <cell r="P64">
            <v>35525.034093953196</v>
          </cell>
          <cell r="R64">
            <v>0</v>
          </cell>
          <cell r="S64">
            <v>0</v>
          </cell>
          <cell r="T64">
            <v>0</v>
          </cell>
          <cell r="V64">
            <v>2557.0464895404621</v>
          </cell>
          <cell r="W64">
            <v>242.91941650634391</v>
          </cell>
          <cell r="X64">
            <v>2799.9659060468061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H64">
            <v>0</v>
          </cell>
          <cell r="AI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35000</v>
          </cell>
          <cell r="AP64">
            <v>35000</v>
          </cell>
        </row>
        <row r="65">
          <cell r="D65" t="str">
            <v>Coordination-pilotage</v>
          </cell>
          <cell r="H65">
            <v>9.5000000000000001E-2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H65">
            <v>0</v>
          </cell>
          <cell r="AI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0</v>
          </cell>
          <cell r="AP65">
            <v>0</v>
          </cell>
        </row>
        <row r="66">
          <cell r="D66" t="str">
            <v>Hygiène-Sécurité</v>
          </cell>
          <cell r="H66">
            <v>9.5000000000000001E-2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  <cell r="AP66">
            <v>0</v>
          </cell>
        </row>
        <row r="67">
          <cell r="D67" t="str">
            <v>Géomètre (parcellaire-DA)</v>
          </cell>
          <cell r="H67">
            <v>9.5000000000000001E-2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H67">
            <v>0</v>
          </cell>
          <cell r="AI67">
            <v>0</v>
          </cell>
          <cell r="AK67">
            <v>0</v>
          </cell>
          <cell r="AL67">
            <v>0</v>
          </cell>
          <cell r="AM67">
            <v>0</v>
          </cell>
          <cell r="AO67">
            <v>0</v>
          </cell>
          <cell r="AP67">
            <v>0</v>
          </cell>
        </row>
        <row r="68">
          <cell r="D68" t="str">
            <v>Sondages / études de sols</v>
          </cell>
          <cell r="F68" t="str">
            <v>Geiser</v>
          </cell>
          <cell r="G68">
            <v>4200</v>
          </cell>
          <cell r="H68">
            <v>9.5000000000000001E-2</v>
          </cell>
          <cell r="I68">
            <v>399</v>
          </cell>
          <cell r="J68">
            <v>4599</v>
          </cell>
          <cell r="K68">
            <v>5.1140929790809242</v>
          </cell>
          <cell r="L68">
            <v>280</v>
          </cell>
          <cell r="N68">
            <v>3893.1544212551444</v>
          </cell>
          <cell r="O68">
            <v>369.84967001923872</v>
          </cell>
          <cell r="P68">
            <v>4263.0040912743834</v>
          </cell>
          <cell r="R68">
            <v>0</v>
          </cell>
          <cell r="S68">
            <v>0</v>
          </cell>
          <cell r="T68">
            <v>0</v>
          </cell>
          <cell r="V68">
            <v>306.84557874485546</v>
          </cell>
          <cell r="W68">
            <v>29.150329980761271</v>
          </cell>
          <cell r="X68">
            <v>335.99590872561674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H68">
            <v>0</v>
          </cell>
          <cell r="AI68">
            <v>0</v>
          </cell>
          <cell r="AK68">
            <v>0</v>
          </cell>
          <cell r="AL68">
            <v>0</v>
          </cell>
          <cell r="AM68">
            <v>0</v>
          </cell>
          <cell r="AO68">
            <v>4200</v>
          </cell>
          <cell r="AP68">
            <v>4200</v>
          </cell>
        </row>
        <row r="69">
          <cell r="D69" t="str">
            <v>Divers</v>
          </cell>
          <cell r="H69">
            <v>9.5000000000000001E-2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H69">
            <v>0</v>
          </cell>
          <cell r="AI69">
            <v>0</v>
          </cell>
          <cell r="AK69">
            <v>0</v>
          </cell>
          <cell r="AL69">
            <v>0</v>
          </cell>
          <cell r="AM69">
            <v>0</v>
          </cell>
          <cell r="AO69">
            <v>0</v>
          </cell>
          <cell r="AP69">
            <v>0</v>
          </cell>
        </row>
        <row r="70">
          <cell r="E70" t="str">
            <v>Estimation TCE</v>
          </cell>
          <cell r="H70">
            <v>9.5000000000000001E-2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X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H70">
            <v>0</v>
          </cell>
          <cell r="AI70">
            <v>0</v>
          </cell>
          <cell r="AK70">
            <v>0</v>
          </cell>
          <cell r="AL70">
            <v>0</v>
          </cell>
          <cell r="AM70">
            <v>0</v>
          </cell>
          <cell r="AO70">
            <v>0</v>
          </cell>
          <cell r="AP70">
            <v>0</v>
          </cell>
        </row>
        <row r="71">
          <cell r="A71" t="str">
            <v>B3</v>
          </cell>
          <cell r="D71" t="str">
            <v>Frais annexes techniques</v>
          </cell>
          <cell r="G71">
            <v>71279</v>
          </cell>
          <cell r="I71">
            <v>0</v>
          </cell>
          <cell r="J71">
            <v>71279</v>
          </cell>
          <cell r="K71">
            <v>86.792246060930765</v>
          </cell>
          <cell r="L71">
            <v>4751.9333333333334</v>
          </cell>
          <cell r="N71">
            <v>66071.465236344156</v>
          </cell>
          <cell r="O71">
            <v>0</v>
          </cell>
          <cell r="P71">
            <v>66071.465236344156</v>
          </cell>
          <cell r="R71">
            <v>0</v>
          </cell>
          <cell r="S71">
            <v>0</v>
          </cell>
          <cell r="T71">
            <v>0</v>
          </cell>
          <cell r="V71">
            <v>5207.5347636558463</v>
          </cell>
          <cell r="W71">
            <v>0</v>
          </cell>
          <cell r="X71">
            <v>5207.5347636558463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E71">
            <v>0</v>
          </cell>
          <cell r="AG71">
            <v>0</v>
          </cell>
          <cell r="AH71">
            <v>0</v>
          </cell>
          <cell r="AI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71279</v>
          </cell>
          <cell r="AP71">
            <v>71279</v>
          </cell>
        </row>
        <row r="72">
          <cell r="D72" t="str">
            <v>Assurance DO</v>
          </cell>
          <cell r="F72">
            <v>1.9729397879558196E-2</v>
          </cell>
          <cell r="G72">
            <v>71279</v>
          </cell>
          <cell r="H72">
            <v>0</v>
          </cell>
          <cell r="I72">
            <v>0</v>
          </cell>
          <cell r="J72">
            <v>71279</v>
          </cell>
          <cell r="K72">
            <v>86.792246060930765</v>
          </cell>
          <cell r="L72">
            <v>4751.9333333333334</v>
          </cell>
          <cell r="N72">
            <v>66071.465236344156</v>
          </cell>
          <cell r="O72">
            <v>0</v>
          </cell>
          <cell r="P72">
            <v>66071.465236344156</v>
          </cell>
          <cell r="R72">
            <v>0</v>
          </cell>
          <cell r="S72">
            <v>0</v>
          </cell>
          <cell r="T72">
            <v>0</v>
          </cell>
          <cell r="V72">
            <v>5207.5347636558463</v>
          </cell>
          <cell r="W72">
            <v>0</v>
          </cell>
          <cell r="X72">
            <v>5207.5347636558463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H72">
            <v>0</v>
          </cell>
          <cell r="AI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71279</v>
          </cell>
          <cell r="AP72">
            <v>71279</v>
          </cell>
        </row>
        <row r="73">
          <cell r="D73" t="str">
            <v>Bureau de contrôle</v>
          </cell>
          <cell r="H73">
            <v>9.5000000000000001E-2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H73">
            <v>0</v>
          </cell>
          <cell r="AI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0</v>
          </cell>
          <cell r="AP73">
            <v>0</v>
          </cell>
        </row>
        <row r="74">
          <cell r="D74" t="str">
            <v>Divers  (affichage,constats…)</v>
          </cell>
          <cell r="H74">
            <v>9.5000000000000001E-2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H74">
            <v>0</v>
          </cell>
          <cell r="AI74">
            <v>0</v>
          </cell>
          <cell r="AK74">
            <v>0</v>
          </cell>
          <cell r="AL74">
            <v>0</v>
          </cell>
          <cell r="AM74">
            <v>0</v>
          </cell>
          <cell r="AO74">
            <v>0</v>
          </cell>
          <cell r="AP74">
            <v>0</v>
          </cell>
        </row>
        <row r="75">
          <cell r="E75" t="str">
            <v>Estimation TCE</v>
          </cell>
          <cell r="H75">
            <v>9.5000000000000001E-2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H75">
            <v>0</v>
          </cell>
          <cell r="AI75">
            <v>0</v>
          </cell>
          <cell r="AK75">
            <v>0</v>
          </cell>
          <cell r="AL75">
            <v>0</v>
          </cell>
          <cell r="AM75">
            <v>0</v>
          </cell>
          <cell r="AO75">
            <v>0</v>
          </cell>
          <cell r="AP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H76">
            <v>0</v>
          </cell>
          <cell r="AI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0</v>
          </cell>
        </row>
        <row r="77">
          <cell r="A77" t="str">
            <v>B4</v>
          </cell>
          <cell r="D77" t="str">
            <v>Imprévus sur coût technique</v>
          </cell>
          <cell r="G77">
            <v>100000</v>
          </cell>
          <cell r="H77">
            <v>9.5000000000000001E-2</v>
          </cell>
          <cell r="I77">
            <v>9500</v>
          </cell>
          <cell r="J77">
            <v>109500</v>
          </cell>
          <cell r="K77">
            <v>121.76411854954583</v>
          </cell>
          <cell r="L77">
            <v>6666.666666666667</v>
          </cell>
          <cell r="N77">
            <v>92694.15288702726</v>
          </cell>
          <cell r="O77">
            <v>8805.9445242675902</v>
          </cell>
          <cell r="P77">
            <v>101500.09741129485</v>
          </cell>
          <cell r="R77">
            <v>0</v>
          </cell>
          <cell r="S77">
            <v>0</v>
          </cell>
          <cell r="T77">
            <v>0</v>
          </cell>
          <cell r="V77">
            <v>7305.8471129727495</v>
          </cell>
          <cell r="W77">
            <v>694.0554757324112</v>
          </cell>
          <cell r="X77">
            <v>7999.9025887051612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H77">
            <v>0</v>
          </cell>
          <cell r="AI77">
            <v>0</v>
          </cell>
          <cell r="AK77">
            <v>0</v>
          </cell>
          <cell r="AL77">
            <v>0</v>
          </cell>
          <cell r="AM77">
            <v>0</v>
          </cell>
          <cell r="AO77">
            <v>100000</v>
          </cell>
          <cell r="AP77">
            <v>100000</v>
          </cell>
        </row>
        <row r="79">
          <cell r="A79" t="str">
            <v>B5</v>
          </cell>
          <cell r="D79" t="str">
            <v>Actualisations/Révisions</v>
          </cell>
          <cell r="G79">
            <v>0</v>
          </cell>
          <cell r="H79">
            <v>9.5000000000000001E-2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H79">
            <v>0</v>
          </cell>
          <cell r="AI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0</v>
          </cell>
        </row>
        <row r="80">
          <cell r="D80" t="str">
            <v>Total A+B</v>
          </cell>
          <cell r="G80">
            <v>4589652</v>
          </cell>
          <cell r="I80">
            <v>372908.04000000004</v>
          </cell>
          <cell r="J80">
            <v>4962560.04</v>
          </cell>
          <cell r="K80">
            <v>5588.5493022916007</v>
          </cell>
          <cell r="L80">
            <v>305976.8</v>
          </cell>
          <cell r="N80">
            <v>4254339.0418625046</v>
          </cell>
          <cell r="O80">
            <v>345663.94872561679</v>
          </cell>
          <cell r="P80">
            <v>4600002.990588122</v>
          </cell>
          <cell r="R80">
            <v>0</v>
          </cell>
          <cell r="S80">
            <v>0</v>
          </cell>
          <cell r="T80">
            <v>0</v>
          </cell>
          <cell r="V80">
            <v>335312.95813749603</v>
          </cell>
          <cell r="W80">
            <v>27244.09127438326</v>
          </cell>
          <cell r="X80">
            <v>362557.04941187933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E80">
            <v>0</v>
          </cell>
          <cell r="AG80">
            <v>0</v>
          </cell>
          <cell r="AH80">
            <v>0</v>
          </cell>
          <cell r="AI80">
            <v>0</v>
          </cell>
          <cell r="AK80">
            <v>0</v>
          </cell>
          <cell r="AL80">
            <v>0</v>
          </cell>
          <cell r="AM80">
            <v>0</v>
          </cell>
          <cell r="AO80">
            <v>4589652</v>
          </cell>
          <cell r="AP80">
            <v>4589652</v>
          </cell>
        </row>
        <row r="81">
          <cell r="A81" t="str">
            <v>C</v>
          </cell>
          <cell r="D81" t="str">
            <v xml:space="preserve">FRAIS GENERAUX </v>
          </cell>
          <cell r="G81">
            <v>393460</v>
          </cell>
          <cell r="I81">
            <v>3764.9450000000002</v>
          </cell>
          <cell r="J81">
            <v>397224.94500000001</v>
          </cell>
          <cell r="K81">
            <v>479.09310084504295</v>
          </cell>
          <cell r="L81">
            <v>26230.666666666664</v>
          </cell>
          <cell r="N81">
            <v>378483.0134184059</v>
          </cell>
          <cell r="O81">
            <v>3764.9450000000002</v>
          </cell>
          <cell r="P81">
            <v>382247.95841840591</v>
          </cell>
          <cell r="R81">
            <v>0</v>
          </cell>
          <cell r="S81">
            <v>0</v>
          </cell>
          <cell r="T81">
            <v>0</v>
          </cell>
          <cell r="V81">
            <v>14976.986581594136</v>
          </cell>
          <cell r="W81">
            <v>0</v>
          </cell>
          <cell r="X81">
            <v>14976.986581594136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E81">
            <v>0</v>
          </cell>
          <cell r="AG81">
            <v>0</v>
          </cell>
          <cell r="AH81">
            <v>0</v>
          </cell>
          <cell r="AI81">
            <v>0</v>
          </cell>
          <cell r="AK81">
            <v>0</v>
          </cell>
          <cell r="AL81">
            <v>0</v>
          </cell>
          <cell r="AM81">
            <v>0</v>
          </cell>
          <cell r="AO81">
            <v>393460</v>
          </cell>
          <cell r="AP81">
            <v>393460</v>
          </cell>
        </row>
        <row r="82">
          <cell r="A82" t="str">
            <v>C1</v>
          </cell>
          <cell r="D82" t="str">
            <v xml:space="preserve"> Rémunération du Maître d'ouvrage    </v>
          </cell>
          <cell r="G82">
            <v>205000</v>
          </cell>
          <cell r="I82">
            <v>0</v>
          </cell>
          <cell r="J82">
            <v>205000</v>
          </cell>
          <cell r="K82">
            <v>249.61644302656893</v>
          </cell>
          <cell r="L82">
            <v>13666.666666666666</v>
          </cell>
          <cell r="N82">
            <v>190023.01341840587</v>
          </cell>
          <cell r="O82">
            <v>0</v>
          </cell>
          <cell r="P82">
            <v>190023.01341840587</v>
          </cell>
          <cell r="R82">
            <v>0</v>
          </cell>
          <cell r="S82">
            <v>0</v>
          </cell>
          <cell r="T82">
            <v>0</v>
          </cell>
          <cell r="V82">
            <v>14976.986581594136</v>
          </cell>
          <cell r="W82">
            <v>0</v>
          </cell>
          <cell r="X82">
            <v>14976.986581594136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G82">
            <v>0</v>
          </cell>
          <cell r="AH82">
            <v>0</v>
          </cell>
          <cell r="AI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205000</v>
          </cell>
          <cell r="AP82">
            <v>205000</v>
          </cell>
        </row>
        <row r="83">
          <cell r="D83" t="str">
            <v>Direction d'investissement</v>
          </cell>
          <cell r="F83">
            <v>4.4665695786957268E-2</v>
          </cell>
          <cell r="G83">
            <v>205000</v>
          </cell>
          <cell r="H83">
            <v>0</v>
          </cell>
          <cell r="I83">
            <v>0</v>
          </cell>
          <cell r="J83">
            <v>205000</v>
          </cell>
          <cell r="K83">
            <v>249.61644302656893</v>
          </cell>
          <cell r="L83">
            <v>13666.666666666666</v>
          </cell>
          <cell r="N83">
            <v>190023.01341840587</v>
          </cell>
          <cell r="O83">
            <v>0</v>
          </cell>
          <cell r="P83">
            <v>190023.01341840587</v>
          </cell>
          <cell r="R83">
            <v>0</v>
          </cell>
          <cell r="S83">
            <v>0</v>
          </cell>
          <cell r="T83">
            <v>0</v>
          </cell>
          <cell r="V83">
            <v>14976.986581594136</v>
          </cell>
          <cell r="W83">
            <v>0</v>
          </cell>
          <cell r="X83">
            <v>14976.986581594136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H83">
            <v>0</v>
          </cell>
          <cell r="AI83">
            <v>0</v>
          </cell>
          <cell r="AK83">
            <v>0</v>
          </cell>
          <cell r="AL83">
            <v>0</v>
          </cell>
          <cell r="AM83">
            <v>0</v>
          </cell>
          <cell r="AO83">
            <v>205000</v>
          </cell>
          <cell r="AP83">
            <v>205000</v>
          </cell>
        </row>
        <row r="84">
          <cell r="A84" t="str">
            <v xml:space="preserve"> </v>
          </cell>
          <cell r="D84" t="str">
            <v>Conduite d'opération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H84">
            <v>0</v>
          </cell>
          <cell r="AI84">
            <v>0</v>
          </cell>
          <cell r="AK84">
            <v>0</v>
          </cell>
          <cell r="AL84">
            <v>0</v>
          </cell>
          <cell r="AM84">
            <v>0</v>
          </cell>
          <cell r="AO84">
            <v>0</v>
          </cell>
          <cell r="AP84">
            <v>0</v>
          </cell>
        </row>
        <row r="85">
          <cell r="A85" t="str">
            <v>C2</v>
          </cell>
          <cell r="D85" t="str">
            <v>Charges financières</v>
          </cell>
          <cell r="G85">
            <v>148829</v>
          </cell>
          <cell r="I85">
            <v>0</v>
          </cell>
          <cell r="J85">
            <v>148829</v>
          </cell>
          <cell r="K85">
            <v>181.22031999610354</v>
          </cell>
          <cell r="L85">
            <v>9921.9333333333343</v>
          </cell>
          <cell r="N85">
            <v>148829</v>
          </cell>
          <cell r="O85">
            <v>0</v>
          </cell>
          <cell r="P85">
            <v>148829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E85">
            <v>0</v>
          </cell>
          <cell r="AG85">
            <v>0</v>
          </cell>
          <cell r="AH85">
            <v>0</v>
          </cell>
          <cell r="AI85">
            <v>0</v>
          </cell>
          <cell r="AK85">
            <v>0</v>
          </cell>
          <cell r="AL85">
            <v>0</v>
          </cell>
          <cell r="AM85">
            <v>0</v>
          </cell>
          <cell r="AO85">
            <v>148829</v>
          </cell>
          <cell r="AP85">
            <v>148829</v>
          </cell>
        </row>
        <row r="86">
          <cell r="D86" t="str">
            <v xml:space="preserve">Intérêts sur emprunts </v>
          </cell>
          <cell r="E86" t="str">
            <v>(Préfinancement CDC)</v>
          </cell>
          <cell r="G86">
            <v>112226</v>
          </cell>
          <cell r="H86">
            <v>0</v>
          </cell>
          <cell r="I86">
            <v>0</v>
          </cell>
          <cell r="J86">
            <v>112226</v>
          </cell>
          <cell r="K86">
            <v>136.65099968341329</v>
          </cell>
          <cell r="L86">
            <v>7481.7333333333336</v>
          </cell>
          <cell r="N86">
            <v>112226</v>
          </cell>
          <cell r="O86">
            <v>0</v>
          </cell>
          <cell r="P86">
            <v>112226</v>
          </cell>
          <cell r="S86">
            <v>0</v>
          </cell>
          <cell r="T86">
            <v>0</v>
          </cell>
          <cell r="W86">
            <v>0</v>
          </cell>
          <cell r="X86">
            <v>0</v>
          </cell>
          <cell r="AA86">
            <v>0</v>
          </cell>
          <cell r="AB86">
            <v>0</v>
          </cell>
          <cell r="AC86">
            <v>0</v>
          </cell>
          <cell r="AH86">
            <v>0</v>
          </cell>
          <cell r="AI86">
            <v>0</v>
          </cell>
          <cell r="AK86">
            <v>0</v>
          </cell>
          <cell r="AL86">
            <v>0</v>
          </cell>
          <cell r="AM86">
            <v>0</v>
          </cell>
          <cell r="AO86">
            <v>112226</v>
          </cell>
          <cell r="AP86">
            <v>112226</v>
          </cell>
        </row>
        <row r="87">
          <cell r="D87" t="str">
            <v>Frais sur emprunts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O87">
            <v>0</v>
          </cell>
          <cell r="P87">
            <v>0</v>
          </cell>
          <cell r="S87">
            <v>0</v>
          </cell>
          <cell r="T87">
            <v>0</v>
          </cell>
          <cell r="W87">
            <v>0</v>
          </cell>
          <cell r="X87">
            <v>0</v>
          </cell>
          <cell r="AA87">
            <v>0</v>
          </cell>
          <cell r="AB87">
            <v>0</v>
          </cell>
          <cell r="AC87">
            <v>0</v>
          </cell>
          <cell r="AH87">
            <v>0</v>
          </cell>
          <cell r="AI87">
            <v>0</v>
          </cell>
          <cell r="AK87">
            <v>0</v>
          </cell>
          <cell r="AL87">
            <v>0</v>
          </cell>
          <cell r="AM87">
            <v>0</v>
          </cell>
          <cell r="AO87">
            <v>0</v>
          </cell>
          <cell r="AP87">
            <v>0</v>
          </cell>
        </row>
        <row r="88">
          <cell r="D88" t="str">
            <v>Cautions et garanties financières</v>
          </cell>
          <cell r="E88" t="str">
            <v>CGLS</v>
          </cell>
          <cell r="G88">
            <v>36603</v>
          </cell>
          <cell r="H88">
            <v>0</v>
          </cell>
          <cell r="I88">
            <v>0</v>
          </cell>
          <cell r="J88">
            <v>36603</v>
          </cell>
          <cell r="K88">
            <v>44.569320312690259</v>
          </cell>
          <cell r="L88">
            <v>2440.1999999999998</v>
          </cell>
          <cell r="N88">
            <v>36603</v>
          </cell>
          <cell r="O88">
            <v>0</v>
          </cell>
          <cell r="P88">
            <v>36603</v>
          </cell>
          <cell r="S88">
            <v>0</v>
          </cell>
          <cell r="T88">
            <v>0</v>
          </cell>
          <cell r="W88">
            <v>0</v>
          </cell>
          <cell r="X88">
            <v>0</v>
          </cell>
          <cell r="AA88">
            <v>0</v>
          </cell>
          <cell r="AB88">
            <v>0</v>
          </cell>
          <cell r="AC88">
            <v>0</v>
          </cell>
          <cell r="AH88">
            <v>0</v>
          </cell>
          <cell r="AI88">
            <v>0</v>
          </cell>
          <cell r="AK88">
            <v>0</v>
          </cell>
          <cell r="AL88">
            <v>0</v>
          </cell>
          <cell r="AM88">
            <v>0</v>
          </cell>
          <cell r="AO88">
            <v>36603</v>
          </cell>
          <cell r="AP88">
            <v>36603</v>
          </cell>
        </row>
        <row r="89">
          <cell r="E89" t="str">
            <v>Estimation TCE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O89">
            <v>0</v>
          </cell>
          <cell r="P89">
            <v>0</v>
          </cell>
          <cell r="S89">
            <v>0</v>
          </cell>
          <cell r="T89">
            <v>0</v>
          </cell>
          <cell r="W89">
            <v>0</v>
          </cell>
          <cell r="X89">
            <v>0</v>
          </cell>
          <cell r="AA89">
            <v>0</v>
          </cell>
          <cell r="AB89">
            <v>0</v>
          </cell>
          <cell r="AC89">
            <v>0</v>
          </cell>
          <cell r="AH89">
            <v>0</v>
          </cell>
          <cell r="AI89">
            <v>0</v>
          </cell>
          <cell r="AK89">
            <v>0</v>
          </cell>
          <cell r="AL89">
            <v>0</v>
          </cell>
          <cell r="AM89">
            <v>0</v>
          </cell>
          <cell r="AO89">
            <v>0</v>
          </cell>
          <cell r="AP89">
            <v>0</v>
          </cell>
        </row>
        <row r="90">
          <cell r="A90" t="str">
            <v>C3</v>
          </cell>
          <cell r="D90" t="str">
            <v>Frais annexes divers</v>
          </cell>
          <cell r="G90">
            <v>39631</v>
          </cell>
          <cell r="I90">
            <v>3764.9450000000002</v>
          </cell>
          <cell r="J90">
            <v>43395.945</v>
          </cell>
          <cell r="K90">
            <v>48.256337822370504</v>
          </cell>
          <cell r="L90">
            <v>2642.0666666666666</v>
          </cell>
          <cell r="N90">
            <v>39631</v>
          </cell>
          <cell r="O90">
            <v>3764.9450000000002</v>
          </cell>
          <cell r="P90">
            <v>43395.945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E90">
            <v>0</v>
          </cell>
          <cell r="AG90">
            <v>0</v>
          </cell>
          <cell r="AH90">
            <v>0</v>
          </cell>
          <cell r="AI90">
            <v>0</v>
          </cell>
          <cell r="AK90">
            <v>0</v>
          </cell>
          <cell r="AL90">
            <v>0</v>
          </cell>
          <cell r="AM90">
            <v>0</v>
          </cell>
          <cell r="AO90">
            <v>39631</v>
          </cell>
          <cell r="AP90">
            <v>39631</v>
          </cell>
        </row>
        <row r="91">
          <cell r="D91" t="str">
            <v>Participation au LCR de quartier</v>
          </cell>
          <cell r="G91">
            <v>39631</v>
          </cell>
          <cell r="H91">
            <v>9.5000000000000001E-2</v>
          </cell>
          <cell r="I91">
            <v>3764.9450000000002</v>
          </cell>
          <cell r="J91">
            <v>43395.945</v>
          </cell>
          <cell r="K91">
            <v>48.256337822370504</v>
          </cell>
          <cell r="L91">
            <v>2642.0666666666666</v>
          </cell>
          <cell r="N91">
            <v>39631</v>
          </cell>
          <cell r="O91">
            <v>3764.9450000000002</v>
          </cell>
          <cell r="P91">
            <v>43395.945</v>
          </cell>
          <cell r="S91">
            <v>0</v>
          </cell>
          <cell r="T91">
            <v>0</v>
          </cell>
          <cell r="W91">
            <v>0</v>
          </cell>
          <cell r="X91">
            <v>0</v>
          </cell>
          <cell r="AA91">
            <v>0</v>
          </cell>
          <cell r="AB91">
            <v>0</v>
          </cell>
          <cell r="AC91">
            <v>0</v>
          </cell>
          <cell r="AH91">
            <v>0</v>
          </cell>
          <cell r="AI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39631</v>
          </cell>
          <cell r="AP91">
            <v>39631</v>
          </cell>
        </row>
        <row r="92">
          <cell r="D92" t="str">
            <v>Frais de première installation</v>
          </cell>
          <cell r="H92">
            <v>9.5000000000000001E-2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V92">
            <v>0</v>
          </cell>
          <cell r="W92">
            <v>0</v>
          </cell>
          <cell r="X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H92">
            <v>0</v>
          </cell>
          <cell r="AI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0</v>
          </cell>
        </row>
        <row r="93">
          <cell r="D93" t="str">
            <v xml:space="preserve">Autres frais divers </v>
          </cell>
          <cell r="H93">
            <v>9.5000000000000001E-2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H93">
            <v>0</v>
          </cell>
          <cell r="AI93">
            <v>0</v>
          </cell>
          <cell r="AK93">
            <v>0</v>
          </cell>
          <cell r="AL93">
            <v>0</v>
          </cell>
          <cell r="AM93">
            <v>0</v>
          </cell>
          <cell r="AO93">
            <v>0</v>
          </cell>
          <cell r="AP93">
            <v>0</v>
          </cell>
        </row>
        <row r="94">
          <cell r="E94" t="str">
            <v>Estimation TCE</v>
          </cell>
          <cell r="H94">
            <v>9.5000000000000001E-2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H94">
            <v>0</v>
          </cell>
          <cell r="AI94">
            <v>0</v>
          </cell>
          <cell r="AK94">
            <v>0</v>
          </cell>
          <cell r="AL94">
            <v>0</v>
          </cell>
          <cell r="AM94">
            <v>0</v>
          </cell>
          <cell r="AO94">
            <v>0</v>
          </cell>
          <cell r="AP94">
            <v>0</v>
          </cell>
        </row>
        <row r="96">
          <cell r="A96" t="str">
            <v>D</v>
          </cell>
          <cell r="D96" t="str">
            <v>Total HT. Livraison à soi-même</v>
          </cell>
          <cell r="F96" t="str">
            <v>A+B+C</v>
          </cell>
          <cell r="G96">
            <v>4983112</v>
          </cell>
          <cell r="I96">
            <v>376672.98500000004</v>
          </cell>
          <cell r="J96">
            <v>5359784.9850000003</v>
          </cell>
          <cell r="K96">
            <v>6067.6424031366441</v>
          </cell>
          <cell r="L96">
            <v>332207.46666666667</v>
          </cell>
          <cell r="N96">
            <v>4632822.0552809108</v>
          </cell>
          <cell r="O96">
            <v>349428.8937256168</v>
          </cell>
          <cell r="P96">
            <v>4982250.9490065277</v>
          </cell>
          <cell r="R96">
            <v>0</v>
          </cell>
          <cell r="S96">
            <v>0</v>
          </cell>
          <cell r="T96">
            <v>0</v>
          </cell>
          <cell r="V96">
            <v>350289.94471909018</v>
          </cell>
          <cell r="W96">
            <v>27244.09127438326</v>
          </cell>
          <cell r="X96">
            <v>377534.03599347349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E96">
            <v>0</v>
          </cell>
          <cell r="AG96">
            <v>0</v>
          </cell>
          <cell r="AH96">
            <v>0</v>
          </cell>
          <cell r="AI96">
            <v>0</v>
          </cell>
          <cell r="AK96">
            <v>0</v>
          </cell>
          <cell r="AL96">
            <v>0</v>
          </cell>
          <cell r="AM96">
            <v>0</v>
          </cell>
          <cell r="AO96">
            <v>4983112</v>
          </cell>
          <cell r="AP96">
            <v>4983112</v>
          </cell>
        </row>
        <row r="97">
          <cell r="D97" t="str">
            <v>Charges fiscales</v>
          </cell>
          <cell r="O97" t="str">
            <v>TVAS</v>
          </cell>
          <cell r="S97" t="str">
            <v>TVAS</v>
          </cell>
          <cell r="W97" t="str">
            <v>TVAN</v>
          </cell>
          <cell r="AA97" t="str">
            <v>TVAN</v>
          </cell>
          <cell r="AH97">
            <v>0</v>
          </cell>
          <cell r="AL97">
            <v>0</v>
          </cell>
        </row>
        <row r="98">
          <cell r="D98" t="str">
            <v>TVA sur livraison àsoi-même</v>
          </cell>
          <cell r="G98">
            <v>130566.8079092127</v>
          </cell>
          <cell r="N98">
            <v>97289.263160899136</v>
          </cell>
          <cell r="O98">
            <v>2.1000000000000001E-2</v>
          </cell>
          <cell r="R98">
            <v>0</v>
          </cell>
          <cell r="S98">
            <v>2.1000000000000001E-2</v>
          </cell>
          <cell r="V98">
            <v>33277.544748313565</v>
          </cell>
          <cell r="W98">
            <v>9.5000000000000001E-2</v>
          </cell>
          <cell r="Z98">
            <v>0</v>
          </cell>
          <cell r="AA98">
            <v>9.5000000000000001E-2</v>
          </cell>
          <cell r="AH98">
            <v>0</v>
          </cell>
          <cell r="AI98">
            <v>0</v>
          </cell>
          <cell r="AK98">
            <v>0</v>
          </cell>
          <cell r="AL98">
            <v>0</v>
          </cell>
          <cell r="AM98">
            <v>0</v>
          </cell>
          <cell r="AO98">
            <v>130566.8079092127</v>
          </cell>
          <cell r="AP98">
            <v>130566.8079092127</v>
          </cell>
        </row>
        <row r="99">
          <cell r="D99" t="str">
            <v>TVA déductible</v>
          </cell>
          <cell r="I99">
            <v>376672.98500000004</v>
          </cell>
          <cell r="O99">
            <v>349428.8937256168</v>
          </cell>
          <cell r="S99">
            <v>0</v>
          </cell>
          <cell r="W99">
            <v>27244.09127438326</v>
          </cell>
          <cell r="AA99">
            <v>0</v>
          </cell>
          <cell r="AH99">
            <v>0</v>
          </cell>
          <cell r="AI99">
            <v>0</v>
          </cell>
          <cell r="AL99">
            <v>0</v>
          </cell>
          <cell r="AM99">
            <v>0</v>
          </cell>
        </row>
        <row r="100">
          <cell r="D100" t="str">
            <v>TVA résiduelle</v>
          </cell>
          <cell r="J100">
            <v>-246106.17709078736</v>
          </cell>
          <cell r="P100">
            <v>-252139.63056471766</v>
          </cell>
          <cell r="T100">
            <v>0</v>
          </cell>
          <cell r="X100">
            <v>6033.4534739303053</v>
          </cell>
          <cell r="AB100">
            <v>0</v>
          </cell>
          <cell r="AH100">
            <v>0</v>
          </cell>
          <cell r="AI100">
            <v>0</v>
          </cell>
          <cell r="AL100">
            <v>0</v>
          </cell>
          <cell r="AM100">
            <v>0</v>
          </cell>
        </row>
        <row r="101">
          <cell r="AH101">
            <v>0</v>
          </cell>
          <cell r="AI101">
            <v>0</v>
          </cell>
          <cell r="AL101">
            <v>0</v>
          </cell>
          <cell r="AM101">
            <v>0</v>
          </cell>
        </row>
        <row r="102">
          <cell r="A102" t="str">
            <v>E</v>
          </cell>
          <cell r="D102" t="str">
            <v>PRIX DE REVIENT PREVISIONNEL</v>
          </cell>
          <cell r="F102" t="str">
            <v>A+B+C+D</v>
          </cell>
          <cell r="G102">
            <v>5113678.807909213</v>
          </cell>
          <cell r="I102">
            <v>376672.98500000004</v>
          </cell>
          <cell r="J102">
            <v>5113678.807909213</v>
          </cell>
          <cell r="K102">
            <v>6226.625925905576</v>
          </cell>
          <cell r="L102">
            <v>340911.92052728089</v>
          </cell>
          <cell r="N102">
            <v>4730111.3184418101</v>
          </cell>
          <cell r="O102">
            <v>349428.91472561681</v>
          </cell>
          <cell r="P102">
            <v>4730111.3184418101</v>
          </cell>
          <cell r="R102">
            <v>0</v>
          </cell>
          <cell r="S102">
            <v>2.1000000000000001E-2</v>
          </cell>
          <cell r="T102">
            <v>0</v>
          </cell>
          <cell r="V102">
            <v>383567.48946740374</v>
          </cell>
          <cell r="W102">
            <v>27244.186274383261</v>
          </cell>
          <cell r="X102">
            <v>383567.48946740379</v>
          </cell>
          <cell r="Z102">
            <v>0</v>
          </cell>
          <cell r="AA102">
            <v>9.5000000000000001E-2</v>
          </cell>
          <cell r="AB102">
            <v>0</v>
          </cell>
          <cell r="AC102">
            <v>0</v>
          </cell>
          <cell r="AE102">
            <v>0</v>
          </cell>
          <cell r="AG102">
            <v>0</v>
          </cell>
          <cell r="AH102">
            <v>0</v>
          </cell>
          <cell r="AI102">
            <v>0</v>
          </cell>
          <cell r="AK102">
            <v>0</v>
          </cell>
          <cell r="AL102">
            <v>0</v>
          </cell>
          <cell r="AM102">
            <v>0</v>
          </cell>
          <cell r="AO102">
            <v>5113678.807909213</v>
          </cell>
          <cell r="AP102">
            <v>5113678.807909213</v>
          </cell>
        </row>
        <row r="103">
          <cell r="E103" t="str">
            <v>insuffisance ou excédent de financement</v>
          </cell>
          <cell r="G103">
            <v>-0.80790921300649643</v>
          </cell>
          <cell r="N103">
            <v>-0.31844181008636951</v>
          </cell>
          <cell r="R103">
            <v>0</v>
          </cell>
          <cell r="V103">
            <v>-0.48946740373503417</v>
          </cell>
          <cell r="Z103">
            <v>0</v>
          </cell>
        </row>
        <row r="104">
          <cell r="A104" t="str">
            <v>F</v>
          </cell>
          <cell r="D104" t="str">
            <v>FINANCEMENT PREVISIONNEL</v>
          </cell>
          <cell r="G104">
            <v>5113678</v>
          </cell>
          <cell r="K104">
            <v>6226.6249421620432</v>
          </cell>
          <cell r="L104">
            <v>340911.86666666664</v>
          </cell>
          <cell r="N104">
            <v>4730111</v>
          </cell>
          <cell r="R104">
            <v>0</v>
          </cell>
          <cell r="V104">
            <v>383567</v>
          </cell>
          <cell r="Z104">
            <v>0</v>
          </cell>
          <cell r="AC104">
            <v>0</v>
          </cell>
          <cell r="AE104">
            <v>0</v>
          </cell>
          <cell r="AG104">
            <v>0</v>
          </cell>
          <cell r="AK104">
            <v>0</v>
          </cell>
          <cell r="AO104">
            <v>426065</v>
          </cell>
          <cell r="AP104">
            <v>426065</v>
          </cell>
        </row>
        <row r="105">
          <cell r="A105" t="str">
            <v>F1</v>
          </cell>
          <cell r="D105" t="str">
            <v>Prêt CDC</v>
          </cell>
          <cell r="G105">
            <v>4687613</v>
          </cell>
          <cell r="K105">
            <v>5707.8306504639213</v>
          </cell>
          <cell r="L105">
            <v>312507.53333333333</v>
          </cell>
          <cell r="N105">
            <v>4687613</v>
          </cell>
          <cell r="R105">
            <v>0</v>
          </cell>
          <cell r="V105">
            <v>0</v>
          </cell>
          <cell r="Z105">
            <v>0</v>
          </cell>
          <cell r="AC105">
            <v>0</v>
          </cell>
          <cell r="AE105">
            <v>0</v>
          </cell>
          <cell r="AG105">
            <v>0</v>
          </cell>
          <cell r="AK105">
            <v>0</v>
          </cell>
          <cell r="AO105">
            <v>0</v>
          </cell>
          <cell r="AP105">
            <v>0</v>
          </cell>
        </row>
        <row r="106">
          <cell r="A106" t="str">
            <v>F11</v>
          </cell>
          <cell r="D106" t="str">
            <v>Principal</v>
          </cell>
          <cell r="E106" t="str">
            <v>LLS</v>
          </cell>
          <cell r="G106">
            <v>0</v>
          </cell>
          <cell r="K106">
            <v>0</v>
          </cell>
          <cell r="L106">
            <v>0</v>
          </cell>
          <cell r="AC106">
            <v>0</v>
          </cell>
          <cell r="AK106">
            <v>0</v>
          </cell>
          <cell r="AO106">
            <v>0</v>
          </cell>
          <cell r="AP106">
            <v>0</v>
          </cell>
        </row>
        <row r="107">
          <cell r="D107" t="str">
            <v>Principal</v>
          </cell>
          <cell r="E107" t="str">
            <v>LLTS</v>
          </cell>
          <cell r="G107">
            <v>4575387</v>
          </cell>
          <cell r="K107">
            <v>5571.1796507805084</v>
          </cell>
          <cell r="L107">
            <v>305025.8</v>
          </cell>
          <cell r="N107">
            <v>4575387</v>
          </cell>
          <cell r="AC107">
            <v>0</v>
          </cell>
        </row>
        <row r="108">
          <cell r="A108" t="str">
            <v>F12</v>
          </cell>
          <cell r="D108" t="str">
            <v>Complémentaire</v>
          </cell>
          <cell r="G108">
            <v>0</v>
          </cell>
          <cell r="K108">
            <v>0</v>
          </cell>
          <cell r="L108">
            <v>0</v>
          </cell>
          <cell r="AC108">
            <v>0</v>
          </cell>
        </row>
        <row r="109">
          <cell r="A109" t="str">
            <v>F13</v>
          </cell>
          <cell r="D109" t="str">
            <v>Révisions de prix</v>
          </cell>
          <cell r="G109">
            <v>0</v>
          </cell>
          <cell r="K109">
            <v>0</v>
          </cell>
          <cell r="L109">
            <v>0</v>
          </cell>
          <cell r="AC109">
            <v>0</v>
          </cell>
        </row>
        <row r="110">
          <cell r="A110" t="str">
            <v>F14</v>
          </cell>
          <cell r="D110" t="str">
            <v>Intérêts consolidés</v>
          </cell>
          <cell r="G110">
            <v>112226</v>
          </cell>
          <cell r="K110">
            <v>136.65099968341329</v>
          </cell>
          <cell r="L110">
            <v>7481.7333333333336</v>
          </cell>
          <cell r="N110">
            <v>112226</v>
          </cell>
          <cell r="AC110">
            <v>0</v>
          </cell>
        </row>
        <row r="111">
          <cell r="A111" t="str">
            <v>F2</v>
          </cell>
          <cell r="D111" t="str">
            <v>Autres prêts</v>
          </cell>
          <cell r="G111">
            <v>0</v>
          </cell>
          <cell r="K111">
            <v>0</v>
          </cell>
          <cell r="L111">
            <v>0</v>
          </cell>
          <cell r="N111">
            <v>0</v>
          </cell>
          <cell r="R111">
            <v>0</v>
          </cell>
          <cell r="V111">
            <v>0</v>
          </cell>
          <cell r="Z111">
            <v>0</v>
          </cell>
          <cell r="AC111">
            <v>0</v>
          </cell>
          <cell r="AE111">
            <v>0</v>
          </cell>
          <cell r="AG111">
            <v>0</v>
          </cell>
          <cell r="AK111">
            <v>0</v>
          </cell>
          <cell r="AO111">
            <v>0</v>
          </cell>
          <cell r="AP111">
            <v>0</v>
          </cell>
        </row>
        <row r="112">
          <cell r="A112" t="str">
            <v>F21</v>
          </cell>
          <cell r="D112" t="str">
            <v>1/8ème ACL-PME</v>
          </cell>
          <cell r="G112">
            <v>0</v>
          </cell>
          <cell r="K112">
            <v>0</v>
          </cell>
          <cell r="L112">
            <v>0</v>
          </cell>
          <cell r="AC112">
            <v>0</v>
          </cell>
          <cell r="AK112">
            <v>0</v>
          </cell>
          <cell r="AO112">
            <v>0</v>
          </cell>
          <cell r="AP112">
            <v>0</v>
          </cell>
        </row>
        <row r="113">
          <cell r="A113" t="str">
            <v>F22</v>
          </cell>
          <cell r="D113" t="str">
            <v>Autres</v>
          </cell>
          <cell r="G113">
            <v>0</v>
          </cell>
          <cell r="K113">
            <v>0</v>
          </cell>
          <cell r="L113">
            <v>0</v>
          </cell>
          <cell r="AC113">
            <v>0</v>
          </cell>
          <cell r="AK113">
            <v>0</v>
          </cell>
          <cell r="AO113">
            <v>0</v>
          </cell>
          <cell r="AP113">
            <v>0</v>
          </cell>
        </row>
        <row r="114">
          <cell r="A114" t="str">
            <v>F23</v>
          </cell>
          <cell r="D114" t="str">
            <v>Autres</v>
          </cell>
          <cell r="G114">
            <v>0</v>
          </cell>
          <cell r="K114">
            <v>0</v>
          </cell>
          <cell r="L114">
            <v>0</v>
          </cell>
          <cell r="AC114">
            <v>0</v>
          </cell>
          <cell r="AK114">
            <v>0</v>
          </cell>
          <cell r="AO114">
            <v>0</v>
          </cell>
          <cell r="AP114">
            <v>0</v>
          </cell>
        </row>
        <row r="115">
          <cell r="G115">
            <v>0</v>
          </cell>
          <cell r="K115">
            <v>0</v>
          </cell>
          <cell r="L115">
            <v>0</v>
          </cell>
          <cell r="AC115">
            <v>0</v>
          </cell>
          <cell r="AK115">
            <v>0</v>
          </cell>
          <cell r="AO115">
            <v>0</v>
          </cell>
          <cell r="AP115">
            <v>0</v>
          </cell>
        </row>
        <row r="116">
          <cell r="A116" t="str">
            <v>F3</v>
          </cell>
          <cell r="D116" t="str">
            <v>Subventions</v>
          </cell>
          <cell r="G116">
            <v>0</v>
          </cell>
          <cell r="K116">
            <v>0</v>
          </cell>
          <cell r="L116">
            <v>0</v>
          </cell>
          <cell r="N116">
            <v>0</v>
          </cell>
          <cell r="R116">
            <v>0</v>
          </cell>
          <cell r="V116">
            <v>0</v>
          </cell>
          <cell r="Z116">
            <v>0</v>
          </cell>
          <cell r="AC116">
            <v>0</v>
          </cell>
          <cell r="AE116">
            <v>0</v>
          </cell>
          <cell r="AG116">
            <v>0</v>
          </cell>
          <cell r="AK116">
            <v>0</v>
          </cell>
          <cell r="AO116">
            <v>0</v>
          </cell>
          <cell r="AP116">
            <v>0</v>
          </cell>
        </row>
        <row r="117">
          <cell r="A117" t="str">
            <v>F31</v>
          </cell>
          <cell r="D117" t="str">
            <v>LBU-LLTS</v>
          </cell>
          <cell r="G117">
            <v>0</v>
          </cell>
          <cell r="K117">
            <v>0</v>
          </cell>
          <cell r="L117">
            <v>0</v>
          </cell>
          <cell r="AC117">
            <v>0</v>
          </cell>
          <cell r="AK117">
            <v>0</v>
          </cell>
          <cell r="AO117">
            <v>0</v>
          </cell>
          <cell r="AP117">
            <v>0</v>
          </cell>
        </row>
        <row r="118">
          <cell r="A118" t="str">
            <v>F32</v>
          </cell>
          <cell r="D118" t="str">
            <v>CAF</v>
          </cell>
          <cell r="G118">
            <v>0</v>
          </cell>
          <cell r="K118">
            <v>0</v>
          </cell>
          <cell r="L118">
            <v>0</v>
          </cell>
          <cell r="AC118">
            <v>0</v>
          </cell>
          <cell r="AK118">
            <v>0</v>
          </cell>
          <cell r="AO118">
            <v>0</v>
          </cell>
          <cell r="AP118">
            <v>0</v>
          </cell>
        </row>
        <row r="119">
          <cell r="A119" t="str">
            <v>F33</v>
          </cell>
          <cell r="D119" t="str">
            <v>ADI</v>
          </cell>
          <cell r="G119">
            <v>0</v>
          </cell>
          <cell r="K119">
            <v>0</v>
          </cell>
          <cell r="L119">
            <v>0</v>
          </cell>
          <cell r="AC119">
            <v>0</v>
          </cell>
          <cell r="AK119">
            <v>0</v>
          </cell>
          <cell r="AO119">
            <v>0</v>
          </cell>
          <cell r="AP119">
            <v>0</v>
          </cell>
        </row>
        <row r="120">
          <cell r="A120" t="str">
            <v>F34</v>
          </cell>
          <cell r="D120" t="str">
            <v>Autres</v>
          </cell>
          <cell r="G120">
            <v>0</v>
          </cell>
          <cell r="K120">
            <v>0</v>
          </cell>
          <cell r="L120">
            <v>0</v>
          </cell>
          <cell r="AC120">
            <v>0</v>
          </cell>
          <cell r="AK120">
            <v>0</v>
          </cell>
          <cell r="AO120">
            <v>0</v>
          </cell>
          <cell r="AP120">
            <v>0</v>
          </cell>
        </row>
        <row r="121">
          <cell r="A121" t="str">
            <v>F4</v>
          </cell>
          <cell r="D121" t="str">
            <v>Fonds propres</v>
          </cell>
          <cell r="G121">
            <v>426065</v>
          </cell>
          <cell r="K121">
            <v>518.79429169812238</v>
          </cell>
          <cell r="L121">
            <v>28404.333333333336</v>
          </cell>
          <cell r="N121">
            <v>42498</v>
          </cell>
          <cell r="R121">
            <v>0</v>
          </cell>
          <cell r="V121">
            <v>383567</v>
          </cell>
          <cell r="Z121">
            <v>0</v>
          </cell>
          <cell r="AC121">
            <v>0</v>
          </cell>
          <cell r="AE121">
            <v>0</v>
          </cell>
          <cell r="AG121">
            <v>0</v>
          </cell>
          <cell r="AK121">
            <v>0</v>
          </cell>
          <cell r="AO121">
            <v>426065</v>
          </cell>
          <cell r="AP121">
            <v>426065</v>
          </cell>
        </row>
        <row r="122">
          <cell r="A122" t="str">
            <v>F31</v>
          </cell>
          <cell r="D122" t="str">
            <v>Sur logements</v>
          </cell>
          <cell r="G122">
            <v>42498</v>
          </cell>
          <cell r="K122">
            <v>51.747315101185983</v>
          </cell>
          <cell r="L122">
            <v>2833.2</v>
          </cell>
          <cell r="N122">
            <v>42498</v>
          </cell>
          <cell r="AC122">
            <v>0</v>
          </cell>
          <cell r="AK122">
            <v>0</v>
          </cell>
          <cell r="AO122">
            <v>42498</v>
          </cell>
          <cell r="AP122">
            <v>42498</v>
          </cell>
        </row>
        <row r="123">
          <cell r="A123" t="str">
            <v>F32</v>
          </cell>
          <cell r="D123" t="str">
            <v>Sur autres locaux</v>
          </cell>
          <cell r="G123">
            <v>383567</v>
          </cell>
          <cell r="K123">
            <v>467.04697659693642</v>
          </cell>
          <cell r="L123">
            <v>25571.133333333335</v>
          </cell>
          <cell r="V123">
            <v>383567</v>
          </cell>
          <cell r="AC123">
            <v>0</v>
          </cell>
          <cell r="AK123">
            <v>0</v>
          </cell>
          <cell r="AO123">
            <v>383567</v>
          </cell>
          <cell r="AP123">
            <v>383567</v>
          </cell>
        </row>
        <row r="124">
          <cell r="AC124">
            <v>0</v>
          </cell>
        </row>
        <row r="126">
          <cell r="D126" t="str">
            <v>Fiche Programme</v>
          </cell>
          <cell r="K126" t="str">
            <v>Fiche Programme</v>
          </cell>
        </row>
        <row r="127">
          <cell r="D127" t="str">
            <v>Prix de Revient</v>
          </cell>
          <cell r="E127" t="str">
            <v>TTC</v>
          </cell>
          <cell r="K127" t="str">
            <v>Prix de Revient</v>
          </cell>
          <cell r="L127" t="str">
            <v>TTC</v>
          </cell>
          <cell r="N127" t="str">
            <v>LLTS</v>
          </cell>
          <cell r="V127" t="str">
            <v>Com</v>
          </cell>
        </row>
        <row r="129">
          <cell r="D129" t="str">
            <v>Terrain</v>
          </cell>
          <cell r="K129" t="str">
            <v>Terrain</v>
          </cell>
          <cell r="N129">
            <v>683628.79619470076</v>
          </cell>
          <cell r="R129">
            <v>0</v>
          </cell>
          <cell r="V129">
            <v>57786.576358278733</v>
          </cell>
          <cell r="Z129">
            <v>0</v>
          </cell>
        </row>
        <row r="130">
          <cell r="D130" t="str">
            <v>VRD/Aménag.</v>
          </cell>
          <cell r="K130" t="str">
            <v>VRD/Aménag.</v>
          </cell>
          <cell r="N130">
            <v>78741.087441248805</v>
          </cell>
          <cell r="R130">
            <v>0</v>
          </cell>
          <cell r="V130">
            <v>6655.918953802694</v>
          </cell>
          <cell r="Z130">
            <v>0</v>
          </cell>
        </row>
        <row r="132">
          <cell r="D132" t="str">
            <v xml:space="preserve"> Charge Foncière</v>
          </cell>
          <cell r="K132" t="str">
            <v xml:space="preserve"> Charge Foncière</v>
          </cell>
          <cell r="N132">
            <v>762369.88363594958</v>
          </cell>
          <cell r="R132">
            <v>0</v>
          </cell>
          <cell r="V132">
            <v>64442.495312081424</v>
          </cell>
          <cell r="Z132">
            <v>0</v>
          </cell>
        </row>
        <row r="134">
          <cell r="D134" t="str">
            <v>Travaux Bâtiment</v>
          </cell>
          <cell r="K134" t="str">
            <v>Travaux Bâtiment</v>
          </cell>
          <cell r="N134">
            <v>3217436.5454335045</v>
          </cell>
          <cell r="R134">
            <v>0</v>
          </cell>
          <cell r="V134">
            <v>271967.24837444897</v>
          </cell>
          <cell r="Z134">
            <v>0</v>
          </cell>
        </row>
        <row r="135">
          <cell r="D135" t="str">
            <v>Honoraires Techniques</v>
          </cell>
          <cell r="K135" t="str">
            <v>Honoraires Techniques</v>
          </cell>
          <cell r="N135">
            <v>296414.7666658549</v>
          </cell>
          <cell r="R135">
            <v>0</v>
          </cell>
          <cell r="V135">
            <v>25055.694907824563</v>
          </cell>
          <cell r="Z135">
            <v>0</v>
          </cell>
        </row>
        <row r="136">
          <cell r="D136" t="str">
            <v>Assurance et contrôle</v>
          </cell>
          <cell r="K136" t="str">
            <v>Assurance et contrôle</v>
          </cell>
          <cell r="N136">
            <v>67458.966006307382</v>
          </cell>
          <cell r="R136">
            <v>0</v>
          </cell>
          <cell r="V136">
            <v>5702.2505662031517</v>
          </cell>
          <cell r="Z136">
            <v>0</v>
          </cell>
        </row>
        <row r="137">
          <cell r="D137" t="str">
            <v xml:space="preserve"> Côut Technique</v>
          </cell>
          <cell r="K137" t="str">
            <v xml:space="preserve"> Côut Technique</v>
          </cell>
          <cell r="N137">
            <v>3581310.2781056669</v>
          </cell>
          <cell r="R137">
            <v>0</v>
          </cell>
          <cell r="V137">
            <v>302725.19384847669</v>
          </cell>
          <cell r="Z137">
            <v>0</v>
          </cell>
        </row>
        <row r="139">
          <cell r="D139" t="str">
            <v>Frais annexes</v>
          </cell>
          <cell r="K139" t="str">
            <v>Frais annexes</v>
          </cell>
          <cell r="N139">
            <v>386431.15670019237</v>
          </cell>
          <cell r="R139">
            <v>0</v>
          </cell>
          <cell r="V139">
            <v>16399.800306845576</v>
          </cell>
          <cell r="Z139">
            <v>0</v>
          </cell>
        </row>
        <row r="141">
          <cell r="D141" t="str">
            <v>Prix de Revient Prév. TTC</v>
          </cell>
          <cell r="K141" t="str">
            <v>Prix de Revient Prév. TTC</v>
          </cell>
          <cell r="N141">
            <v>4730111.3184418082</v>
          </cell>
          <cell r="R141">
            <v>0</v>
          </cell>
          <cell r="V141">
            <v>383567.48946740368</v>
          </cell>
          <cell r="Z141">
            <v>0</v>
          </cell>
        </row>
        <row r="142">
          <cell r="M142" t="str">
            <v>Cr.</v>
          </cell>
          <cell r="N142">
            <v>0</v>
          </cell>
          <cell r="R142">
            <v>0</v>
          </cell>
          <cell r="V142">
            <v>0</v>
          </cell>
          <cell r="Z14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énéral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 pour DA (2)"/>
      <sheetName val="Fidji 15 individuels"/>
      <sheetName val="Fidji 16 colletifs"/>
      <sheetName val="Fidji 15 + 16 consol"/>
      <sheetName val="Subv Fidji"/>
      <sheetName val="Récap"/>
      <sheetName val="data"/>
      <sheetName val="Loyers"/>
      <sheetName val="Emprunts CDC &amp; 1%"/>
      <sheetName val="Prêt Promoteur"/>
      <sheetName val="Prêt Investisseur"/>
      <sheetName val="Amort&quot;FIDJI&quot;"/>
      <sheetName val="Amort&quot;WALLIS&quot;"/>
      <sheetName val="Amort&quot;FUTUNA&quot;"/>
      <sheetName val="Amort&quot;HEBRIDES&quot;"/>
      <sheetName val="Amort&quot;MARE A POULE&quot;"/>
      <sheetName val="Amort&quot;BEC ROSE&quot;"/>
      <sheetName val="Amort&quot;JAVA&quot;"/>
      <sheetName val="SNC comptes"/>
      <sheetName val="Appels travaux"/>
      <sheetName val="Amort&quot;cumul&quot;"/>
      <sheetName val="schéma CB"/>
      <sheetName val="Investisseur détails"/>
      <sheetName val="Equi pour 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craft 1 Lease"/>
      <sheetName val="Cash Statement"/>
      <sheetName val="Depreciation"/>
      <sheetName val="P&amp;L"/>
      <sheetName val="Balance Sheet"/>
      <sheetName val="RBT"/>
      <sheetName val="Lease Margin"/>
      <sheetName val="TVs"/>
      <sheetName val="IRRs"/>
      <sheetName val="ZCB"/>
      <sheetName val="Graph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 Investisseur"/>
      <sheetName val="Trésorerie Foncier"/>
      <sheetName val="Infos"/>
      <sheetName val="Grille des frais"/>
      <sheetName val="Hypothèses générales"/>
      <sheetName val="Echéancier d'emprunt foncier"/>
      <sheetName val="Echéancier d'emprunt travaux"/>
      <sheetName val="Tirage"/>
      <sheetName val="Flux ass-vie"/>
      <sheetName val="Loyers"/>
      <sheetName val="Amortissements ROBIEN"/>
    </sheetNames>
    <sheetDataSet>
      <sheetData sheetId="0" refreshError="1">
        <row r="9">
          <cell r="G9">
            <v>38231</v>
          </cell>
        </row>
        <row r="11">
          <cell r="N11" t="str">
            <v>Non</v>
          </cell>
        </row>
        <row r="12">
          <cell r="G12" t="str">
            <v>oui</v>
          </cell>
          <cell r="N12">
            <v>43647</v>
          </cell>
        </row>
        <row r="18">
          <cell r="G18">
            <v>0</v>
          </cell>
        </row>
        <row r="21">
          <cell r="N21">
            <v>180494.52267624476</v>
          </cell>
        </row>
        <row r="22">
          <cell r="G22">
            <v>38231</v>
          </cell>
        </row>
        <row r="45">
          <cell r="G45">
            <v>0</v>
          </cell>
          <cell r="N45">
            <v>0</v>
          </cell>
        </row>
      </sheetData>
      <sheetData sheetId="1" refreshError="1"/>
      <sheetData sheetId="2" refreshError="1">
        <row r="40">
          <cell r="C40">
            <v>2838.0119920000002</v>
          </cell>
        </row>
      </sheetData>
      <sheetData sheetId="3" refreshError="1"/>
      <sheetData sheetId="4" refreshError="1">
        <row r="13">
          <cell r="B13">
            <v>121000</v>
          </cell>
        </row>
        <row r="41">
          <cell r="B41">
            <v>915</v>
          </cell>
        </row>
        <row r="42">
          <cell r="B42">
            <v>1.32</v>
          </cell>
          <cell r="F42">
            <v>0.02</v>
          </cell>
        </row>
        <row r="44">
          <cell r="B44">
            <v>38231</v>
          </cell>
          <cell r="C44">
            <v>1</v>
          </cell>
        </row>
        <row r="53">
          <cell r="B53">
            <v>38231</v>
          </cell>
          <cell r="C53">
            <v>1</v>
          </cell>
        </row>
      </sheetData>
      <sheetData sheetId="5" refreshError="1">
        <row r="2">
          <cell r="I2">
            <v>38231</v>
          </cell>
        </row>
        <row r="3">
          <cell r="I3">
            <v>38261</v>
          </cell>
          <cell r="M3">
            <v>427.08333333333337</v>
          </cell>
        </row>
        <row r="4">
          <cell r="I4">
            <v>38292</v>
          </cell>
          <cell r="M4">
            <v>425.36200604799956</v>
          </cell>
        </row>
        <row r="5">
          <cell r="I5">
            <v>38322</v>
          </cell>
          <cell r="M5">
            <v>423.63479756110763</v>
          </cell>
        </row>
        <row r="6">
          <cell r="I6">
            <v>38353</v>
          </cell>
          <cell r="M6">
            <v>421.90168777855206</v>
          </cell>
        </row>
        <row r="7">
          <cell r="I7">
            <v>38384</v>
          </cell>
          <cell r="M7">
            <v>420.16265653757284</v>
          </cell>
        </row>
        <row r="8">
          <cell r="I8">
            <v>38412</v>
          </cell>
          <cell r="M8">
            <v>418.41768360652026</v>
          </cell>
        </row>
        <row r="9">
          <cell r="I9">
            <v>38443</v>
          </cell>
          <cell r="M9">
            <v>416.66674868461985</v>
          </cell>
        </row>
        <row r="10">
          <cell r="I10">
            <v>38473</v>
          </cell>
          <cell r="M10">
            <v>414.90983140173626</v>
          </cell>
        </row>
        <row r="11">
          <cell r="I11">
            <v>38504</v>
          </cell>
          <cell r="M11">
            <v>413.14691131813618</v>
          </cell>
        </row>
        <row r="12">
          <cell r="I12">
            <v>38534</v>
          </cell>
          <cell r="M12">
            <v>411.37796792425053</v>
          </cell>
        </row>
        <row r="13">
          <cell r="I13">
            <v>38565</v>
          </cell>
          <cell r="M13">
            <v>409.60298064043576</v>
          </cell>
        </row>
        <row r="14">
          <cell r="I14">
            <v>38596</v>
          </cell>
          <cell r="M14">
            <v>407.8219288167345</v>
          </cell>
        </row>
        <row r="15">
          <cell r="I15">
            <v>38626</v>
          </cell>
          <cell r="M15">
            <v>406.03479173263577</v>
          </cell>
        </row>
        <row r="16">
          <cell r="I16">
            <v>38657</v>
          </cell>
          <cell r="M16">
            <v>404.24154859683296</v>
          </cell>
        </row>
        <row r="17">
          <cell r="B17">
            <v>0</v>
          </cell>
          <cell r="I17">
            <v>38687</v>
          </cell>
          <cell r="M17">
            <v>402.44217854698286</v>
          </cell>
        </row>
        <row r="18">
          <cell r="B18">
            <v>0</v>
          </cell>
          <cell r="I18">
            <v>38718</v>
          </cell>
          <cell r="M18">
            <v>400.63666064946239</v>
          </cell>
        </row>
        <row r="19">
          <cell r="I19">
            <v>38749</v>
          </cell>
          <cell r="M19">
            <v>398.82497389912527</v>
          </cell>
        </row>
        <row r="20">
          <cell r="I20">
            <v>38777</v>
          </cell>
          <cell r="M20">
            <v>397.00709721905798</v>
          </cell>
        </row>
        <row r="21">
          <cell r="I21">
            <v>38808</v>
          </cell>
          <cell r="M21">
            <v>395.18300946033384</v>
          </cell>
        </row>
        <row r="22">
          <cell r="I22">
            <v>38838</v>
          </cell>
          <cell r="M22">
            <v>393.35268940176735</v>
          </cell>
        </row>
        <row r="23">
          <cell r="I23">
            <v>38869</v>
          </cell>
          <cell r="M23">
            <v>391.51611574966734</v>
          </cell>
        </row>
        <row r="24">
          <cell r="I24">
            <v>38899</v>
          </cell>
          <cell r="M24">
            <v>389.67326713758951</v>
          </cell>
        </row>
        <row r="25">
          <cell r="I25">
            <v>38930</v>
          </cell>
          <cell r="M25">
            <v>387.82412212608688</v>
          </cell>
        </row>
        <row r="26">
          <cell r="I26">
            <v>38961</v>
          </cell>
          <cell r="M26">
            <v>385.96865920246159</v>
          </cell>
        </row>
        <row r="27">
          <cell r="I27">
            <v>38991</v>
          </cell>
          <cell r="M27">
            <v>384.10685678051408</v>
          </cell>
        </row>
        <row r="28">
          <cell r="I28">
            <v>39022</v>
          </cell>
          <cell r="M28">
            <v>382.23869320029149</v>
          </cell>
        </row>
        <row r="29">
          <cell r="I29">
            <v>39052</v>
          </cell>
          <cell r="M29">
            <v>380.36414672783644</v>
          </cell>
        </row>
        <row r="30">
          <cell r="I30">
            <v>39083</v>
          </cell>
          <cell r="M30">
            <v>378.4831955549339</v>
          </cell>
        </row>
        <row r="31">
          <cell r="I31">
            <v>39114</v>
          </cell>
          <cell r="M31">
            <v>376.59581779885735</v>
          </cell>
        </row>
        <row r="32">
          <cell r="I32">
            <v>39142</v>
          </cell>
          <cell r="M32">
            <v>374.70199150211414</v>
          </cell>
        </row>
        <row r="33">
          <cell r="I33">
            <v>39173</v>
          </cell>
          <cell r="M33">
            <v>372.80169463219039</v>
          </cell>
        </row>
        <row r="34">
          <cell r="I34">
            <v>39203</v>
          </cell>
          <cell r="M34">
            <v>370.89490508129438</v>
          </cell>
        </row>
        <row r="35">
          <cell r="I35">
            <v>39234</v>
          </cell>
          <cell r="M35">
            <v>368.98160066609944</v>
          </cell>
        </row>
        <row r="36">
          <cell r="I36">
            <v>39264</v>
          </cell>
          <cell r="M36">
            <v>367.06175912748597</v>
          </cell>
        </row>
        <row r="37">
          <cell r="I37">
            <v>39295</v>
          </cell>
          <cell r="M37">
            <v>365.13535813028233</v>
          </cell>
        </row>
        <row r="38">
          <cell r="I38">
            <v>39326</v>
          </cell>
          <cell r="M38">
            <v>363.2023752630048</v>
          </cell>
        </row>
        <row r="39">
          <cell r="I39">
            <v>39356</v>
          </cell>
          <cell r="M39">
            <v>361.26278803759743</v>
          </cell>
        </row>
        <row r="40">
          <cell r="I40">
            <v>39387</v>
          </cell>
          <cell r="M40">
            <v>359.31657388916983</v>
          </cell>
        </row>
        <row r="41">
          <cell r="I41">
            <v>39417</v>
          </cell>
          <cell r="M41">
            <v>357.36371017573515</v>
          </cell>
        </row>
        <row r="42">
          <cell r="I42">
            <v>39448</v>
          </cell>
          <cell r="M42">
            <v>355.40417417794629</v>
          </cell>
        </row>
        <row r="43">
          <cell r="I43">
            <v>39479</v>
          </cell>
          <cell r="M43">
            <v>353.43794309883157</v>
          </cell>
        </row>
        <row r="44">
          <cell r="I44">
            <v>39508</v>
          </cell>
          <cell r="M44">
            <v>351.46499406352996</v>
          </cell>
        </row>
        <row r="45">
          <cell r="I45">
            <v>39539</v>
          </cell>
          <cell r="M45">
            <v>349.48530411902442</v>
          </cell>
        </row>
        <row r="46">
          <cell r="I46">
            <v>39569</v>
          </cell>
          <cell r="M46">
            <v>347.49885023387498</v>
          </cell>
        </row>
        <row r="47">
          <cell r="I47">
            <v>39600</v>
          </cell>
          <cell r="M47">
            <v>345.50560929795154</v>
          </cell>
        </row>
        <row r="48">
          <cell r="I48">
            <v>39630</v>
          </cell>
          <cell r="M48">
            <v>343.50555812216351</v>
          </cell>
        </row>
        <row r="49">
          <cell r="I49">
            <v>39661</v>
          </cell>
          <cell r="M49">
            <v>341.49867343819164</v>
          </cell>
        </row>
        <row r="50">
          <cell r="I50">
            <v>39692</v>
          </cell>
          <cell r="M50">
            <v>339.48493189821613</v>
          </cell>
        </row>
        <row r="51">
          <cell r="I51">
            <v>39722</v>
          </cell>
          <cell r="M51">
            <v>337.46431007464571</v>
          </cell>
        </row>
        <row r="52">
          <cell r="I52">
            <v>39753</v>
          </cell>
          <cell r="M52">
            <v>335.43678445984466</v>
          </cell>
        </row>
        <row r="53">
          <cell r="I53">
            <v>39783</v>
          </cell>
          <cell r="M53">
            <v>333.40233146585979</v>
          </cell>
        </row>
        <row r="54">
          <cell r="I54">
            <v>39814</v>
          </cell>
          <cell r="M54">
            <v>331.36092742414553</v>
          </cell>
        </row>
        <row r="55">
          <cell r="I55">
            <v>39845</v>
          </cell>
          <cell r="M55">
            <v>329.31254858528865</v>
          </cell>
        </row>
        <row r="56">
          <cell r="I56">
            <v>39873</v>
          </cell>
          <cell r="M56">
            <v>327.25717111873257</v>
          </cell>
        </row>
        <row r="57">
          <cell r="I57">
            <v>39904</v>
          </cell>
          <cell r="M57">
            <v>325.19477111249887</v>
          </cell>
        </row>
        <row r="58">
          <cell r="I58">
            <v>39934</v>
          </cell>
          <cell r="M58">
            <v>323.12532457291047</v>
          </cell>
        </row>
        <row r="59">
          <cell r="I59">
            <v>39965</v>
          </cell>
          <cell r="M59">
            <v>321.04880742431203</v>
          </cell>
        </row>
        <row r="60">
          <cell r="I60">
            <v>39995</v>
          </cell>
          <cell r="M60">
            <v>318.96519550878912</v>
          </cell>
        </row>
        <row r="61">
          <cell r="I61">
            <v>40026</v>
          </cell>
          <cell r="M61">
            <v>316.87446458588801</v>
          </cell>
        </row>
        <row r="62">
          <cell r="I62">
            <v>40057</v>
          </cell>
          <cell r="M62">
            <v>314.77659033233391</v>
          </cell>
        </row>
        <row r="63">
          <cell r="I63">
            <v>40087</v>
          </cell>
          <cell r="M63">
            <v>312.6715483417467</v>
          </cell>
        </row>
        <row r="64">
          <cell r="I64">
            <v>40118</v>
          </cell>
          <cell r="M64">
            <v>310.55931412435848</v>
          </cell>
        </row>
        <row r="65">
          <cell r="I65">
            <v>40148</v>
          </cell>
          <cell r="M65">
            <v>308.43986310672733</v>
          </cell>
        </row>
        <row r="66">
          <cell r="I66">
            <v>40179</v>
          </cell>
          <cell r="M66">
            <v>306.31317063145264</v>
          </cell>
        </row>
        <row r="67">
          <cell r="I67">
            <v>40210</v>
          </cell>
          <cell r="M67">
            <v>304.17921195688751</v>
          </cell>
        </row>
        <row r="68">
          <cell r="I68">
            <v>40238</v>
          </cell>
          <cell r="M68">
            <v>302.0379622568509</v>
          </cell>
        </row>
        <row r="69">
          <cell r="I69">
            <v>40269</v>
          </cell>
          <cell r="M69">
            <v>299.88939662033903</v>
          </cell>
        </row>
        <row r="70">
          <cell r="I70">
            <v>40299</v>
          </cell>
          <cell r="M70">
            <v>297.733490051236</v>
          </cell>
        </row>
        <row r="71">
          <cell r="I71">
            <v>40330</v>
          </cell>
          <cell r="M71">
            <v>295.57021746802178</v>
          </cell>
        </row>
        <row r="72">
          <cell r="I72">
            <v>40360</v>
          </cell>
          <cell r="M72">
            <v>293.3995537034815</v>
          </cell>
        </row>
        <row r="73">
          <cell r="I73">
            <v>40391</v>
          </cell>
          <cell r="M73">
            <v>291.22147350441236</v>
          </cell>
        </row>
        <row r="74">
          <cell r="I74">
            <v>40422</v>
          </cell>
          <cell r="M74">
            <v>289.03595153132983</v>
          </cell>
        </row>
        <row r="75">
          <cell r="I75">
            <v>40452</v>
          </cell>
          <cell r="M75">
            <v>286.8429623581726</v>
          </cell>
        </row>
        <row r="76">
          <cell r="I76">
            <v>40483</v>
          </cell>
          <cell r="M76">
            <v>284.64248047200709</v>
          </cell>
        </row>
        <row r="77">
          <cell r="I77">
            <v>40513</v>
          </cell>
          <cell r="M77">
            <v>282.43448027273041</v>
          </cell>
        </row>
        <row r="78">
          <cell r="I78">
            <v>40544</v>
          </cell>
          <cell r="M78">
            <v>280.21893607277281</v>
          </cell>
        </row>
        <row r="79">
          <cell r="I79">
            <v>40575</v>
          </cell>
          <cell r="M79">
            <v>277.99582209679886</v>
          </cell>
        </row>
        <row r="80">
          <cell r="I80">
            <v>40603</v>
          </cell>
          <cell r="M80">
            <v>275.76511248140696</v>
          </cell>
        </row>
        <row r="81">
          <cell r="I81">
            <v>40634</v>
          </cell>
          <cell r="M81">
            <v>273.52678127482915</v>
          </cell>
        </row>
        <row r="82">
          <cell r="I82">
            <v>40664</v>
          </cell>
          <cell r="M82">
            <v>271.28080243662885</v>
          </cell>
        </row>
        <row r="83">
          <cell r="I83">
            <v>40695</v>
          </cell>
          <cell r="M83">
            <v>269.02714983739799</v>
          </cell>
        </row>
        <row r="84">
          <cell r="I84">
            <v>40725</v>
          </cell>
          <cell r="M84">
            <v>266.76579725845306</v>
          </cell>
        </row>
        <row r="85">
          <cell r="I85">
            <v>40756</v>
          </cell>
          <cell r="M85">
            <v>264.49671839153012</v>
          </cell>
        </row>
        <row r="86">
          <cell r="I86">
            <v>40787</v>
          </cell>
          <cell r="M86">
            <v>262.21988683847854</v>
          </cell>
        </row>
        <row r="87">
          <cell r="I87">
            <v>40817</v>
          </cell>
          <cell r="M87">
            <v>259.93527611095408</v>
          </cell>
        </row>
        <row r="88">
          <cell r="I88">
            <v>40848</v>
          </cell>
          <cell r="M88">
            <v>257.64285963011054</v>
          </cell>
        </row>
        <row r="89">
          <cell r="I89">
            <v>40878</v>
          </cell>
          <cell r="M89">
            <v>255.34261072629079</v>
          </cell>
        </row>
        <row r="90">
          <cell r="I90">
            <v>40909</v>
          </cell>
          <cell r="M90">
            <v>253.03450263871611</v>
          </cell>
        </row>
        <row r="91">
          <cell r="I91">
            <v>40940</v>
          </cell>
          <cell r="M91">
            <v>250.71850851517576</v>
          </cell>
        </row>
        <row r="92">
          <cell r="I92">
            <v>40969</v>
          </cell>
          <cell r="M92">
            <v>248.39460141171338</v>
          </cell>
        </row>
        <row r="93">
          <cell r="I93">
            <v>41000</v>
          </cell>
          <cell r="M93">
            <v>246.06275429231388</v>
          </cell>
        </row>
        <row r="94">
          <cell r="I94">
            <v>41030</v>
          </cell>
          <cell r="M94">
            <v>243.72294002859005</v>
          </cell>
        </row>
        <row r="95">
          <cell r="I95">
            <v>41061</v>
          </cell>
          <cell r="M95">
            <v>241.37513139946512</v>
          </cell>
        </row>
        <row r="96">
          <cell r="I96">
            <v>41091</v>
          </cell>
          <cell r="M96">
            <v>239.0193010908574</v>
          </cell>
        </row>
        <row r="97">
          <cell r="I97">
            <v>41122</v>
          </cell>
          <cell r="M97">
            <v>236.65542169536192</v>
          </cell>
        </row>
        <row r="98">
          <cell r="I98">
            <v>41153</v>
          </cell>
          <cell r="M98">
            <v>234.28346571193174</v>
          </cell>
        </row>
        <row r="99">
          <cell r="I99">
            <v>41183</v>
          </cell>
          <cell r="M99">
            <v>231.9034055455582</v>
          </cell>
        </row>
        <row r="100">
          <cell r="I100">
            <v>41214</v>
          </cell>
          <cell r="M100">
            <v>229.51521350694941</v>
          </cell>
        </row>
        <row r="101">
          <cell r="I101">
            <v>41244</v>
          </cell>
          <cell r="M101">
            <v>227.11886181220899</v>
          </cell>
        </row>
        <row r="102">
          <cell r="I102">
            <v>41275</v>
          </cell>
          <cell r="M102">
            <v>224.71432258251136</v>
          </cell>
        </row>
        <row r="103">
          <cell r="I103">
            <v>41306</v>
          </cell>
          <cell r="M103">
            <v>222.30156784377894</v>
          </cell>
        </row>
        <row r="104">
          <cell r="I104">
            <v>41334</v>
          </cell>
          <cell r="M104">
            <v>219.8805695263558</v>
          </cell>
        </row>
        <row r="105">
          <cell r="I105">
            <v>41365</v>
          </cell>
          <cell r="M105">
            <v>217.4512994646816</v>
          </cell>
        </row>
        <row r="106">
          <cell r="I106">
            <v>41395</v>
          </cell>
          <cell r="M106">
            <v>215.01372939696336</v>
          </cell>
        </row>
        <row r="107">
          <cell r="I107">
            <v>41426</v>
          </cell>
          <cell r="M107">
            <v>212.56783096484691</v>
          </cell>
        </row>
        <row r="108">
          <cell r="I108">
            <v>41456</v>
          </cell>
          <cell r="M108">
            <v>210.11357571308744</v>
          </cell>
        </row>
        <row r="109">
          <cell r="I109">
            <v>41487</v>
          </cell>
          <cell r="M109">
            <v>207.65093508921797</v>
          </cell>
        </row>
        <row r="110">
          <cell r="I110">
            <v>41518</v>
          </cell>
          <cell r="M110">
            <v>205.17988044321663</v>
          </cell>
        </row>
        <row r="111">
          <cell r="I111">
            <v>41548</v>
          </cell>
          <cell r="M111">
            <v>202.70038302717506</v>
          </cell>
        </row>
        <row r="112">
          <cell r="I112">
            <v>41579</v>
          </cell>
          <cell r="M112">
            <v>200.21241399496202</v>
          </cell>
        </row>
        <row r="113">
          <cell r="I113">
            <v>41609</v>
          </cell>
          <cell r="M113">
            <v>197.71594440188892</v>
          </cell>
        </row>
        <row r="114">
          <cell r="I114">
            <v>41640</v>
          </cell>
          <cell r="M114">
            <v>195.21094520437259</v>
          </cell>
        </row>
        <row r="115">
          <cell r="I115">
            <v>41671</v>
          </cell>
          <cell r="M115">
            <v>192.69738725959814</v>
          </cell>
        </row>
        <row r="116">
          <cell r="I116">
            <v>41699</v>
          </cell>
          <cell r="M116">
            <v>190.17524132517917</v>
          </cell>
        </row>
        <row r="117">
          <cell r="I117">
            <v>41730</v>
          </cell>
          <cell r="M117">
            <v>187.64447805881747</v>
          </cell>
        </row>
        <row r="118">
          <cell r="I118">
            <v>41760</v>
          </cell>
          <cell r="M118">
            <v>185.10506801796257</v>
          </cell>
        </row>
        <row r="119">
          <cell r="I119">
            <v>41791</v>
          </cell>
          <cell r="M119">
            <v>182.55698165946777</v>
          </cell>
        </row>
        <row r="120">
          <cell r="I120">
            <v>41821</v>
          </cell>
          <cell r="M120">
            <v>180.00018933924858</v>
          </cell>
        </row>
        <row r="121">
          <cell r="I121">
            <v>41852</v>
          </cell>
          <cell r="M121">
            <v>177.43466131193492</v>
          </cell>
        </row>
        <row r="122">
          <cell r="I122">
            <v>41883</v>
          </cell>
          <cell r="M122">
            <v>174.86036773052797</v>
          </cell>
        </row>
        <row r="123">
          <cell r="I123">
            <v>41913</v>
          </cell>
          <cell r="M123">
            <v>172.27727864605129</v>
          </cell>
        </row>
        <row r="124">
          <cell r="I124">
            <v>41944</v>
          </cell>
          <cell r="M124">
            <v>169.68536400720271</v>
          </cell>
        </row>
        <row r="125">
          <cell r="I125">
            <v>41974</v>
          </cell>
          <cell r="M125">
            <v>167.08459366000454</v>
          </cell>
        </row>
        <row r="126">
          <cell r="I126">
            <v>42005</v>
          </cell>
          <cell r="M126">
            <v>164.47493734745365</v>
          </cell>
        </row>
        <row r="127">
          <cell r="I127">
            <v>42036</v>
          </cell>
          <cell r="M127">
            <v>161.85636470916816</v>
          </cell>
        </row>
        <row r="128">
          <cell r="I128">
            <v>42064</v>
          </cell>
          <cell r="M128">
            <v>159.22884528103521</v>
          </cell>
        </row>
        <row r="129">
          <cell r="I129">
            <v>42095</v>
          </cell>
          <cell r="M129">
            <v>156.5923484948562</v>
          </cell>
        </row>
        <row r="130">
          <cell r="I130">
            <v>42125</v>
          </cell>
          <cell r="M130">
            <v>153.94684367799087</v>
          </cell>
        </row>
        <row r="131">
          <cell r="I131">
            <v>42156</v>
          </cell>
          <cell r="M131">
            <v>151.29230005300147</v>
          </cell>
        </row>
        <row r="132">
          <cell r="I132">
            <v>42186</v>
          </cell>
          <cell r="M132">
            <v>148.62868673729312</v>
          </cell>
        </row>
        <row r="133">
          <cell r="I133">
            <v>42217</v>
          </cell>
          <cell r="M133">
            <v>145.95597274275624</v>
          </cell>
        </row>
        <row r="134">
          <cell r="I134">
            <v>42248</v>
          </cell>
          <cell r="M134">
            <v>143.27412697540467</v>
          </cell>
        </row>
        <row r="135">
          <cell r="I135">
            <v>42278</v>
          </cell>
          <cell r="M135">
            <v>140.58311823501472</v>
          </cell>
        </row>
        <row r="136">
          <cell r="I136">
            <v>42309</v>
          </cell>
          <cell r="M136">
            <v>137.88291521476162</v>
          </cell>
        </row>
        <row r="137">
          <cell r="I137">
            <v>42339</v>
          </cell>
          <cell r="M137">
            <v>135.17348650085626</v>
          </cell>
        </row>
        <row r="138">
          <cell r="I138">
            <v>42370</v>
          </cell>
          <cell r="M138">
            <v>132.45480057217813</v>
          </cell>
        </row>
        <row r="139">
          <cell r="I139">
            <v>42401</v>
          </cell>
          <cell r="M139">
            <v>129.72682579991044</v>
          </cell>
        </row>
        <row r="140">
          <cell r="I140">
            <v>42430</v>
          </cell>
          <cell r="M140">
            <v>126.98953044717074</v>
          </cell>
        </row>
        <row r="141">
          <cell r="I141">
            <v>42461</v>
          </cell>
          <cell r="M141">
            <v>124.24288266864259</v>
          </cell>
        </row>
        <row r="142">
          <cell r="I142">
            <v>42491</v>
          </cell>
          <cell r="M142">
            <v>121.4868505102045</v>
          </cell>
        </row>
        <row r="143">
          <cell r="I143">
            <v>42522</v>
          </cell>
          <cell r="M143">
            <v>118.72140190855849</v>
          </cell>
        </row>
        <row r="144">
          <cell r="I144">
            <v>42552</v>
          </cell>
          <cell r="M144">
            <v>115.94650469085664</v>
          </cell>
        </row>
        <row r="145">
          <cell r="I145">
            <v>42583</v>
          </cell>
          <cell r="M145">
            <v>113.16212657432796</v>
          </cell>
        </row>
        <row r="146">
          <cell r="I146">
            <v>42614</v>
          </cell>
          <cell r="M146">
            <v>110.3682351659009</v>
          </cell>
        </row>
        <row r="147">
          <cell r="I147">
            <v>42644</v>
          </cell>
          <cell r="M147">
            <v>107.56479796182819</v>
          </cell>
        </row>
        <row r="148">
          <cell r="I148">
            <v>42675</v>
          </cell>
          <cell r="M148">
            <v>104.75178234730843</v>
          </cell>
        </row>
        <row r="149">
          <cell r="I149">
            <v>42705</v>
          </cell>
          <cell r="M149">
            <v>101.92915559610584</v>
          </cell>
        </row>
        <row r="150">
          <cell r="I150">
            <v>42736</v>
          </cell>
          <cell r="M150">
            <v>99.096884870169944</v>
          </cell>
        </row>
        <row r="151">
          <cell r="I151">
            <v>42767</v>
          </cell>
          <cell r="M151">
            <v>96.254937219253733</v>
          </cell>
        </row>
        <row r="152">
          <cell r="I152">
            <v>42795</v>
          </cell>
          <cell r="M152">
            <v>93.403279580530224</v>
          </cell>
        </row>
        <row r="153">
          <cell r="I153">
            <v>42826</v>
          </cell>
          <cell r="M153">
            <v>90.541878778207703</v>
          </cell>
        </row>
        <row r="154">
          <cell r="I154">
            <v>42856</v>
          </cell>
          <cell r="M154">
            <v>87.670701523143791</v>
          </cell>
        </row>
        <row r="155">
          <cell r="I155">
            <v>42887</v>
          </cell>
          <cell r="M155">
            <v>84.789714412458636</v>
          </cell>
        </row>
        <row r="156">
          <cell r="I156">
            <v>42917</v>
          </cell>
          <cell r="M156">
            <v>81.898883929145271</v>
          </cell>
        </row>
        <row r="157">
          <cell r="I157">
            <v>42948</v>
          </cell>
          <cell r="M157">
            <v>78.998176441680371</v>
          </cell>
        </row>
        <row r="158">
          <cell r="I158">
            <v>42979</v>
          </cell>
          <cell r="M158">
            <v>76.087558203633549</v>
          </cell>
        </row>
        <row r="159">
          <cell r="I159">
            <v>43009</v>
          </cell>
          <cell r="M159">
            <v>73.166995353273435</v>
          </cell>
        </row>
        <row r="160">
          <cell r="I160">
            <v>43040</v>
          </cell>
          <cell r="M160">
            <v>70.236453913174458</v>
          </cell>
        </row>
        <row r="161">
          <cell r="I161">
            <v>43070</v>
          </cell>
          <cell r="M161">
            <v>67.295899789821846</v>
          </cell>
        </row>
        <row r="162">
          <cell r="I162">
            <v>43101</v>
          </cell>
          <cell r="M162">
            <v>64.345298773214381</v>
          </cell>
        </row>
        <row r="163">
          <cell r="I163">
            <v>43132</v>
          </cell>
          <cell r="M163">
            <v>61.384616536466844</v>
          </cell>
        </row>
        <row r="164">
          <cell r="I164">
            <v>43160</v>
          </cell>
          <cell r="M164">
            <v>58.413818635410465</v>
          </cell>
        </row>
        <row r="165">
          <cell r="I165">
            <v>43191</v>
          </cell>
          <cell r="M165">
            <v>55.432870508192281</v>
          </cell>
        </row>
        <row r="166">
          <cell r="I166">
            <v>43221</v>
          </cell>
          <cell r="M166">
            <v>52.441737474872561</v>
          </cell>
        </row>
        <row r="167">
          <cell r="I167">
            <v>43252</v>
          </cell>
          <cell r="M167">
            <v>49.440384737022399</v>
          </cell>
        </row>
        <row r="168">
          <cell r="I168">
            <v>43282</v>
          </cell>
          <cell r="M168">
            <v>46.428777377317878</v>
          </cell>
        </row>
        <row r="169">
          <cell r="I169">
            <v>43313</v>
          </cell>
          <cell r="M169">
            <v>43.406880359134526</v>
          </cell>
        </row>
        <row r="170">
          <cell r="I170">
            <v>43344</v>
          </cell>
          <cell r="M170">
            <v>40.37465852613883</v>
          </cell>
        </row>
        <row r="171">
          <cell r="I171">
            <v>43374</v>
          </cell>
          <cell r="M171">
            <v>37.332076601880544</v>
          </cell>
        </row>
        <row r="172">
          <cell r="I172">
            <v>43405</v>
          </cell>
          <cell r="M172">
            <v>34.279099189380915</v>
          </cell>
        </row>
        <row r="173">
          <cell r="I173">
            <v>43435</v>
          </cell>
          <cell r="M173">
            <v>31.215690770722002</v>
          </cell>
        </row>
        <row r="174">
          <cell r="I174">
            <v>43466</v>
          </cell>
          <cell r="M174">
            <v>28.141815706632418</v>
          </cell>
        </row>
        <row r="175">
          <cell r="I175">
            <v>43497</v>
          </cell>
          <cell r="M175">
            <v>25.057438236074265</v>
          </cell>
        </row>
        <row r="176">
          <cell r="I176">
            <v>43525</v>
          </cell>
          <cell r="M176">
            <v>21.962522475824986</v>
          </cell>
        </row>
        <row r="177">
          <cell r="I177">
            <v>43556</v>
          </cell>
          <cell r="M177">
            <v>18.857032420061543</v>
          </cell>
        </row>
        <row r="178">
          <cell r="I178">
            <v>43586</v>
          </cell>
          <cell r="M178">
            <v>15.740931939940655</v>
          </cell>
        </row>
        <row r="179">
          <cell r="I179">
            <v>43617</v>
          </cell>
          <cell r="M179">
            <v>12.614184783179587</v>
          </cell>
        </row>
        <row r="180">
          <cell r="I180">
            <v>43647</v>
          </cell>
          <cell r="M180">
            <v>9.476754573632741</v>
          </cell>
        </row>
        <row r="181">
          <cell r="I181">
            <v>43678</v>
          </cell>
          <cell r="M181">
            <v>6.3286048108698312</v>
          </cell>
        </row>
        <row r="182">
          <cell r="I182">
            <v>43709</v>
          </cell>
          <cell r="M182">
            <v>3.1696988697511941</v>
          </cell>
        </row>
        <row r="183">
          <cell r="I183" t="str">
            <v/>
          </cell>
          <cell r="M183" t="str">
            <v/>
          </cell>
        </row>
        <row r="184">
          <cell r="I184" t="str">
            <v/>
          </cell>
          <cell r="M184" t="str">
            <v/>
          </cell>
        </row>
        <row r="185">
          <cell r="I185" t="str">
            <v/>
          </cell>
          <cell r="M185" t="str">
            <v/>
          </cell>
        </row>
        <row r="186">
          <cell r="I186" t="str">
            <v/>
          </cell>
          <cell r="M186" t="str">
            <v/>
          </cell>
        </row>
        <row r="187">
          <cell r="I187" t="str">
            <v/>
          </cell>
          <cell r="M187" t="str">
            <v/>
          </cell>
        </row>
        <row r="188">
          <cell r="I188" t="str">
            <v/>
          </cell>
          <cell r="M188" t="str">
            <v/>
          </cell>
        </row>
        <row r="189">
          <cell r="I189" t="str">
            <v/>
          </cell>
          <cell r="M189" t="str">
            <v/>
          </cell>
        </row>
        <row r="190">
          <cell r="I190" t="str">
            <v/>
          </cell>
          <cell r="M190" t="str">
            <v/>
          </cell>
        </row>
        <row r="191">
          <cell r="I191" t="str">
            <v/>
          </cell>
          <cell r="M191" t="str">
            <v/>
          </cell>
        </row>
        <row r="192">
          <cell r="I192" t="str">
            <v/>
          </cell>
          <cell r="M192" t="str">
            <v/>
          </cell>
        </row>
        <row r="193">
          <cell r="I193" t="str">
            <v/>
          </cell>
          <cell r="M193" t="str">
            <v/>
          </cell>
        </row>
        <row r="194">
          <cell r="I194" t="str">
            <v/>
          </cell>
          <cell r="M194" t="str">
            <v/>
          </cell>
        </row>
        <row r="195">
          <cell r="I195" t="str">
            <v/>
          </cell>
          <cell r="M195" t="str">
            <v/>
          </cell>
        </row>
        <row r="196">
          <cell r="I196" t="str">
            <v/>
          </cell>
          <cell r="M196" t="str">
            <v/>
          </cell>
        </row>
        <row r="197">
          <cell r="I197" t="str">
            <v/>
          </cell>
          <cell r="M197" t="str">
            <v/>
          </cell>
        </row>
        <row r="198">
          <cell r="I198" t="str">
            <v/>
          </cell>
          <cell r="M198" t="str">
            <v/>
          </cell>
        </row>
        <row r="199">
          <cell r="I199" t="str">
            <v/>
          </cell>
          <cell r="M199" t="str">
            <v/>
          </cell>
        </row>
        <row r="200">
          <cell r="I200" t="str">
            <v/>
          </cell>
          <cell r="M200" t="str">
            <v/>
          </cell>
        </row>
        <row r="201">
          <cell r="I201" t="str">
            <v/>
          </cell>
          <cell r="M201" t="str">
            <v/>
          </cell>
        </row>
        <row r="202">
          <cell r="I202" t="str">
            <v/>
          </cell>
          <cell r="M202" t="str">
            <v/>
          </cell>
        </row>
        <row r="203">
          <cell r="I203" t="str">
            <v/>
          </cell>
          <cell r="M203" t="str">
            <v/>
          </cell>
        </row>
        <row r="204">
          <cell r="I204" t="str">
            <v/>
          </cell>
          <cell r="M204" t="str">
            <v/>
          </cell>
        </row>
        <row r="205">
          <cell r="I205" t="str">
            <v/>
          </cell>
          <cell r="M205" t="str">
            <v/>
          </cell>
        </row>
        <row r="206">
          <cell r="I206" t="str">
            <v/>
          </cell>
          <cell r="M206" t="str">
            <v/>
          </cell>
        </row>
        <row r="207">
          <cell r="I207" t="str">
            <v/>
          </cell>
          <cell r="M207" t="str">
            <v/>
          </cell>
        </row>
        <row r="208">
          <cell r="I208" t="str">
            <v/>
          </cell>
          <cell r="M208" t="str">
            <v/>
          </cell>
        </row>
        <row r="209">
          <cell r="I209" t="str">
            <v/>
          </cell>
          <cell r="M209" t="str">
            <v/>
          </cell>
        </row>
        <row r="210">
          <cell r="I210" t="str">
            <v/>
          </cell>
          <cell r="M210" t="str">
            <v/>
          </cell>
        </row>
        <row r="211">
          <cell r="I211" t="str">
            <v/>
          </cell>
          <cell r="M211" t="str">
            <v/>
          </cell>
        </row>
        <row r="212">
          <cell r="I212" t="str">
            <v/>
          </cell>
          <cell r="M212" t="str">
            <v/>
          </cell>
        </row>
        <row r="213">
          <cell r="I213" t="str">
            <v/>
          </cell>
          <cell r="M213" t="str">
            <v/>
          </cell>
        </row>
        <row r="214">
          <cell r="I214" t="str">
            <v/>
          </cell>
          <cell r="M214" t="str">
            <v/>
          </cell>
        </row>
        <row r="215">
          <cell r="I215" t="str">
            <v/>
          </cell>
          <cell r="M215" t="str">
            <v/>
          </cell>
        </row>
        <row r="216">
          <cell r="I216" t="str">
            <v/>
          </cell>
          <cell r="M216" t="str">
            <v/>
          </cell>
        </row>
        <row r="217">
          <cell r="I217" t="str">
            <v/>
          </cell>
          <cell r="M217" t="str">
            <v/>
          </cell>
        </row>
        <row r="218">
          <cell r="I218" t="str">
            <v/>
          </cell>
          <cell r="M218" t="str">
            <v/>
          </cell>
        </row>
        <row r="219">
          <cell r="I219" t="str">
            <v/>
          </cell>
          <cell r="M219" t="str">
            <v/>
          </cell>
        </row>
        <row r="220">
          <cell r="I220" t="str">
            <v/>
          </cell>
          <cell r="M220" t="str">
            <v/>
          </cell>
        </row>
        <row r="221">
          <cell r="I221" t="str">
            <v/>
          </cell>
          <cell r="M221" t="str">
            <v/>
          </cell>
        </row>
        <row r="222">
          <cell r="I222" t="str">
            <v/>
          </cell>
          <cell r="M222" t="str">
            <v/>
          </cell>
        </row>
        <row r="223">
          <cell r="I223" t="str">
            <v/>
          </cell>
          <cell r="M223" t="str">
            <v/>
          </cell>
        </row>
        <row r="224">
          <cell r="I224" t="str">
            <v/>
          </cell>
          <cell r="M224" t="str">
            <v/>
          </cell>
        </row>
        <row r="225">
          <cell r="I225" t="str">
            <v/>
          </cell>
          <cell r="M225" t="str">
            <v/>
          </cell>
        </row>
        <row r="226">
          <cell r="I226" t="str">
            <v/>
          </cell>
          <cell r="M226" t="str">
            <v/>
          </cell>
        </row>
        <row r="227">
          <cell r="I227" t="str">
            <v/>
          </cell>
          <cell r="M227" t="str">
            <v/>
          </cell>
        </row>
        <row r="228">
          <cell r="I228" t="str">
            <v/>
          </cell>
          <cell r="M228" t="str">
            <v/>
          </cell>
        </row>
        <row r="229">
          <cell r="I229" t="str">
            <v/>
          </cell>
          <cell r="M229" t="str">
            <v/>
          </cell>
        </row>
        <row r="230">
          <cell r="I230" t="str">
            <v/>
          </cell>
          <cell r="M230" t="str">
            <v/>
          </cell>
        </row>
        <row r="231">
          <cell r="I231" t="str">
            <v/>
          </cell>
          <cell r="M231" t="str">
            <v/>
          </cell>
        </row>
        <row r="232">
          <cell r="I232" t="str">
            <v/>
          </cell>
          <cell r="M232" t="str">
            <v/>
          </cell>
        </row>
        <row r="233">
          <cell r="I233" t="str">
            <v/>
          </cell>
          <cell r="M233" t="str">
            <v/>
          </cell>
        </row>
        <row r="234">
          <cell r="I234" t="str">
            <v/>
          </cell>
          <cell r="M234" t="str">
            <v/>
          </cell>
        </row>
        <row r="235">
          <cell r="I235" t="str">
            <v/>
          </cell>
          <cell r="M235" t="str">
            <v/>
          </cell>
        </row>
        <row r="236">
          <cell r="I236" t="str">
            <v/>
          </cell>
          <cell r="M236" t="str">
            <v/>
          </cell>
        </row>
        <row r="237">
          <cell r="I237" t="str">
            <v/>
          </cell>
          <cell r="M237" t="str">
            <v/>
          </cell>
        </row>
        <row r="238">
          <cell r="I238" t="str">
            <v/>
          </cell>
          <cell r="M238" t="str">
            <v/>
          </cell>
        </row>
        <row r="239">
          <cell r="I239" t="str">
            <v/>
          </cell>
          <cell r="M239" t="str">
            <v/>
          </cell>
        </row>
        <row r="240">
          <cell r="I240" t="str">
            <v/>
          </cell>
          <cell r="M240" t="str">
            <v/>
          </cell>
        </row>
        <row r="241">
          <cell r="I241" t="str">
            <v/>
          </cell>
          <cell r="M241" t="str">
            <v/>
          </cell>
        </row>
        <row r="242">
          <cell r="I242" t="str">
            <v/>
          </cell>
          <cell r="M242" t="str">
            <v/>
          </cell>
        </row>
        <row r="243">
          <cell r="I243" t="str">
            <v/>
          </cell>
          <cell r="M243" t="str">
            <v/>
          </cell>
        </row>
        <row r="244">
          <cell r="I244" t="str">
            <v/>
          </cell>
          <cell r="M244" t="str">
            <v/>
          </cell>
        </row>
        <row r="245">
          <cell r="I245" t="str">
            <v/>
          </cell>
          <cell r="M245" t="str">
            <v/>
          </cell>
        </row>
        <row r="246">
          <cell r="I246" t="str">
            <v/>
          </cell>
          <cell r="M246" t="str">
            <v/>
          </cell>
        </row>
        <row r="247">
          <cell r="I247" t="str">
            <v/>
          </cell>
          <cell r="M247" t="str">
            <v/>
          </cell>
        </row>
        <row r="248">
          <cell r="I248" t="str">
            <v/>
          </cell>
          <cell r="M248" t="str">
            <v/>
          </cell>
        </row>
        <row r="249">
          <cell r="I249" t="str">
            <v/>
          </cell>
          <cell r="M249" t="str">
            <v/>
          </cell>
        </row>
        <row r="250">
          <cell r="I250" t="str">
            <v/>
          </cell>
          <cell r="M250" t="str">
            <v/>
          </cell>
        </row>
        <row r="251">
          <cell r="I251" t="str">
            <v/>
          </cell>
          <cell r="M251" t="str">
            <v/>
          </cell>
        </row>
        <row r="252">
          <cell r="I252" t="str">
            <v/>
          </cell>
          <cell r="M252" t="str">
            <v/>
          </cell>
        </row>
        <row r="253">
          <cell r="I253" t="str">
            <v/>
          </cell>
          <cell r="M253" t="str">
            <v/>
          </cell>
        </row>
        <row r="254">
          <cell r="I254" t="str">
            <v/>
          </cell>
          <cell r="M254" t="str">
            <v/>
          </cell>
        </row>
      </sheetData>
      <sheetData sheetId="6" refreshError="1">
        <row r="2">
          <cell r="I2">
            <v>38231</v>
          </cell>
        </row>
        <row r="3">
          <cell r="I3">
            <v>38261</v>
          </cell>
          <cell r="M3">
            <v>0</v>
          </cell>
        </row>
        <row r="4">
          <cell r="I4">
            <v>38292</v>
          </cell>
          <cell r="M4">
            <v>0</v>
          </cell>
        </row>
        <row r="5">
          <cell r="I5">
            <v>38322</v>
          </cell>
          <cell r="M5">
            <v>0</v>
          </cell>
        </row>
        <row r="6">
          <cell r="I6">
            <v>38353</v>
          </cell>
          <cell r="M6">
            <v>0</v>
          </cell>
        </row>
        <row r="7">
          <cell r="I7">
            <v>38384</v>
          </cell>
          <cell r="M7">
            <v>0</v>
          </cell>
        </row>
        <row r="8">
          <cell r="I8">
            <v>38412</v>
          </cell>
          <cell r="M8">
            <v>0</v>
          </cell>
        </row>
        <row r="9">
          <cell r="I9">
            <v>38443</v>
          </cell>
          <cell r="M9">
            <v>0</v>
          </cell>
        </row>
        <row r="10">
          <cell r="I10">
            <v>38473</v>
          </cell>
          <cell r="M10">
            <v>0</v>
          </cell>
        </row>
        <row r="11">
          <cell r="I11">
            <v>38504</v>
          </cell>
          <cell r="M11">
            <v>0</v>
          </cell>
        </row>
        <row r="12">
          <cell r="I12">
            <v>38534</v>
          </cell>
          <cell r="M12">
            <v>0</v>
          </cell>
        </row>
        <row r="13">
          <cell r="I13">
            <v>38565</v>
          </cell>
          <cell r="M13">
            <v>0</v>
          </cell>
        </row>
        <row r="14">
          <cell r="I14">
            <v>38596</v>
          </cell>
          <cell r="M14">
            <v>0</v>
          </cell>
        </row>
        <row r="15">
          <cell r="I15">
            <v>38626</v>
          </cell>
          <cell r="M15">
            <v>0</v>
          </cell>
        </row>
        <row r="16">
          <cell r="I16">
            <v>38657</v>
          </cell>
          <cell r="M16">
            <v>0</v>
          </cell>
        </row>
        <row r="17">
          <cell r="B17">
            <v>0</v>
          </cell>
          <cell r="I17">
            <v>38687</v>
          </cell>
          <cell r="M17">
            <v>0</v>
          </cell>
        </row>
        <row r="18">
          <cell r="B18">
            <v>0</v>
          </cell>
          <cell r="I18">
            <v>38718</v>
          </cell>
          <cell r="M18">
            <v>0</v>
          </cell>
        </row>
        <row r="19">
          <cell r="I19">
            <v>38749</v>
          </cell>
          <cell r="M19">
            <v>0</v>
          </cell>
        </row>
        <row r="20">
          <cell r="I20">
            <v>38777</v>
          </cell>
          <cell r="M20">
            <v>0</v>
          </cell>
        </row>
        <row r="21">
          <cell r="I21">
            <v>38808</v>
          </cell>
          <cell r="M21">
            <v>0</v>
          </cell>
        </row>
        <row r="22">
          <cell r="I22">
            <v>38838</v>
          </cell>
          <cell r="M22">
            <v>0</v>
          </cell>
        </row>
        <row r="23">
          <cell r="I23">
            <v>38869</v>
          </cell>
          <cell r="M23">
            <v>0</v>
          </cell>
        </row>
        <row r="24">
          <cell r="I24">
            <v>38899</v>
          </cell>
          <cell r="M24">
            <v>0</v>
          </cell>
        </row>
        <row r="25">
          <cell r="I25">
            <v>38930</v>
          </cell>
          <cell r="M25">
            <v>0</v>
          </cell>
        </row>
        <row r="26">
          <cell r="I26">
            <v>38961</v>
          </cell>
          <cell r="M26">
            <v>0</v>
          </cell>
        </row>
        <row r="27">
          <cell r="I27">
            <v>38991</v>
          </cell>
          <cell r="M27">
            <v>0</v>
          </cell>
        </row>
        <row r="28">
          <cell r="I28">
            <v>39022</v>
          </cell>
          <cell r="M28">
            <v>0</v>
          </cell>
        </row>
        <row r="29">
          <cell r="I29">
            <v>39052</v>
          </cell>
          <cell r="M29">
            <v>0</v>
          </cell>
        </row>
        <row r="30">
          <cell r="I30">
            <v>39083</v>
          </cell>
          <cell r="M30">
            <v>0</v>
          </cell>
        </row>
        <row r="31">
          <cell r="I31">
            <v>39114</v>
          </cell>
          <cell r="M31">
            <v>0</v>
          </cell>
        </row>
        <row r="32">
          <cell r="I32">
            <v>39142</v>
          </cell>
          <cell r="M32">
            <v>0</v>
          </cell>
        </row>
        <row r="33">
          <cell r="I33">
            <v>39173</v>
          </cell>
          <cell r="M33">
            <v>0</v>
          </cell>
        </row>
        <row r="34">
          <cell r="I34">
            <v>39203</v>
          </cell>
          <cell r="M34">
            <v>0</v>
          </cell>
        </row>
        <row r="35">
          <cell r="I35">
            <v>39234</v>
          </cell>
          <cell r="M35">
            <v>0</v>
          </cell>
        </row>
        <row r="36">
          <cell r="I36">
            <v>39264</v>
          </cell>
          <cell r="M36">
            <v>0</v>
          </cell>
        </row>
        <row r="37">
          <cell r="I37">
            <v>39295</v>
          </cell>
          <cell r="M37">
            <v>0</v>
          </cell>
        </row>
        <row r="38">
          <cell r="I38">
            <v>39326</v>
          </cell>
          <cell r="M38">
            <v>0</v>
          </cell>
        </row>
        <row r="39">
          <cell r="I39">
            <v>39356</v>
          </cell>
          <cell r="M39">
            <v>0</v>
          </cell>
        </row>
        <row r="40">
          <cell r="I40">
            <v>39387</v>
          </cell>
          <cell r="M40">
            <v>0</v>
          </cell>
        </row>
        <row r="41">
          <cell r="I41">
            <v>39417</v>
          </cell>
          <cell r="M41">
            <v>0</v>
          </cell>
        </row>
        <row r="42">
          <cell r="I42">
            <v>39448</v>
          </cell>
          <cell r="M42">
            <v>0</v>
          </cell>
        </row>
        <row r="43">
          <cell r="I43">
            <v>39479</v>
          </cell>
          <cell r="M43">
            <v>0</v>
          </cell>
        </row>
        <row r="44">
          <cell r="I44">
            <v>39508</v>
          </cell>
          <cell r="M44">
            <v>0</v>
          </cell>
        </row>
        <row r="45">
          <cell r="I45">
            <v>39539</v>
          </cell>
          <cell r="M45">
            <v>0</v>
          </cell>
        </row>
        <row r="46">
          <cell r="I46">
            <v>39569</v>
          </cell>
          <cell r="M46">
            <v>0</v>
          </cell>
        </row>
        <row r="47">
          <cell r="I47">
            <v>39600</v>
          </cell>
          <cell r="M47">
            <v>0</v>
          </cell>
        </row>
        <row r="48">
          <cell r="I48">
            <v>39630</v>
          </cell>
          <cell r="M48">
            <v>0</v>
          </cell>
        </row>
        <row r="49">
          <cell r="I49">
            <v>39661</v>
          </cell>
          <cell r="M49">
            <v>0</v>
          </cell>
        </row>
        <row r="50">
          <cell r="I50">
            <v>39692</v>
          </cell>
          <cell r="M50">
            <v>0</v>
          </cell>
        </row>
        <row r="51">
          <cell r="I51">
            <v>39722</v>
          </cell>
          <cell r="M51">
            <v>0</v>
          </cell>
        </row>
        <row r="52">
          <cell r="I52">
            <v>39753</v>
          </cell>
          <cell r="M52">
            <v>0</v>
          </cell>
        </row>
        <row r="53">
          <cell r="I53">
            <v>39783</v>
          </cell>
          <cell r="M53">
            <v>0</v>
          </cell>
        </row>
        <row r="54">
          <cell r="I54">
            <v>39814</v>
          </cell>
          <cell r="M54">
            <v>0</v>
          </cell>
        </row>
        <row r="55">
          <cell r="I55">
            <v>39845</v>
          </cell>
          <cell r="M55">
            <v>0</v>
          </cell>
        </row>
        <row r="56">
          <cell r="I56">
            <v>39873</v>
          </cell>
          <cell r="M56">
            <v>0</v>
          </cell>
        </row>
        <row r="57">
          <cell r="I57">
            <v>39904</v>
          </cell>
          <cell r="M57">
            <v>0</v>
          </cell>
        </row>
        <row r="58">
          <cell r="I58">
            <v>39934</v>
          </cell>
          <cell r="M58">
            <v>0</v>
          </cell>
        </row>
        <row r="59">
          <cell r="I59">
            <v>39965</v>
          </cell>
          <cell r="M59">
            <v>0</v>
          </cell>
        </row>
        <row r="60">
          <cell r="I60">
            <v>39995</v>
          </cell>
          <cell r="M60">
            <v>0</v>
          </cell>
        </row>
        <row r="61">
          <cell r="I61">
            <v>40026</v>
          </cell>
          <cell r="M61">
            <v>0</v>
          </cell>
        </row>
        <row r="62">
          <cell r="I62">
            <v>40057</v>
          </cell>
          <cell r="M62">
            <v>0</v>
          </cell>
        </row>
        <row r="63">
          <cell r="I63">
            <v>40087</v>
          </cell>
          <cell r="M63">
            <v>0</v>
          </cell>
        </row>
        <row r="64">
          <cell r="I64">
            <v>40118</v>
          </cell>
          <cell r="M64">
            <v>0</v>
          </cell>
        </row>
        <row r="65">
          <cell r="I65">
            <v>40148</v>
          </cell>
          <cell r="M65">
            <v>0</v>
          </cell>
        </row>
        <row r="66">
          <cell r="I66">
            <v>40179</v>
          </cell>
          <cell r="M66">
            <v>0</v>
          </cell>
        </row>
        <row r="67">
          <cell r="I67">
            <v>40210</v>
          </cell>
          <cell r="M67">
            <v>0</v>
          </cell>
        </row>
        <row r="68">
          <cell r="I68">
            <v>40238</v>
          </cell>
          <cell r="M68">
            <v>0</v>
          </cell>
        </row>
        <row r="69">
          <cell r="I69">
            <v>40269</v>
          </cell>
          <cell r="M69">
            <v>0</v>
          </cell>
        </row>
        <row r="70">
          <cell r="I70">
            <v>40299</v>
          </cell>
          <cell r="M70">
            <v>0</v>
          </cell>
        </row>
        <row r="71">
          <cell r="I71">
            <v>40330</v>
          </cell>
          <cell r="M71">
            <v>0</v>
          </cell>
        </row>
        <row r="72">
          <cell r="I72">
            <v>40360</v>
          </cell>
          <cell r="M72">
            <v>0</v>
          </cell>
        </row>
        <row r="73">
          <cell r="I73">
            <v>40391</v>
          </cell>
          <cell r="M73">
            <v>0</v>
          </cell>
        </row>
        <row r="74">
          <cell r="I74">
            <v>40422</v>
          </cell>
          <cell r="M74">
            <v>0</v>
          </cell>
        </row>
        <row r="75">
          <cell r="I75">
            <v>40452</v>
          </cell>
          <cell r="M75">
            <v>0</v>
          </cell>
        </row>
        <row r="76">
          <cell r="I76">
            <v>40483</v>
          </cell>
          <cell r="M76">
            <v>0</v>
          </cell>
        </row>
        <row r="77">
          <cell r="I77">
            <v>40513</v>
          </cell>
          <cell r="M77">
            <v>0</v>
          </cell>
        </row>
        <row r="78">
          <cell r="I78">
            <v>40544</v>
          </cell>
          <cell r="M78">
            <v>0</v>
          </cell>
        </row>
        <row r="79">
          <cell r="I79">
            <v>40575</v>
          </cell>
          <cell r="M79">
            <v>0</v>
          </cell>
        </row>
        <row r="80">
          <cell r="I80">
            <v>40603</v>
          </cell>
          <cell r="M80">
            <v>0</v>
          </cell>
        </row>
        <row r="81">
          <cell r="I81">
            <v>40634</v>
          </cell>
          <cell r="M81">
            <v>0</v>
          </cell>
        </row>
        <row r="82">
          <cell r="I82">
            <v>40664</v>
          </cell>
          <cell r="M82">
            <v>0</v>
          </cell>
        </row>
        <row r="83">
          <cell r="I83">
            <v>40695</v>
          </cell>
          <cell r="M83">
            <v>0</v>
          </cell>
        </row>
        <row r="84">
          <cell r="I84">
            <v>40725</v>
          </cell>
          <cell r="M84">
            <v>0</v>
          </cell>
        </row>
        <row r="85">
          <cell r="I85">
            <v>40756</v>
          </cell>
          <cell r="M85">
            <v>0</v>
          </cell>
        </row>
        <row r="86">
          <cell r="I86">
            <v>40787</v>
          </cell>
          <cell r="M86">
            <v>0</v>
          </cell>
        </row>
        <row r="87">
          <cell r="I87">
            <v>40817</v>
          </cell>
          <cell r="M87">
            <v>0</v>
          </cell>
        </row>
        <row r="88">
          <cell r="I88">
            <v>40848</v>
          </cell>
          <cell r="M88">
            <v>0</v>
          </cell>
        </row>
        <row r="89">
          <cell r="I89">
            <v>40878</v>
          </cell>
          <cell r="M89">
            <v>0</v>
          </cell>
        </row>
        <row r="90">
          <cell r="I90">
            <v>40909</v>
          </cell>
          <cell r="M90">
            <v>0</v>
          </cell>
        </row>
        <row r="91">
          <cell r="I91">
            <v>40940</v>
          </cell>
          <cell r="M91">
            <v>0</v>
          </cell>
        </row>
        <row r="92">
          <cell r="I92">
            <v>40969</v>
          </cell>
          <cell r="M92">
            <v>0</v>
          </cell>
        </row>
        <row r="93">
          <cell r="I93">
            <v>41000</v>
          </cell>
          <cell r="M93">
            <v>0</v>
          </cell>
        </row>
        <row r="94">
          <cell r="I94">
            <v>41030</v>
          </cell>
          <cell r="M94">
            <v>0</v>
          </cell>
        </row>
        <row r="95">
          <cell r="I95">
            <v>41061</v>
          </cell>
          <cell r="M95">
            <v>0</v>
          </cell>
        </row>
        <row r="96">
          <cell r="I96">
            <v>41091</v>
          </cell>
          <cell r="M96">
            <v>0</v>
          </cell>
        </row>
        <row r="97">
          <cell r="I97">
            <v>41122</v>
          </cell>
          <cell r="M97">
            <v>0</v>
          </cell>
        </row>
        <row r="98">
          <cell r="I98">
            <v>41153</v>
          </cell>
          <cell r="M98">
            <v>0</v>
          </cell>
        </row>
        <row r="99">
          <cell r="I99">
            <v>41183</v>
          </cell>
          <cell r="M99">
            <v>0</v>
          </cell>
        </row>
        <row r="100">
          <cell r="I100">
            <v>41214</v>
          </cell>
          <cell r="M100">
            <v>0</v>
          </cell>
        </row>
        <row r="101">
          <cell r="I101">
            <v>41244</v>
          </cell>
          <cell r="M101">
            <v>0</v>
          </cell>
        </row>
        <row r="102">
          <cell r="I102">
            <v>41275</v>
          </cell>
          <cell r="M102">
            <v>0</v>
          </cell>
        </row>
        <row r="103">
          <cell r="I103">
            <v>41306</v>
          </cell>
          <cell r="M103">
            <v>0</v>
          </cell>
        </row>
        <row r="104">
          <cell r="I104">
            <v>41334</v>
          </cell>
          <cell r="M104">
            <v>0</v>
          </cell>
        </row>
        <row r="105">
          <cell r="I105">
            <v>41365</v>
          </cell>
          <cell r="M105">
            <v>0</v>
          </cell>
        </row>
        <row r="106">
          <cell r="I106">
            <v>41395</v>
          </cell>
          <cell r="M106">
            <v>0</v>
          </cell>
        </row>
        <row r="107">
          <cell r="I107">
            <v>41426</v>
          </cell>
          <cell r="M107">
            <v>0</v>
          </cell>
        </row>
        <row r="108">
          <cell r="I108">
            <v>41456</v>
          </cell>
          <cell r="M108">
            <v>0</v>
          </cell>
        </row>
        <row r="109">
          <cell r="I109">
            <v>41487</v>
          </cell>
          <cell r="M109">
            <v>0</v>
          </cell>
        </row>
        <row r="110">
          <cell r="I110">
            <v>41518</v>
          </cell>
          <cell r="M110">
            <v>0</v>
          </cell>
        </row>
        <row r="111">
          <cell r="I111">
            <v>41548</v>
          </cell>
          <cell r="M111">
            <v>0</v>
          </cell>
        </row>
        <row r="112">
          <cell r="I112">
            <v>41579</v>
          </cell>
          <cell r="M112">
            <v>0</v>
          </cell>
        </row>
        <row r="113">
          <cell r="I113">
            <v>41609</v>
          </cell>
          <cell r="M113">
            <v>0</v>
          </cell>
        </row>
        <row r="114">
          <cell r="I114">
            <v>41640</v>
          </cell>
          <cell r="M114">
            <v>0</v>
          </cell>
        </row>
        <row r="115">
          <cell r="I115">
            <v>41671</v>
          </cell>
          <cell r="M115">
            <v>0</v>
          </cell>
        </row>
        <row r="116">
          <cell r="I116">
            <v>41699</v>
          </cell>
          <cell r="M116">
            <v>0</v>
          </cell>
        </row>
        <row r="117">
          <cell r="I117">
            <v>41730</v>
          </cell>
          <cell r="M117">
            <v>0</v>
          </cell>
        </row>
        <row r="118">
          <cell r="I118">
            <v>41760</v>
          </cell>
          <cell r="M118">
            <v>0</v>
          </cell>
        </row>
        <row r="119">
          <cell r="I119">
            <v>41791</v>
          </cell>
          <cell r="M119">
            <v>0</v>
          </cell>
        </row>
        <row r="120">
          <cell r="I120">
            <v>41821</v>
          </cell>
          <cell r="M120">
            <v>0</v>
          </cell>
        </row>
        <row r="121">
          <cell r="I121">
            <v>41852</v>
          </cell>
          <cell r="M121">
            <v>0</v>
          </cell>
        </row>
        <row r="122">
          <cell r="I122">
            <v>41883</v>
          </cell>
          <cell r="M122">
            <v>0</v>
          </cell>
        </row>
        <row r="123">
          <cell r="I123">
            <v>41913</v>
          </cell>
          <cell r="M123">
            <v>0</v>
          </cell>
        </row>
        <row r="124">
          <cell r="I124">
            <v>41944</v>
          </cell>
          <cell r="M124">
            <v>0</v>
          </cell>
        </row>
        <row r="125">
          <cell r="I125">
            <v>41974</v>
          </cell>
          <cell r="M125">
            <v>0</v>
          </cell>
        </row>
        <row r="126">
          <cell r="I126">
            <v>42005</v>
          </cell>
          <cell r="M126">
            <v>0</v>
          </cell>
        </row>
        <row r="127">
          <cell r="I127">
            <v>42036</v>
          </cell>
          <cell r="M127">
            <v>0</v>
          </cell>
        </row>
        <row r="128">
          <cell r="I128">
            <v>42064</v>
          </cell>
          <cell r="M128">
            <v>0</v>
          </cell>
        </row>
        <row r="129">
          <cell r="I129">
            <v>42095</v>
          </cell>
          <cell r="M129">
            <v>0</v>
          </cell>
        </row>
        <row r="130">
          <cell r="I130">
            <v>42125</v>
          </cell>
          <cell r="M130">
            <v>0</v>
          </cell>
        </row>
        <row r="131">
          <cell r="I131">
            <v>42156</v>
          </cell>
          <cell r="M131">
            <v>0</v>
          </cell>
        </row>
        <row r="132">
          <cell r="I132">
            <v>42186</v>
          </cell>
          <cell r="M132">
            <v>0</v>
          </cell>
        </row>
        <row r="133">
          <cell r="I133">
            <v>42217</v>
          </cell>
          <cell r="M133">
            <v>0</v>
          </cell>
        </row>
        <row r="134">
          <cell r="I134">
            <v>42248</v>
          </cell>
          <cell r="M134">
            <v>0</v>
          </cell>
        </row>
        <row r="135">
          <cell r="I135">
            <v>42278</v>
          </cell>
          <cell r="M135">
            <v>0</v>
          </cell>
        </row>
        <row r="136">
          <cell r="I136">
            <v>42309</v>
          </cell>
          <cell r="M136">
            <v>0</v>
          </cell>
        </row>
        <row r="137">
          <cell r="I137">
            <v>42339</v>
          </cell>
          <cell r="M137">
            <v>0</v>
          </cell>
        </row>
        <row r="138">
          <cell r="I138">
            <v>42370</v>
          </cell>
          <cell r="M138">
            <v>0</v>
          </cell>
        </row>
        <row r="139">
          <cell r="I139">
            <v>42401</v>
          </cell>
          <cell r="M139">
            <v>0</v>
          </cell>
        </row>
        <row r="140">
          <cell r="I140">
            <v>42430</v>
          </cell>
          <cell r="M140">
            <v>0</v>
          </cell>
        </row>
        <row r="141">
          <cell r="I141">
            <v>42461</v>
          </cell>
          <cell r="M141">
            <v>0</v>
          </cell>
        </row>
        <row r="142">
          <cell r="I142">
            <v>42491</v>
          </cell>
          <cell r="M142">
            <v>0</v>
          </cell>
        </row>
        <row r="143">
          <cell r="I143">
            <v>42522</v>
          </cell>
          <cell r="M143">
            <v>0</v>
          </cell>
        </row>
        <row r="144">
          <cell r="I144">
            <v>42552</v>
          </cell>
          <cell r="M144">
            <v>0</v>
          </cell>
        </row>
        <row r="145">
          <cell r="I145">
            <v>42583</v>
          </cell>
          <cell r="M145">
            <v>0</v>
          </cell>
        </row>
        <row r="146">
          <cell r="I146">
            <v>42614</v>
          </cell>
          <cell r="M146">
            <v>0</v>
          </cell>
        </row>
        <row r="147">
          <cell r="I147">
            <v>42644</v>
          </cell>
          <cell r="M147">
            <v>0</v>
          </cell>
        </row>
        <row r="148">
          <cell r="I148">
            <v>42675</v>
          </cell>
          <cell r="M148">
            <v>0</v>
          </cell>
        </row>
        <row r="149">
          <cell r="I149">
            <v>42705</v>
          </cell>
          <cell r="M149">
            <v>0</v>
          </cell>
        </row>
        <row r="150">
          <cell r="I150">
            <v>42736</v>
          </cell>
          <cell r="M150">
            <v>0</v>
          </cell>
        </row>
        <row r="151">
          <cell r="I151">
            <v>42767</v>
          </cell>
          <cell r="M151">
            <v>0</v>
          </cell>
        </row>
        <row r="152">
          <cell r="I152">
            <v>42795</v>
          </cell>
          <cell r="M152">
            <v>0</v>
          </cell>
        </row>
        <row r="153">
          <cell r="I153">
            <v>42826</v>
          </cell>
          <cell r="M153">
            <v>0</v>
          </cell>
        </row>
        <row r="154">
          <cell r="I154">
            <v>42856</v>
          </cell>
          <cell r="M154">
            <v>0</v>
          </cell>
        </row>
        <row r="155">
          <cell r="I155">
            <v>42887</v>
          </cell>
          <cell r="M155">
            <v>0</v>
          </cell>
        </row>
        <row r="156">
          <cell r="I156">
            <v>42917</v>
          </cell>
          <cell r="M156">
            <v>0</v>
          </cell>
        </row>
        <row r="157">
          <cell r="I157">
            <v>42948</v>
          </cell>
          <cell r="M157">
            <v>0</v>
          </cell>
        </row>
        <row r="158">
          <cell r="I158">
            <v>42979</v>
          </cell>
          <cell r="M158">
            <v>0</v>
          </cell>
        </row>
        <row r="159">
          <cell r="I159">
            <v>43009</v>
          </cell>
          <cell r="M159">
            <v>0</v>
          </cell>
        </row>
        <row r="160">
          <cell r="I160">
            <v>43040</v>
          </cell>
          <cell r="M160">
            <v>0</v>
          </cell>
        </row>
        <row r="161">
          <cell r="I161">
            <v>43070</v>
          </cell>
          <cell r="M161">
            <v>0</v>
          </cell>
        </row>
        <row r="162">
          <cell r="I162">
            <v>43101</v>
          </cell>
          <cell r="M162">
            <v>0</v>
          </cell>
        </row>
        <row r="163">
          <cell r="I163">
            <v>43132</v>
          </cell>
          <cell r="M163">
            <v>0</v>
          </cell>
        </row>
        <row r="164">
          <cell r="I164">
            <v>43160</v>
          </cell>
          <cell r="M164">
            <v>0</v>
          </cell>
        </row>
        <row r="165">
          <cell r="I165">
            <v>43191</v>
          </cell>
          <cell r="M165">
            <v>0</v>
          </cell>
        </row>
        <row r="166">
          <cell r="I166">
            <v>43221</v>
          </cell>
          <cell r="M166">
            <v>0</v>
          </cell>
        </row>
        <row r="167">
          <cell r="I167">
            <v>43252</v>
          </cell>
          <cell r="M167">
            <v>0</v>
          </cell>
        </row>
        <row r="168">
          <cell r="I168">
            <v>43282</v>
          </cell>
          <cell r="M168">
            <v>0</v>
          </cell>
        </row>
        <row r="169">
          <cell r="I169">
            <v>43313</v>
          </cell>
          <cell r="M169">
            <v>0</v>
          </cell>
        </row>
        <row r="170">
          <cell r="I170">
            <v>43344</v>
          </cell>
          <cell r="M170">
            <v>0</v>
          </cell>
        </row>
        <row r="171">
          <cell r="I171">
            <v>43374</v>
          </cell>
          <cell r="M171">
            <v>0</v>
          </cell>
        </row>
        <row r="172">
          <cell r="I172">
            <v>43405</v>
          </cell>
          <cell r="M172">
            <v>0</v>
          </cell>
        </row>
        <row r="173">
          <cell r="I173">
            <v>43435</v>
          </cell>
          <cell r="M173">
            <v>0</v>
          </cell>
        </row>
        <row r="174">
          <cell r="I174">
            <v>43466</v>
          </cell>
          <cell r="M174">
            <v>0</v>
          </cell>
        </row>
        <row r="175">
          <cell r="I175">
            <v>43497</v>
          </cell>
          <cell r="M175">
            <v>0</v>
          </cell>
        </row>
        <row r="176">
          <cell r="I176">
            <v>43525</v>
          </cell>
          <cell r="M176">
            <v>0</v>
          </cell>
        </row>
        <row r="177">
          <cell r="I177">
            <v>43556</v>
          </cell>
          <cell r="M177">
            <v>0</v>
          </cell>
        </row>
        <row r="178">
          <cell r="I178">
            <v>43586</v>
          </cell>
          <cell r="M178">
            <v>0</v>
          </cell>
        </row>
        <row r="179">
          <cell r="I179">
            <v>43617</v>
          </cell>
          <cell r="M179">
            <v>0</v>
          </cell>
        </row>
        <row r="180">
          <cell r="I180">
            <v>43647</v>
          </cell>
          <cell r="M180">
            <v>0</v>
          </cell>
        </row>
        <row r="181">
          <cell r="I181">
            <v>43678</v>
          </cell>
          <cell r="M181">
            <v>0</v>
          </cell>
        </row>
        <row r="182">
          <cell r="I182">
            <v>43709</v>
          </cell>
          <cell r="M182">
            <v>0</v>
          </cell>
        </row>
        <row r="183">
          <cell r="I183" t="str">
            <v/>
          </cell>
          <cell r="M183" t="str">
            <v/>
          </cell>
        </row>
        <row r="184">
          <cell r="I184" t="str">
            <v/>
          </cell>
          <cell r="M184" t="str">
            <v/>
          </cell>
        </row>
        <row r="185">
          <cell r="I185" t="str">
            <v/>
          </cell>
          <cell r="M185" t="str">
            <v/>
          </cell>
        </row>
        <row r="186">
          <cell r="I186" t="str">
            <v/>
          </cell>
          <cell r="M186" t="str">
            <v/>
          </cell>
        </row>
        <row r="187">
          <cell r="I187" t="str">
            <v/>
          </cell>
          <cell r="M187" t="str">
            <v/>
          </cell>
        </row>
        <row r="188">
          <cell r="I188" t="str">
            <v/>
          </cell>
          <cell r="M188" t="str">
            <v/>
          </cell>
        </row>
        <row r="189">
          <cell r="I189" t="str">
            <v/>
          </cell>
          <cell r="M189" t="str">
            <v/>
          </cell>
        </row>
        <row r="190">
          <cell r="I190" t="str">
            <v/>
          </cell>
          <cell r="M190" t="str">
            <v/>
          </cell>
        </row>
        <row r="191">
          <cell r="I191" t="str">
            <v/>
          </cell>
          <cell r="M191" t="str">
            <v/>
          </cell>
        </row>
        <row r="192">
          <cell r="I192" t="str">
            <v/>
          </cell>
          <cell r="M192" t="str">
            <v/>
          </cell>
        </row>
        <row r="193">
          <cell r="I193" t="str">
            <v/>
          </cell>
          <cell r="M193" t="str">
            <v/>
          </cell>
        </row>
        <row r="194">
          <cell r="I194" t="str">
            <v/>
          </cell>
          <cell r="M194" t="str">
            <v/>
          </cell>
        </row>
        <row r="195">
          <cell r="I195" t="str">
            <v/>
          </cell>
          <cell r="M195" t="str">
            <v/>
          </cell>
        </row>
        <row r="196">
          <cell r="I196" t="str">
            <v/>
          </cell>
          <cell r="M196" t="str">
            <v/>
          </cell>
        </row>
        <row r="197">
          <cell r="I197" t="str">
            <v/>
          </cell>
          <cell r="M197" t="str">
            <v/>
          </cell>
        </row>
        <row r="198">
          <cell r="I198" t="str">
            <v/>
          </cell>
          <cell r="M198" t="str">
            <v/>
          </cell>
        </row>
        <row r="199">
          <cell r="I199" t="str">
            <v/>
          </cell>
          <cell r="M199" t="str">
            <v/>
          </cell>
        </row>
        <row r="200">
          <cell r="I200" t="str">
            <v/>
          </cell>
          <cell r="M200" t="str">
            <v/>
          </cell>
        </row>
        <row r="201">
          <cell r="I201" t="str">
            <v/>
          </cell>
          <cell r="M201" t="str">
            <v/>
          </cell>
        </row>
        <row r="202">
          <cell r="I202" t="str">
            <v/>
          </cell>
          <cell r="M202" t="str">
            <v/>
          </cell>
        </row>
        <row r="203">
          <cell r="I203" t="str">
            <v/>
          </cell>
          <cell r="M203" t="str">
            <v/>
          </cell>
        </row>
        <row r="204">
          <cell r="I204" t="str">
            <v/>
          </cell>
          <cell r="M204" t="str">
            <v/>
          </cell>
        </row>
        <row r="205">
          <cell r="I205" t="str">
            <v/>
          </cell>
          <cell r="M205" t="str">
            <v/>
          </cell>
        </row>
        <row r="206">
          <cell r="I206" t="str">
            <v/>
          </cell>
          <cell r="M206" t="str">
            <v/>
          </cell>
        </row>
        <row r="207">
          <cell r="I207" t="str">
            <v/>
          </cell>
          <cell r="M207" t="str">
            <v/>
          </cell>
        </row>
        <row r="208">
          <cell r="I208" t="str">
            <v/>
          </cell>
          <cell r="M208" t="str">
            <v/>
          </cell>
        </row>
        <row r="209">
          <cell r="I209" t="str">
            <v/>
          </cell>
          <cell r="M209" t="str">
            <v/>
          </cell>
        </row>
        <row r="210">
          <cell r="I210" t="str">
            <v/>
          </cell>
          <cell r="M210" t="str">
            <v/>
          </cell>
        </row>
        <row r="211">
          <cell r="I211" t="str">
            <v/>
          </cell>
          <cell r="M211" t="str">
            <v/>
          </cell>
        </row>
        <row r="212">
          <cell r="I212" t="str">
            <v/>
          </cell>
          <cell r="M212" t="str">
            <v/>
          </cell>
        </row>
        <row r="213">
          <cell r="I213" t="str">
            <v/>
          </cell>
          <cell r="M213" t="str">
            <v/>
          </cell>
        </row>
        <row r="214">
          <cell r="I214" t="str">
            <v/>
          </cell>
          <cell r="M214" t="str">
            <v/>
          </cell>
        </row>
        <row r="215">
          <cell r="I215" t="str">
            <v/>
          </cell>
          <cell r="M215" t="str">
            <v/>
          </cell>
        </row>
        <row r="216">
          <cell r="I216" t="str">
            <v/>
          </cell>
          <cell r="M216" t="str">
            <v/>
          </cell>
        </row>
        <row r="217">
          <cell r="I217" t="str">
            <v/>
          </cell>
          <cell r="M217" t="str">
            <v/>
          </cell>
        </row>
        <row r="218">
          <cell r="I218" t="str">
            <v/>
          </cell>
          <cell r="M218" t="str">
            <v/>
          </cell>
        </row>
        <row r="219">
          <cell r="I219" t="str">
            <v/>
          </cell>
          <cell r="M219" t="str">
            <v/>
          </cell>
        </row>
        <row r="220">
          <cell r="I220" t="str">
            <v/>
          </cell>
          <cell r="M220" t="str">
            <v/>
          </cell>
        </row>
        <row r="221">
          <cell r="I221" t="str">
            <v/>
          </cell>
          <cell r="M221" t="str">
            <v/>
          </cell>
        </row>
        <row r="222">
          <cell r="I222" t="str">
            <v/>
          </cell>
          <cell r="M222" t="str">
            <v/>
          </cell>
        </row>
        <row r="223">
          <cell r="I223" t="str">
            <v/>
          </cell>
          <cell r="M223" t="str">
            <v/>
          </cell>
        </row>
        <row r="224">
          <cell r="I224" t="str">
            <v/>
          </cell>
          <cell r="M224" t="str">
            <v/>
          </cell>
        </row>
        <row r="225">
          <cell r="I225" t="str">
            <v/>
          </cell>
          <cell r="M225" t="str">
            <v/>
          </cell>
        </row>
        <row r="226">
          <cell r="I226" t="str">
            <v/>
          </cell>
          <cell r="M226" t="str">
            <v/>
          </cell>
        </row>
        <row r="227">
          <cell r="I227" t="str">
            <v/>
          </cell>
          <cell r="M227" t="str">
            <v/>
          </cell>
        </row>
        <row r="228">
          <cell r="I228" t="str">
            <v/>
          </cell>
          <cell r="M228" t="str">
            <v/>
          </cell>
        </row>
        <row r="229">
          <cell r="I229" t="str">
            <v/>
          </cell>
          <cell r="M229" t="str">
            <v/>
          </cell>
        </row>
        <row r="230">
          <cell r="I230" t="str">
            <v/>
          </cell>
          <cell r="M230" t="str">
            <v/>
          </cell>
        </row>
        <row r="231">
          <cell r="I231" t="str">
            <v/>
          </cell>
          <cell r="M231" t="str">
            <v/>
          </cell>
        </row>
        <row r="232">
          <cell r="I232" t="str">
            <v/>
          </cell>
          <cell r="M232" t="str">
            <v/>
          </cell>
        </row>
        <row r="233">
          <cell r="I233" t="str">
            <v/>
          </cell>
          <cell r="M233" t="str">
            <v/>
          </cell>
        </row>
        <row r="234">
          <cell r="I234" t="str">
            <v/>
          </cell>
          <cell r="M234" t="str">
            <v/>
          </cell>
        </row>
        <row r="235">
          <cell r="I235" t="str">
            <v/>
          </cell>
          <cell r="M235" t="str">
            <v/>
          </cell>
        </row>
        <row r="236">
          <cell r="I236" t="str">
            <v/>
          </cell>
          <cell r="M236" t="str">
            <v/>
          </cell>
        </row>
        <row r="237">
          <cell r="I237" t="str">
            <v/>
          </cell>
          <cell r="M237" t="str">
            <v/>
          </cell>
        </row>
        <row r="238">
          <cell r="I238" t="str">
            <v/>
          </cell>
          <cell r="M238" t="str">
            <v/>
          </cell>
        </row>
        <row r="239">
          <cell r="I239" t="str">
            <v/>
          </cell>
          <cell r="M239" t="str">
            <v/>
          </cell>
        </row>
        <row r="240">
          <cell r="I240" t="str">
            <v/>
          </cell>
          <cell r="M240" t="str">
            <v/>
          </cell>
        </row>
        <row r="241">
          <cell r="I241" t="str">
            <v/>
          </cell>
          <cell r="M241" t="str">
            <v/>
          </cell>
        </row>
        <row r="242">
          <cell r="I242" t="str">
            <v/>
          </cell>
          <cell r="M242" t="str">
            <v/>
          </cell>
        </row>
        <row r="243">
          <cell r="I243" t="str">
            <v/>
          </cell>
          <cell r="M243" t="str">
            <v/>
          </cell>
        </row>
        <row r="244">
          <cell r="I244" t="str">
            <v/>
          </cell>
          <cell r="M244" t="str">
            <v/>
          </cell>
        </row>
        <row r="245">
          <cell r="I245" t="str">
            <v/>
          </cell>
          <cell r="M245" t="str">
            <v/>
          </cell>
        </row>
        <row r="246">
          <cell r="I246" t="str">
            <v/>
          </cell>
          <cell r="M246" t="str">
            <v/>
          </cell>
        </row>
        <row r="247">
          <cell r="I247" t="str">
            <v/>
          </cell>
          <cell r="M247" t="str">
            <v/>
          </cell>
        </row>
        <row r="248">
          <cell r="I248" t="str">
            <v/>
          </cell>
          <cell r="M248" t="str">
            <v/>
          </cell>
        </row>
        <row r="249">
          <cell r="I249" t="str">
            <v/>
          </cell>
          <cell r="M249" t="str">
            <v/>
          </cell>
        </row>
        <row r="250">
          <cell r="I250" t="str">
            <v/>
          </cell>
          <cell r="M250" t="str">
            <v/>
          </cell>
        </row>
        <row r="251">
          <cell r="I251" t="str">
            <v/>
          </cell>
          <cell r="M251" t="str">
            <v/>
          </cell>
        </row>
        <row r="252">
          <cell r="I252" t="str">
            <v/>
          </cell>
          <cell r="M252" t="str">
            <v/>
          </cell>
        </row>
        <row r="253">
          <cell r="I253" t="str">
            <v/>
          </cell>
          <cell r="M253" t="str">
            <v/>
          </cell>
        </row>
        <row r="254">
          <cell r="I254" t="str">
            <v/>
          </cell>
          <cell r="M254" t="str">
            <v/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 communaux"/>
      <sheetName val="Param globaux"/>
      <sheetName val="Param opération"/>
      <sheetName val="Surfaces"/>
      <sheetName val="Présentations"/>
      <sheetName val="Prix rev.CE"/>
      <sheetName val="Bilan Détaillé CE DDE"/>
      <sheetName val="Bilan Récap. CE DDE"/>
      <sheetName val="Attestations DDE"/>
      <sheetName val="Contingent CE DDE"/>
      <sheetName val="ODSDataSheet"/>
      <sheetName val="ODSTempDataSheet"/>
    </sheetNames>
    <sheetDataSet>
      <sheetData sheetId="0"/>
      <sheetData sheetId="1" refreshError="1">
        <row r="7">
          <cell r="J7">
            <v>595</v>
          </cell>
        </row>
        <row r="9">
          <cell r="J9">
            <v>6098</v>
          </cell>
        </row>
        <row r="34">
          <cell r="J34">
            <v>0.05</v>
          </cell>
        </row>
        <row r="35">
          <cell r="J35">
            <v>0.03</v>
          </cell>
        </row>
        <row r="36">
          <cell r="J36">
            <v>2.1000000000000001E-2</v>
          </cell>
        </row>
        <row r="37">
          <cell r="J37">
            <v>8.5000000000000006E-2</v>
          </cell>
        </row>
      </sheetData>
      <sheetData sheetId="2" refreshError="1">
        <row r="4">
          <cell r="F4" t="str">
            <v>FIDJI individuels</v>
          </cell>
        </row>
        <row r="6">
          <cell r="F6" t="str">
            <v/>
          </cell>
        </row>
        <row r="38">
          <cell r="F38">
            <v>127500</v>
          </cell>
        </row>
        <row r="39">
          <cell r="F39">
            <v>0</v>
          </cell>
        </row>
        <row r="41">
          <cell r="F41">
            <v>246</v>
          </cell>
        </row>
        <row r="42">
          <cell r="F42">
            <v>672</v>
          </cell>
        </row>
        <row r="43">
          <cell r="F43">
            <v>0</v>
          </cell>
        </row>
        <row r="44">
          <cell r="F44">
            <v>3.0000000000000001E-3</v>
          </cell>
        </row>
        <row r="45">
          <cell r="F45">
            <v>0.02</v>
          </cell>
        </row>
        <row r="46">
          <cell r="F46">
            <v>800</v>
          </cell>
        </row>
        <row r="47">
          <cell r="F47">
            <v>304.89999999999998</v>
          </cell>
        </row>
        <row r="48">
          <cell r="F48">
            <v>0</v>
          </cell>
        </row>
        <row r="51">
          <cell r="F51">
            <v>0.32500000000000001</v>
          </cell>
        </row>
        <row r="52">
          <cell r="F52">
            <v>1149774.6459999999</v>
          </cell>
        </row>
        <row r="53">
          <cell r="F53">
            <v>0</v>
          </cell>
        </row>
        <row r="54">
          <cell r="F54" t="str">
            <v>CAF</v>
          </cell>
        </row>
        <row r="55">
          <cell r="F55">
            <v>91470</v>
          </cell>
        </row>
        <row r="56">
          <cell r="F56">
            <v>0</v>
          </cell>
        </row>
        <row r="58">
          <cell r="F58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 t="str">
            <v>Autre sub logement</v>
          </cell>
        </row>
        <row r="63">
          <cell r="F63">
            <v>0</v>
          </cell>
        </row>
        <row r="64">
          <cell r="F64" t="str">
            <v>Autre sub commerce</v>
          </cell>
        </row>
        <row r="65">
          <cell r="F65" t="str">
            <v>Région</v>
          </cell>
        </row>
        <row r="66">
          <cell r="F66">
            <v>0</v>
          </cell>
        </row>
        <row r="67">
          <cell r="F67">
            <v>0.75</v>
          </cell>
        </row>
        <row r="70">
          <cell r="F70">
            <v>0</v>
          </cell>
        </row>
        <row r="71">
          <cell r="F71" t="str">
            <v>OUI</v>
          </cell>
        </row>
        <row r="72">
          <cell r="F72" t="str">
            <v>NON</v>
          </cell>
        </row>
        <row r="73">
          <cell r="F73" t="str">
            <v/>
          </cell>
        </row>
        <row r="75">
          <cell r="F75">
            <v>18000</v>
          </cell>
        </row>
        <row r="78">
          <cell r="F78">
            <v>0</v>
          </cell>
        </row>
        <row r="83">
          <cell r="F83">
            <v>294468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90">
          <cell r="F90">
            <v>0</v>
          </cell>
        </row>
        <row r="91">
          <cell r="F91">
            <v>0</v>
          </cell>
        </row>
      </sheetData>
      <sheetData sheetId="3" refreshError="1">
        <row r="53">
          <cell r="X53">
            <v>0</v>
          </cell>
          <cell r="AA5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DEAL"/>
      <sheetName val="première page"/>
      <sheetName val="Donnée d'entrée"/>
      <sheetName val="1"/>
      <sheetName val="2"/>
      <sheetName val="3"/>
      <sheetName val="5"/>
      <sheetName val="6"/>
      <sheetName val="7"/>
      <sheetName val="8"/>
      <sheetName val="9"/>
      <sheetName val="PRZA "/>
      <sheetName val="FRAFU AVS + LESG"/>
      <sheetName val="Bdgt"/>
      <sheetName val="EDD"/>
      <sheetName val="FFD PLS"/>
      <sheetName val="BILAN LLS"/>
      <sheetName val="BILAN LLTS"/>
      <sheetName val="BILAN PLS"/>
      <sheetName val="Trésorerie"/>
      <sheetName val="FICHE CLOTURE"/>
      <sheetName val="Suivi MARCHES"/>
      <sheetName val="SF previsio PLS"/>
      <sheetName val="Synthèse PLS"/>
      <sheetName val="SF previsio LLS-LLTS"/>
      <sheetName val="Synthèse LLS-LLTS"/>
      <sheetName val="Calcul CIDOM"/>
      <sheetName val="Loyers Max"/>
      <sheetName val="Prgr. 2019"/>
      <sheetName val="DPR LLS"/>
      <sheetName val="FFD LLS"/>
      <sheetName val="DPR PLS"/>
      <sheetName val="DPR LLTS"/>
      <sheetName val="FFD LLTS"/>
      <sheetName val="Test de compensation"/>
      <sheetName val="Notice explicative"/>
      <sheetName val="Calculs détaillés"/>
      <sheetName val="pièces 3.2 et 3.3"/>
    </sheetNames>
    <sheetDataSet>
      <sheetData sheetId="0" refreshError="1"/>
      <sheetData sheetId="1" refreshError="1"/>
      <sheetData sheetId="2">
        <row r="24">
          <cell r="D24" t="str">
            <v>7, rue Jean Couturier 97831 CS 40030  LE TAMPON CEDEX</v>
          </cell>
        </row>
      </sheetData>
      <sheetData sheetId="3">
        <row r="65">
          <cell r="D6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05">
          <cell r="D105">
            <v>0</v>
          </cell>
        </row>
      </sheetData>
      <sheetData sheetId="13">
        <row r="9">
          <cell r="D9" t="str">
            <v>110</v>
          </cell>
        </row>
      </sheetData>
      <sheetData sheetId="14">
        <row r="17">
          <cell r="B17" t="str">
            <v>Arrêté n° ……………….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2">
          <cell r="N12" t="e">
            <v>#DIV/0!</v>
          </cell>
        </row>
      </sheetData>
      <sheetData sheetId="23" refreshError="1"/>
      <sheetData sheetId="24">
        <row r="12">
          <cell r="N12" t="e">
            <v>#DIV/0!</v>
          </cell>
        </row>
      </sheetData>
      <sheetData sheetId="25" refreshError="1"/>
      <sheetData sheetId="26" refreshError="1"/>
      <sheetData sheetId="27">
        <row r="3">
          <cell r="A3" t="str">
            <v>T I Bis a</v>
          </cell>
        </row>
      </sheetData>
      <sheetData sheetId="28">
        <row r="1">
          <cell r="D1" t="str">
            <v>Prog 2019</v>
          </cell>
        </row>
        <row r="49">
          <cell r="D49">
            <v>7.06</v>
          </cell>
        </row>
        <row r="67">
          <cell r="AA67">
            <v>0</v>
          </cell>
        </row>
        <row r="68">
          <cell r="AC68">
            <v>0</v>
          </cell>
        </row>
      </sheetData>
      <sheetData sheetId="29">
        <row r="58">
          <cell r="E58" t="e">
            <v>#DIV/0!</v>
          </cell>
        </row>
      </sheetData>
      <sheetData sheetId="30">
        <row r="24">
          <cell r="B24">
            <v>0</v>
          </cell>
        </row>
      </sheetData>
      <sheetData sheetId="31">
        <row r="56">
          <cell r="E56" t="e">
            <v>#DIV/0!</v>
          </cell>
        </row>
      </sheetData>
      <sheetData sheetId="32">
        <row r="56">
          <cell r="E56" t="e">
            <v>#DIV/0!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XFD137"/>
  <sheetViews>
    <sheetView tabSelected="1" view="pageBreakPreview" topLeftCell="R6" zoomScale="70" zoomScaleNormal="40" zoomScaleSheetLayoutView="70" zoomScalePageLayoutView="55" workbookViewId="0">
      <selection activeCell="AF14" sqref="AF14"/>
    </sheetView>
  </sheetViews>
  <sheetFormatPr baseColWidth="10" defaultColWidth="10.7109375" defaultRowHeight="12.75" outlineLevelRow="1" outlineLevelCol="1"/>
  <cols>
    <col min="1" max="1" width="14.28515625" style="345" customWidth="1"/>
    <col min="2" max="2" width="15.42578125" style="319" customWidth="1"/>
    <col min="3" max="3" width="17.42578125" style="426" customWidth="1"/>
    <col min="4" max="4" width="15" style="321" customWidth="1"/>
    <col min="5" max="6" width="21" style="11" customWidth="1"/>
    <col min="7" max="7" width="17.7109375" style="326" customWidth="1"/>
    <col min="8" max="8" width="16.85546875" style="326" bestFit="1" customWidth="1"/>
    <col min="9" max="9" width="15.42578125" style="326" bestFit="1" customWidth="1"/>
    <col min="10" max="10" width="18.140625" style="326" customWidth="1"/>
    <col min="11" max="11" width="13" style="326" customWidth="1" outlineLevel="1"/>
    <col min="12" max="12" width="10.7109375" style="326" customWidth="1" outlineLevel="1"/>
    <col min="13" max="13" width="12.140625" style="326" customWidth="1" outlineLevel="1"/>
    <col min="14" max="14" width="10.28515625" style="326" customWidth="1" outlineLevel="1"/>
    <col min="15" max="15" width="11.42578125" style="326" customWidth="1" outlineLevel="1"/>
    <col min="16" max="16" width="12.7109375" style="326" customWidth="1" outlineLevel="1"/>
    <col min="17" max="17" width="16.140625" style="11" customWidth="1"/>
    <col min="18" max="18" width="14.42578125" style="11" bestFit="1" customWidth="1"/>
    <col min="19" max="19" width="10.42578125" style="11" customWidth="1"/>
    <col min="20" max="20" width="11.7109375" style="11" customWidth="1"/>
    <col min="21" max="21" width="10.140625" style="326" customWidth="1"/>
    <col min="22" max="22" width="9.7109375" style="326" customWidth="1"/>
    <col min="23" max="23" width="17.42578125" style="326" customWidth="1"/>
    <col min="24" max="24" width="17.85546875" style="326" customWidth="1"/>
    <col min="25" max="25" width="19.7109375" style="11" customWidth="1"/>
    <col min="26" max="26" width="15.7109375" style="11" bestFit="1" customWidth="1"/>
    <col min="27" max="27" width="15.85546875" style="11" bestFit="1" customWidth="1"/>
    <col min="28" max="28" width="17" style="11" customWidth="1"/>
    <col min="29" max="29" width="13.85546875" bestFit="1" customWidth="1"/>
    <col min="30" max="30" width="21.42578125" bestFit="1" customWidth="1"/>
    <col min="31" max="31" width="18" customWidth="1"/>
    <col min="32" max="32" width="19" customWidth="1"/>
    <col min="33" max="33" width="17" customWidth="1"/>
    <col min="34" max="34" width="14.85546875" customWidth="1"/>
    <col min="35" max="35" width="20.7109375" style="17" bestFit="1" customWidth="1"/>
    <col min="36" max="36" width="8.85546875" style="17" customWidth="1"/>
    <col min="37" max="16384" width="10.7109375" style="17"/>
  </cols>
  <sheetData>
    <row r="1" spans="1:38" ht="21.75" customHeight="1" thickBot="1">
      <c r="A1" s="1" t="s">
        <v>0</v>
      </c>
      <c r="B1" s="2" t="s">
        <v>1</v>
      </c>
      <c r="C1" s="3"/>
      <c r="D1" s="4" t="s">
        <v>2</v>
      </c>
      <c r="E1" s="5"/>
      <c r="F1" s="5"/>
      <c r="G1" s="6"/>
      <c r="H1" s="6"/>
      <c r="I1" s="7"/>
      <c r="J1" s="7"/>
      <c r="K1" s="7"/>
      <c r="L1" s="7"/>
      <c r="M1" s="7"/>
      <c r="N1" s="7"/>
      <c r="O1" s="7"/>
      <c r="P1" s="7"/>
      <c r="Q1" s="8"/>
      <c r="R1" s="8"/>
      <c r="S1" s="8"/>
      <c r="T1" s="8"/>
      <c r="U1" s="9"/>
      <c r="V1" s="9"/>
      <c r="W1" s="9"/>
      <c r="X1" s="9"/>
      <c r="Y1" s="8"/>
      <c r="Z1" s="8"/>
      <c r="AA1" s="10"/>
      <c r="AC1" s="12"/>
      <c r="AD1" s="11"/>
      <c r="AE1" s="13" t="s">
        <v>3</v>
      </c>
      <c r="AF1" s="14"/>
      <c r="AG1" s="13" t="s">
        <v>4</v>
      </c>
      <c r="AH1" s="14"/>
      <c r="AI1" s="13" t="s">
        <v>5</v>
      </c>
      <c r="AJ1" s="14"/>
      <c r="AK1" s="15" t="s">
        <v>6</v>
      </c>
      <c r="AL1" s="16" t="s">
        <v>7</v>
      </c>
    </row>
    <row r="2" spans="1:38" s="21" customFormat="1" ht="16.350000000000001" customHeight="1">
      <c r="A2" s="18"/>
      <c r="B2" s="19"/>
      <c r="C2" s="20"/>
      <c r="E2" s="22"/>
      <c r="F2" s="23"/>
      <c r="G2" s="23"/>
      <c r="H2" s="23"/>
      <c r="I2" s="23"/>
      <c r="J2" s="24"/>
      <c r="K2" s="24"/>
      <c r="L2" s="24"/>
      <c r="M2" s="24"/>
      <c r="N2" s="24"/>
      <c r="O2" s="24"/>
      <c r="T2" s="25"/>
      <c r="V2" s="26"/>
      <c r="W2" s="27"/>
      <c r="X2" s="27"/>
      <c r="Y2" s="27"/>
      <c r="Z2" s="27"/>
      <c r="AA2"/>
      <c r="AB2"/>
      <c r="AC2"/>
      <c r="AD2" s="28" t="s">
        <v>8</v>
      </c>
      <c r="AE2" s="29">
        <f>SUMIF($A$11:$A$21,"T I Bis a + V",$V$11:$V$21)</f>
        <v>0</v>
      </c>
      <c r="AF2" s="30">
        <f>AE2/$AE$7</f>
        <v>0</v>
      </c>
      <c r="AG2" s="31">
        <f>SUMIF(A25:A30,"T I Bis A + V",V25:V30)</f>
        <v>6</v>
      </c>
      <c r="AH2" s="32">
        <f>AG2/$AG$7</f>
        <v>0.1</v>
      </c>
      <c r="AI2" s="33">
        <f>SUMIF($A$34:$A$39,"T I Bis A + V",$W$34:$W$39)</f>
        <v>0</v>
      </c>
      <c r="AJ2" s="34">
        <f>AI2/$AI$7</f>
        <v>0</v>
      </c>
      <c r="AK2" s="35" t="str">
        <f>IF((AG2+AG3)/AG7&gt;=30%,"conforme","non conforme")</f>
        <v>conforme</v>
      </c>
      <c r="AL2" s="36">
        <f>SUMIFS((Repartition_LLTS),Loyer_retenu_CC,"&lt;=370")/(NbreLLS+NbreLLTS+NbrePLS)</f>
        <v>0.3125</v>
      </c>
    </row>
    <row r="3" spans="1:38" ht="16.350000000000001" customHeight="1">
      <c r="A3" s="37"/>
      <c r="B3" s="38"/>
      <c r="C3" s="38"/>
      <c r="D3" s="39"/>
      <c r="E3" s="39"/>
      <c r="F3" s="39"/>
      <c r="G3" s="39"/>
      <c r="H3" s="39"/>
      <c r="I3" s="39"/>
      <c r="J3" s="40"/>
      <c r="K3" s="40"/>
      <c r="L3" s="40"/>
      <c r="M3" s="40"/>
      <c r="N3" s="40"/>
      <c r="O3" s="40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/>
      <c r="AB3"/>
      <c r="AD3" s="41" t="s">
        <v>9</v>
      </c>
      <c r="AE3" s="29">
        <f>SUMIF($A$11:$A$21,"T II +V a",$V$11:$V$21)</f>
        <v>0</v>
      </c>
      <c r="AF3" s="42">
        <f t="shared" ref="AF3:AF6" si="0">AE3/$AE$7</f>
        <v>0</v>
      </c>
      <c r="AG3" s="43">
        <f>SUMIF($A$25:$A$30,"T II +V a",$V$25:$V$30)</f>
        <v>54</v>
      </c>
      <c r="AH3" s="44">
        <f t="shared" ref="AH3:AH6" si="1">AG3/$AG$7</f>
        <v>0.9</v>
      </c>
      <c r="AI3" s="45">
        <f>SUMIF($A$34:$A$39,"T II +V a",$W$34:$W$39)</f>
        <v>8</v>
      </c>
      <c r="AJ3" s="46">
        <f t="shared" ref="AJ3:AJ6" si="2">AI3/$AI$7</f>
        <v>0.27586206896551724</v>
      </c>
      <c r="AK3" s="47"/>
      <c r="AL3" s="48"/>
    </row>
    <row r="4" spans="1:38" ht="16.350000000000001" customHeight="1">
      <c r="A4" s="37" t="s">
        <v>10</v>
      </c>
      <c r="B4" s="49"/>
      <c r="C4" s="50"/>
      <c r="D4" s="39"/>
      <c r="E4" s="39"/>
      <c r="F4" s="39"/>
      <c r="G4" s="40"/>
      <c r="H4" s="40"/>
      <c r="I4" s="40"/>
      <c r="J4" s="40"/>
      <c r="K4" s="40"/>
      <c r="L4" s="40"/>
      <c r="M4" s="40"/>
      <c r="N4" s="40"/>
      <c r="O4" s="40"/>
      <c r="P4" s="40"/>
      <c r="Q4" s="39"/>
      <c r="R4" s="39"/>
      <c r="S4" s="39"/>
      <c r="T4" s="39"/>
      <c r="U4" s="40"/>
      <c r="V4" s="40"/>
      <c r="W4" s="40"/>
      <c r="X4" s="40"/>
      <c r="Y4" s="39"/>
      <c r="Z4" s="39"/>
      <c r="AA4"/>
      <c r="AB4"/>
      <c r="AD4" s="41" t="s">
        <v>11</v>
      </c>
      <c r="AE4" s="29">
        <f>SUMIF($A$11:$A$21,"T III +V a",$V$11:$V$21)</f>
        <v>59</v>
      </c>
      <c r="AF4" s="42">
        <f t="shared" si="0"/>
        <v>0.57281553398058249</v>
      </c>
      <c r="AG4" s="43">
        <f>SUMIF($A$25:$A$30,"T III +V a",$V$25:$V$30)</f>
        <v>0</v>
      </c>
      <c r="AH4" s="44">
        <f t="shared" si="1"/>
        <v>0</v>
      </c>
      <c r="AI4" s="45">
        <f>SUMIF($A$34:$A$39,"T III +V a",$W$34:$W$39)</f>
        <v>7</v>
      </c>
      <c r="AJ4" s="46">
        <f t="shared" si="2"/>
        <v>0.2413793103448276</v>
      </c>
      <c r="AK4" s="47"/>
      <c r="AL4" s="48"/>
    </row>
    <row r="5" spans="1:38" ht="16.350000000000001" customHeight="1">
      <c r="A5"/>
      <c r="B5"/>
      <c r="C5"/>
      <c r="D5"/>
      <c r="E5" s="39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39"/>
      <c r="R5" s="39"/>
      <c r="S5" s="39"/>
      <c r="T5" s="39"/>
      <c r="U5" s="40"/>
      <c r="V5" s="40"/>
      <c r="W5" s="40"/>
      <c r="X5" s="40"/>
      <c r="Y5" s="39"/>
      <c r="Z5" s="39"/>
      <c r="AA5"/>
      <c r="AB5"/>
      <c r="AD5" s="41" t="s">
        <v>12</v>
      </c>
      <c r="AE5" s="29">
        <f>SUMIF($A$11:$A$21,"T IV + V a",$V$11:$V$21)</f>
        <v>43</v>
      </c>
      <c r="AF5" s="42">
        <f t="shared" si="0"/>
        <v>0.41747572815533979</v>
      </c>
      <c r="AG5" s="43">
        <f>SUMIF($A$25:$A$30,"T IV + V a",$V$25:$V$30)</f>
        <v>0</v>
      </c>
      <c r="AH5" s="44">
        <f t="shared" si="1"/>
        <v>0</v>
      </c>
      <c r="AI5" s="45">
        <f>SUMIF($A$34:$A$39,"T IV + V a",$W$34:$W$39)</f>
        <v>14</v>
      </c>
      <c r="AJ5" s="46">
        <f t="shared" si="2"/>
        <v>0.48275862068965519</v>
      </c>
      <c r="AK5" s="47"/>
      <c r="AL5" s="48"/>
    </row>
    <row r="6" spans="1:38" ht="16.350000000000001" customHeight="1" thickBot="1">
      <c r="A6"/>
      <c r="B6"/>
      <c r="C6"/>
      <c r="D6"/>
      <c r="E6" s="39"/>
      <c r="F6" s="39"/>
      <c r="G6" s="40"/>
      <c r="H6" s="40"/>
      <c r="I6" s="40"/>
      <c r="J6" s="40"/>
      <c r="K6" s="40"/>
      <c r="L6" s="40"/>
      <c r="M6" s="40"/>
      <c r="N6" s="40"/>
      <c r="O6" s="40"/>
      <c r="P6" s="40"/>
      <c r="Q6" s="39"/>
      <c r="R6" s="39"/>
      <c r="S6" s="39"/>
      <c r="T6" s="39"/>
      <c r="U6" s="40"/>
      <c r="V6" s="40"/>
      <c r="W6" s="40"/>
      <c r="X6" s="40"/>
      <c r="Y6" s="39"/>
      <c r="Z6" s="39"/>
      <c r="AA6"/>
      <c r="AB6"/>
      <c r="AD6" s="51" t="s">
        <v>13</v>
      </c>
      <c r="AE6" s="52">
        <f>SUMIF($A$11:$A$21,"T V +V a",$V$11:$V$21)</f>
        <v>1</v>
      </c>
      <c r="AF6" s="53">
        <f t="shared" si="0"/>
        <v>9.7087378640776691E-3</v>
      </c>
      <c r="AG6" s="54">
        <f>SUMIF($A$25:$A$30,"T V +V a",$V$25:$V$30)</f>
        <v>0</v>
      </c>
      <c r="AH6" s="55">
        <f t="shared" si="1"/>
        <v>0</v>
      </c>
      <c r="AI6" s="56">
        <f>SUMIF($A$34:$A$39,"T V +V a",$W$34:$W$39)</f>
        <v>0</v>
      </c>
      <c r="AJ6" s="57">
        <f t="shared" si="2"/>
        <v>0</v>
      </c>
      <c r="AK6" s="58"/>
      <c r="AL6" s="59"/>
    </row>
    <row r="7" spans="1:38" ht="16.350000000000001" customHeight="1">
      <c r="A7"/>
      <c r="B7"/>
      <c r="C7"/>
      <c r="D7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39"/>
      <c r="R7" s="39"/>
      <c r="S7" s="39"/>
      <c r="T7" s="39"/>
      <c r="U7" s="40"/>
      <c r="V7" s="40"/>
      <c r="W7" s="40"/>
      <c r="X7" s="40"/>
      <c r="Y7" s="39"/>
      <c r="Z7" s="39"/>
      <c r="AA7"/>
      <c r="AB7"/>
      <c r="AE7" s="60">
        <f>SUM(AE2:AE6)</f>
        <v>103</v>
      </c>
      <c r="AG7" s="60">
        <f t="shared" ref="AG7" si="3">SUM(AG2:AG6)</f>
        <v>60</v>
      </c>
      <c r="AI7" s="60">
        <f>SUM(AI2:AI6)</f>
        <v>29</v>
      </c>
      <c r="AJ7"/>
    </row>
    <row r="8" spans="1:38" s="21" customFormat="1" ht="16.350000000000001" customHeight="1">
      <c r="A8" s="61" t="s">
        <v>14</v>
      </c>
      <c r="B8" s="62"/>
      <c r="C8" s="62"/>
      <c r="D8" s="62"/>
      <c r="E8" s="63"/>
      <c r="F8" s="63"/>
      <c r="G8" s="63"/>
      <c r="H8" s="64" t="s">
        <v>15</v>
      </c>
      <c r="I8" s="64" t="s">
        <v>16</v>
      </c>
      <c r="J8" s="62" t="s">
        <v>17</v>
      </c>
      <c r="K8" s="65" t="s">
        <v>18</v>
      </c>
      <c r="L8" s="65"/>
      <c r="M8" s="65"/>
      <c r="N8" s="66" t="s">
        <v>19</v>
      </c>
      <c r="O8" s="66"/>
      <c r="P8" s="66"/>
      <c r="Q8" s="62" t="s">
        <v>20</v>
      </c>
      <c r="R8" s="62" t="s">
        <v>21</v>
      </c>
      <c r="S8" s="62" t="s">
        <v>22</v>
      </c>
      <c r="T8" s="62" t="s">
        <v>23</v>
      </c>
      <c r="U8" s="62" t="s">
        <v>24</v>
      </c>
      <c r="V8" s="67" t="s">
        <v>25</v>
      </c>
      <c r="W8" s="68" t="s">
        <v>26</v>
      </c>
      <c r="X8" s="69" t="s">
        <v>27</v>
      </c>
      <c r="Y8" s="69"/>
      <c r="Z8" s="69"/>
      <c r="AA8" s="69"/>
      <c r="AB8" s="69"/>
      <c r="AC8" s="70"/>
      <c r="AD8"/>
      <c r="AE8"/>
      <c r="AF8"/>
      <c r="AG8"/>
      <c r="AH8"/>
      <c r="AI8"/>
    </row>
    <row r="9" spans="1:38" s="88" customFormat="1" ht="37.35" customHeight="1">
      <c r="A9" s="71" t="s">
        <v>28</v>
      </c>
      <c r="B9" s="72" t="s">
        <v>29</v>
      </c>
      <c r="C9" s="72" t="s">
        <v>30</v>
      </c>
      <c r="D9" s="73" t="s">
        <v>31</v>
      </c>
      <c r="E9" s="74" t="s">
        <v>32</v>
      </c>
      <c r="F9" s="73" t="s">
        <v>33</v>
      </c>
      <c r="G9" s="72" t="s">
        <v>34</v>
      </c>
      <c r="H9" s="75" t="s">
        <v>35</v>
      </c>
      <c r="I9" s="76" t="s">
        <v>36</v>
      </c>
      <c r="J9" s="77" t="s">
        <v>37</v>
      </c>
      <c r="K9" s="78" t="s">
        <v>38</v>
      </c>
      <c r="L9" s="78" t="s">
        <v>39</v>
      </c>
      <c r="M9" s="79" t="s">
        <v>40</v>
      </c>
      <c r="N9" s="78" t="s">
        <v>41</v>
      </c>
      <c r="O9" s="80" t="s">
        <v>42</v>
      </c>
      <c r="P9" s="79" t="s">
        <v>43</v>
      </c>
      <c r="Q9" s="81" t="s">
        <v>18</v>
      </c>
      <c r="R9" s="82" t="s">
        <v>44</v>
      </c>
      <c r="S9" s="83" t="s">
        <v>19</v>
      </c>
      <c r="T9" s="84" t="s">
        <v>45</v>
      </c>
      <c r="U9" s="85" t="s">
        <v>46</v>
      </c>
      <c r="V9" s="71"/>
      <c r="W9" s="86" t="s">
        <v>47</v>
      </c>
      <c r="X9" s="77" t="s">
        <v>48</v>
      </c>
      <c r="Y9" s="77" t="s">
        <v>49</v>
      </c>
      <c r="Z9" s="77" t="s">
        <v>50</v>
      </c>
      <c r="AA9" s="87" t="s">
        <v>22</v>
      </c>
      <c r="AB9" s="87" t="s">
        <v>23</v>
      </c>
      <c r="AC9" s="85" t="s">
        <v>51</v>
      </c>
      <c r="AD9"/>
      <c r="AE9"/>
      <c r="AF9"/>
      <c r="AG9"/>
      <c r="AH9"/>
      <c r="AI9"/>
      <c r="AJ9"/>
      <c r="AK9"/>
      <c r="AL9"/>
    </row>
    <row r="10" spans="1:38" ht="16.350000000000001" customHeight="1">
      <c r="A10" s="89"/>
      <c r="B10" s="90"/>
      <c r="C10" s="91"/>
      <c r="D10" s="92" t="s">
        <v>3</v>
      </c>
      <c r="E10" s="93"/>
      <c r="F10" s="93"/>
      <c r="G10" s="94"/>
      <c r="H10" s="95" t="s">
        <v>52</v>
      </c>
      <c r="I10" s="96" t="s">
        <v>53</v>
      </c>
      <c r="J10" s="97"/>
      <c r="K10" s="98"/>
      <c r="L10" s="98"/>
      <c r="M10" s="99" t="s">
        <v>54</v>
      </c>
      <c r="N10" s="98"/>
      <c r="O10" s="98"/>
      <c r="P10" s="99" t="s">
        <v>54</v>
      </c>
      <c r="Q10" s="100">
        <v>0.5</v>
      </c>
      <c r="R10" s="101"/>
      <c r="S10" s="100">
        <v>0.5</v>
      </c>
      <c r="T10" s="102">
        <v>0.5</v>
      </c>
      <c r="U10" s="103"/>
      <c r="V10" s="104"/>
      <c r="W10" s="105"/>
      <c r="X10" s="97"/>
      <c r="Y10" s="97"/>
      <c r="Z10" s="97"/>
      <c r="AA10" s="94"/>
      <c r="AB10" s="94"/>
      <c r="AC10" s="103"/>
      <c r="AI10"/>
      <c r="AJ10"/>
      <c r="AK10"/>
      <c r="AL10"/>
    </row>
    <row r="11" spans="1:38" ht="15.95" customHeight="1" outlineLevel="1">
      <c r="A11" s="106" t="s">
        <v>11</v>
      </c>
      <c r="B11" s="107" t="s">
        <v>55</v>
      </c>
      <c r="C11" s="108" t="s">
        <v>56</v>
      </c>
      <c r="D11" s="107" t="s">
        <v>57</v>
      </c>
      <c r="E11" s="109" t="s">
        <v>58</v>
      </c>
      <c r="F11" s="110" t="s">
        <v>59</v>
      </c>
      <c r="G11" s="111"/>
      <c r="H11" s="112">
        <v>60.05</v>
      </c>
      <c r="I11" s="110">
        <v>9.89</v>
      </c>
      <c r="J11" s="113">
        <f t="shared" ref="J11:J21" si="4">H11+I11</f>
        <v>69.94</v>
      </c>
      <c r="K11" s="114"/>
      <c r="L11" s="114"/>
      <c r="M11" s="115">
        <f t="shared" ref="M11:M21" si="5">K11+L11</f>
        <v>0</v>
      </c>
      <c r="N11" s="116">
        <v>25</v>
      </c>
      <c r="O11" s="117"/>
      <c r="P11" s="115">
        <f t="shared" ref="P11:P21" si="6">N11+O11</f>
        <v>25</v>
      </c>
      <c r="Q11" s="118">
        <f t="shared" ref="Q11:Q21" si="7">M11*$Q$10</f>
        <v>0</v>
      </c>
      <c r="R11" s="119">
        <f t="shared" ref="R11:R21" si="8">J11+Q11</f>
        <v>69.94</v>
      </c>
      <c r="S11" s="120">
        <f t="shared" ref="S11:S21" si="9">P11*$S$10</f>
        <v>12.5</v>
      </c>
      <c r="T11" s="121">
        <f t="shared" ref="T11:T21" si="10">IF(S.LCR=0,0,S.LCR/(NbreLLS+NbreLLTS+NbrePLS)*$T$10)</f>
        <v>0</v>
      </c>
      <c r="U11" s="122">
        <f t="shared" ref="U11:U21" si="11">J11+Q11+S11+T11</f>
        <v>82.44</v>
      </c>
      <c r="V11" s="123">
        <v>6</v>
      </c>
      <c r="W11" s="124">
        <f t="shared" ref="W11:W21" si="12">V11</f>
        <v>6</v>
      </c>
      <c r="X11" s="125">
        <f t="shared" ref="X11:X21" si="13">J11*$V11</f>
        <v>419.64</v>
      </c>
      <c r="Y11" s="125">
        <f t="shared" ref="Y11:AC21" si="14">Q11*$V11</f>
        <v>0</v>
      </c>
      <c r="Z11" s="125">
        <f t="shared" si="14"/>
        <v>419.64</v>
      </c>
      <c r="AA11" s="125">
        <f t="shared" si="14"/>
        <v>75</v>
      </c>
      <c r="AB11" s="125">
        <f t="shared" si="14"/>
        <v>0</v>
      </c>
      <c r="AC11" s="126">
        <f t="shared" si="14"/>
        <v>494.64</v>
      </c>
      <c r="AI11"/>
    </row>
    <row r="12" spans="1:38" ht="15.95" customHeight="1" outlineLevel="1" thickBot="1">
      <c r="A12" s="106" t="s">
        <v>11</v>
      </c>
      <c r="B12" s="107" t="s">
        <v>55</v>
      </c>
      <c r="C12" s="108" t="s">
        <v>56</v>
      </c>
      <c r="D12" s="107" t="s">
        <v>57</v>
      </c>
      <c r="E12" s="109" t="s">
        <v>58</v>
      </c>
      <c r="F12" s="110" t="s">
        <v>60</v>
      </c>
      <c r="G12" s="111"/>
      <c r="H12" s="112">
        <v>64.33</v>
      </c>
      <c r="I12" s="110">
        <v>10.64</v>
      </c>
      <c r="J12" s="113">
        <f t="shared" si="4"/>
        <v>74.97</v>
      </c>
      <c r="K12" s="114"/>
      <c r="L12" s="114"/>
      <c r="M12" s="115">
        <f t="shared" si="5"/>
        <v>0</v>
      </c>
      <c r="N12" s="116">
        <v>25</v>
      </c>
      <c r="O12" s="117"/>
      <c r="P12" s="115">
        <f t="shared" si="6"/>
        <v>25</v>
      </c>
      <c r="Q12" s="118">
        <f t="shared" si="7"/>
        <v>0</v>
      </c>
      <c r="R12" s="119">
        <f t="shared" si="8"/>
        <v>74.97</v>
      </c>
      <c r="S12" s="120">
        <f t="shared" si="9"/>
        <v>12.5</v>
      </c>
      <c r="T12" s="121">
        <f t="shared" si="10"/>
        <v>0</v>
      </c>
      <c r="U12" s="122">
        <f t="shared" si="11"/>
        <v>87.47</v>
      </c>
      <c r="V12" s="123">
        <v>3</v>
      </c>
      <c r="W12" s="124">
        <f t="shared" si="12"/>
        <v>3</v>
      </c>
      <c r="X12" s="125">
        <f t="shared" si="13"/>
        <v>224.91</v>
      </c>
      <c r="Y12" s="125">
        <f t="shared" si="14"/>
        <v>0</v>
      </c>
      <c r="Z12" s="125">
        <f t="shared" si="14"/>
        <v>224.91</v>
      </c>
      <c r="AA12" s="125">
        <f t="shared" si="14"/>
        <v>37.5</v>
      </c>
      <c r="AB12" s="125">
        <f t="shared" si="14"/>
        <v>0</v>
      </c>
      <c r="AC12" s="126">
        <f t="shared" si="14"/>
        <v>262.40999999999997</v>
      </c>
      <c r="AF12" s="127" t="s">
        <v>61</v>
      </c>
      <c r="AG12" s="128"/>
      <c r="AI12"/>
    </row>
    <row r="13" spans="1:38" ht="15.95" customHeight="1" outlineLevel="1" thickBot="1">
      <c r="A13" s="106" t="s">
        <v>11</v>
      </c>
      <c r="B13" s="107" t="s">
        <v>55</v>
      </c>
      <c r="C13" s="108" t="s">
        <v>56</v>
      </c>
      <c r="D13" s="107" t="s">
        <v>57</v>
      </c>
      <c r="E13" s="109" t="s">
        <v>62</v>
      </c>
      <c r="F13" s="110" t="s">
        <v>59</v>
      </c>
      <c r="G13" s="111"/>
      <c r="H13" s="112">
        <v>61.3</v>
      </c>
      <c r="I13" s="110">
        <v>10.88</v>
      </c>
      <c r="J13" s="113">
        <f t="shared" si="4"/>
        <v>72.179999999999993</v>
      </c>
      <c r="K13" s="114"/>
      <c r="L13" s="114"/>
      <c r="M13" s="115">
        <f t="shared" si="5"/>
        <v>0</v>
      </c>
      <c r="N13" s="116">
        <v>25</v>
      </c>
      <c r="O13" s="117"/>
      <c r="P13" s="115">
        <f t="shared" si="6"/>
        <v>25</v>
      </c>
      <c r="Q13" s="118">
        <f t="shared" si="7"/>
        <v>0</v>
      </c>
      <c r="R13" s="119">
        <f t="shared" si="8"/>
        <v>72.179999999999993</v>
      </c>
      <c r="S13" s="120">
        <f t="shared" si="9"/>
        <v>12.5</v>
      </c>
      <c r="T13" s="121">
        <f t="shared" si="10"/>
        <v>0</v>
      </c>
      <c r="U13" s="122">
        <f t="shared" si="11"/>
        <v>84.679999999999993</v>
      </c>
      <c r="V13" s="123">
        <v>12</v>
      </c>
      <c r="W13" s="124">
        <f t="shared" si="12"/>
        <v>12</v>
      </c>
      <c r="X13" s="125">
        <f t="shared" si="13"/>
        <v>866.15999999999985</v>
      </c>
      <c r="Y13" s="125">
        <f t="shared" si="14"/>
        <v>0</v>
      </c>
      <c r="Z13" s="125">
        <f t="shared" si="14"/>
        <v>866.15999999999985</v>
      </c>
      <c r="AA13" s="125">
        <f t="shared" si="14"/>
        <v>150</v>
      </c>
      <c r="AB13" s="125">
        <f t="shared" si="14"/>
        <v>0</v>
      </c>
      <c r="AC13" s="126">
        <f t="shared" si="14"/>
        <v>1016.1599999999999</v>
      </c>
      <c r="AE13" s="767" t="s">
        <v>63</v>
      </c>
      <c r="AF13" s="767" t="s">
        <v>3</v>
      </c>
      <c r="AG13" s="767" t="s">
        <v>4</v>
      </c>
      <c r="AH13" s="768" t="s">
        <v>5</v>
      </c>
      <c r="AI13"/>
    </row>
    <row r="14" spans="1:38" ht="15.95" customHeight="1" outlineLevel="1">
      <c r="A14" s="106" t="s">
        <v>11</v>
      </c>
      <c r="B14" s="107" t="s">
        <v>55</v>
      </c>
      <c r="C14" s="108" t="s">
        <v>56</v>
      </c>
      <c r="D14" s="107" t="s">
        <v>57</v>
      </c>
      <c r="E14" s="109" t="s">
        <v>62</v>
      </c>
      <c r="F14" s="110" t="s">
        <v>60</v>
      </c>
      <c r="G14" s="111"/>
      <c r="H14" s="112">
        <v>63.99</v>
      </c>
      <c r="I14" s="110">
        <v>10.64</v>
      </c>
      <c r="J14" s="113">
        <f t="shared" si="4"/>
        <v>74.63</v>
      </c>
      <c r="K14" s="114"/>
      <c r="L14" s="114"/>
      <c r="M14" s="115">
        <f t="shared" si="5"/>
        <v>0</v>
      </c>
      <c r="N14" s="116">
        <v>25</v>
      </c>
      <c r="O14" s="117"/>
      <c r="P14" s="115">
        <f t="shared" si="6"/>
        <v>25</v>
      </c>
      <c r="Q14" s="118">
        <f t="shared" si="7"/>
        <v>0</v>
      </c>
      <c r="R14" s="119">
        <f t="shared" si="8"/>
        <v>74.63</v>
      </c>
      <c r="S14" s="120">
        <f t="shared" si="9"/>
        <v>12.5</v>
      </c>
      <c r="T14" s="121">
        <f t="shared" si="10"/>
        <v>0</v>
      </c>
      <c r="U14" s="122">
        <f t="shared" si="11"/>
        <v>87.13</v>
      </c>
      <c r="V14" s="123">
        <v>2</v>
      </c>
      <c r="W14" s="124">
        <f t="shared" si="12"/>
        <v>2</v>
      </c>
      <c r="X14" s="125">
        <f t="shared" si="13"/>
        <v>149.26</v>
      </c>
      <c r="Y14" s="125">
        <f t="shared" si="14"/>
        <v>0</v>
      </c>
      <c r="Z14" s="125">
        <f t="shared" si="14"/>
        <v>149.26</v>
      </c>
      <c r="AA14" s="125">
        <f t="shared" si="14"/>
        <v>25</v>
      </c>
      <c r="AB14" s="125">
        <f t="shared" si="14"/>
        <v>0</v>
      </c>
      <c r="AC14" s="126">
        <f t="shared" si="14"/>
        <v>174.26</v>
      </c>
      <c r="AE14" s="763" t="s">
        <v>64</v>
      </c>
      <c r="AF14" s="763">
        <f>SUMPRODUCT((E11:E21)=AE14)*(Détail_LLS)</f>
        <v>0</v>
      </c>
      <c r="AG14" s="764"/>
      <c r="AH14" s="764"/>
      <c r="AI14"/>
    </row>
    <row r="15" spans="1:38" ht="15.95" customHeight="1" outlineLevel="1">
      <c r="A15" s="106" t="s">
        <v>11</v>
      </c>
      <c r="B15" s="107" t="s">
        <v>55</v>
      </c>
      <c r="C15" s="108" t="s">
        <v>56</v>
      </c>
      <c r="D15" s="107" t="s">
        <v>57</v>
      </c>
      <c r="E15" s="109" t="s">
        <v>65</v>
      </c>
      <c r="F15" s="110" t="s">
        <v>59</v>
      </c>
      <c r="G15" s="111"/>
      <c r="H15" s="112">
        <v>60.71</v>
      </c>
      <c r="I15" s="110">
        <v>9.89</v>
      </c>
      <c r="J15" s="113">
        <f t="shared" si="4"/>
        <v>70.599999999999994</v>
      </c>
      <c r="K15" s="114"/>
      <c r="L15" s="114"/>
      <c r="M15" s="115">
        <f t="shared" si="5"/>
        <v>0</v>
      </c>
      <c r="N15" s="116">
        <v>25</v>
      </c>
      <c r="O15" s="117"/>
      <c r="P15" s="115">
        <f t="shared" si="6"/>
        <v>25</v>
      </c>
      <c r="Q15" s="118">
        <f t="shared" si="7"/>
        <v>0</v>
      </c>
      <c r="R15" s="119">
        <f t="shared" si="8"/>
        <v>70.599999999999994</v>
      </c>
      <c r="S15" s="120">
        <f t="shared" si="9"/>
        <v>12.5</v>
      </c>
      <c r="T15" s="121">
        <f t="shared" si="10"/>
        <v>0</v>
      </c>
      <c r="U15" s="122">
        <f t="shared" si="11"/>
        <v>83.1</v>
      </c>
      <c r="V15" s="123">
        <v>18</v>
      </c>
      <c r="W15" s="124">
        <f t="shared" si="12"/>
        <v>18</v>
      </c>
      <c r="X15" s="125">
        <f t="shared" si="13"/>
        <v>1270.8</v>
      </c>
      <c r="Y15" s="125">
        <f t="shared" si="14"/>
        <v>0</v>
      </c>
      <c r="Z15" s="125">
        <f t="shared" si="14"/>
        <v>1270.8</v>
      </c>
      <c r="AA15" s="125">
        <f t="shared" si="14"/>
        <v>225</v>
      </c>
      <c r="AB15" s="125">
        <f t="shared" si="14"/>
        <v>0</v>
      </c>
      <c r="AC15" s="126">
        <f t="shared" si="14"/>
        <v>1495.8</v>
      </c>
      <c r="AE15" s="763" t="s">
        <v>62</v>
      </c>
      <c r="AF15" s="764"/>
      <c r="AG15" s="764"/>
      <c r="AH15" s="764"/>
      <c r="AI15"/>
    </row>
    <row r="16" spans="1:38" ht="15.95" customHeight="1" outlineLevel="1">
      <c r="A16" s="106" t="s">
        <v>11</v>
      </c>
      <c r="B16" s="107" t="s">
        <v>55</v>
      </c>
      <c r="C16" s="108" t="s">
        <v>56</v>
      </c>
      <c r="D16" s="107" t="s">
        <v>57</v>
      </c>
      <c r="E16" s="109" t="s">
        <v>65</v>
      </c>
      <c r="F16" s="110" t="s">
        <v>60</v>
      </c>
      <c r="G16" s="111"/>
      <c r="H16" s="112">
        <v>61.18</v>
      </c>
      <c r="I16" s="110">
        <v>10.16</v>
      </c>
      <c r="J16" s="113">
        <f t="shared" si="4"/>
        <v>71.34</v>
      </c>
      <c r="K16" s="114"/>
      <c r="L16" s="114"/>
      <c r="M16" s="115">
        <f t="shared" si="5"/>
        <v>0</v>
      </c>
      <c r="N16" s="116">
        <v>25</v>
      </c>
      <c r="O16" s="117"/>
      <c r="P16" s="115">
        <f t="shared" si="6"/>
        <v>25</v>
      </c>
      <c r="Q16" s="118">
        <f t="shared" si="7"/>
        <v>0</v>
      </c>
      <c r="R16" s="119">
        <f t="shared" si="8"/>
        <v>71.34</v>
      </c>
      <c r="S16" s="120">
        <f t="shared" si="9"/>
        <v>12.5</v>
      </c>
      <c r="T16" s="121">
        <f t="shared" si="10"/>
        <v>0</v>
      </c>
      <c r="U16" s="122">
        <f t="shared" si="11"/>
        <v>83.84</v>
      </c>
      <c r="V16" s="123">
        <v>18</v>
      </c>
      <c r="W16" s="124">
        <f t="shared" si="12"/>
        <v>18</v>
      </c>
      <c r="X16" s="125">
        <f t="shared" si="13"/>
        <v>1284.1200000000001</v>
      </c>
      <c r="Y16" s="125">
        <f t="shared" si="14"/>
        <v>0</v>
      </c>
      <c r="Z16" s="125">
        <f t="shared" si="14"/>
        <v>1284.1200000000001</v>
      </c>
      <c r="AA16" s="125">
        <f t="shared" si="14"/>
        <v>225</v>
      </c>
      <c r="AB16" s="125">
        <f t="shared" si="14"/>
        <v>0</v>
      </c>
      <c r="AC16" s="126">
        <f t="shared" si="14"/>
        <v>1509.1200000000001</v>
      </c>
      <c r="AE16" s="763" t="s">
        <v>65</v>
      </c>
      <c r="AF16" s="764"/>
      <c r="AG16" s="764"/>
      <c r="AH16" s="764"/>
      <c r="AI16"/>
    </row>
    <row r="17" spans="1:38" ht="15.95" customHeight="1" outlineLevel="1">
      <c r="A17" s="130" t="s">
        <v>12</v>
      </c>
      <c r="B17" s="131" t="s">
        <v>66</v>
      </c>
      <c r="C17" s="132" t="s">
        <v>67</v>
      </c>
      <c r="D17" s="131" t="s">
        <v>68</v>
      </c>
      <c r="E17" s="133" t="s">
        <v>58</v>
      </c>
      <c r="F17" s="134" t="s">
        <v>69</v>
      </c>
      <c r="G17" s="135"/>
      <c r="H17" s="136">
        <v>70.78</v>
      </c>
      <c r="I17" s="134">
        <v>10.88</v>
      </c>
      <c r="J17" s="137">
        <f t="shared" si="4"/>
        <v>81.66</v>
      </c>
      <c r="K17" s="138">
        <v>8.9</v>
      </c>
      <c r="L17" s="138"/>
      <c r="M17" s="139">
        <f t="shared" si="5"/>
        <v>8.9</v>
      </c>
      <c r="N17" s="140">
        <v>25</v>
      </c>
      <c r="O17" s="141"/>
      <c r="P17" s="139">
        <f t="shared" si="6"/>
        <v>25</v>
      </c>
      <c r="Q17" s="142">
        <f t="shared" si="7"/>
        <v>4.45</v>
      </c>
      <c r="R17" s="143">
        <f t="shared" si="8"/>
        <v>86.11</v>
      </c>
      <c r="S17" s="144">
        <f t="shared" si="9"/>
        <v>12.5</v>
      </c>
      <c r="T17" s="145">
        <f t="shared" si="10"/>
        <v>0</v>
      </c>
      <c r="U17" s="146">
        <f t="shared" si="11"/>
        <v>98.61</v>
      </c>
      <c r="V17" s="147">
        <v>18</v>
      </c>
      <c r="W17" s="148">
        <f t="shared" si="12"/>
        <v>18</v>
      </c>
      <c r="X17" s="149">
        <f t="shared" si="13"/>
        <v>1469.8799999999999</v>
      </c>
      <c r="Y17" s="149">
        <f t="shared" si="14"/>
        <v>80.100000000000009</v>
      </c>
      <c r="Z17" s="149">
        <f t="shared" si="14"/>
        <v>1549.98</v>
      </c>
      <c r="AA17" s="149">
        <f t="shared" si="14"/>
        <v>225</v>
      </c>
      <c r="AB17" s="149">
        <f t="shared" si="14"/>
        <v>0</v>
      </c>
      <c r="AC17" s="150">
        <f t="shared" si="14"/>
        <v>1774.98</v>
      </c>
      <c r="AE17" s="763" t="s">
        <v>70</v>
      </c>
      <c r="AF17" s="764"/>
      <c r="AG17" s="764"/>
      <c r="AH17" s="764"/>
      <c r="AI17"/>
    </row>
    <row r="18" spans="1:38" ht="15.95" customHeight="1" outlineLevel="1" thickBot="1">
      <c r="A18" s="130" t="s">
        <v>12</v>
      </c>
      <c r="B18" s="131" t="s">
        <v>66</v>
      </c>
      <c r="C18" s="132" t="s">
        <v>67</v>
      </c>
      <c r="D18" s="131" t="s">
        <v>68</v>
      </c>
      <c r="E18" s="133" t="s">
        <v>62</v>
      </c>
      <c r="F18" s="134" t="s">
        <v>69</v>
      </c>
      <c r="G18" s="135"/>
      <c r="H18" s="136">
        <v>77.03</v>
      </c>
      <c r="I18" s="134">
        <v>12.37</v>
      </c>
      <c r="J18" s="137">
        <f t="shared" si="4"/>
        <v>89.4</v>
      </c>
      <c r="K18" s="138"/>
      <c r="L18" s="138"/>
      <c r="M18" s="139">
        <f t="shared" si="5"/>
        <v>0</v>
      </c>
      <c r="N18" s="140">
        <v>25</v>
      </c>
      <c r="O18" s="141"/>
      <c r="P18" s="139">
        <f t="shared" si="6"/>
        <v>25</v>
      </c>
      <c r="Q18" s="142">
        <f t="shared" si="7"/>
        <v>0</v>
      </c>
      <c r="R18" s="143">
        <f t="shared" si="8"/>
        <v>89.4</v>
      </c>
      <c r="S18" s="144">
        <f t="shared" si="9"/>
        <v>12.5</v>
      </c>
      <c r="T18" s="145">
        <f t="shared" si="10"/>
        <v>0</v>
      </c>
      <c r="U18" s="146">
        <f t="shared" si="11"/>
        <v>101.9</v>
      </c>
      <c r="V18" s="147">
        <v>6</v>
      </c>
      <c r="W18" s="148">
        <f t="shared" si="12"/>
        <v>6</v>
      </c>
      <c r="X18" s="149">
        <f t="shared" si="13"/>
        <v>536.40000000000009</v>
      </c>
      <c r="Y18" s="149">
        <f t="shared" si="14"/>
        <v>0</v>
      </c>
      <c r="Z18" s="149">
        <f t="shared" si="14"/>
        <v>536.40000000000009</v>
      </c>
      <c r="AA18" s="149">
        <f t="shared" si="14"/>
        <v>75</v>
      </c>
      <c r="AB18" s="149">
        <f t="shared" si="14"/>
        <v>0</v>
      </c>
      <c r="AC18" s="150">
        <f t="shared" si="14"/>
        <v>611.40000000000009</v>
      </c>
      <c r="AE18" s="765" t="s">
        <v>71</v>
      </c>
      <c r="AF18" s="766"/>
      <c r="AG18" s="766"/>
      <c r="AH18" s="766"/>
      <c r="AI18"/>
    </row>
    <row r="19" spans="1:38" ht="15.95" customHeight="1" outlineLevel="1">
      <c r="A19" s="130" t="s">
        <v>12</v>
      </c>
      <c r="B19" s="131" t="s">
        <v>66</v>
      </c>
      <c r="C19" s="132" t="s">
        <v>67</v>
      </c>
      <c r="D19" s="131" t="s">
        <v>68</v>
      </c>
      <c r="E19" s="133" t="s">
        <v>62</v>
      </c>
      <c r="F19" s="134" t="s">
        <v>72</v>
      </c>
      <c r="G19" s="135"/>
      <c r="H19" s="136">
        <v>75.349999999999994</v>
      </c>
      <c r="I19" s="134">
        <v>12.59</v>
      </c>
      <c r="J19" s="137">
        <f t="shared" si="4"/>
        <v>87.94</v>
      </c>
      <c r="K19" s="138"/>
      <c r="L19" s="138"/>
      <c r="M19" s="139">
        <f t="shared" si="5"/>
        <v>0</v>
      </c>
      <c r="N19" s="140">
        <v>25</v>
      </c>
      <c r="O19" s="141"/>
      <c r="P19" s="139">
        <f t="shared" si="6"/>
        <v>25</v>
      </c>
      <c r="Q19" s="142">
        <f t="shared" si="7"/>
        <v>0</v>
      </c>
      <c r="R19" s="143">
        <f t="shared" si="8"/>
        <v>87.94</v>
      </c>
      <c r="S19" s="144">
        <f t="shared" si="9"/>
        <v>12.5</v>
      </c>
      <c r="T19" s="145">
        <f t="shared" si="10"/>
        <v>0</v>
      </c>
      <c r="U19" s="146">
        <f t="shared" si="11"/>
        <v>100.44</v>
      </c>
      <c r="V19" s="147">
        <v>6</v>
      </c>
      <c r="W19" s="148">
        <f t="shared" si="12"/>
        <v>6</v>
      </c>
      <c r="X19" s="149">
        <f t="shared" si="13"/>
        <v>527.64</v>
      </c>
      <c r="Y19" s="149">
        <f t="shared" si="14"/>
        <v>0</v>
      </c>
      <c r="Z19" s="149">
        <f t="shared" si="14"/>
        <v>527.64</v>
      </c>
      <c r="AA19" s="149">
        <f t="shared" si="14"/>
        <v>75</v>
      </c>
      <c r="AB19" s="149">
        <f t="shared" si="14"/>
        <v>0</v>
      </c>
      <c r="AC19" s="150">
        <f t="shared" si="14"/>
        <v>602.64</v>
      </c>
      <c r="AI19"/>
    </row>
    <row r="20" spans="1:38" ht="15.95" customHeight="1" outlineLevel="1">
      <c r="A20" s="130" t="s">
        <v>12</v>
      </c>
      <c r="B20" s="131" t="s">
        <v>66</v>
      </c>
      <c r="C20" s="132" t="s">
        <v>67</v>
      </c>
      <c r="D20" s="131" t="s">
        <v>68</v>
      </c>
      <c r="E20" s="133" t="s">
        <v>65</v>
      </c>
      <c r="F20" s="134" t="s">
        <v>72</v>
      </c>
      <c r="G20" s="135"/>
      <c r="H20" s="136">
        <v>71.34</v>
      </c>
      <c r="I20" s="134">
        <v>10.62</v>
      </c>
      <c r="J20" s="137">
        <f t="shared" si="4"/>
        <v>81.960000000000008</v>
      </c>
      <c r="K20" s="138"/>
      <c r="L20" s="138"/>
      <c r="M20" s="139">
        <f t="shared" si="5"/>
        <v>0</v>
      </c>
      <c r="N20" s="140">
        <v>25</v>
      </c>
      <c r="O20" s="141"/>
      <c r="P20" s="139">
        <f t="shared" si="6"/>
        <v>25</v>
      </c>
      <c r="Q20" s="142">
        <f t="shared" si="7"/>
        <v>0</v>
      </c>
      <c r="R20" s="143">
        <f t="shared" si="8"/>
        <v>81.960000000000008</v>
      </c>
      <c r="S20" s="144">
        <f t="shared" si="9"/>
        <v>12.5</v>
      </c>
      <c r="T20" s="145">
        <f t="shared" si="10"/>
        <v>0</v>
      </c>
      <c r="U20" s="146">
        <f t="shared" si="11"/>
        <v>94.460000000000008</v>
      </c>
      <c r="V20" s="147">
        <v>13</v>
      </c>
      <c r="W20" s="148">
        <f t="shared" si="12"/>
        <v>13</v>
      </c>
      <c r="X20" s="149">
        <f t="shared" si="13"/>
        <v>1065.48</v>
      </c>
      <c r="Y20" s="149">
        <f t="shared" si="14"/>
        <v>0</v>
      </c>
      <c r="Z20" s="149">
        <f t="shared" si="14"/>
        <v>1065.48</v>
      </c>
      <c r="AA20" s="149">
        <f t="shared" si="14"/>
        <v>162.5</v>
      </c>
      <c r="AB20" s="149">
        <f t="shared" si="14"/>
        <v>0</v>
      </c>
      <c r="AC20" s="150">
        <f t="shared" si="14"/>
        <v>1227.98</v>
      </c>
      <c r="AI20"/>
    </row>
    <row r="21" spans="1:38" s="172" customFormat="1" ht="15.95" customHeight="1" outlineLevel="1">
      <c r="A21" s="151" t="s">
        <v>13</v>
      </c>
      <c r="B21" s="152" t="s">
        <v>73</v>
      </c>
      <c r="C21" s="153" t="s">
        <v>74</v>
      </c>
      <c r="D21" s="152" t="s">
        <v>75</v>
      </c>
      <c r="E21" s="154" t="s">
        <v>58</v>
      </c>
      <c r="F21" s="155" t="s">
        <v>76</v>
      </c>
      <c r="G21" s="156"/>
      <c r="H21" s="157">
        <v>84.85</v>
      </c>
      <c r="I21" s="155">
        <v>9.43</v>
      </c>
      <c r="J21" s="158">
        <f t="shared" si="4"/>
        <v>94.28</v>
      </c>
      <c r="K21" s="159"/>
      <c r="L21" s="159"/>
      <c r="M21" s="160">
        <f t="shared" si="5"/>
        <v>0</v>
      </c>
      <c r="N21" s="161">
        <v>25</v>
      </c>
      <c r="O21" s="162"/>
      <c r="P21" s="160">
        <f t="shared" si="6"/>
        <v>25</v>
      </c>
      <c r="Q21" s="163">
        <f t="shared" si="7"/>
        <v>0</v>
      </c>
      <c r="R21" s="164">
        <f t="shared" si="8"/>
        <v>94.28</v>
      </c>
      <c r="S21" s="165">
        <f t="shared" si="9"/>
        <v>12.5</v>
      </c>
      <c r="T21" s="166">
        <f t="shared" si="10"/>
        <v>0</v>
      </c>
      <c r="U21" s="167">
        <f t="shared" si="11"/>
        <v>106.78</v>
      </c>
      <c r="V21" s="168">
        <v>1</v>
      </c>
      <c r="W21" s="169">
        <f t="shared" si="12"/>
        <v>1</v>
      </c>
      <c r="X21" s="170">
        <f t="shared" si="13"/>
        <v>94.28</v>
      </c>
      <c r="Y21" s="170">
        <f t="shared" si="14"/>
        <v>0</v>
      </c>
      <c r="Z21" s="170">
        <f t="shared" si="14"/>
        <v>94.28</v>
      </c>
      <c r="AA21" s="170">
        <f t="shared" si="14"/>
        <v>12.5</v>
      </c>
      <c r="AB21" s="170">
        <f t="shared" si="14"/>
        <v>0</v>
      </c>
      <c r="AC21" s="171">
        <f t="shared" si="14"/>
        <v>106.78</v>
      </c>
      <c r="AD21"/>
      <c r="AE21"/>
      <c r="AF21"/>
      <c r="AG21"/>
      <c r="AH21"/>
      <c r="AI21"/>
    </row>
    <row r="22" spans="1:38" s="188" customFormat="1" ht="16.350000000000001" customHeight="1" thickBot="1">
      <c r="A22" s="173" t="s">
        <v>77</v>
      </c>
      <c r="B22" s="174"/>
      <c r="C22" s="175"/>
      <c r="D22" s="176"/>
      <c r="E22" s="177"/>
      <c r="F22" s="176"/>
      <c r="G22" s="176"/>
      <c r="H22" s="178"/>
      <c r="I22" s="178"/>
      <c r="J22" s="179">
        <f>SH.LLS/NbreLLS</f>
        <v>76.782233009708747</v>
      </c>
      <c r="K22" s="180"/>
      <c r="L22" s="180"/>
      <c r="M22" s="180"/>
      <c r="N22" s="180"/>
      <c r="O22" s="180"/>
      <c r="P22" s="180"/>
      <c r="Q22" s="178"/>
      <c r="R22" s="181">
        <f>SU.LLS/NbreLLS</f>
        <v>77.559902912621354</v>
      </c>
      <c r="S22" s="182"/>
      <c r="T22" s="182"/>
      <c r="U22" s="179">
        <f>SF.LLS/NbreLLS</f>
        <v>90.059902912621354</v>
      </c>
      <c r="V22" s="183">
        <f>SUM(V11:V21)</f>
        <v>103</v>
      </c>
      <c r="W22" s="184">
        <f>SUM(W11:W21)</f>
        <v>103</v>
      </c>
      <c r="X22" s="185">
        <f>SUM(X11:X21)</f>
        <v>7908.5700000000006</v>
      </c>
      <c r="Y22" s="186">
        <f>SUM(Y11:Y21)</f>
        <v>80.100000000000009</v>
      </c>
      <c r="Z22" s="186">
        <f>SUM(Z11:Z21)</f>
        <v>7988.6699999999992</v>
      </c>
      <c r="AA22" s="186">
        <f>SUM(AA11:AA21)</f>
        <v>1287.5</v>
      </c>
      <c r="AB22" s="186">
        <f>SUM(AB11:AB21)</f>
        <v>0</v>
      </c>
      <c r="AC22" s="187">
        <f>SUM(AC11:AC21)</f>
        <v>9276.17</v>
      </c>
      <c r="AD22"/>
      <c r="AE22"/>
      <c r="AF22"/>
      <c r="AG22"/>
      <c r="AH22"/>
      <c r="AI22"/>
      <c r="AJ22"/>
      <c r="AK22"/>
      <c r="AL22"/>
    </row>
    <row r="23" spans="1:38" ht="16.350000000000001" customHeight="1" thickBot="1">
      <c r="A23" s="189"/>
      <c r="B23" s="190"/>
      <c r="C23" s="191"/>
      <c r="D23" s="191"/>
      <c r="E23" s="192"/>
      <c r="F23" s="191"/>
      <c r="G23" s="191"/>
      <c r="H23" s="192"/>
      <c r="I23" s="192"/>
      <c r="J23" s="192"/>
      <c r="K23" s="193"/>
      <c r="L23" s="193"/>
      <c r="M23" s="193"/>
      <c r="N23" s="193"/>
      <c r="O23" s="193"/>
      <c r="P23" s="193"/>
      <c r="Q23" s="192"/>
      <c r="R23" s="194"/>
      <c r="S23" s="195"/>
      <c r="T23" s="196"/>
      <c r="U23" s="194"/>
      <c r="V23" s="194"/>
      <c r="W23" s="197"/>
      <c r="X23" s="192"/>
      <c r="Y23" s="192"/>
      <c r="Z23" s="192"/>
      <c r="AA23" s="192"/>
      <c r="AB23" s="192"/>
      <c r="AC23" s="198">
        <f>SF.LLS-SU.LLS-AA22-AB22</f>
        <v>9.0949470177292824E-13</v>
      </c>
      <c r="AI23"/>
      <c r="AJ23"/>
      <c r="AK23"/>
      <c r="AL23"/>
    </row>
    <row r="24" spans="1:38" ht="16.350000000000001" customHeight="1">
      <c r="A24" s="89"/>
      <c r="B24" s="199"/>
      <c r="C24" s="91"/>
      <c r="D24" s="92" t="s">
        <v>4</v>
      </c>
      <c r="E24" s="93"/>
      <c r="F24" s="93"/>
      <c r="G24" s="94"/>
      <c r="H24" s="95"/>
      <c r="I24" s="96"/>
      <c r="J24" s="91"/>
      <c r="K24" s="98"/>
      <c r="L24" s="98"/>
      <c r="M24" s="99" t="s">
        <v>54</v>
      </c>
      <c r="N24" s="98"/>
      <c r="O24" s="98"/>
      <c r="P24" s="200" t="s">
        <v>54</v>
      </c>
      <c r="Q24" s="96"/>
      <c r="R24" s="201"/>
      <c r="S24" s="202"/>
      <c r="T24" s="203"/>
      <c r="U24" s="103"/>
      <c r="V24" s="104"/>
      <c r="W24" s="105"/>
      <c r="X24" s="97"/>
      <c r="Y24" s="97"/>
      <c r="Z24" s="97"/>
      <c r="AA24" s="94"/>
      <c r="AB24" s="94"/>
      <c r="AC24" s="103"/>
      <c r="AI24"/>
      <c r="AJ24"/>
      <c r="AK24"/>
      <c r="AL24"/>
    </row>
    <row r="25" spans="1:38" ht="15.95" customHeight="1" outlineLevel="1">
      <c r="A25" s="204" t="s">
        <v>8</v>
      </c>
      <c r="B25" s="205" t="s">
        <v>78</v>
      </c>
      <c r="C25" s="206" t="s">
        <v>79</v>
      </c>
      <c r="D25" s="205" t="s">
        <v>80</v>
      </c>
      <c r="E25" s="207" t="s">
        <v>62</v>
      </c>
      <c r="F25" s="208" t="s">
        <v>81</v>
      </c>
      <c r="G25" s="209"/>
      <c r="H25" s="210">
        <v>35.17</v>
      </c>
      <c r="I25" s="208"/>
      <c r="J25" s="211">
        <f t="shared" ref="J25:J30" si="15">H25+I25</f>
        <v>35.17</v>
      </c>
      <c r="K25" s="212">
        <v>2.71</v>
      </c>
      <c r="L25" s="212"/>
      <c r="M25" s="213">
        <f t="shared" ref="M25:M30" si="16">K25+L25</f>
        <v>2.71</v>
      </c>
      <c r="N25" s="214">
        <v>25</v>
      </c>
      <c r="O25" s="215"/>
      <c r="P25" s="213">
        <f t="shared" ref="P25:P30" si="17">N25+O25</f>
        <v>25</v>
      </c>
      <c r="Q25" s="216">
        <f t="shared" ref="Q25:Q30" si="18">M25*$Q$10</f>
        <v>1.355</v>
      </c>
      <c r="R25" s="217">
        <f t="shared" ref="R25:R30" si="19">J25+Q25</f>
        <v>36.524999999999999</v>
      </c>
      <c r="S25" s="218">
        <f t="shared" ref="S25:S30" si="20">P25*$S$10</f>
        <v>12.5</v>
      </c>
      <c r="T25" s="219">
        <f>IF(S.LCR=0,0,S.LCR/(NbreLLS+NbreLLTS+NbrePLS)*$T$10)</f>
        <v>0</v>
      </c>
      <c r="U25" s="220">
        <f t="shared" ref="U25:U30" si="21">J25+Q25+S25+T25</f>
        <v>49.024999999999999</v>
      </c>
      <c r="V25" s="221">
        <v>2</v>
      </c>
      <c r="W25" s="222">
        <f>V25</f>
        <v>2</v>
      </c>
      <c r="X25" s="223">
        <f t="shared" ref="X25:X30" si="22">J25*$V25</f>
        <v>70.34</v>
      </c>
      <c r="Y25" s="223">
        <f t="shared" ref="Y25:AC30" si="23">Q25*$V25</f>
        <v>2.71</v>
      </c>
      <c r="Z25" s="223">
        <f t="shared" si="23"/>
        <v>73.05</v>
      </c>
      <c r="AA25" s="223">
        <f t="shared" si="23"/>
        <v>25</v>
      </c>
      <c r="AB25" s="223">
        <f t="shared" si="23"/>
        <v>0</v>
      </c>
      <c r="AC25" s="224">
        <f t="shared" si="23"/>
        <v>98.05</v>
      </c>
      <c r="AI25"/>
    </row>
    <row r="26" spans="1:38" ht="15.95" customHeight="1" outlineLevel="1">
      <c r="A26" s="204" t="s">
        <v>8</v>
      </c>
      <c r="B26" s="205" t="s">
        <v>78</v>
      </c>
      <c r="C26" s="206" t="s">
        <v>79</v>
      </c>
      <c r="D26" s="205" t="s">
        <v>80</v>
      </c>
      <c r="E26" s="207" t="s">
        <v>71</v>
      </c>
      <c r="F26" s="208" t="s">
        <v>81</v>
      </c>
      <c r="G26" s="209"/>
      <c r="H26" s="210">
        <v>36.42</v>
      </c>
      <c r="I26" s="208"/>
      <c r="J26" s="211">
        <f t="shared" si="15"/>
        <v>36.42</v>
      </c>
      <c r="K26" s="212"/>
      <c r="L26" s="212"/>
      <c r="M26" s="213">
        <f t="shared" si="16"/>
        <v>0</v>
      </c>
      <c r="N26" s="214">
        <v>9.6875</v>
      </c>
      <c r="O26" s="215"/>
      <c r="P26" s="213">
        <f t="shared" si="17"/>
        <v>9.6875</v>
      </c>
      <c r="Q26" s="216">
        <f t="shared" si="18"/>
        <v>0</v>
      </c>
      <c r="R26" s="217">
        <f t="shared" si="19"/>
        <v>36.42</v>
      </c>
      <c r="S26" s="218">
        <f t="shared" si="20"/>
        <v>4.84375</v>
      </c>
      <c r="T26" s="219">
        <f>IF(S.LCR=0,0,S.LCR/(NbreLLS+NbreLLTS+NbrePLS)*$T$10)</f>
        <v>0</v>
      </c>
      <c r="U26" s="220">
        <f t="shared" si="21"/>
        <v>41.263750000000002</v>
      </c>
      <c r="V26" s="221">
        <v>4</v>
      </c>
      <c r="W26" s="222">
        <f>V26</f>
        <v>4</v>
      </c>
      <c r="X26" s="223">
        <f t="shared" si="22"/>
        <v>145.68</v>
      </c>
      <c r="Y26" s="223">
        <f t="shared" si="23"/>
        <v>0</v>
      </c>
      <c r="Z26" s="223">
        <f t="shared" si="23"/>
        <v>145.68</v>
      </c>
      <c r="AA26" s="223">
        <f t="shared" si="23"/>
        <v>19.375</v>
      </c>
      <c r="AB26" s="223">
        <f t="shared" si="23"/>
        <v>0</v>
      </c>
      <c r="AC26" s="224">
        <f t="shared" si="23"/>
        <v>165.05500000000001</v>
      </c>
      <c r="AI26"/>
    </row>
    <row r="27" spans="1:38" ht="15.95" customHeight="1" outlineLevel="1">
      <c r="A27" s="225" t="s">
        <v>9</v>
      </c>
      <c r="B27" s="226" t="s">
        <v>82</v>
      </c>
      <c r="C27" s="227" t="s">
        <v>83</v>
      </c>
      <c r="D27" s="226" t="s">
        <v>84</v>
      </c>
      <c r="E27" s="228" t="s">
        <v>58</v>
      </c>
      <c r="F27" s="229" t="s">
        <v>85</v>
      </c>
      <c r="G27" s="230"/>
      <c r="H27" s="231">
        <v>46.76</v>
      </c>
      <c r="I27" s="229">
        <v>9.83</v>
      </c>
      <c r="J27" s="232">
        <f t="shared" si="15"/>
        <v>56.589999999999996</v>
      </c>
      <c r="K27" s="233"/>
      <c r="L27" s="233"/>
      <c r="M27" s="234">
        <f t="shared" si="16"/>
        <v>0</v>
      </c>
      <c r="N27" s="235">
        <v>25</v>
      </c>
      <c r="O27" s="236"/>
      <c r="P27" s="234">
        <f t="shared" si="17"/>
        <v>25</v>
      </c>
      <c r="Q27" s="237">
        <f t="shared" si="18"/>
        <v>0</v>
      </c>
      <c r="R27" s="238">
        <f t="shared" si="19"/>
        <v>56.589999999999996</v>
      </c>
      <c r="S27" s="239">
        <f t="shared" si="20"/>
        <v>12.5</v>
      </c>
      <c r="T27" s="240">
        <f>IF(S.LCR=0,0,S.LCR/(NbreLLS+NbreLLTS+NbrePLS)*$T$10)</f>
        <v>0</v>
      </c>
      <c r="U27" s="241">
        <f t="shared" si="21"/>
        <v>69.09</v>
      </c>
      <c r="V27" s="242">
        <v>4</v>
      </c>
      <c r="W27" s="243">
        <f>V27</f>
        <v>4</v>
      </c>
      <c r="X27" s="244">
        <f t="shared" si="22"/>
        <v>226.35999999999999</v>
      </c>
      <c r="Y27" s="244">
        <f t="shared" si="23"/>
        <v>0</v>
      </c>
      <c r="Z27" s="244">
        <f t="shared" si="23"/>
        <v>226.35999999999999</v>
      </c>
      <c r="AA27" s="244">
        <f t="shared" si="23"/>
        <v>50</v>
      </c>
      <c r="AB27" s="244">
        <f t="shared" si="23"/>
        <v>0</v>
      </c>
      <c r="AC27" s="245">
        <f t="shared" si="23"/>
        <v>276.36</v>
      </c>
      <c r="AI27"/>
    </row>
    <row r="28" spans="1:38" ht="15.95" customHeight="1" outlineLevel="1">
      <c r="A28" s="225" t="s">
        <v>9</v>
      </c>
      <c r="B28" s="226" t="s">
        <v>82</v>
      </c>
      <c r="C28" s="227" t="s">
        <v>83</v>
      </c>
      <c r="D28" s="226" t="s">
        <v>84</v>
      </c>
      <c r="E28" s="228" t="s">
        <v>62</v>
      </c>
      <c r="F28" s="229" t="s">
        <v>85</v>
      </c>
      <c r="G28" s="230"/>
      <c r="H28" s="231">
        <v>47.12</v>
      </c>
      <c r="I28" s="229">
        <v>12.04</v>
      </c>
      <c r="J28" s="232">
        <f t="shared" si="15"/>
        <v>59.16</v>
      </c>
      <c r="K28" s="233"/>
      <c r="L28" s="233"/>
      <c r="M28" s="234">
        <f t="shared" si="16"/>
        <v>0</v>
      </c>
      <c r="N28" s="235">
        <v>25</v>
      </c>
      <c r="O28" s="236"/>
      <c r="P28" s="234">
        <f t="shared" si="17"/>
        <v>25</v>
      </c>
      <c r="Q28" s="237">
        <f t="shared" si="18"/>
        <v>0</v>
      </c>
      <c r="R28" s="238">
        <f t="shared" si="19"/>
        <v>59.16</v>
      </c>
      <c r="S28" s="239">
        <f t="shared" si="20"/>
        <v>12.5</v>
      </c>
      <c r="T28" s="240">
        <f>IF(S.LCR=0,0,S.LCR/(NbreLLS+NbreLLTS+NbrePLS)*$T$10)</f>
        <v>0</v>
      </c>
      <c r="U28" s="241">
        <f t="shared" si="21"/>
        <v>71.66</v>
      </c>
      <c r="V28" s="242">
        <v>6</v>
      </c>
      <c r="W28" s="243">
        <f>V28</f>
        <v>6</v>
      </c>
      <c r="X28" s="244">
        <f t="shared" si="22"/>
        <v>354.96</v>
      </c>
      <c r="Y28" s="244">
        <f t="shared" si="23"/>
        <v>0</v>
      </c>
      <c r="Z28" s="244">
        <f t="shared" si="23"/>
        <v>354.96</v>
      </c>
      <c r="AA28" s="244">
        <f t="shared" si="23"/>
        <v>75</v>
      </c>
      <c r="AB28" s="244">
        <f t="shared" si="23"/>
        <v>0</v>
      </c>
      <c r="AC28" s="245">
        <f t="shared" si="23"/>
        <v>429.96</v>
      </c>
      <c r="AI28"/>
    </row>
    <row r="29" spans="1:38" ht="15.95" customHeight="1" outlineLevel="1">
      <c r="A29" s="225" t="s">
        <v>9</v>
      </c>
      <c r="B29" s="226" t="s">
        <v>82</v>
      </c>
      <c r="C29" s="227" t="s">
        <v>83</v>
      </c>
      <c r="D29" s="226" t="s">
        <v>84</v>
      </c>
      <c r="E29" s="228" t="s">
        <v>71</v>
      </c>
      <c r="F29" s="229" t="s">
        <v>86</v>
      </c>
      <c r="G29" s="230"/>
      <c r="H29" s="231">
        <v>49.21</v>
      </c>
      <c r="I29" s="229"/>
      <c r="J29" s="232">
        <f t="shared" si="15"/>
        <v>49.21</v>
      </c>
      <c r="K29" s="233"/>
      <c r="L29" s="233"/>
      <c r="M29" s="234">
        <f t="shared" si="16"/>
        <v>0</v>
      </c>
      <c r="N29" s="235">
        <v>9.6875</v>
      </c>
      <c r="O29" s="236"/>
      <c r="P29" s="234">
        <f t="shared" si="17"/>
        <v>9.6875</v>
      </c>
      <c r="Q29" s="237">
        <f t="shared" si="18"/>
        <v>0</v>
      </c>
      <c r="R29" s="238">
        <f t="shared" si="19"/>
        <v>49.21</v>
      </c>
      <c r="S29" s="239">
        <f t="shared" si="20"/>
        <v>4.84375</v>
      </c>
      <c r="T29" s="240">
        <f>IF(S.LCR=0,0,S.LCR/(NbreLLS+NbreLLTS+NbrePLS)*$T$10)</f>
        <v>0</v>
      </c>
      <c r="U29" s="241">
        <f t="shared" si="21"/>
        <v>54.053750000000001</v>
      </c>
      <c r="V29" s="242">
        <v>33</v>
      </c>
      <c r="W29" s="243">
        <f>V29</f>
        <v>33</v>
      </c>
      <c r="X29" s="244">
        <f t="shared" si="22"/>
        <v>1623.93</v>
      </c>
      <c r="Y29" s="244">
        <f t="shared" si="23"/>
        <v>0</v>
      </c>
      <c r="Z29" s="244">
        <f t="shared" si="23"/>
        <v>1623.93</v>
      </c>
      <c r="AA29" s="244">
        <f t="shared" si="23"/>
        <v>159.84375</v>
      </c>
      <c r="AB29" s="244">
        <f t="shared" si="23"/>
        <v>0</v>
      </c>
      <c r="AC29" s="245">
        <f t="shared" si="23"/>
        <v>1783.7737500000001</v>
      </c>
      <c r="AI29"/>
    </row>
    <row r="30" spans="1:38" ht="15.95" customHeight="1" outlineLevel="1">
      <c r="A30" s="225" t="s">
        <v>9</v>
      </c>
      <c r="B30" s="226" t="s">
        <v>82</v>
      </c>
      <c r="C30" s="227" t="s">
        <v>83</v>
      </c>
      <c r="D30" s="226" t="s">
        <v>84</v>
      </c>
      <c r="E30" s="228" t="s">
        <v>71</v>
      </c>
      <c r="F30" s="229" t="s">
        <v>87</v>
      </c>
      <c r="G30" s="230"/>
      <c r="H30" s="231">
        <v>48.38</v>
      </c>
      <c r="I30" s="229"/>
      <c r="J30" s="232">
        <f t="shared" si="15"/>
        <v>48.38</v>
      </c>
      <c r="K30" s="233"/>
      <c r="L30" s="233"/>
      <c r="M30" s="234">
        <f t="shared" si="16"/>
        <v>0</v>
      </c>
      <c r="N30" s="235">
        <v>9.6875</v>
      </c>
      <c r="O30" s="236"/>
      <c r="P30" s="234">
        <f t="shared" si="17"/>
        <v>9.6875</v>
      </c>
      <c r="Q30" s="237">
        <f t="shared" si="18"/>
        <v>0</v>
      </c>
      <c r="R30" s="238">
        <f t="shared" si="19"/>
        <v>48.38</v>
      </c>
      <c r="S30" s="239">
        <f t="shared" si="20"/>
        <v>4.84375</v>
      </c>
      <c r="T30" s="240">
        <f>IF(S.LCR=0,0,S.LCR/(NbreLLS+NbreLLTS+NbrePLS)*$T$10)</f>
        <v>0</v>
      </c>
      <c r="U30" s="241">
        <f t="shared" si="21"/>
        <v>53.223750000000003</v>
      </c>
      <c r="V30" s="242">
        <v>11</v>
      </c>
      <c r="W30" s="243">
        <f>V30</f>
        <v>11</v>
      </c>
      <c r="X30" s="244">
        <f t="shared" si="22"/>
        <v>532.18000000000006</v>
      </c>
      <c r="Y30" s="244">
        <f t="shared" si="23"/>
        <v>0</v>
      </c>
      <c r="Z30" s="244">
        <f t="shared" si="23"/>
        <v>532.18000000000006</v>
      </c>
      <c r="AA30" s="244">
        <f t="shared" si="23"/>
        <v>53.28125</v>
      </c>
      <c r="AB30" s="244">
        <f t="shared" si="23"/>
        <v>0</v>
      </c>
      <c r="AC30" s="245">
        <f t="shared" si="23"/>
        <v>585.46125000000006</v>
      </c>
      <c r="AI30"/>
    </row>
    <row r="31" spans="1:38" ht="16.350000000000001" customHeight="1" thickBot="1">
      <c r="A31" s="173" t="s">
        <v>88</v>
      </c>
      <c r="B31" s="174"/>
      <c r="C31" s="175"/>
      <c r="D31" s="176"/>
      <c r="E31" s="177"/>
      <c r="F31" s="176"/>
      <c r="G31" s="176"/>
      <c r="H31" s="178"/>
      <c r="I31" s="178"/>
      <c r="J31" s="179">
        <f>SH.LLTS/NbreLLTS</f>
        <v>49.224166666666662</v>
      </c>
      <c r="K31" s="180"/>
      <c r="L31" s="180"/>
      <c r="M31" s="180"/>
      <c r="N31" s="180"/>
      <c r="O31" s="180"/>
      <c r="P31" s="180"/>
      <c r="Q31" s="178"/>
      <c r="R31" s="181">
        <f>SU.LLTS/NbreLLTS</f>
        <v>49.269333333333329</v>
      </c>
      <c r="S31" s="182"/>
      <c r="T31" s="182"/>
      <c r="U31" s="179">
        <f>SF.LLTS/NbreLLTS</f>
        <v>55.644333333333329</v>
      </c>
      <c r="V31" s="183">
        <f>SUM(V25:V30)</f>
        <v>60</v>
      </c>
      <c r="W31" s="184">
        <f>SUM(W25:W30)</f>
        <v>60</v>
      </c>
      <c r="X31" s="185">
        <f>SUM(X25:X30)</f>
        <v>2953.45</v>
      </c>
      <c r="Y31" s="186">
        <f>SUM(Y25:Y30)</f>
        <v>2.71</v>
      </c>
      <c r="Z31" s="186">
        <f>SUM(Z25:Z30)</f>
        <v>2956.16</v>
      </c>
      <c r="AA31" s="186">
        <f>SUM(AA25:AA30)</f>
        <v>382.5</v>
      </c>
      <c r="AB31" s="186">
        <f>SUM(AB25:AB30)</f>
        <v>0</v>
      </c>
      <c r="AC31" s="187">
        <f>SUM(AC25:AC30)</f>
        <v>3338.66</v>
      </c>
      <c r="AI31"/>
      <c r="AJ31"/>
      <c r="AK31"/>
      <c r="AL31"/>
    </row>
    <row r="32" spans="1:38" ht="16.350000000000001" customHeight="1" thickBot="1">
      <c r="A32" s="189"/>
      <c r="B32" s="190"/>
      <c r="C32" s="191"/>
      <c r="D32" s="191"/>
      <c r="E32" s="192"/>
      <c r="F32" s="191"/>
      <c r="G32" s="191"/>
      <c r="H32" s="192"/>
      <c r="I32" s="192"/>
      <c r="J32" s="192"/>
      <c r="K32" s="246"/>
      <c r="L32" s="246"/>
      <c r="M32" s="246"/>
      <c r="N32" s="246"/>
      <c r="O32" s="246"/>
      <c r="P32" s="246"/>
      <c r="Q32" s="192"/>
      <c r="R32" s="194"/>
      <c r="S32" s="192"/>
      <c r="T32" s="192"/>
      <c r="U32" s="194"/>
      <c r="V32" s="194"/>
      <c r="W32" s="197"/>
      <c r="X32" s="192"/>
      <c r="Y32" s="192"/>
      <c r="Z32" s="192"/>
      <c r="AA32" s="192"/>
      <c r="AB32" s="192"/>
      <c r="AC32" s="198">
        <f>SF.LLTS-SU.LLTS-AA31-AB31</f>
        <v>0</v>
      </c>
      <c r="AI32"/>
      <c r="AJ32"/>
      <c r="AK32"/>
      <c r="AL32"/>
    </row>
    <row r="33" spans="1:16384" ht="15.95" customHeight="1">
      <c r="A33" s="89"/>
      <c r="B33" s="199"/>
      <c r="C33" s="91"/>
      <c r="D33" s="92" t="s">
        <v>5</v>
      </c>
      <c r="E33" s="93"/>
      <c r="F33" s="93"/>
      <c r="G33" s="94"/>
      <c r="H33" s="247"/>
      <c r="I33" s="248"/>
      <c r="J33" s="91"/>
      <c r="K33" s="98"/>
      <c r="L33" s="98"/>
      <c r="M33" s="99" t="s">
        <v>54</v>
      </c>
      <c r="N33" s="98"/>
      <c r="O33" s="98"/>
      <c r="P33" s="200" t="s">
        <v>54</v>
      </c>
      <c r="Q33" s="96"/>
      <c r="R33" s="201"/>
      <c r="S33" s="202"/>
      <c r="T33" s="203"/>
      <c r="U33" s="103"/>
      <c r="V33" s="249"/>
      <c r="W33" s="250"/>
      <c r="X33" s="97"/>
      <c r="Y33" s="97"/>
      <c r="Z33" s="97"/>
      <c r="AA33" s="94"/>
      <c r="AB33" s="94"/>
      <c r="AC33" s="103"/>
      <c r="AI33"/>
    </row>
    <row r="34" spans="1:16384" ht="15.95" customHeight="1" outlineLevel="1">
      <c r="A34" s="225" t="s">
        <v>9</v>
      </c>
      <c r="B34" s="226" t="s">
        <v>82</v>
      </c>
      <c r="C34" s="227" t="s">
        <v>83</v>
      </c>
      <c r="D34" s="226" t="s">
        <v>84</v>
      </c>
      <c r="E34" s="228" t="s">
        <v>70</v>
      </c>
      <c r="F34" s="229" t="s">
        <v>89</v>
      </c>
      <c r="G34" s="230"/>
      <c r="H34" s="231">
        <v>47.13</v>
      </c>
      <c r="I34" s="229">
        <v>10.039999999999999</v>
      </c>
      <c r="J34" s="232">
        <f t="shared" ref="J34:J39" si="24">H34+I34</f>
        <v>57.17</v>
      </c>
      <c r="K34" s="233"/>
      <c r="L34" s="233"/>
      <c r="M34" s="234">
        <f t="shared" ref="M34:M39" si="25">K34+L34</f>
        <v>0</v>
      </c>
      <c r="N34" s="235">
        <v>25</v>
      </c>
      <c r="O34" s="236"/>
      <c r="P34" s="234">
        <f t="shared" ref="P34:P39" si="26">N34+O34</f>
        <v>25</v>
      </c>
      <c r="Q34" s="237">
        <f t="shared" ref="Q34:Q39" si="27">M34*$Q$10</f>
        <v>0</v>
      </c>
      <c r="R34" s="238">
        <f t="shared" ref="R34:R39" si="28">J34+Q34</f>
        <v>57.17</v>
      </c>
      <c r="S34" s="239">
        <f t="shared" ref="S34:S39" si="29">P34*$S$10</f>
        <v>12.5</v>
      </c>
      <c r="T34" s="240">
        <f>IF(S.LCR=0,0,S.LCR/(NbreLLS+NbreLLTS+NbrePLS)*$T$10)</f>
        <v>0</v>
      </c>
      <c r="U34" s="241">
        <f t="shared" ref="U34:U39" si="30">J34+Q34+S34+T34</f>
        <v>69.67</v>
      </c>
      <c r="V34" s="242">
        <v>8</v>
      </c>
      <c r="W34" s="243">
        <f>V34</f>
        <v>8</v>
      </c>
      <c r="X34" s="244">
        <f t="shared" ref="X34:X39" si="31">J34*$V34</f>
        <v>457.36</v>
      </c>
      <c r="Y34" s="244">
        <f t="shared" ref="Y34:AC39" si="32">Q34*$V34</f>
        <v>0</v>
      </c>
      <c r="Z34" s="244">
        <f t="shared" si="32"/>
        <v>457.36</v>
      </c>
      <c r="AA34" s="244">
        <f t="shared" si="32"/>
        <v>100</v>
      </c>
      <c r="AB34" s="244">
        <f t="shared" si="32"/>
        <v>0</v>
      </c>
      <c r="AC34" s="245">
        <f t="shared" si="32"/>
        <v>557.36</v>
      </c>
      <c r="AI34"/>
    </row>
    <row r="35" spans="1:16384" ht="15.95" customHeight="1" outlineLevel="1">
      <c r="A35" s="106" t="s">
        <v>11</v>
      </c>
      <c r="B35" s="107" t="s">
        <v>55</v>
      </c>
      <c r="C35" s="108" t="s">
        <v>56</v>
      </c>
      <c r="D35" s="107" t="s">
        <v>57</v>
      </c>
      <c r="E35" s="109" t="s">
        <v>70</v>
      </c>
      <c r="F35" s="110" t="s">
        <v>59</v>
      </c>
      <c r="G35" s="111"/>
      <c r="H35" s="112">
        <v>60.53</v>
      </c>
      <c r="I35" s="110">
        <v>9.61</v>
      </c>
      <c r="J35" s="113">
        <f t="shared" si="24"/>
        <v>70.14</v>
      </c>
      <c r="K35" s="114"/>
      <c r="L35" s="114"/>
      <c r="M35" s="115">
        <f t="shared" si="25"/>
        <v>0</v>
      </c>
      <c r="N35" s="116">
        <v>25</v>
      </c>
      <c r="O35" s="117"/>
      <c r="P35" s="115">
        <f t="shared" si="26"/>
        <v>25</v>
      </c>
      <c r="Q35" s="118">
        <f t="shared" si="27"/>
        <v>0</v>
      </c>
      <c r="R35" s="119">
        <f t="shared" si="28"/>
        <v>70.14</v>
      </c>
      <c r="S35" s="120">
        <f t="shared" si="29"/>
        <v>12.5</v>
      </c>
      <c r="T35" s="121">
        <f t="shared" ref="T35:T39" si="33">IF(S.LCR=0,0,S.LCR/(NbreLLS+NbreLLTS+NbrePLS)*$T$10)</f>
        <v>0</v>
      </c>
      <c r="U35" s="122">
        <f t="shared" si="30"/>
        <v>82.64</v>
      </c>
      <c r="V35" s="123">
        <v>3</v>
      </c>
      <c r="W35" s="124">
        <f t="shared" ref="W35:W39" si="34">V35</f>
        <v>3</v>
      </c>
      <c r="X35" s="125">
        <f t="shared" si="31"/>
        <v>210.42000000000002</v>
      </c>
      <c r="Y35" s="125">
        <f t="shared" si="32"/>
        <v>0</v>
      </c>
      <c r="Z35" s="125">
        <f t="shared" si="32"/>
        <v>210.42000000000002</v>
      </c>
      <c r="AA35" s="125">
        <f t="shared" si="32"/>
        <v>37.5</v>
      </c>
      <c r="AB35" s="125">
        <f t="shared" si="32"/>
        <v>0</v>
      </c>
      <c r="AC35" s="126">
        <f t="shared" si="32"/>
        <v>247.92000000000002</v>
      </c>
      <c r="AI35"/>
    </row>
    <row r="36" spans="1:16384" ht="15.95" customHeight="1" outlineLevel="1">
      <c r="A36" s="106" t="s">
        <v>11</v>
      </c>
      <c r="B36" s="107" t="s">
        <v>55</v>
      </c>
      <c r="C36" s="108" t="s">
        <v>56</v>
      </c>
      <c r="D36" s="107" t="s">
        <v>57</v>
      </c>
      <c r="E36" s="109" t="s">
        <v>70</v>
      </c>
      <c r="F36" s="110" t="s">
        <v>60</v>
      </c>
      <c r="G36" s="111"/>
      <c r="H36" s="112">
        <v>60.74</v>
      </c>
      <c r="I36" s="110">
        <v>9.61</v>
      </c>
      <c r="J36" s="113">
        <f t="shared" si="24"/>
        <v>70.349999999999994</v>
      </c>
      <c r="K36" s="114"/>
      <c r="L36" s="114"/>
      <c r="M36" s="115">
        <f t="shared" si="25"/>
        <v>0</v>
      </c>
      <c r="N36" s="116">
        <v>25</v>
      </c>
      <c r="O36" s="117"/>
      <c r="P36" s="115">
        <f t="shared" si="26"/>
        <v>25</v>
      </c>
      <c r="Q36" s="118">
        <f t="shared" si="27"/>
        <v>0</v>
      </c>
      <c r="R36" s="119">
        <f t="shared" si="28"/>
        <v>70.349999999999994</v>
      </c>
      <c r="S36" s="120">
        <f t="shared" si="29"/>
        <v>12.5</v>
      </c>
      <c r="T36" s="121">
        <f t="shared" si="33"/>
        <v>0</v>
      </c>
      <c r="U36" s="122">
        <f t="shared" si="30"/>
        <v>82.85</v>
      </c>
      <c r="V36" s="123">
        <v>2</v>
      </c>
      <c r="W36" s="124">
        <f t="shared" si="34"/>
        <v>2</v>
      </c>
      <c r="X36" s="125">
        <f t="shared" si="31"/>
        <v>140.69999999999999</v>
      </c>
      <c r="Y36" s="125">
        <f t="shared" si="32"/>
        <v>0</v>
      </c>
      <c r="Z36" s="125">
        <f t="shared" si="32"/>
        <v>140.69999999999999</v>
      </c>
      <c r="AA36" s="125">
        <f t="shared" si="32"/>
        <v>25</v>
      </c>
      <c r="AB36" s="125">
        <f t="shared" si="32"/>
        <v>0</v>
      </c>
      <c r="AC36" s="126">
        <f t="shared" si="32"/>
        <v>165.7</v>
      </c>
      <c r="AI36"/>
    </row>
    <row r="37" spans="1:16384" ht="15.95" customHeight="1" outlineLevel="1">
      <c r="A37" s="106" t="s">
        <v>11</v>
      </c>
      <c r="B37" s="107" t="s">
        <v>55</v>
      </c>
      <c r="C37" s="108" t="s">
        <v>56</v>
      </c>
      <c r="D37" s="107" t="s">
        <v>57</v>
      </c>
      <c r="E37" s="109" t="s">
        <v>70</v>
      </c>
      <c r="F37" s="110" t="s">
        <v>90</v>
      </c>
      <c r="G37" s="111"/>
      <c r="H37" s="112">
        <v>62.48</v>
      </c>
      <c r="I37" s="110">
        <v>9.61</v>
      </c>
      <c r="J37" s="113">
        <f t="shared" si="24"/>
        <v>72.09</v>
      </c>
      <c r="K37" s="114"/>
      <c r="L37" s="114"/>
      <c r="M37" s="115">
        <f t="shared" si="25"/>
        <v>0</v>
      </c>
      <c r="N37" s="116">
        <v>25</v>
      </c>
      <c r="O37" s="117"/>
      <c r="P37" s="115">
        <f t="shared" si="26"/>
        <v>25</v>
      </c>
      <c r="Q37" s="118">
        <f t="shared" si="27"/>
        <v>0</v>
      </c>
      <c r="R37" s="119">
        <f t="shared" si="28"/>
        <v>72.09</v>
      </c>
      <c r="S37" s="120">
        <f t="shared" si="29"/>
        <v>12.5</v>
      </c>
      <c r="T37" s="121">
        <f t="shared" si="33"/>
        <v>0</v>
      </c>
      <c r="U37" s="122">
        <f t="shared" si="30"/>
        <v>84.59</v>
      </c>
      <c r="V37" s="123">
        <v>2</v>
      </c>
      <c r="W37" s="124">
        <f t="shared" si="34"/>
        <v>2</v>
      </c>
      <c r="X37" s="125">
        <f t="shared" si="31"/>
        <v>144.18</v>
      </c>
      <c r="Y37" s="125">
        <f t="shared" si="32"/>
        <v>0</v>
      </c>
      <c r="Z37" s="125">
        <f t="shared" si="32"/>
        <v>144.18</v>
      </c>
      <c r="AA37" s="125">
        <f t="shared" si="32"/>
        <v>25</v>
      </c>
      <c r="AB37" s="125">
        <f t="shared" si="32"/>
        <v>0</v>
      </c>
      <c r="AC37" s="126">
        <f t="shared" si="32"/>
        <v>169.18</v>
      </c>
      <c r="AI37"/>
    </row>
    <row r="38" spans="1:16384" ht="15.95" customHeight="1" outlineLevel="1">
      <c r="A38" s="130" t="s">
        <v>12</v>
      </c>
      <c r="B38" s="131" t="s">
        <v>66</v>
      </c>
      <c r="C38" s="132" t="s">
        <v>67</v>
      </c>
      <c r="D38" s="131" t="s">
        <v>68</v>
      </c>
      <c r="E38" s="133" t="s">
        <v>70</v>
      </c>
      <c r="F38" s="134" t="s">
        <v>69</v>
      </c>
      <c r="G38" s="135"/>
      <c r="H38" s="136">
        <v>77.650000000000006</v>
      </c>
      <c r="I38" s="134">
        <v>10.86</v>
      </c>
      <c r="J38" s="137">
        <f t="shared" si="24"/>
        <v>88.51</v>
      </c>
      <c r="K38" s="138"/>
      <c r="L38" s="138"/>
      <c r="M38" s="139">
        <f t="shared" si="25"/>
        <v>0</v>
      </c>
      <c r="N38" s="140">
        <v>25</v>
      </c>
      <c r="O38" s="141"/>
      <c r="P38" s="139">
        <f t="shared" si="26"/>
        <v>25</v>
      </c>
      <c r="Q38" s="142">
        <f t="shared" si="27"/>
        <v>0</v>
      </c>
      <c r="R38" s="143">
        <f t="shared" si="28"/>
        <v>88.51</v>
      </c>
      <c r="S38" s="144">
        <f t="shared" si="29"/>
        <v>12.5</v>
      </c>
      <c r="T38" s="145">
        <f t="shared" si="33"/>
        <v>0</v>
      </c>
      <c r="U38" s="146">
        <f t="shared" si="30"/>
        <v>101.01</v>
      </c>
      <c r="V38" s="147">
        <v>8</v>
      </c>
      <c r="W38" s="148">
        <f t="shared" si="34"/>
        <v>8</v>
      </c>
      <c r="X38" s="149">
        <f t="shared" si="31"/>
        <v>708.08</v>
      </c>
      <c r="Y38" s="149">
        <f t="shared" si="32"/>
        <v>0</v>
      </c>
      <c r="Z38" s="149">
        <f t="shared" si="32"/>
        <v>708.08</v>
      </c>
      <c r="AA38" s="149">
        <f t="shared" si="32"/>
        <v>100</v>
      </c>
      <c r="AB38" s="149">
        <f t="shared" si="32"/>
        <v>0</v>
      </c>
      <c r="AC38" s="150">
        <f t="shared" si="32"/>
        <v>808.08</v>
      </c>
      <c r="AI38"/>
      <c r="AJ38"/>
      <c r="AK38"/>
      <c r="AL38"/>
      <c r="AM38"/>
      <c r="AN38"/>
      <c r="AO38"/>
    </row>
    <row r="39" spans="1:16384" ht="15.95" customHeight="1" outlineLevel="1">
      <c r="A39" s="130" t="s">
        <v>12</v>
      </c>
      <c r="B39" s="131" t="s">
        <v>66</v>
      </c>
      <c r="C39" s="132" t="s">
        <v>67</v>
      </c>
      <c r="D39" s="131" t="s">
        <v>68</v>
      </c>
      <c r="E39" s="133" t="s">
        <v>70</v>
      </c>
      <c r="F39" s="134" t="s">
        <v>72</v>
      </c>
      <c r="G39" s="135"/>
      <c r="H39" s="136">
        <v>78.790000000000006</v>
      </c>
      <c r="I39" s="134">
        <v>10.86</v>
      </c>
      <c r="J39" s="137">
        <f t="shared" si="24"/>
        <v>89.65</v>
      </c>
      <c r="K39" s="138"/>
      <c r="L39" s="138"/>
      <c r="M39" s="139">
        <f t="shared" si="25"/>
        <v>0</v>
      </c>
      <c r="N39" s="140">
        <v>25</v>
      </c>
      <c r="O39" s="141"/>
      <c r="P39" s="139">
        <f t="shared" si="26"/>
        <v>25</v>
      </c>
      <c r="Q39" s="142">
        <f t="shared" si="27"/>
        <v>0</v>
      </c>
      <c r="R39" s="143">
        <f t="shared" si="28"/>
        <v>89.65</v>
      </c>
      <c r="S39" s="144">
        <f t="shared" si="29"/>
        <v>12.5</v>
      </c>
      <c r="T39" s="145">
        <f t="shared" si="33"/>
        <v>0</v>
      </c>
      <c r="U39" s="146">
        <f t="shared" si="30"/>
        <v>102.15</v>
      </c>
      <c r="V39" s="147">
        <v>6</v>
      </c>
      <c r="W39" s="148">
        <f t="shared" si="34"/>
        <v>6</v>
      </c>
      <c r="X39" s="149">
        <f t="shared" si="31"/>
        <v>537.90000000000009</v>
      </c>
      <c r="Y39" s="149">
        <f t="shared" si="32"/>
        <v>0</v>
      </c>
      <c r="Z39" s="149">
        <f t="shared" si="32"/>
        <v>537.90000000000009</v>
      </c>
      <c r="AA39" s="149">
        <f t="shared" si="32"/>
        <v>75</v>
      </c>
      <c r="AB39" s="149">
        <f t="shared" si="32"/>
        <v>0</v>
      </c>
      <c r="AC39" s="150">
        <f t="shared" si="32"/>
        <v>612.90000000000009</v>
      </c>
      <c r="AI39"/>
      <c r="AJ39"/>
      <c r="AK39"/>
      <c r="AL39"/>
      <c r="AM39"/>
      <c r="AN39"/>
      <c r="AO39"/>
    </row>
    <row r="40" spans="1:16384" ht="15.95" customHeight="1" thickBot="1">
      <c r="A40" s="173" t="s">
        <v>91</v>
      </c>
      <c r="B40" s="174"/>
      <c r="C40" s="175"/>
      <c r="D40" s="176"/>
      <c r="E40" s="177"/>
      <c r="F40" s="176"/>
      <c r="G40" s="176"/>
      <c r="H40" s="178"/>
      <c r="I40" s="178"/>
      <c r="J40" s="179">
        <f>SH.PLS/NbrePLS</f>
        <v>75.815172413793121</v>
      </c>
      <c r="K40" s="180"/>
      <c r="L40" s="180"/>
      <c r="M40" s="180"/>
      <c r="N40" s="180"/>
      <c r="O40" s="180"/>
      <c r="P40" s="180"/>
      <c r="Q40" s="178"/>
      <c r="R40" s="181">
        <f>SU.PLS/NbrePLS</f>
        <v>75.815172413793121</v>
      </c>
      <c r="S40" s="182"/>
      <c r="T40" s="182"/>
      <c r="U40" s="179">
        <f>SF.PLS/NbrePLS</f>
        <v>88.315172413793121</v>
      </c>
      <c r="V40" s="183">
        <f t="shared" ref="V40:AC40" si="35">SUM(V34:V39)</f>
        <v>29</v>
      </c>
      <c r="W40" s="184">
        <f t="shared" si="35"/>
        <v>29</v>
      </c>
      <c r="X40" s="185">
        <f t="shared" si="35"/>
        <v>2198.6400000000003</v>
      </c>
      <c r="Y40" s="186">
        <f t="shared" si="35"/>
        <v>0</v>
      </c>
      <c r="Z40" s="186">
        <f t="shared" si="35"/>
        <v>2198.6400000000003</v>
      </c>
      <c r="AA40" s="186">
        <f t="shared" si="35"/>
        <v>362.5</v>
      </c>
      <c r="AB40" s="186">
        <f t="shared" si="35"/>
        <v>0</v>
      </c>
      <c r="AC40" s="187">
        <f t="shared" si="35"/>
        <v>2561.1400000000003</v>
      </c>
      <c r="AI40"/>
      <c r="AJ40"/>
      <c r="AK40"/>
      <c r="AL40"/>
      <c r="AM40"/>
      <c r="AN40"/>
      <c r="AO40"/>
      <c r="AP40" s="180"/>
      <c r="AQ40" s="180"/>
      <c r="AR40" s="180"/>
      <c r="AS40" s="180"/>
      <c r="AT40" s="178"/>
      <c r="AU40" s="181"/>
      <c r="AV40" s="182"/>
      <c r="AW40" s="182"/>
      <c r="AX40" s="179"/>
      <c r="AY40" s="183"/>
      <c r="AZ40" s="184"/>
      <c r="BA40" s="185"/>
      <c r="BB40" s="186"/>
      <c r="BC40" s="186"/>
      <c r="BD40" s="186"/>
      <c r="BE40" s="186"/>
      <c r="BF40" s="187"/>
      <c r="BG40" s="251"/>
      <c r="BH40" s="252"/>
      <c r="BI40" s="175"/>
      <c r="BJ40" s="176"/>
      <c r="BK40" s="177"/>
      <c r="BL40" s="176"/>
      <c r="BM40" s="176"/>
      <c r="BN40" s="178"/>
      <c r="BO40" s="178"/>
      <c r="BP40" s="179"/>
      <c r="BQ40" s="180"/>
      <c r="BR40" s="180"/>
      <c r="BS40" s="180"/>
      <c r="BT40" s="180"/>
      <c r="BU40" s="180"/>
      <c r="BV40" s="180"/>
      <c r="BW40" s="178"/>
      <c r="BX40" s="181"/>
      <c r="BY40" s="182"/>
      <c r="BZ40" s="182"/>
      <c r="CA40" s="179"/>
      <c r="CB40" s="183"/>
      <c r="CC40" s="184"/>
      <c r="CD40" s="185"/>
      <c r="CE40" s="186"/>
      <c r="CF40" s="186"/>
      <c r="CG40" s="186"/>
      <c r="CH40" s="186"/>
      <c r="CI40" s="187"/>
      <c r="CJ40" s="251"/>
      <c r="CK40" s="252"/>
      <c r="CL40" s="175"/>
      <c r="CM40" s="176"/>
      <c r="CN40" s="177"/>
      <c r="CO40" s="176"/>
      <c r="CP40" s="176"/>
      <c r="CQ40" s="178"/>
      <c r="CR40" s="178"/>
      <c r="CS40" s="179"/>
      <c r="CT40" s="180"/>
      <c r="CU40" s="180"/>
      <c r="CV40" s="180"/>
      <c r="CW40" s="180"/>
      <c r="CX40" s="180"/>
      <c r="CY40" s="180"/>
      <c r="CZ40" s="178"/>
      <c r="DA40" s="181"/>
      <c r="DB40" s="182"/>
      <c r="DC40" s="182"/>
      <c r="DD40" s="179"/>
      <c r="DE40" s="183"/>
      <c r="DF40" s="184"/>
      <c r="DG40" s="185"/>
      <c r="DH40" s="186"/>
      <c r="DI40" s="186"/>
      <c r="DJ40" s="186"/>
      <c r="DK40" s="186"/>
      <c r="DL40" s="187"/>
      <c r="DM40" s="251"/>
      <c r="DN40" s="252"/>
      <c r="DO40" s="175"/>
      <c r="DP40" s="176"/>
      <c r="DQ40" s="177"/>
      <c r="DR40" s="176"/>
      <c r="DS40" s="176"/>
      <c r="DT40" s="178"/>
      <c r="DU40" s="178"/>
      <c r="DV40" s="179"/>
      <c r="DW40" s="180"/>
      <c r="DX40" s="180"/>
      <c r="DY40" s="180"/>
      <c r="DZ40" s="180"/>
      <c r="EA40" s="180"/>
      <c r="EB40" s="180"/>
      <c r="EC40" s="178"/>
      <c r="ED40" s="181"/>
      <c r="EE40" s="182"/>
      <c r="EF40" s="182"/>
      <c r="EG40" s="179"/>
      <c r="EH40" s="183"/>
      <c r="EI40" s="184"/>
      <c r="EJ40" s="185"/>
      <c r="EK40" s="186"/>
      <c r="EL40" s="186"/>
      <c r="EM40" s="186"/>
      <c r="EN40" s="186"/>
      <c r="EO40" s="187"/>
      <c r="EP40" s="251"/>
      <c r="EQ40" s="252"/>
      <c r="ER40" s="175"/>
      <c r="ES40" s="176"/>
      <c r="ET40" s="177"/>
      <c r="EU40" s="176"/>
      <c r="EV40" s="176"/>
      <c r="EW40" s="178"/>
      <c r="EX40" s="178"/>
      <c r="EY40" s="179"/>
      <c r="EZ40" s="180"/>
      <c r="FA40" s="180"/>
      <c r="FB40" s="180"/>
      <c r="FC40" s="180"/>
      <c r="FD40" s="180"/>
      <c r="FE40" s="180"/>
      <c r="FF40" s="178"/>
      <c r="FG40" s="181"/>
      <c r="FH40" s="182"/>
      <c r="FI40" s="182"/>
      <c r="FJ40" s="179"/>
      <c r="FK40" s="183"/>
      <c r="FL40" s="184"/>
      <c r="FM40" s="185"/>
      <c r="FN40" s="186"/>
      <c r="FO40" s="186"/>
      <c r="FP40" s="186"/>
      <c r="FQ40" s="186"/>
      <c r="FR40" s="187"/>
      <c r="FS40" s="251"/>
      <c r="FT40" s="252"/>
      <c r="FU40" s="175"/>
      <c r="FV40" s="176"/>
      <c r="FW40" s="177"/>
      <c r="FX40" s="176"/>
      <c r="FY40" s="176"/>
      <c r="FZ40" s="178"/>
      <c r="GA40" s="178"/>
      <c r="GB40" s="179"/>
      <c r="GC40" s="180"/>
      <c r="GD40" s="180"/>
      <c r="GE40" s="180"/>
      <c r="GF40" s="180"/>
      <c r="GG40" s="180"/>
      <c r="GH40" s="180"/>
      <c r="GI40" s="178"/>
      <c r="GJ40" s="181"/>
      <c r="GK40" s="182"/>
      <c r="GL40" s="182"/>
      <c r="GM40" s="179"/>
      <c r="GN40" s="183"/>
      <c r="GO40" s="184"/>
      <c r="GP40" s="185"/>
      <c r="GQ40" s="186"/>
      <c r="GR40" s="186"/>
      <c r="GS40" s="186"/>
      <c r="GT40" s="186"/>
      <c r="GU40" s="187"/>
      <c r="GV40" s="251"/>
      <c r="GW40" s="252"/>
      <c r="GX40" s="175"/>
      <c r="GY40" s="176"/>
      <c r="GZ40" s="177"/>
      <c r="HA40" s="176"/>
      <c r="HB40" s="176"/>
      <c r="HC40" s="178"/>
      <c r="HD40" s="178"/>
      <c r="HE40" s="179"/>
      <c r="HF40" s="180"/>
      <c r="HG40" s="180"/>
      <c r="HH40" s="180"/>
      <c r="HI40" s="180"/>
      <c r="HJ40" s="180"/>
      <c r="HK40" s="180"/>
      <c r="HL40" s="178"/>
      <c r="HM40" s="181"/>
      <c r="HN40" s="182"/>
      <c r="HO40" s="182"/>
      <c r="HP40" s="179"/>
      <c r="HQ40" s="183"/>
      <c r="HR40" s="184"/>
      <c r="HS40" s="185"/>
      <c r="HT40" s="186"/>
      <c r="HU40" s="186"/>
      <c r="HV40" s="186"/>
      <c r="HW40" s="186"/>
      <c r="HX40" s="187"/>
      <c r="HY40" s="251"/>
      <c r="HZ40" s="252"/>
      <c r="IA40" s="175"/>
      <c r="IB40" s="176"/>
      <c r="IC40" s="177"/>
      <c r="ID40" s="176"/>
      <c r="IE40" s="176"/>
      <c r="IF40" s="178"/>
      <c r="IG40" s="178"/>
      <c r="IH40" s="179"/>
      <c r="II40" s="180"/>
      <c r="IJ40" s="180"/>
      <c r="IK40" s="180"/>
      <c r="IL40" s="180"/>
      <c r="IM40" s="180"/>
      <c r="IN40" s="180"/>
      <c r="IO40" s="178"/>
      <c r="IP40" s="181"/>
      <c r="IQ40" s="182"/>
      <c r="IR40" s="182"/>
      <c r="IS40" s="179"/>
      <c r="IT40" s="183"/>
      <c r="IU40" s="184"/>
      <c r="IV40" s="185"/>
      <c r="IW40" s="186"/>
      <c r="IX40" s="186"/>
      <c r="IY40" s="186"/>
      <c r="IZ40" s="186"/>
      <c r="JA40" s="187"/>
      <c r="JB40" s="251"/>
      <c r="JC40" s="252"/>
      <c r="JD40" s="175"/>
      <c r="JE40" s="176"/>
      <c r="JF40" s="177"/>
      <c r="JG40" s="176"/>
      <c r="JH40" s="176"/>
      <c r="JI40" s="178"/>
      <c r="JJ40" s="178"/>
      <c r="JK40" s="179"/>
      <c r="JL40" s="180"/>
      <c r="JM40" s="180"/>
      <c r="JN40" s="180"/>
      <c r="JO40" s="180"/>
      <c r="JP40" s="180"/>
      <c r="JQ40" s="180"/>
      <c r="JR40" s="178"/>
      <c r="JS40" s="181"/>
      <c r="JT40" s="182"/>
      <c r="JU40" s="182"/>
      <c r="JV40" s="179"/>
      <c r="JW40" s="183"/>
      <c r="JX40" s="184"/>
      <c r="JY40" s="185"/>
      <c r="JZ40" s="186"/>
      <c r="KA40" s="186"/>
      <c r="KB40" s="186"/>
      <c r="KC40" s="186"/>
      <c r="KD40" s="187"/>
      <c r="KE40" s="251"/>
      <c r="KF40" s="252"/>
      <c r="KG40" s="175"/>
      <c r="KH40" s="176"/>
      <c r="KI40" s="177"/>
      <c r="KJ40" s="176"/>
      <c r="KK40" s="176"/>
      <c r="KL40" s="178"/>
      <c r="KM40" s="178"/>
      <c r="KN40" s="179"/>
      <c r="KO40" s="180"/>
      <c r="KP40" s="180"/>
      <c r="KQ40" s="180"/>
      <c r="KR40" s="180"/>
      <c r="KS40" s="180"/>
      <c r="KT40" s="180"/>
      <c r="KU40" s="178"/>
      <c r="KV40" s="181"/>
      <c r="KW40" s="182"/>
      <c r="KX40" s="182"/>
      <c r="KY40" s="179"/>
      <c r="KZ40" s="183"/>
      <c r="LA40" s="184"/>
      <c r="LB40" s="185"/>
      <c r="LC40" s="186"/>
      <c r="LD40" s="186"/>
      <c r="LE40" s="186"/>
      <c r="LF40" s="186"/>
      <c r="LG40" s="187"/>
      <c r="LH40" s="251"/>
      <c r="LI40" s="252"/>
      <c r="LJ40" s="175"/>
      <c r="LK40" s="176"/>
      <c r="LL40" s="177"/>
      <c r="LM40" s="176"/>
      <c r="LN40" s="176"/>
      <c r="LO40" s="178"/>
      <c r="LP40" s="178"/>
      <c r="LQ40" s="179"/>
      <c r="LR40" s="180"/>
      <c r="LS40" s="180"/>
      <c r="LT40" s="180"/>
      <c r="LU40" s="180"/>
      <c r="LV40" s="180"/>
      <c r="LW40" s="180"/>
      <c r="LX40" s="178"/>
      <c r="LY40" s="181"/>
      <c r="LZ40" s="182"/>
      <c r="MA40" s="182"/>
      <c r="MB40" s="179"/>
      <c r="MC40" s="183"/>
      <c r="MD40" s="184"/>
      <c r="ME40" s="185"/>
      <c r="MF40" s="186"/>
      <c r="MG40" s="186"/>
      <c r="MH40" s="186"/>
      <c r="MI40" s="186"/>
      <c r="MJ40" s="187"/>
      <c r="MK40" s="251"/>
      <c r="ML40" s="252"/>
      <c r="MM40" s="175"/>
      <c r="MN40" s="176"/>
      <c r="MO40" s="177"/>
      <c r="MP40" s="176"/>
      <c r="MQ40" s="176"/>
      <c r="MR40" s="178"/>
      <c r="MS40" s="178"/>
      <c r="MT40" s="179"/>
      <c r="MU40" s="180"/>
      <c r="MV40" s="180"/>
      <c r="MW40" s="180"/>
      <c r="MX40" s="180"/>
      <c r="MY40" s="180"/>
      <c r="MZ40" s="180"/>
      <c r="NA40" s="178"/>
      <c r="NB40" s="181"/>
      <c r="NC40" s="182"/>
      <c r="ND40" s="182"/>
      <c r="NE40" s="179"/>
      <c r="NF40" s="183"/>
      <c r="NG40" s="184"/>
      <c r="NH40" s="185"/>
      <c r="NI40" s="186"/>
      <c r="NJ40" s="186"/>
      <c r="NK40" s="186"/>
      <c r="NL40" s="186"/>
      <c r="NM40" s="187"/>
      <c r="NN40" s="251"/>
      <c r="NO40" s="252"/>
      <c r="NP40" s="175"/>
      <c r="NQ40" s="176"/>
      <c r="NR40" s="177"/>
      <c r="NS40" s="176"/>
      <c r="NT40" s="176"/>
      <c r="NU40" s="178"/>
      <c r="NV40" s="178"/>
      <c r="NW40" s="179"/>
      <c r="NX40" s="180"/>
      <c r="NY40" s="180"/>
      <c r="NZ40" s="180"/>
      <c r="OA40" s="180"/>
      <c r="OB40" s="180"/>
      <c r="OC40" s="180"/>
      <c r="OD40" s="178"/>
      <c r="OE40" s="181"/>
      <c r="OF40" s="182"/>
      <c r="OG40" s="182"/>
      <c r="OH40" s="179"/>
      <c r="OI40" s="183"/>
      <c r="OJ40" s="184"/>
      <c r="OK40" s="185"/>
      <c r="OL40" s="186"/>
      <c r="OM40" s="186"/>
      <c r="ON40" s="186"/>
      <c r="OO40" s="186"/>
      <c r="OP40" s="187"/>
      <c r="OQ40" s="251"/>
      <c r="OR40" s="252"/>
      <c r="OS40" s="175"/>
      <c r="OT40" s="176"/>
      <c r="OU40" s="177"/>
      <c r="OV40" s="176"/>
      <c r="OW40" s="176"/>
      <c r="OX40" s="178"/>
      <c r="OY40" s="178"/>
      <c r="OZ40" s="179"/>
      <c r="PA40" s="180"/>
      <c r="PB40" s="180"/>
      <c r="PC40" s="180"/>
      <c r="PD40" s="180"/>
      <c r="PE40" s="180"/>
      <c r="PF40" s="180"/>
      <c r="PG40" s="178"/>
      <c r="PH40" s="181"/>
      <c r="PI40" s="182"/>
      <c r="PJ40" s="182"/>
      <c r="PK40" s="179"/>
      <c r="PL40" s="183"/>
      <c r="PM40" s="184"/>
      <c r="PN40" s="185"/>
      <c r="PO40" s="186"/>
      <c r="PP40" s="186"/>
      <c r="PQ40" s="186"/>
      <c r="PR40" s="186"/>
      <c r="PS40" s="187"/>
      <c r="PT40" s="251"/>
      <c r="PU40" s="252"/>
      <c r="PV40" s="175"/>
      <c r="PW40" s="176"/>
      <c r="PX40" s="177"/>
      <c r="PY40" s="176"/>
      <c r="PZ40" s="176"/>
      <c r="QA40" s="178"/>
      <c r="QB40" s="178"/>
      <c r="QC40" s="179"/>
      <c r="QD40" s="180"/>
      <c r="QE40" s="180"/>
      <c r="QF40" s="180"/>
      <c r="QG40" s="180"/>
      <c r="QH40" s="180"/>
      <c r="QI40" s="180"/>
      <c r="QJ40" s="178"/>
      <c r="QK40" s="181"/>
      <c r="QL40" s="182"/>
      <c r="QM40" s="182"/>
      <c r="QN40" s="179"/>
      <c r="QO40" s="183"/>
      <c r="QP40" s="184"/>
      <c r="QQ40" s="185"/>
      <c r="QR40" s="186"/>
      <c r="QS40" s="186"/>
      <c r="QT40" s="186"/>
      <c r="QU40" s="186"/>
      <c r="QV40" s="187"/>
      <c r="QW40" s="251"/>
      <c r="QX40" s="252"/>
      <c r="QY40" s="175"/>
      <c r="QZ40" s="176"/>
      <c r="RA40" s="177"/>
      <c r="RB40" s="176"/>
      <c r="RC40" s="176"/>
      <c r="RD40" s="178"/>
      <c r="RE40" s="178"/>
      <c r="RF40" s="179"/>
      <c r="RG40" s="180"/>
      <c r="RH40" s="180"/>
      <c r="RI40" s="180"/>
      <c r="RJ40" s="180"/>
      <c r="RK40" s="180"/>
      <c r="RL40" s="180"/>
      <c r="RM40" s="178"/>
      <c r="RN40" s="181"/>
      <c r="RO40" s="182"/>
      <c r="RP40" s="182"/>
      <c r="RQ40" s="179"/>
      <c r="RR40" s="183"/>
      <c r="RS40" s="184"/>
      <c r="RT40" s="185"/>
      <c r="RU40" s="186"/>
      <c r="RV40" s="186"/>
      <c r="RW40" s="186"/>
      <c r="RX40" s="186"/>
      <c r="RY40" s="187"/>
      <c r="RZ40" s="251"/>
      <c r="SA40" s="252"/>
      <c r="SB40" s="175"/>
      <c r="SC40" s="176"/>
      <c r="SD40" s="177"/>
      <c r="SE40" s="176"/>
      <c r="SF40" s="176"/>
      <c r="SG40" s="178"/>
      <c r="SH40" s="178"/>
      <c r="SI40" s="179"/>
      <c r="SJ40" s="180"/>
      <c r="SK40" s="180"/>
      <c r="SL40" s="180"/>
      <c r="SM40" s="180"/>
      <c r="SN40" s="180"/>
      <c r="SO40" s="180"/>
      <c r="SP40" s="178"/>
      <c r="SQ40" s="181"/>
      <c r="SR40" s="182"/>
      <c r="SS40" s="182"/>
      <c r="ST40" s="179"/>
      <c r="SU40" s="183"/>
      <c r="SV40" s="184"/>
      <c r="SW40" s="185"/>
      <c r="SX40" s="186"/>
      <c r="SY40" s="186"/>
      <c r="SZ40" s="186"/>
      <c r="TA40" s="186"/>
      <c r="TB40" s="187"/>
      <c r="TC40" s="251"/>
      <c r="TD40" s="252"/>
      <c r="TE40" s="175"/>
      <c r="TF40" s="176"/>
      <c r="TG40" s="177"/>
      <c r="TH40" s="176"/>
      <c r="TI40" s="176"/>
      <c r="TJ40" s="178"/>
      <c r="TK40" s="178"/>
      <c r="TL40" s="179"/>
      <c r="TM40" s="180"/>
      <c r="TN40" s="180"/>
      <c r="TO40" s="180"/>
      <c r="TP40" s="180"/>
      <c r="TQ40" s="180"/>
      <c r="TR40" s="180"/>
      <c r="TS40" s="178"/>
      <c r="TT40" s="181"/>
      <c r="TU40" s="182"/>
      <c r="TV40" s="182"/>
      <c r="TW40" s="179"/>
      <c r="TX40" s="183"/>
      <c r="TY40" s="184"/>
      <c r="TZ40" s="185"/>
      <c r="UA40" s="186"/>
      <c r="UB40" s="186"/>
      <c r="UC40" s="186"/>
      <c r="UD40" s="186"/>
      <c r="UE40" s="187"/>
      <c r="UF40" s="251"/>
      <c r="UG40" s="252"/>
      <c r="UH40" s="175"/>
      <c r="UI40" s="176"/>
      <c r="UJ40" s="177"/>
      <c r="UK40" s="176"/>
      <c r="UL40" s="176"/>
      <c r="UM40" s="178"/>
      <c r="UN40" s="178"/>
      <c r="UO40" s="179"/>
      <c r="UP40" s="180"/>
      <c r="UQ40" s="180"/>
      <c r="UR40" s="180"/>
      <c r="US40" s="180"/>
      <c r="UT40" s="180"/>
      <c r="UU40" s="180"/>
      <c r="UV40" s="178"/>
      <c r="UW40" s="181"/>
      <c r="UX40" s="182"/>
      <c r="UY40" s="182"/>
      <c r="UZ40" s="179"/>
      <c r="VA40" s="183"/>
      <c r="VB40" s="184"/>
      <c r="VC40" s="185"/>
      <c r="VD40" s="186"/>
      <c r="VE40" s="186"/>
      <c r="VF40" s="186"/>
      <c r="VG40" s="186"/>
      <c r="VH40" s="187"/>
      <c r="VI40" s="251"/>
      <c r="VJ40" s="252"/>
      <c r="VK40" s="175"/>
      <c r="VL40" s="176"/>
      <c r="VM40" s="177"/>
      <c r="VN40" s="176"/>
      <c r="VO40" s="176"/>
      <c r="VP40" s="178"/>
      <c r="VQ40" s="178"/>
      <c r="VR40" s="179"/>
      <c r="VS40" s="180"/>
      <c r="VT40" s="180"/>
      <c r="VU40" s="180"/>
      <c r="VV40" s="180"/>
      <c r="VW40" s="180"/>
      <c r="VX40" s="180"/>
      <c r="VY40" s="178"/>
      <c r="VZ40" s="181"/>
      <c r="WA40" s="182"/>
      <c r="WB40" s="182"/>
      <c r="WC40" s="179"/>
      <c r="WD40" s="183"/>
      <c r="WE40" s="184"/>
      <c r="WF40" s="185"/>
      <c r="WG40" s="186"/>
      <c r="WH40" s="186"/>
      <c r="WI40" s="186"/>
      <c r="WJ40" s="186"/>
      <c r="WK40" s="187"/>
      <c r="WL40" s="251"/>
      <c r="WM40" s="252"/>
      <c r="WN40" s="175"/>
      <c r="WO40" s="176"/>
      <c r="WP40" s="177"/>
      <c r="WQ40" s="176"/>
      <c r="WR40" s="176"/>
      <c r="WS40" s="178"/>
      <c r="WT40" s="178"/>
      <c r="WU40" s="179"/>
      <c r="WV40" s="180"/>
      <c r="WW40" s="180"/>
      <c r="WX40" s="180"/>
      <c r="WY40" s="180"/>
      <c r="WZ40" s="180"/>
      <c r="XA40" s="180"/>
      <c r="XB40" s="178"/>
      <c r="XC40" s="181"/>
      <c r="XD40" s="182"/>
      <c r="XE40" s="182"/>
      <c r="XF40" s="179"/>
      <c r="XG40" s="183"/>
      <c r="XH40" s="184"/>
      <c r="XI40" s="185"/>
      <c r="XJ40" s="186"/>
      <c r="XK40" s="186"/>
      <c r="XL40" s="186"/>
      <c r="XM40" s="186"/>
      <c r="XN40" s="187"/>
      <c r="XO40" s="251"/>
      <c r="XP40" s="252"/>
      <c r="XQ40" s="175"/>
      <c r="XR40" s="176"/>
      <c r="XS40" s="177"/>
      <c r="XT40" s="176"/>
      <c r="XU40" s="176"/>
      <c r="XV40" s="178"/>
      <c r="XW40" s="178"/>
      <c r="XX40" s="179"/>
      <c r="XY40" s="180"/>
      <c r="XZ40" s="180"/>
      <c r="YA40" s="180"/>
      <c r="YB40" s="180"/>
      <c r="YC40" s="180"/>
      <c r="YD40" s="180"/>
      <c r="YE40" s="178"/>
      <c r="YF40" s="181"/>
      <c r="YG40" s="182"/>
      <c r="YH40" s="182"/>
      <c r="YI40" s="179"/>
      <c r="YJ40" s="183"/>
      <c r="YK40" s="184"/>
      <c r="YL40" s="185"/>
      <c r="YM40" s="186"/>
      <c r="YN40" s="186"/>
      <c r="YO40" s="186"/>
      <c r="YP40" s="186"/>
      <c r="YQ40" s="187"/>
      <c r="YR40" s="251"/>
      <c r="YS40" s="252"/>
      <c r="YT40" s="175"/>
      <c r="YU40" s="176"/>
      <c r="YV40" s="177"/>
      <c r="YW40" s="176"/>
      <c r="YX40" s="176"/>
      <c r="YY40" s="178"/>
      <c r="YZ40" s="178"/>
      <c r="ZA40" s="179"/>
      <c r="ZB40" s="180"/>
      <c r="ZC40" s="180"/>
      <c r="ZD40" s="180"/>
      <c r="ZE40" s="180"/>
      <c r="ZF40" s="180"/>
      <c r="ZG40" s="180"/>
      <c r="ZH40" s="178"/>
      <c r="ZI40" s="181"/>
      <c r="ZJ40" s="182"/>
      <c r="ZK40" s="182"/>
      <c r="ZL40" s="179"/>
      <c r="ZM40" s="183"/>
      <c r="ZN40" s="184"/>
      <c r="ZO40" s="185"/>
      <c r="ZP40" s="186"/>
      <c r="ZQ40" s="186"/>
      <c r="ZR40" s="186"/>
      <c r="ZS40" s="186"/>
      <c r="ZT40" s="187"/>
      <c r="ZU40" s="251"/>
      <c r="ZV40" s="252"/>
      <c r="ZW40" s="175"/>
      <c r="ZX40" s="176"/>
      <c r="ZY40" s="177"/>
      <c r="ZZ40" s="176"/>
      <c r="AAA40" s="176"/>
      <c r="AAB40" s="178"/>
      <c r="AAC40" s="178"/>
      <c r="AAD40" s="179"/>
      <c r="AAE40" s="180"/>
      <c r="AAF40" s="180"/>
      <c r="AAG40" s="180"/>
      <c r="AAH40" s="180"/>
      <c r="AAI40" s="180"/>
      <c r="AAJ40" s="180"/>
      <c r="AAK40" s="178"/>
      <c r="AAL40" s="181"/>
      <c r="AAM40" s="182"/>
      <c r="AAN40" s="182"/>
      <c r="AAO40" s="179"/>
      <c r="AAP40" s="183"/>
      <c r="AAQ40" s="184"/>
      <c r="AAR40" s="185"/>
      <c r="AAS40" s="186"/>
      <c r="AAT40" s="186"/>
      <c r="AAU40" s="186"/>
      <c r="AAV40" s="186"/>
      <c r="AAW40" s="187"/>
      <c r="AAX40" s="251"/>
      <c r="AAY40" s="252"/>
      <c r="AAZ40" s="175"/>
      <c r="ABA40" s="176"/>
      <c r="ABB40" s="177"/>
      <c r="ABC40" s="176"/>
      <c r="ABD40" s="176"/>
      <c r="ABE40" s="178"/>
      <c r="ABF40" s="178"/>
      <c r="ABG40" s="179"/>
      <c r="ABH40" s="180"/>
      <c r="ABI40" s="180"/>
      <c r="ABJ40" s="180"/>
      <c r="ABK40" s="180"/>
      <c r="ABL40" s="180"/>
      <c r="ABM40" s="180"/>
      <c r="ABN40" s="178"/>
      <c r="ABO40" s="181"/>
      <c r="ABP40" s="182"/>
      <c r="ABQ40" s="182"/>
      <c r="ABR40" s="179"/>
      <c r="ABS40" s="183"/>
      <c r="ABT40" s="184"/>
      <c r="ABU40" s="185"/>
      <c r="ABV40" s="186"/>
      <c r="ABW40" s="186"/>
      <c r="ABX40" s="186"/>
      <c r="ABY40" s="186"/>
      <c r="ABZ40" s="187"/>
      <c r="ACA40" s="251"/>
      <c r="ACB40" s="252"/>
      <c r="ACC40" s="175"/>
      <c r="ACD40" s="176"/>
      <c r="ACE40" s="177"/>
      <c r="ACF40" s="176"/>
      <c r="ACG40" s="176"/>
      <c r="ACH40" s="178"/>
      <c r="ACI40" s="178"/>
      <c r="ACJ40" s="179"/>
      <c r="ACK40" s="180"/>
      <c r="ACL40" s="180"/>
      <c r="ACM40" s="180"/>
      <c r="ACN40" s="180"/>
      <c r="ACO40" s="180"/>
      <c r="ACP40" s="180"/>
      <c r="ACQ40" s="178"/>
      <c r="ACR40" s="181"/>
      <c r="ACS40" s="182"/>
      <c r="ACT40" s="182"/>
      <c r="ACU40" s="179"/>
      <c r="ACV40" s="183"/>
      <c r="ACW40" s="184"/>
      <c r="ACX40" s="185"/>
      <c r="ACY40" s="186"/>
      <c r="ACZ40" s="186"/>
      <c r="ADA40" s="186"/>
      <c r="ADB40" s="186"/>
      <c r="ADC40" s="187"/>
      <c r="ADD40" s="251"/>
      <c r="ADE40" s="252"/>
      <c r="ADF40" s="175"/>
      <c r="ADG40" s="176"/>
      <c r="ADH40" s="177"/>
      <c r="ADI40" s="176"/>
      <c r="ADJ40" s="176"/>
      <c r="ADK40" s="178"/>
      <c r="ADL40" s="178"/>
      <c r="ADM40" s="179"/>
      <c r="ADN40" s="180"/>
      <c r="ADO40" s="180"/>
      <c r="ADP40" s="180"/>
      <c r="ADQ40" s="180"/>
      <c r="ADR40" s="180"/>
      <c r="ADS40" s="180"/>
      <c r="ADT40" s="178"/>
      <c r="ADU40" s="181"/>
      <c r="ADV40" s="182"/>
      <c r="ADW40" s="182"/>
      <c r="ADX40" s="179"/>
      <c r="ADY40" s="183"/>
      <c r="ADZ40" s="184"/>
      <c r="AEA40" s="185"/>
      <c r="AEB40" s="186"/>
      <c r="AEC40" s="186"/>
      <c r="AED40" s="186"/>
      <c r="AEE40" s="186"/>
      <c r="AEF40" s="187"/>
      <c r="AEG40" s="251"/>
      <c r="AEH40" s="252"/>
      <c r="AEI40" s="175"/>
      <c r="AEJ40" s="176"/>
      <c r="AEK40" s="177"/>
      <c r="AEL40" s="176"/>
      <c r="AEM40" s="176"/>
      <c r="AEN40" s="178"/>
      <c r="AEO40" s="178"/>
      <c r="AEP40" s="179"/>
      <c r="AEQ40" s="180"/>
      <c r="AER40" s="180"/>
      <c r="AES40" s="180"/>
      <c r="AET40" s="180"/>
      <c r="AEU40" s="180"/>
      <c r="AEV40" s="180"/>
      <c r="AEW40" s="178"/>
      <c r="AEX40" s="181"/>
      <c r="AEY40" s="182"/>
      <c r="AEZ40" s="182"/>
      <c r="AFA40" s="179"/>
      <c r="AFB40" s="183"/>
      <c r="AFC40" s="184"/>
      <c r="AFD40" s="185"/>
      <c r="AFE40" s="186"/>
      <c r="AFF40" s="186"/>
      <c r="AFG40" s="186"/>
      <c r="AFH40" s="186"/>
      <c r="AFI40" s="187"/>
      <c r="AFJ40" s="251"/>
      <c r="AFK40" s="252"/>
      <c r="AFL40" s="175"/>
      <c r="AFM40" s="176"/>
      <c r="AFN40" s="177"/>
      <c r="AFO40" s="176"/>
      <c r="AFP40" s="176"/>
      <c r="AFQ40" s="178"/>
      <c r="AFR40" s="178"/>
      <c r="AFS40" s="179"/>
      <c r="AFT40" s="180"/>
      <c r="AFU40" s="180"/>
      <c r="AFV40" s="180"/>
      <c r="AFW40" s="180"/>
      <c r="AFX40" s="180"/>
      <c r="AFY40" s="180"/>
      <c r="AFZ40" s="178"/>
      <c r="AGA40" s="181"/>
      <c r="AGB40" s="182"/>
      <c r="AGC40" s="182"/>
      <c r="AGD40" s="179"/>
      <c r="AGE40" s="183"/>
      <c r="AGF40" s="184"/>
      <c r="AGG40" s="185"/>
      <c r="AGH40" s="186"/>
      <c r="AGI40" s="186"/>
      <c r="AGJ40" s="186"/>
      <c r="AGK40" s="186"/>
      <c r="AGL40" s="187"/>
      <c r="AGM40" s="251"/>
      <c r="AGN40" s="252"/>
      <c r="AGO40" s="175"/>
      <c r="AGP40" s="176"/>
      <c r="AGQ40" s="177"/>
      <c r="AGR40" s="176"/>
      <c r="AGS40" s="176"/>
      <c r="AGT40" s="178"/>
      <c r="AGU40" s="178"/>
      <c r="AGV40" s="179"/>
      <c r="AGW40" s="180"/>
      <c r="AGX40" s="180"/>
      <c r="AGY40" s="180"/>
      <c r="AGZ40" s="180"/>
      <c r="AHA40" s="180"/>
      <c r="AHB40" s="180"/>
      <c r="AHC40" s="178"/>
      <c r="AHD40" s="181"/>
      <c r="AHE40" s="182"/>
      <c r="AHF40" s="182"/>
      <c r="AHG40" s="179"/>
      <c r="AHH40" s="183"/>
      <c r="AHI40" s="184"/>
      <c r="AHJ40" s="185"/>
      <c r="AHK40" s="186"/>
      <c r="AHL40" s="186"/>
      <c r="AHM40" s="186"/>
      <c r="AHN40" s="186"/>
      <c r="AHO40" s="187"/>
      <c r="AHP40" s="251"/>
      <c r="AHQ40" s="252"/>
      <c r="AHR40" s="175"/>
      <c r="AHS40" s="176"/>
      <c r="AHT40" s="177"/>
      <c r="AHU40" s="176"/>
      <c r="AHV40" s="176"/>
      <c r="AHW40" s="178"/>
      <c r="AHX40" s="178"/>
      <c r="AHY40" s="179"/>
      <c r="AHZ40" s="180"/>
      <c r="AIA40" s="180"/>
      <c r="AIB40" s="180"/>
      <c r="AIC40" s="180"/>
      <c r="AID40" s="180"/>
      <c r="AIE40" s="180"/>
      <c r="AIF40" s="178"/>
      <c r="AIG40" s="181"/>
      <c r="AIH40" s="182"/>
      <c r="AII40" s="182"/>
      <c r="AIJ40" s="179"/>
      <c r="AIK40" s="183"/>
      <c r="AIL40" s="184"/>
      <c r="AIM40" s="185"/>
      <c r="AIN40" s="186"/>
      <c r="AIO40" s="186"/>
      <c r="AIP40" s="186"/>
      <c r="AIQ40" s="186"/>
      <c r="AIR40" s="187"/>
      <c r="AIS40" s="251"/>
      <c r="AIT40" s="252"/>
      <c r="AIU40" s="175"/>
      <c r="AIV40" s="176"/>
      <c r="AIW40" s="177"/>
      <c r="AIX40" s="176"/>
      <c r="AIY40" s="176"/>
      <c r="AIZ40" s="178"/>
      <c r="AJA40" s="178"/>
      <c r="AJB40" s="179"/>
      <c r="AJC40" s="180"/>
      <c r="AJD40" s="180"/>
      <c r="AJE40" s="180"/>
      <c r="AJF40" s="180"/>
      <c r="AJG40" s="180"/>
      <c r="AJH40" s="180"/>
      <c r="AJI40" s="178"/>
      <c r="AJJ40" s="181"/>
      <c r="AJK40" s="182"/>
      <c r="AJL40" s="182"/>
      <c r="AJM40" s="179"/>
      <c r="AJN40" s="183"/>
      <c r="AJO40" s="184"/>
      <c r="AJP40" s="185"/>
      <c r="AJQ40" s="186"/>
      <c r="AJR40" s="186"/>
      <c r="AJS40" s="186"/>
      <c r="AJT40" s="186"/>
      <c r="AJU40" s="187"/>
      <c r="AJV40" s="251"/>
      <c r="AJW40" s="252"/>
      <c r="AJX40" s="175"/>
      <c r="AJY40" s="176"/>
      <c r="AJZ40" s="177"/>
      <c r="AKA40" s="176"/>
      <c r="AKB40" s="176"/>
      <c r="AKC40" s="178"/>
      <c r="AKD40" s="178"/>
      <c r="AKE40" s="179"/>
      <c r="AKF40" s="180"/>
      <c r="AKG40" s="180"/>
      <c r="AKH40" s="180"/>
      <c r="AKI40" s="180"/>
      <c r="AKJ40" s="180"/>
      <c r="AKK40" s="180"/>
      <c r="AKL40" s="178"/>
      <c r="AKM40" s="181"/>
      <c r="AKN40" s="182"/>
      <c r="AKO40" s="182"/>
      <c r="AKP40" s="179"/>
      <c r="AKQ40" s="183"/>
      <c r="AKR40" s="184"/>
      <c r="AKS40" s="185"/>
      <c r="AKT40" s="186"/>
      <c r="AKU40" s="186"/>
      <c r="AKV40" s="186"/>
      <c r="AKW40" s="186"/>
      <c r="AKX40" s="187"/>
      <c r="AKY40" s="251"/>
      <c r="AKZ40" s="252"/>
      <c r="ALA40" s="175"/>
      <c r="ALB40" s="176"/>
      <c r="ALC40" s="177"/>
      <c r="ALD40" s="176"/>
      <c r="ALE40" s="176"/>
      <c r="ALF40" s="178"/>
      <c r="ALG40" s="178"/>
      <c r="ALH40" s="179"/>
      <c r="ALI40" s="180"/>
      <c r="ALJ40" s="180"/>
      <c r="ALK40" s="180"/>
      <c r="ALL40" s="180"/>
      <c r="ALM40" s="180"/>
      <c r="ALN40" s="180"/>
      <c r="ALO40" s="178"/>
      <c r="ALP40" s="181"/>
      <c r="ALQ40" s="182"/>
      <c r="ALR40" s="182"/>
      <c r="ALS40" s="179"/>
      <c r="ALT40" s="183"/>
      <c r="ALU40" s="184"/>
      <c r="ALV40" s="185"/>
      <c r="ALW40" s="186"/>
      <c r="ALX40" s="186"/>
      <c r="ALY40" s="186"/>
      <c r="ALZ40" s="186"/>
      <c r="AMA40" s="187"/>
      <c r="AMB40" s="251"/>
      <c r="AMC40" s="252"/>
      <c r="AMD40" s="175"/>
      <c r="AME40" s="176"/>
      <c r="AMF40" s="177"/>
      <c r="AMG40" s="176"/>
      <c r="AMH40" s="176"/>
      <c r="AMI40" s="178"/>
      <c r="AMJ40" s="178"/>
      <c r="AMK40" s="179"/>
      <c r="AML40" s="180"/>
      <c r="AMM40" s="180"/>
      <c r="AMN40" s="180"/>
      <c r="AMO40" s="180"/>
      <c r="AMP40" s="180"/>
      <c r="AMQ40" s="180"/>
      <c r="AMR40" s="178"/>
      <c r="AMS40" s="181"/>
      <c r="AMT40" s="182"/>
      <c r="AMU40" s="182"/>
      <c r="AMV40" s="179"/>
      <c r="AMW40" s="183"/>
      <c r="AMX40" s="184"/>
      <c r="AMY40" s="185"/>
      <c r="AMZ40" s="186"/>
      <c r="ANA40" s="186"/>
      <c r="ANB40" s="186"/>
      <c r="ANC40" s="186"/>
      <c r="AND40" s="187"/>
      <c r="ANE40" s="251"/>
      <c r="ANF40" s="252"/>
      <c r="ANG40" s="175"/>
      <c r="ANH40" s="176"/>
      <c r="ANI40" s="177"/>
      <c r="ANJ40" s="176"/>
      <c r="ANK40" s="176"/>
      <c r="ANL40" s="178"/>
      <c r="ANM40" s="178"/>
      <c r="ANN40" s="179"/>
      <c r="ANO40" s="180"/>
      <c r="ANP40" s="180"/>
      <c r="ANQ40" s="180"/>
      <c r="ANR40" s="180"/>
      <c r="ANS40" s="180"/>
      <c r="ANT40" s="180"/>
      <c r="ANU40" s="178"/>
      <c r="ANV40" s="181"/>
      <c r="ANW40" s="182"/>
      <c r="ANX40" s="182"/>
      <c r="ANY40" s="179"/>
      <c r="ANZ40" s="183"/>
      <c r="AOA40" s="184"/>
      <c r="AOB40" s="185"/>
      <c r="AOC40" s="186"/>
      <c r="AOD40" s="186"/>
      <c r="AOE40" s="186"/>
      <c r="AOF40" s="186"/>
      <c r="AOG40" s="187"/>
      <c r="AOH40" s="251"/>
      <c r="AOI40" s="252"/>
      <c r="AOJ40" s="175"/>
      <c r="AOK40" s="176"/>
      <c r="AOL40" s="177"/>
      <c r="AOM40" s="176"/>
      <c r="AON40" s="176"/>
      <c r="AOO40" s="178"/>
      <c r="AOP40" s="178"/>
      <c r="AOQ40" s="179"/>
      <c r="AOR40" s="180"/>
      <c r="AOS40" s="180"/>
      <c r="AOT40" s="180"/>
      <c r="AOU40" s="180"/>
      <c r="AOV40" s="180"/>
      <c r="AOW40" s="180"/>
      <c r="AOX40" s="178"/>
      <c r="AOY40" s="181"/>
      <c r="AOZ40" s="182"/>
      <c r="APA40" s="182"/>
      <c r="APB40" s="179"/>
      <c r="APC40" s="183"/>
      <c r="APD40" s="184"/>
      <c r="APE40" s="185"/>
      <c r="APF40" s="186"/>
      <c r="APG40" s="186"/>
      <c r="APH40" s="186"/>
      <c r="API40" s="186"/>
      <c r="APJ40" s="187"/>
      <c r="APK40" s="251"/>
      <c r="APL40" s="252"/>
      <c r="APM40" s="175"/>
      <c r="APN40" s="176"/>
      <c r="APO40" s="177"/>
      <c r="APP40" s="176"/>
      <c r="APQ40" s="176"/>
      <c r="APR40" s="178"/>
      <c r="APS40" s="178"/>
      <c r="APT40" s="179"/>
      <c r="APU40" s="180"/>
      <c r="APV40" s="180"/>
      <c r="APW40" s="180"/>
      <c r="APX40" s="180"/>
      <c r="APY40" s="180"/>
      <c r="APZ40" s="180"/>
      <c r="AQA40" s="178"/>
      <c r="AQB40" s="181"/>
      <c r="AQC40" s="182"/>
      <c r="AQD40" s="182"/>
      <c r="AQE40" s="179"/>
      <c r="AQF40" s="183"/>
      <c r="AQG40" s="184"/>
      <c r="AQH40" s="185"/>
      <c r="AQI40" s="186"/>
      <c r="AQJ40" s="186"/>
      <c r="AQK40" s="186"/>
      <c r="AQL40" s="186"/>
      <c r="AQM40" s="187"/>
      <c r="AQN40" s="251"/>
      <c r="AQO40" s="252"/>
      <c r="AQP40" s="175"/>
      <c r="AQQ40" s="176"/>
      <c r="AQR40" s="177"/>
      <c r="AQS40" s="176"/>
      <c r="AQT40" s="176"/>
      <c r="AQU40" s="178"/>
      <c r="AQV40" s="178"/>
      <c r="AQW40" s="179"/>
      <c r="AQX40" s="180"/>
      <c r="AQY40" s="180"/>
      <c r="AQZ40" s="180"/>
      <c r="ARA40" s="180"/>
      <c r="ARB40" s="180"/>
      <c r="ARC40" s="180"/>
      <c r="ARD40" s="178"/>
      <c r="ARE40" s="181"/>
      <c r="ARF40" s="182"/>
      <c r="ARG40" s="182"/>
      <c r="ARH40" s="179"/>
      <c r="ARI40" s="183"/>
      <c r="ARJ40" s="184"/>
      <c r="ARK40" s="185"/>
      <c r="ARL40" s="186"/>
      <c r="ARM40" s="186"/>
      <c r="ARN40" s="186"/>
      <c r="ARO40" s="186"/>
      <c r="ARP40" s="187"/>
      <c r="ARQ40" s="251"/>
      <c r="ARR40" s="252"/>
      <c r="ARS40" s="175"/>
      <c r="ART40" s="176"/>
      <c r="ARU40" s="177"/>
      <c r="ARV40" s="176"/>
      <c r="ARW40" s="176"/>
      <c r="ARX40" s="178"/>
      <c r="ARY40" s="178"/>
      <c r="ARZ40" s="179"/>
      <c r="ASA40" s="180"/>
      <c r="ASB40" s="180"/>
      <c r="ASC40" s="180"/>
      <c r="ASD40" s="180"/>
      <c r="ASE40" s="180"/>
      <c r="ASF40" s="180"/>
      <c r="ASG40" s="178"/>
      <c r="ASH40" s="181"/>
      <c r="ASI40" s="182"/>
      <c r="ASJ40" s="182"/>
      <c r="ASK40" s="179"/>
      <c r="ASL40" s="183"/>
      <c r="ASM40" s="184"/>
      <c r="ASN40" s="185"/>
      <c r="ASO40" s="186"/>
      <c r="ASP40" s="186"/>
      <c r="ASQ40" s="186"/>
      <c r="ASR40" s="186"/>
      <c r="ASS40" s="187"/>
      <c r="AST40" s="251"/>
      <c r="ASU40" s="252"/>
      <c r="ASV40" s="175"/>
      <c r="ASW40" s="176"/>
      <c r="ASX40" s="177"/>
      <c r="ASY40" s="176"/>
      <c r="ASZ40" s="176"/>
      <c r="ATA40" s="178"/>
      <c r="ATB40" s="178"/>
      <c r="ATC40" s="179"/>
      <c r="ATD40" s="180"/>
      <c r="ATE40" s="180"/>
      <c r="ATF40" s="180"/>
      <c r="ATG40" s="180"/>
      <c r="ATH40" s="180"/>
      <c r="ATI40" s="180"/>
      <c r="ATJ40" s="178"/>
      <c r="ATK40" s="181"/>
      <c r="ATL40" s="182"/>
      <c r="ATM40" s="182"/>
      <c r="ATN40" s="179"/>
      <c r="ATO40" s="183"/>
      <c r="ATP40" s="184"/>
      <c r="ATQ40" s="185"/>
      <c r="ATR40" s="186"/>
      <c r="ATS40" s="186"/>
      <c r="ATT40" s="186"/>
      <c r="ATU40" s="186"/>
      <c r="ATV40" s="187"/>
      <c r="ATW40" s="251"/>
      <c r="ATX40" s="252"/>
      <c r="ATY40" s="175"/>
      <c r="ATZ40" s="176"/>
      <c r="AUA40" s="177"/>
      <c r="AUB40" s="176"/>
      <c r="AUC40" s="176"/>
      <c r="AUD40" s="178"/>
      <c r="AUE40" s="178"/>
      <c r="AUF40" s="179"/>
      <c r="AUG40" s="180"/>
      <c r="AUH40" s="180"/>
      <c r="AUI40" s="180"/>
      <c r="AUJ40" s="180"/>
      <c r="AUK40" s="180"/>
      <c r="AUL40" s="180"/>
      <c r="AUM40" s="178"/>
      <c r="AUN40" s="181"/>
      <c r="AUO40" s="182"/>
      <c r="AUP40" s="182"/>
      <c r="AUQ40" s="179"/>
      <c r="AUR40" s="183"/>
      <c r="AUS40" s="184"/>
      <c r="AUT40" s="185"/>
      <c r="AUU40" s="186"/>
      <c r="AUV40" s="186"/>
      <c r="AUW40" s="186"/>
      <c r="AUX40" s="186"/>
      <c r="AUY40" s="187"/>
      <c r="AUZ40" s="251"/>
      <c r="AVA40" s="252"/>
      <c r="AVB40" s="175"/>
      <c r="AVC40" s="176"/>
      <c r="AVD40" s="177"/>
      <c r="AVE40" s="176"/>
      <c r="AVF40" s="176"/>
      <c r="AVG40" s="178"/>
      <c r="AVH40" s="178"/>
      <c r="AVI40" s="179"/>
      <c r="AVJ40" s="180"/>
      <c r="AVK40" s="180"/>
      <c r="AVL40" s="180"/>
      <c r="AVM40" s="180"/>
      <c r="AVN40" s="180"/>
      <c r="AVO40" s="180"/>
      <c r="AVP40" s="178"/>
      <c r="AVQ40" s="181"/>
      <c r="AVR40" s="182"/>
      <c r="AVS40" s="182"/>
      <c r="AVT40" s="179"/>
      <c r="AVU40" s="183"/>
      <c r="AVV40" s="184"/>
      <c r="AVW40" s="185"/>
      <c r="AVX40" s="186"/>
      <c r="AVY40" s="186"/>
      <c r="AVZ40" s="186"/>
      <c r="AWA40" s="186"/>
      <c r="AWB40" s="187"/>
      <c r="AWC40" s="251"/>
      <c r="AWD40" s="252"/>
      <c r="AWE40" s="175"/>
      <c r="AWF40" s="176"/>
      <c r="AWG40" s="177"/>
      <c r="AWH40" s="176"/>
      <c r="AWI40" s="176"/>
      <c r="AWJ40" s="178"/>
      <c r="AWK40" s="178"/>
      <c r="AWL40" s="179"/>
      <c r="AWM40" s="180"/>
      <c r="AWN40" s="180"/>
      <c r="AWO40" s="180"/>
      <c r="AWP40" s="180"/>
      <c r="AWQ40" s="180"/>
      <c r="AWR40" s="180"/>
      <c r="AWS40" s="178"/>
      <c r="AWT40" s="181"/>
      <c r="AWU40" s="182"/>
      <c r="AWV40" s="182"/>
      <c r="AWW40" s="179"/>
      <c r="AWX40" s="183"/>
      <c r="AWY40" s="184"/>
      <c r="AWZ40" s="185"/>
      <c r="AXA40" s="186"/>
      <c r="AXB40" s="186"/>
      <c r="AXC40" s="186"/>
      <c r="AXD40" s="186"/>
      <c r="AXE40" s="187"/>
      <c r="AXF40" s="251"/>
      <c r="AXG40" s="252"/>
      <c r="AXH40" s="175"/>
      <c r="AXI40" s="176"/>
      <c r="AXJ40" s="177"/>
      <c r="AXK40" s="176"/>
      <c r="AXL40" s="176"/>
      <c r="AXM40" s="178"/>
      <c r="AXN40" s="178"/>
      <c r="AXO40" s="179"/>
      <c r="AXP40" s="180"/>
      <c r="AXQ40" s="180"/>
      <c r="AXR40" s="180"/>
      <c r="AXS40" s="180"/>
      <c r="AXT40" s="180"/>
      <c r="AXU40" s="180"/>
      <c r="AXV40" s="178"/>
      <c r="AXW40" s="181"/>
      <c r="AXX40" s="182"/>
      <c r="AXY40" s="182"/>
      <c r="AXZ40" s="179"/>
      <c r="AYA40" s="183"/>
      <c r="AYB40" s="184"/>
      <c r="AYC40" s="185"/>
      <c r="AYD40" s="186"/>
      <c r="AYE40" s="186"/>
      <c r="AYF40" s="186"/>
      <c r="AYG40" s="186"/>
      <c r="AYH40" s="187"/>
      <c r="AYI40" s="251"/>
      <c r="AYJ40" s="252"/>
      <c r="AYK40" s="175"/>
      <c r="AYL40" s="176"/>
      <c r="AYM40" s="177"/>
      <c r="AYN40" s="176"/>
      <c r="AYO40" s="176"/>
      <c r="AYP40" s="178"/>
      <c r="AYQ40" s="178"/>
      <c r="AYR40" s="179"/>
      <c r="AYS40" s="180"/>
      <c r="AYT40" s="180"/>
      <c r="AYU40" s="180"/>
      <c r="AYV40" s="180"/>
      <c r="AYW40" s="180"/>
      <c r="AYX40" s="180"/>
      <c r="AYY40" s="178"/>
      <c r="AYZ40" s="181"/>
      <c r="AZA40" s="182"/>
      <c r="AZB40" s="182"/>
      <c r="AZC40" s="179"/>
      <c r="AZD40" s="183"/>
      <c r="AZE40" s="184"/>
      <c r="AZF40" s="185"/>
      <c r="AZG40" s="186"/>
      <c r="AZH40" s="186"/>
      <c r="AZI40" s="186"/>
      <c r="AZJ40" s="186"/>
      <c r="AZK40" s="187"/>
      <c r="AZL40" s="251"/>
      <c r="AZM40" s="252"/>
      <c r="AZN40" s="175"/>
      <c r="AZO40" s="176"/>
      <c r="AZP40" s="177"/>
      <c r="AZQ40" s="176"/>
      <c r="AZR40" s="176"/>
      <c r="AZS40" s="178"/>
      <c r="AZT40" s="178"/>
      <c r="AZU40" s="179"/>
      <c r="AZV40" s="180"/>
      <c r="AZW40" s="180"/>
      <c r="AZX40" s="180"/>
      <c r="AZY40" s="180"/>
      <c r="AZZ40" s="180"/>
      <c r="BAA40" s="180"/>
      <c r="BAB40" s="178"/>
      <c r="BAC40" s="181"/>
      <c r="BAD40" s="182"/>
      <c r="BAE40" s="182"/>
      <c r="BAF40" s="179"/>
      <c r="BAG40" s="183"/>
      <c r="BAH40" s="184"/>
      <c r="BAI40" s="185"/>
      <c r="BAJ40" s="186"/>
      <c r="BAK40" s="186"/>
      <c r="BAL40" s="186"/>
      <c r="BAM40" s="186"/>
      <c r="BAN40" s="187"/>
      <c r="BAO40" s="251"/>
      <c r="BAP40" s="252"/>
      <c r="BAQ40" s="175"/>
      <c r="BAR40" s="176"/>
      <c r="BAS40" s="177"/>
      <c r="BAT40" s="176"/>
      <c r="BAU40" s="176"/>
      <c r="BAV40" s="178"/>
      <c r="BAW40" s="178"/>
      <c r="BAX40" s="179"/>
      <c r="BAY40" s="180"/>
      <c r="BAZ40" s="180"/>
      <c r="BBA40" s="180"/>
      <c r="BBB40" s="180"/>
      <c r="BBC40" s="180"/>
      <c r="BBD40" s="180"/>
      <c r="BBE40" s="178"/>
      <c r="BBF40" s="181"/>
      <c r="BBG40" s="182"/>
      <c r="BBH40" s="182"/>
      <c r="BBI40" s="179"/>
      <c r="BBJ40" s="183"/>
      <c r="BBK40" s="184"/>
      <c r="BBL40" s="185"/>
      <c r="BBM40" s="186"/>
      <c r="BBN40" s="186"/>
      <c r="BBO40" s="186"/>
      <c r="BBP40" s="186"/>
      <c r="BBQ40" s="187"/>
      <c r="BBR40" s="251"/>
      <c r="BBS40" s="252"/>
      <c r="BBT40" s="175"/>
      <c r="BBU40" s="176"/>
      <c r="BBV40" s="177"/>
      <c r="BBW40" s="176"/>
      <c r="BBX40" s="176"/>
      <c r="BBY40" s="178"/>
      <c r="BBZ40" s="178"/>
      <c r="BCA40" s="179"/>
      <c r="BCB40" s="180"/>
      <c r="BCC40" s="180"/>
      <c r="BCD40" s="180"/>
      <c r="BCE40" s="180"/>
      <c r="BCF40" s="180"/>
      <c r="BCG40" s="180"/>
      <c r="BCH40" s="178"/>
      <c r="BCI40" s="181"/>
      <c r="BCJ40" s="182"/>
      <c r="BCK40" s="182"/>
      <c r="BCL40" s="179"/>
      <c r="BCM40" s="183"/>
      <c r="BCN40" s="184"/>
      <c r="BCO40" s="185"/>
      <c r="BCP40" s="186"/>
      <c r="BCQ40" s="186"/>
      <c r="BCR40" s="186"/>
      <c r="BCS40" s="186"/>
      <c r="BCT40" s="187"/>
      <c r="BCU40" s="251"/>
      <c r="BCV40" s="252"/>
      <c r="BCW40" s="175"/>
      <c r="BCX40" s="176"/>
      <c r="BCY40" s="177"/>
      <c r="BCZ40" s="176"/>
      <c r="BDA40" s="176"/>
      <c r="BDB40" s="178"/>
      <c r="BDC40" s="178"/>
      <c r="BDD40" s="179"/>
      <c r="BDE40" s="180"/>
      <c r="BDF40" s="180"/>
      <c r="BDG40" s="180"/>
      <c r="BDH40" s="180"/>
      <c r="BDI40" s="180"/>
      <c r="BDJ40" s="180"/>
      <c r="BDK40" s="178"/>
      <c r="BDL40" s="181"/>
      <c r="BDM40" s="182"/>
      <c r="BDN40" s="182"/>
      <c r="BDO40" s="179"/>
      <c r="BDP40" s="183"/>
      <c r="BDQ40" s="184"/>
      <c r="BDR40" s="185"/>
      <c r="BDS40" s="186"/>
      <c r="BDT40" s="186"/>
      <c r="BDU40" s="186"/>
      <c r="BDV40" s="186"/>
      <c r="BDW40" s="187"/>
      <c r="BDX40" s="251"/>
      <c r="BDY40" s="252"/>
      <c r="BDZ40" s="175"/>
      <c r="BEA40" s="176"/>
      <c r="BEB40" s="177"/>
      <c r="BEC40" s="176"/>
      <c r="BED40" s="176"/>
      <c r="BEE40" s="178"/>
      <c r="BEF40" s="178"/>
      <c r="BEG40" s="179"/>
      <c r="BEH40" s="180"/>
      <c r="BEI40" s="180"/>
      <c r="BEJ40" s="180"/>
      <c r="BEK40" s="180"/>
      <c r="BEL40" s="180"/>
      <c r="BEM40" s="180"/>
      <c r="BEN40" s="178"/>
      <c r="BEO40" s="181"/>
      <c r="BEP40" s="182"/>
      <c r="BEQ40" s="182"/>
      <c r="BER40" s="179"/>
      <c r="BES40" s="183"/>
      <c r="BET40" s="184"/>
      <c r="BEU40" s="185"/>
      <c r="BEV40" s="186"/>
      <c r="BEW40" s="186"/>
      <c r="BEX40" s="186"/>
      <c r="BEY40" s="186"/>
      <c r="BEZ40" s="187"/>
      <c r="BFA40" s="251"/>
      <c r="BFB40" s="252"/>
      <c r="BFC40" s="175"/>
      <c r="BFD40" s="176"/>
      <c r="BFE40" s="177"/>
      <c r="BFF40" s="176"/>
      <c r="BFG40" s="176"/>
      <c r="BFH40" s="178"/>
      <c r="BFI40" s="178"/>
      <c r="BFJ40" s="179"/>
      <c r="BFK40" s="180"/>
      <c r="BFL40" s="180"/>
      <c r="BFM40" s="180"/>
      <c r="BFN40" s="180"/>
      <c r="BFO40" s="180"/>
      <c r="BFP40" s="180"/>
      <c r="BFQ40" s="178"/>
      <c r="BFR40" s="181"/>
      <c r="BFS40" s="182"/>
      <c r="BFT40" s="182"/>
      <c r="BFU40" s="179"/>
      <c r="BFV40" s="183"/>
      <c r="BFW40" s="184"/>
      <c r="BFX40" s="185"/>
      <c r="BFY40" s="186"/>
      <c r="BFZ40" s="186"/>
      <c r="BGA40" s="186"/>
      <c r="BGB40" s="186"/>
      <c r="BGC40" s="187"/>
      <c r="BGD40" s="251"/>
      <c r="BGE40" s="252"/>
      <c r="BGF40" s="175"/>
      <c r="BGG40" s="176"/>
      <c r="BGH40" s="177"/>
      <c r="BGI40" s="176"/>
      <c r="BGJ40" s="176"/>
      <c r="BGK40" s="178"/>
      <c r="BGL40" s="178"/>
      <c r="BGM40" s="179"/>
      <c r="BGN40" s="180"/>
      <c r="BGO40" s="180"/>
      <c r="BGP40" s="180"/>
      <c r="BGQ40" s="180"/>
      <c r="BGR40" s="180"/>
      <c r="BGS40" s="180"/>
      <c r="BGT40" s="178"/>
      <c r="BGU40" s="181"/>
      <c r="BGV40" s="182"/>
      <c r="BGW40" s="182"/>
      <c r="BGX40" s="179"/>
      <c r="BGY40" s="183"/>
      <c r="BGZ40" s="184"/>
      <c r="BHA40" s="185"/>
      <c r="BHB40" s="186"/>
      <c r="BHC40" s="186"/>
      <c r="BHD40" s="186"/>
      <c r="BHE40" s="186"/>
      <c r="BHF40" s="187"/>
      <c r="BHG40" s="251"/>
      <c r="BHH40" s="252"/>
      <c r="BHI40" s="175"/>
      <c r="BHJ40" s="176"/>
      <c r="BHK40" s="177"/>
      <c r="BHL40" s="176"/>
      <c r="BHM40" s="176"/>
      <c r="BHN40" s="178"/>
      <c r="BHO40" s="178"/>
      <c r="BHP40" s="179"/>
      <c r="BHQ40" s="180"/>
      <c r="BHR40" s="180"/>
      <c r="BHS40" s="180"/>
      <c r="BHT40" s="180"/>
      <c r="BHU40" s="180"/>
      <c r="BHV40" s="180"/>
      <c r="BHW40" s="178"/>
      <c r="BHX40" s="181"/>
      <c r="BHY40" s="182"/>
      <c r="BHZ40" s="182"/>
      <c r="BIA40" s="179"/>
      <c r="BIB40" s="183"/>
      <c r="BIC40" s="184"/>
      <c r="BID40" s="185"/>
      <c r="BIE40" s="186"/>
      <c r="BIF40" s="186"/>
      <c r="BIG40" s="186"/>
      <c r="BIH40" s="186"/>
      <c r="BII40" s="187"/>
      <c r="BIJ40" s="251"/>
      <c r="BIK40" s="252"/>
      <c r="BIL40" s="175"/>
      <c r="BIM40" s="176"/>
      <c r="BIN40" s="177"/>
      <c r="BIO40" s="176"/>
      <c r="BIP40" s="176"/>
      <c r="BIQ40" s="178"/>
      <c r="BIR40" s="178"/>
      <c r="BIS40" s="179"/>
      <c r="BIT40" s="180"/>
      <c r="BIU40" s="180"/>
      <c r="BIV40" s="180"/>
      <c r="BIW40" s="180"/>
      <c r="BIX40" s="180"/>
      <c r="BIY40" s="180"/>
      <c r="BIZ40" s="178"/>
      <c r="BJA40" s="181"/>
      <c r="BJB40" s="182"/>
      <c r="BJC40" s="182"/>
      <c r="BJD40" s="179"/>
      <c r="BJE40" s="183"/>
      <c r="BJF40" s="184"/>
      <c r="BJG40" s="185"/>
      <c r="BJH40" s="186"/>
      <c r="BJI40" s="186"/>
      <c r="BJJ40" s="186"/>
      <c r="BJK40" s="186"/>
      <c r="BJL40" s="187"/>
      <c r="BJM40" s="251"/>
      <c r="BJN40" s="252"/>
      <c r="BJO40" s="175"/>
      <c r="BJP40" s="176"/>
      <c r="BJQ40" s="177"/>
      <c r="BJR40" s="176"/>
      <c r="BJS40" s="176"/>
      <c r="BJT40" s="178"/>
      <c r="BJU40" s="178"/>
      <c r="BJV40" s="179"/>
      <c r="BJW40" s="180"/>
      <c r="BJX40" s="180"/>
      <c r="BJY40" s="180"/>
      <c r="BJZ40" s="180"/>
      <c r="BKA40" s="180"/>
      <c r="BKB40" s="180"/>
      <c r="BKC40" s="178"/>
      <c r="BKD40" s="181"/>
      <c r="BKE40" s="182"/>
      <c r="BKF40" s="182"/>
      <c r="BKG40" s="179"/>
      <c r="BKH40" s="183"/>
      <c r="BKI40" s="184"/>
      <c r="BKJ40" s="185"/>
      <c r="BKK40" s="186"/>
      <c r="BKL40" s="186"/>
      <c r="BKM40" s="186"/>
      <c r="BKN40" s="186"/>
      <c r="BKO40" s="187"/>
      <c r="BKP40" s="251"/>
      <c r="BKQ40" s="252"/>
      <c r="BKR40" s="175"/>
      <c r="BKS40" s="176"/>
      <c r="BKT40" s="177"/>
      <c r="BKU40" s="176"/>
      <c r="BKV40" s="176"/>
      <c r="BKW40" s="178"/>
      <c r="BKX40" s="178"/>
      <c r="BKY40" s="179"/>
      <c r="BKZ40" s="180"/>
      <c r="BLA40" s="180"/>
      <c r="BLB40" s="180"/>
      <c r="BLC40" s="180"/>
      <c r="BLD40" s="180"/>
      <c r="BLE40" s="180"/>
      <c r="BLF40" s="178"/>
      <c r="BLG40" s="181"/>
      <c r="BLH40" s="182"/>
      <c r="BLI40" s="182"/>
      <c r="BLJ40" s="179"/>
      <c r="BLK40" s="183"/>
      <c r="BLL40" s="184"/>
      <c r="BLM40" s="185"/>
      <c r="BLN40" s="186"/>
      <c r="BLO40" s="186"/>
      <c r="BLP40" s="186"/>
      <c r="BLQ40" s="186"/>
      <c r="BLR40" s="187"/>
      <c r="BLS40" s="251"/>
      <c r="BLT40" s="252"/>
      <c r="BLU40" s="175"/>
      <c r="BLV40" s="176"/>
      <c r="BLW40" s="177"/>
      <c r="BLX40" s="176"/>
      <c r="BLY40" s="176"/>
      <c r="BLZ40" s="178"/>
      <c r="BMA40" s="178"/>
      <c r="BMB40" s="179"/>
      <c r="BMC40" s="180"/>
      <c r="BMD40" s="180"/>
      <c r="BME40" s="180"/>
      <c r="BMF40" s="180"/>
      <c r="BMG40" s="180"/>
      <c r="BMH40" s="180"/>
      <c r="BMI40" s="178"/>
      <c r="BMJ40" s="181"/>
      <c r="BMK40" s="182"/>
      <c r="BML40" s="182"/>
      <c r="BMM40" s="179"/>
      <c r="BMN40" s="183"/>
      <c r="BMO40" s="184"/>
      <c r="BMP40" s="185"/>
      <c r="BMQ40" s="186"/>
      <c r="BMR40" s="186"/>
      <c r="BMS40" s="186"/>
      <c r="BMT40" s="186"/>
      <c r="BMU40" s="187"/>
      <c r="BMV40" s="251"/>
      <c r="BMW40" s="252"/>
      <c r="BMX40" s="175"/>
      <c r="BMY40" s="176"/>
      <c r="BMZ40" s="177"/>
      <c r="BNA40" s="176"/>
      <c r="BNB40" s="176"/>
      <c r="BNC40" s="178"/>
      <c r="BND40" s="178"/>
      <c r="BNE40" s="179"/>
      <c r="BNF40" s="180"/>
      <c r="BNG40" s="180"/>
      <c r="BNH40" s="180"/>
      <c r="BNI40" s="180"/>
      <c r="BNJ40" s="180"/>
      <c r="BNK40" s="180"/>
      <c r="BNL40" s="178"/>
      <c r="BNM40" s="181"/>
      <c r="BNN40" s="182"/>
      <c r="BNO40" s="182"/>
      <c r="BNP40" s="179"/>
      <c r="BNQ40" s="183"/>
      <c r="BNR40" s="184"/>
      <c r="BNS40" s="185"/>
      <c r="BNT40" s="186"/>
      <c r="BNU40" s="186"/>
      <c r="BNV40" s="186"/>
      <c r="BNW40" s="186"/>
      <c r="BNX40" s="187"/>
      <c r="BNY40" s="251"/>
      <c r="BNZ40" s="252"/>
      <c r="BOA40" s="175"/>
      <c r="BOB40" s="176"/>
      <c r="BOC40" s="177"/>
      <c r="BOD40" s="176"/>
      <c r="BOE40" s="176"/>
      <c r="BOF40" s="178"/>
      <c r="BOG40" s="178"/>
      <c r="BOH40" s="179"/>
      <c r="BOI40" s="180"/>
      <c r="BOJ40" s="180"/>
      <c r="BOK40" s="180"/>
      <c r="BOL40" s="180"/>
      <c r="BOM40" s="180"/>
      <c r="BON40" s="180"/>
      <c r="BOO40" s="178"/>
      <c r="BOP40" s="181"/>
      <c r="BOQ40" s="182"/>
      <c r="BOR40" s="182"/>
      <c r="BOS40" s="179"/>
      <c r="BOT40" s="183"/>
      <c r="BOU40" s="184"/>
      <c r="BOV40" s="185"/>
      <c r="BOW40" s="186"/>
      <c r="BOX40" s="186"/>
      <c r="BOY40" s="186"/>
      <c r="BOZ40" s="186"/>
      <c r="BPA40" s="187"/>
      <c r="BPB40" s="251"/>
      <c r="BPC40" s="252"/>
      <c r="BPD40" s="175"/>
      <c r="BPE40" s="176"/>
      <c r="BPF40" s="177"/>
      <c r="BPG40" s="176"/>
      <c r="BPH40" s="176"/>
      <c r="BPI40" s="178"/>
      <c r="BPJ40" s="178"/>
      <c r="BPK40" s="179"/>
      <c r="BPL40" s="180"/>
      <c r="BPM40" s="180"/>
      <c r="BPN40" s="180"/>
      <c r="BPO40" s="180"/>
      <c r="BPP40" s="180"/>
      <c r="BPQ40" s="180"/>
      <c r="BPR40" s="178"/>
      <c r="BPS40" s="181"/>
      <c r="BPT40" s="182"/>
      <c r="BPU40" s="182"/>
      <c r="BPV40" s="179"/>
      <c r="BPW40" s="183"/>
      <c r="BPX40" s="184"/>
      <c r="BPY40" s="185"/>
      <c r="BPZ40" s="186"/>
      <c r="BQA40" s="186"/>
      <c r="BQB40" s="186"/>
      <c r="BQC40" s="186"/>
      <c r="BQD40" s="187"/>
      <c r="BQE40" s="251"/>
      <c r="BQF40" s="252"/>
      <c r="BQG40" s="175"/>
      <c r="BQH40" s="176"/>
      <c r="BQI40" s="177"/>
      <c r="BQJ40" s="176"/>
      <c r="BQK40" s="176"/>
      <c r="BQL40" s="178"/>
      <c r="BQM40" s="178"/>
      <c r="BQN40" s="179"/>
      <c r="BQO40" s="180"/>
      <c r="BQP40" s="180"/>
      <c r="BQQ40" s="180"/>
      <c r="BQR40" s="180"/>
      <c r="BQS40" s="180"/>
      <c r="BQT40" s="180"/>
      <c r="BQU40" s="178"/>
      <c r="BQV40" s="181"/>
      <c r="BQW40" s="182"/>
      <c r="BQX40" s="182"/>
      <c r="BQY40" s="179"/>
      <c r="BQZ40" s="183"/>
      <c r="BRA40" s="184"/>
      <c r="BRB40" s="185"/>
      <c r="BRC40" s="186"/>
      <c r="BRD40" s="186"/>
      <c r="BRE40" s="186"/>
      <c r="BRF40" s="186"/>
      <c r="BRG40" s="187"/>
      <c r="BRH40" s="251"/>
      <c r="BRI40" s="252"/>
      <c r="BRJ40" s="175"/>
      <c r="BRK40" s="176"/>
      <c r="BRL40" s="177"/>
      <c r="BRM40" s="176"/>
      <c r="BRN40" s="176"/>
      <c r="BRO40" s="178"/>
      <c r="BRP40" s="178"/>
      <c r="BRQ40" s="179"/>
      <c r="BRR40" s="180"/>
      <c r="BRS40" s="180"/>
      <c r="BRT40" s="180"/>
      <c r="BRU40" s="180"/>
      <c r="BRV40" s="180"/>
      <c r="BRW40" s="180"/>
      <c r="BRX40" s="178"/>
      <c r="BRY40" s="181"/>
      <c r="BRZ40" s="182"/>
      <c r="BSA40" s="182"/>
      <c r="BSB40" s="179"/>
      <c r="BSC40" s="183"/>
      <c r="BSD40" s="184"/>
      <c r="BSE40" s="185"/>
      <c r="BSF40" s="186"/>
      <c r="BSG40" s="186"/>
      <c r="BSH40" s="186"/>
      <c r="BSI40" s="186"/>
      <c r="BSJ40" s="187"/>
      <c r="BSK40" s="251"/>
      <c r="BSL40" s="252"/>
      <c r="BSM40" s="175"/>
      <c r="BSN40" s="176"/>
      <c r="BSO40" s="177"/>
      <c r="BSP40" s="176"/>
      <c r="BSQ40" s="176"/>
      <c r="BSR40" s="178"/>
      <c r="BSS40" s="178"/>
      <c r="BST40" s="179"/>
      <c r="BSU40" s="180"/>
      <c r="BSV40" s="180"/>
      <c r="BSW40" s="180"/>
      <c r="BSX40" s="180"/>
      <c r="BSY40" s="180"/>
      <c r="BSZ40" s="180"/>
      <c r="BTA40" s="178"/>
      <c r="BTB40" s="181"/>
      <c r="BTC40" s="182"/>
      <c r="BTD40" s="182"/>
      <c r="BTE40" s="179"/>
      <c r="BTF40" s="183"/>
      <c r="BTG40" s="184"/>
      <c r="BTH40" s="185"/>
      <c r="BTI40" s="186"/>
      <c r="BTJ40" s="186"/>
      <c r="BTK40" s="186"/>
      <c r="BTL40" s="186"/>
      <c r="BTM40" s="187"/>
      <c r="BTN40" s="251"/>
      <c r="BTO40" s="252"/>
      <c r="BTP40" s="175"/>
      <c r="BTQ40" s="176"/>
      <c r="BTR40" s="177"/>
      <c r="BTS40" s="176"/>
      <c r="BTT40" s="176"/>
      <c r="BTU40" s="178"/>
      <c r="BTV40" s="178"/>
      <c r="BTW40" s="179"/>
      <c r="BTX40" s="180"/>
      <c r="BTY40" s="180"/>
      <c r="BTZ40" s="180"/>
      <c r="BUA40" s="180"/>
      <c r="BUB40" s="180"/>
      <c r="BUC40" s="180"/>
      <c r="BUD40" s="178"/>
      <c r="BUE40" s="181"/>
      <c r="BUF40" s="182"/>
      <c r="BUG40" s="182"/>
      <c r="BUH40" s="179"/>
      <c r="BUI40" s="183"/>
      <c r="BUJ40" s="184"/>
      <c r="BUK40" s="185"/>
      <c r="BUL40" s="186"/>
      <c r="BUM40" s="186"/>
      <c r="BUN40" s="186"/>
      <c r="BUO40" s="186"/>
      <c r="BUP40" s="187"/>
      <c r="BUQ40" s="251"/>
      <c r="BUR40" s="252"/>
      <c r="BUS40" s="175"/>
      <c r="BUT40" s="176"/>
      <c r="BUU40" s="177"/>
      <c r="BUV40" s="176"/>
      <c r="BUW40" s="176"/>
      <c r="BUX40" s="178"/>
      <c r="BUY40" s="178"/>
      <c r="BUZ40" s="179"/>
      <c r="BVA40" s="180"/>
      <c r="BVB40" s="180"/>
      <c r="BVC40" s="180"/>
      <c r="BVD40" s="180"/>
      <c r="BVE40" s="180"/>
      <c r="BVF40" s="180"/>
      <c r="BVG40" s="178"/>
      <c r="BVH40" s="181"/>
      <c r="BVI40" s="182"/>
      <c r="BVJ40" s="182"/>
      <c r="BVK40" s="179"/>
      <c r="BVL40" s="183"/>
      <c r="BVM40" s="184"/>
      <c r="BVN40" s="185"/>
      <c r="BVO40" s="186"/>
      <c r="BVP40" s="186"/>
      <c r="BVQ40" s="186"/>
      <c r="BVR40" s="186"/>
      <c r="BVS40" s="187"/>
      <c r="BVT40" s="251"/>
      <c r="BVU40" s="252"/>
      <c r="BVV40" s="175"/>
      <c r="BVW40" s="176"/>
      <c r="BVX40" s="177"/>
      <c r="BVY40" s="176"/>
      <c r="BVZ40" s="176"/>
      <c r="BWA40" s="178"/>
      <c r="BWB40" s="178"/>
      <c r="BWC40" s="179"/>
      <c r="BWD40" s="180"/>
      <c r="BWE40" s="180"/>
      <c r="BWF40" s="180"/>
      <c r="BWG40" s="180"/>
      <c r="BWH40" s="180"/>
      <c r="BWI40" s="180"/>
      <c r="BWJ40" s="178"/>
      <c r="BWK40" s="181"/>
      <c r="BWL40" s="182"/>
      <c r="BWM40" s="182"/>
      <c r="BWN40" s="179"/>
      <c r="BWO40" s="183"/>
      <c r="BWP40" s="184"/>
      <c r="BWQ40" s="185"/>
      <c r="BWR40" s="186"/>
      <c r="BWS40" s="186"/>
      <c r="BWT40" s="186"/>
      <c r="BWU40" s="186"/>
      <c r="BWV40" s="187"/>
      <c r="BWW40" s="251"/>
      <c r="BWX40" s="252"/>
      <c r="BWY40" s="175"/>
      <c r="BWZ40" s="176"/>
      <c r="BXA40" s="177"/>
      <c r="BXB40" s="176"/>
      <c r="BXC40" s="176"/>
      <c r="BXD40" s="178"/>
      <c r="BXE40" s="178"/>
      <c r="BXF40" s="179"/>
      <c r="BXG40" s="180"/>
      <c r="BXH40" s="180"/>
      <c r="BXI40" s="180"/>
      <c r="BXJ40" s="180"/>
      <c r="BXK40" s="180"/>
      <c r="BXL40" s="180"/>
      <c r="BXM40" s="178"/>
      <c r="BXN40" s="181"/>
      <c r="BXO40" s="182"/>
      <c r="BXP40" s="182"/>
      <c r="BXQ40" s="179"/>
      <c r="BXR40" s="183"/>
      <c r="BXS40" s="184"/>
      <c r="BXT40" s="185"/>
      <c r="BXU40" s="186"/>
      <c r="BXV40" s="186"/>
      <c r="BXW40" s="186"/>
      <c r="BXX40" s="186"/>
      <c r="BXY40" s="187"/>
      <c r="BXZ40" s="251"/>
      <c r="BYA40" s="252"/>
      <c r="BYB40" s="175"/>
      <c r="BYC40" s="176"/>
      <c r="BYD40" s="177"/>
      <c r="BYE40" s="176"/>
      <c r="BYF40" s="176"/>
      <c r="BYG40" s="178"/>
      <c r="BYH40" s="178"/>
      <c r="BYI40" s="179"/>
      <c r="BYJ40" s="180"/>
      <c r="BYK40" s="180"/>
      <c r="BYL40" s="180"/>
      <c r="BYM40" s="180"/>
      <c r="BYN40" s="180"/>
      <c r="BYO40" s="180"/>
      <c r="BYP40" s="178"/>
      <c r="BYQ40" s="181"/>
      <c r="BYR40" s="182"/>
      <c r="BYS40" s="182"/>
      <c r="BYT40" s="179"/>
      <c r="BYU40" s="183"/>
      <c r="BYV40" s="184"/>
      <c r="BYW40" s="185"/>
      <c r="BYX40" s="186"/>
      <c r="BYY40" s="186"/>
      <c r="BYZ40" s="186"/>
      <c r="BZA40" s="186"/>
      <c r="BZB40" s="187"/>
      <c r="BZC40" s="251"/>
      <c r="BZD40" s="252"/>
      <c r="BZE40" s="175"/>
      <c r="BZF40" s="176"/>
      <c r="BZG40" s="177"/>
      <c r="BZH40" s="176"/>
      <c r="BZI40" s="176"/>
      <c r="BZJ40" s="178"/>
      <c r="BZK40" s="178"/>
      <c r="BZL40" s="179"/>
      <c r="BZM40" s="180"/>
      <c r="BZN40" s="180"/>
      <c r="BZO40" s="180"/>
      <c r="BZP40" s="180"/>
      <c r="BZQ40" s="180"/>
      <c r="BZR40" s="180"/>
      <c r="BZS40" s="178"/>
      <c r="BZT40" s="181"/>
      <c r="BZU40" s="182"/>
      <c r="BZV40" s="182"/>
      <c r="BZW40" s="179"/>
      <c r="BZX40" s="183"/>
      <c r="BZY40" s="184"/>
      <c r="BZZ40" s="185"/>
      <c r="CAA40" s="186"/>
      <c r="CAB40" s="186"/>
      <c r="CAC40" s="186"/>
      <c r="CAD40" s="186"/>
      <c r="CAE40" s="187"/>
      <c r="CAF40" s="251"/>
      <c r="CAG40" s="252"/>
      <c r="CAH40" s="175"/>
      <c r="CAI40" s="176"/>
      <c r="CAJ40" s="177"/>
      <c r="CAK40" s="176"/>
      <c r="CAL40" s="176"/>
      <c r="CAM40" s="178"/>
      <c r="CAN40" s="178"/>
      <c r="CAO40" s="179"/>
      <c r="CAP40" s="180"/>
      <c r="CAQ40" s="180"/>
      <c r="CAR40" s="180"/>
      <c r="CAS40" s="180"/>
      <c r="CAT40" s="180"/>
      <c r="CAU40" s="180"/>
      <c r="CAV40" s="178"/>
      <c r="CAW40" s="181"/>
      <c r="CAX40" s="182"/>
      <c r="CAY40" s="182"/>
      <c r="CAZ40" s="179"/>
      <c r="CBA40" s="183"/>
      <c r="CBB40" s="184"/>
      <c r="CBC40" s="185"/>
      <c r="CBD40" s="186"/>
      <c r="CBE40" s="186"/>
      <c r="CBF40" s="186"/>
      <c r="CBG40" s="186"/>
      <c r="CBH40" s="187"/>
      <c r="CBI40" s="251"/>
      <c r="CBJ40" s="252"/>
      <c r="CBK40" s="175"/>
      <c r="CBL40" s="176"/>
      <c r="CBM40" s="177"/>
      <c r="CBN40" s="176"/>
      <c r="CBO40" s="176"/>
      <c r="CBP40" s="178"/>
      <c r="CBQ40" s="178"/>
      <c r="CBR40" s="179"/>
      <c r="CBS40" s="180"/>
      <c r="CBT40" s="180"/>
      <c r="CBU40" s="180"/>
      <c r="CBV40" s="180"/>
      <c r="CBW40" s="180"/>
      <c r="CBX40" s="180"/>
      <c r="CBY40" s="178"/>
      <c r="CBZ40" s="181"/>
      <c r="CCA40" s="182"/>
      <c r="CCB40" s="182"/>
      <c r="CCC40" s="179"/>
      <c r="CCD40" s="183"/>
      <c r="CCE40" s="184"/>
      <c r="CCF40" s="185"/>
      <c r="CCG40" s="186"/>
      <c r="CCH40" s="186"/>
      <c r="CCI40" s="186"/>
      <c r="CCJ40" s="186"/>
      <c r="CCK40" s="187"/>
      <c r="CCL40" s="251"/>
      <c r="CCM40" s="252"/>
      <c r="CCN40" s="175"/>
      <c r="CCO40" s="176"/>
      <c r="CCP40" s="177"/>
      <c r="CCQ40" s="176"/>
      <c r="CCR40" s="176"/>
      <c r="CCS40" s="178"/>
      <c r="CCT40" s="178"/>
      <c r="CCU40" s="179"/>
      <c r="CCV40" s="180"/>
      <c r="CCW40" s="180"/>
      <c r="CCX40" s="180"/>
      <c r="CCY40" s="180"/>
      <c r="CCZ40" s="180"/>
      <c r="CDA40" s="180"/>
      <c r="CDB40" s="178"/>
      <c r="CDC40" s="181"/>
      <c r="CDD40" s="182"/>
      <c r="CDE40" s="182"/>
      <c r="CDF40" s="179"/>
      <c r="CDG40" s="183"/>
      <c r="CDH40" s="184"/>
      <c r="CDI40" s="185"/>
      <c r="CDJ40" s="186"/>
      <c r="CDK40" s="186"/>
      <c r="CDL40" s="186"/>
      <c r="CDM40" s="186"/>
      <c r="CDN40" s="187"/>
      <c r="CDO40" s="251"/>
      <c r="CDP40" s="252"/>
      <c r="CDQ40" s="175"/>
      <c r="CDR40" s="176"/>
      <c r="CDS40" s="177"/>
      <c r="CDT40" s="176"/>
      <c r="CDU40" s="176"/>
      <c r="CDV40" s="178"/>
      <c r="CDW40" s="178"/>
      <c r="CDX40" s="179"/>
      <c r="CDY40" s="180"/>
      <c r="CDZ40" s="180"/>
      <c r="CEA40" s="180"/>
      <c r="CEB40" s="180"/>
      <c r="CEC40" s="180"/>
      <c r="CED40" s="180"/>
      <c r="CEE40" s="178"/>
      <c r="CEF40" s="181"/>
      <c r="CEG40" s="182"/>
      <c r="CEH40" s="182"/>
      <c r="CEI40" s="179"/>
      <c r="CEJ40" s="183"/>
      <c r="CEK40" s="184"/>
      <c r="CEL40" s="185"/>
      <c r="CEM40" s="186"/>
      <c r="CEN40" s="186"/>
      <c r="CEO40" s="186"/>
      <c r="CEP40" s="186"/>
      <c r="CEQ40" s="187"/>
      <c r="CER40" s="251"/>
      <c r="CES40" s="252"/>
      <c r="CET40" s="175"/>
      <c r="CEU40" s="176"/>
      <c r="CEV40" s="177"/>
      <c r="CEW40" s="176"/>
      <c r="CEX40" s="176"/>
      <c r="CEY40" s="178"/>
      <c r="CEZ40" s="178"/>
      <c r="CFA40" s="179"/>
      <c r="CFB40" s="180"/>
      <c r="CFC40" s="180"/>
      <c r="CFD40" s="180"/>
      <c r="CFE40" s="180"/>
      <c r="CFF40" s="180"/>
      <c r="CFG40" s="180"/>
      <c r="CFH40" s="178"/>
      <c r="CFI40" s="181"/>
      <c r="CFJ40" s="182"/>
      <c r="CFK40" s="182"/>
      <c r="CFL40" s="179"/>
      <c r="CFM40" s="183"/>
      <c r="CFN40" s="184"/>
      <c r="CFO40" s="185"/>
      <c r="CFP40" s="186"/>
      <c r="CFQ40" s="186"/>
      <c r="CFR40" s="186"/>
      <c r="CFS40" s="186"/>
      <c r="CFT40" s="187"/>
      <c r="CFU40" s="251"/>
      <c r="CFV40" s="252"/>
      <c r="CFW40" s="175"/>
      <c r="CFX40" s="176"/>
      <c r="CFY40" s="177"/>
      <c r="CFZ40" s="176"/>
      <c r="CGA40" s="176"/>
      <c r="CGB40" s="178"/>
      <c r="CGC40" s="178"/>
      <c r="CGD40" s="179"/>
      <c r="CGE40" s="180"/>
      <c r="CGF40" s="180"/>
      <c r="CGG40" s="180"/>
      <c r="CGH40" s="180"/>
      <c r="CGI40" s="180"/>
      <c r="CGJ40" s="180"/>
      <c r="CGK40" s="178"/>
      <c r="CGL40" s="181"/>
      <c r="CGM40" s="182"/>
      <c r="CGN40" s="182"/>
      <c r="CGO40" s="179"/>
      <c r="CGP40" s="183"/>
      <c r="CGQ40" s="184"/>
      <c r="CGR40" s="185"/>
      <c r="CGS40" s="186"/>
      <c r="CGT40" s="186"/>
      <c r="CGU40" s="186"/>
      <c r="CGV40" s="186"/>
      <c r="CGW40" s="187"/>
      <c r="CGX40" s="251"/>
      <c r="CGY40" s="252"/>
      <c r="CGZ40" s="175"/>
      <c r="CHA40" s="176"/>
      <c r="CHB40" s="177"/>
      <c r="CHC40" s="176"/>
      <c r="CHD40" s="176"/>
      <c r="CHE40" s="178"/>
      <c r="CHF40" s="178"/>
      <c r="CHG40" s="179"/>
      <c r="CHH40" s="180"/>
      <c r="CHI40" s="180"/>
      <c r="CHJ40" s="180"/>
      <c r="CHK40" s="180"/>
      <c r="CHL40" s="180"/>
      <c r="CHM40" s="180"/>
      <c r="CHN40" s="178"/>
      <c r="CHO40" s="181"/>
      <c r="CHP40" s="182"/>
      <c r="CHQ40" s="182"/>
      <c r="CHR40" s="179"/>
      <c r="CHS40" s="183"/>
      <c r="CHT40" s="184"/>
      <c r="CHU40" s="185"/>
      <c r="CHV40" s="186"/>
      <c r="CHW40" s="186"/>
      <c r="CHX40" s="186"/>
      <c r="CHY40" s="186"/>
      <c r="CHZ40" s="187"/>
      <c r="CIA40" s="251"/>
      <c r="CIB40" s="252"/>
      <c r="CIC40" s="175"/>
      <c r="CID40" s="176"/>
      <c r="CIE40" s="177"/>
      <c r="CIF40" s="176"/>
      <c r="CIG40" s="176"/>
      <c r="CIH40" s="178"/>
      <c r="CII40" s="178"/>
      <c r="CIJ40" s="179"/>
      <c r="CIK40" s="180"/>
      <c r="CIL40" s="180"/>
      <c r="CIM40" s="180"/>
      <c r="CIN40" s="180"/>
      <c r="CIO40" s="180"/>
      <c r="CIP40" s="180"/>
      <c r="CIQ40" s="178"/>
      <c r="CIR40" s="181"/>
      <c r="CIS40" s="182"/>
      <c r="CIT40" s="182"/>
      <c r="CIU40" s="179"/>
      <c r="CIV40" s="183"/>
      <c r="CIW40" s="184"/>
      <c r="CIX40" s="185"/>
      <c r="CIY40" s="186"/>
      <c r="CIZ40" s="186"/>
      <c r="CJA40" s="186"/>
      <c r="CJB40" s="186"/>
      <c r="CJC40" s="187"/>
      <c r="CJD40" s="251"/>
      <c r="CJE40" s="252"/>
      <c r="CJF40" s="175"/>
      <c r="CJG40" s="176"/>
      <c r="CJH40" s="177"/>
      <c r="CJI40" s="176"/>
      <c r="CJJ40" s="176"/>
      <c r="CJK40" s="178"/>
      <c r="CJL40" s="178"/>
      <c r="CJM40" s="179"/>
      <c r="CJN40" s="180"/>
      <c r="CJO40" s="180"/>
      <c r="CJP40" s="180"/>
      <c r="CJQ40" s="180"/>
      <c r="CJR40" s="180"/>
      <c r="CJS40" s="180"/>
      <c r="CJT40" s="178"/>
      <c r="CJU40" s="181"/>
      <c r="CJV40" s="182"/>
      <c r="CJW40" s="182"/>
      <c r="CJX40" s="179"/>
      <c r="CJY40" s="183"/>
      <c r="CJZ40" s="184"/>
      <c r="CKA40" s="185"/>
      <c r="CKB40" s="186"/>
      <c r="CKC40" s="186"/>
      <c r="CKD40" s="186"/>
      <c r="CKE40" s="186"/>
      <c r="CKF40" s="187"/>
      <c r="CKG40" s="251"/>
      <c r="CKH40" s="252"/>
      <c r="CKI40" s="175"/>
      <c r="CKJ40" s="176"/>
      <c r="CKK40" s="177"/>
      <c r="CKL40" s="176"/>
      <c r="CKM40" s="176"/>
      <c r="CKN40" s="178"/>
      <c r="CKO40" s="178"/>
      <c r="CKP40" s="179"/>
      <c r="CKQ40" s="180"/>
      <c r="CKR40" s="180"/>
      <c r="CKS40" s="180"/>
      <c r="CKT40" s="180"/>
      <c r="CKU40" s="180"/>
      <c r="CKV40" s="180"/>
      <c r="CKW40" s="178"/>
      <c r="CKX40" s="181"/>
      <c r="CKY40" s="182"/>
      <c r="CKZ40" s="182"/>
      <c r="CLA40" s="179"/>
      <c r="CLB40" s="183"/>
      <c r="CLC40" s="184"/>
      <c r="CLD40" s="185"/>
      <c r="CLE40" s="186"/>
      <c r="CLF40" s="186"/>
      <c r="CLG40" s="186"/>
      <c r="CLH40" s="186"/>
      <c r="CLI40" s="187"/>
      <c r="CLJ40" s="251"/>
      <c r="CLK40" s="252"/>
      <c r="CLL40" s="175"/>
      <c r="CLM40" s="176"/>
      <c r="CLN40" s="177"/>
      <c r="CLO40" s="176"/>
      <c r="CLP40" s="176"/>
      <c r="CLQ40" s="178"/>
      <c r="CLR40" s="178"/>
      <c r="CLS40" s="179"/>
      <c r="CLT40" s="180"/>
      <c r="CLU40" s="180"/>
      <c r="CLV40" s="180"/>
      <c r="CLW40" s="180"/>
      <c r="CLX40" s="180"/>
      <c r="CLY40" s="180"/>
      <c r="CLZ40" s="178"/>
      <c r="CMA40" s="181"/>
      <c r="CMB40" s="182"/>
      <c r="CMC40" s="182"/>
      <c r="CMD40" s="179"/>
      <c r="CME40" s="183"/>
      <c r="CMF40" s="184"/>
      <c r="CMG40" s="185"/>
      <c r="CMH40" s="186"/>
      <c r="CMI40" s="186"/>
      <c r="CMJ40" s="186"/>
      <c r="CMK40" s="186"/>
      <c r="CML40" s="187"/>
      <c r="CMM40" s="251"/>
      <c r="CMN40" s="252"/>
      <c r="CMO40" s="175"/>
      <c r="CMP40" s="176"/>
      <c r="CMQ40" s="177"/>
      <c r="CMR40" s="176"/>
      <c r="CMS40" s="176"/>
      <c r="CMT40" s="178"/>
      <c r="CMU40" s="178"/>
      <c r="CMV40" s="179"/>
      <c r="CMW40" s="180"/>
      <c r="CMX40" s="180"/>
      <c r="CMY40" s="180"/>
      <c r="CMZ40" s="180"/>
      <c r="CNA40" s="180"/>
      <c r="CNB40" s="180"/>
      <c r="CNC40" s="178"/>
      <c r="CND40" s="181"/>
      <c r="CNE40" s="182"/>
      <c r="CNF40" s="182"/>
      <c r="CNG40" s="179"/>
      <c r="CNH40" s="183"/>
      <c r="CNI40" s="184"/>
      <c r="CNJ40" s="185"/>
      <c r="CNK40" s="186"/>
      <c r="CNL40" s="186"/>
      <c r="CNM40" s="186"/>
      <c r="CNN40" s="186"/>
      <c r="CNO40" s="187"/>
      <c r="CNP40" s="251"/>
      <c r="CNQ40" s="252"/>
      <c r="CNR40" s="175"/>
      <c r="CNS40" s="176"/>
      <c r="CNT40" s="177"/>
      <c r="CNU40" s="176"/>
      <c r="CNV40" s="176"/>
      <c r="CNW40" s="178"/>
      <c r="CNX40" s="178"/>
      <c r="CNY40" s="179"/>
      <c r="CNZ40" s="180"/>
      <c r="COA40" s="180"/>
      <c r="COB40" s="180"/>
      <c r="COC40" s="180"/>
      <c r="COD40" s="180"/>
      <c r="COE40" s="180"/>
      <c r="COF40" s="178"/>
      <c r="COG40" s="181"/>
      <c r="COH40" s="182"/>
      <c r="COI40" s="182"/>
      <c r="COJ40" s="179"/>
      <c r="COK40" s="183"/>
      <c r="COL40" s="184"/>
      <c r="COM40" s="185"/>
      <c r="CON40" s="186"/>
      <c r="COO40" s="186"/>
      <c r="COP40" s="186"/>
      <c r="COQ40" s="186"/>
      <c r="COR40" s="187"/>
      <c r="COS40" s="251"/>
      <c r="COT40" s="252"/>
      <c r="COU40" s="175"/>
      <c r="COV40" s="176"/>
      <c r="COW40" s="177"/>
      <c r="COX40" s="176"/>
      <c r="COY40" s="176"/>
      <c r="COZ40" s="178"/>
      <c r="CPA40" s="178"/>
      <c r="CPB40" s="179"/>
      <c r="CPC40" s="180"/>
      <c r="CPD40" s="180"/>
      <c r="CPE40" s="180"/>
      <c r="CPF40" s="180"/>
      <c r="CPG40" s="180"/>
      <c r="CPH40" s="180"/>
      <c r="CPI40" s="178"/>
      <c r="CPJ40" s="181"/>
      <c r="CPK40" s="182"/>
      <c r="CPL40" s="182"/>
      <c r="CPM40" s="179"/>
      <c r="CPN40" s="183"/>
      <c r="CPO40" s="184"/>
      <c r="CPP40" s="185"/>
      <c r="CPQ40" s="186"/>
      <c r="CPR40" s="186"/>
      <c r="CPS40" s="186"/>
      <c r="CPT40" s="186"/>
      <c r="CPU40" s="187"/>
      <c r="CPV40" s="251"/>
      <c r="CPW40" s="252"/>
      <c r="CPX40" s="175"/>
      <c r="CPY40" s="176"/>
      <c r="CPZ40" s="177"/>
      <c r="CQA40" s="176"/>
      <c r="CQB40" s="176"/>
      <c r="CQC40" s="178"/>
      <c r="CQD40" s="178"/>
      <c r="CQE40" s="179"/>
      <c r="CQF40" s="180"/>
      <c r="CQG40" s="180"/>
      <c r="CQH40" s="180"/>
      <c r="CQI40" s="180"/>
      <c r="CQJ40" s="180"/>
      <c r="CQK40" s="180"/>
      <c r="CQL40" s="178"/>
      <c r="CQM40" s="181"/>
      <c r="CQN40" s="182"/>
      <c r="CQO40" s="182"/>
      <c r="CQP40" s="179"/>
      <c r="CQQ40" s="183"/>
      <c r="CQR40" s="184"/>
      <c r="CQS40" s="185"/>
      <c r="CQT40" s="186"/>
      <c r="CQU40" s="186"/>
      <c r="CQV40" s="186"/>
      <c r="CQW40" s="186"/>
      <c r="CQX40" s="187"/>
      <c r="CQY40" s="251"/>
      <c r="CQZ40" s="252"/>
      <c r="CRA40" s="175"/>
      <c r="CRB40" s="176"/>
      <c r="CRC40" s="177"/>
      <c r="CRD40" s="176"/>
      <c r="CRE40" s="176"/>
      <c r="CRF40" s="178"/>
      <c r="CRG40" s="178"/>
      <c r="CRH40" s="179"/>
      <c r="CRI40" s="180"/>
      <c r="CRJ40" s="180"/>
      <c r="CRK40" s="180"/>
      <c r="CRL40" s="180"/>
      <c r="CRM40" s="180"/>
      <c r="CRN40" s="180"/>
      <c r="CRO40" s="178"/>
      <c r="CRP40" s="181"/>
      <c r="CRQ40" s="182"/>
      <c r="CRR40" s="182"/>
      <c r="CRS40" s="179"/>
      <c r="CRT40" s="183"/>
      <c r="CRU40" s="184"/>
      <c r="CRV40" s="185"/>
      <c r="CRW40" s="186"/>
      <c r="CRX40" s="186"/>
      <c r="CRY40" s="186"/>
      <c r="CRZ40" s="186"/>
      <c r="CSA40" s="187"/>
      <c r="CSB40" s="251"/>
      <c r="CSC40" s="252"/>
      <c r="CSD40" s="175"/>
      <c r="CSE40" s="176"/>
      <c r="CSF40" s="177"/>
      <c r="CSG40" s="176"/>
      <c r="CSH40" s="176"/>
      <c r="CSI40" s="178"/>
      <c r="CSJ40" s="178"/>
      <c r="CSK40" s="179"/>
      <c r="CSL40" s="180"/>
      <c r="CSM40" s="180"/>
      <c r="CSN40" s="180"/>
      <c r="CSO40" s="180"/>
      <c r="CSP40" s="180"/>
      <c r="CSQ40" s="180"/>
      <c r="CSR40" s="178"/>
      <c r="CSS40" s="181"/>
      <c r="CST40" s="182"/>
      <c r="CSU40" s="182"/>
      <c r="CSV40" s="179"/>
      <c r="CSW40" s="183"/>
      <c r="CSX40" s="184"/>
      <c r="CSY40" s="185"/>
      <c r="CSZ40" s="186"/>
      <c r="CTA40" s="186"/>
      <c r="CTB40" s="186"/>
      <c r="CTC40" s="186"/>
      <c r="CTD40" s="187"/>
      <c r="CTE40" s="251"/>
      <c r="CTF40" s="252"/>
      <c r="CTG40" s="175"/>
      <c r="CTH40" s="176"/>
      <c r="CTI40" s="177"/>
      <c r="CTJ40" s="176"/>
      <c r="CTK40" s="176"/>
      <c r="CTL40" s="178"/>
      <c r="CTM40" s="178"/>
      <c r="CTN40" s="179"/>
      <c r="CTO40" s="180"/>
      <c r="CTP40" s="180"/>
      <c r="CTQ40" s="180"/>
      <c r="CTR40" s="180"/>
      <c r="CTS40" s="180"/>
      <c r="CTT40" s="180"/>
      <c r="CTU40" s="178"/>
      <c r="CTV40" s="181"/>
      <c r="CTW40" s="182"/>
      <c r="CTX40" s="182"/>
      <c r="CTY40" s="179"/>
      <c r="CTZ40" s="183"/>
      <c r="CUA40" s="184"/>
      <c r="CUB40" s="185"/>
      <c r="CUC40" s="186"/>
      <c r="CUD40" s="186"/>
      <c r="CUE40" s="186"/>
      <c r="CUF40" s="186"/>
      <c r="CUG40" s="187"/>
      <c r="CUH40" s="251"/>
      <c r="CUI40" s="252"/>
      <c r="CUJ40" s="175"/>
      <c r="CUK40" s="176"/>
      <c r="CUL40" s="177"/>
      <c r="CUM40" s="176"/>
      <c r="CUN40" s="176"/>
      <c r="CUO40" s="178"/>
      <c r="CUP40" s="178"/>
      <c r="CUQ40" s="179"/>
      <c r="CUR40" s="180"/>
      <c r="CUS40" s="180"/>
      <c r="CUT40" s="180"/>
      <c r="CUU40" s="180"/>
      <c r="CUV40" s="180"/>
      <c r="CUW40" s="180"/>
      <c r="CUX40" s="178"/>
      <c r="CUY40" s="181"/>
      <c r="CUZ40" s="182"/>
      <c r="CVA40" s="182"/>
      <c r="CVB40" s="179"/>
      <c r="CVC40" s="183"/>
      <c r="CVD40" s="184"/>
      <c r="CVE40" s="185"/>
      <c r="CVF40" s="186"/>
      <c r="CVG40" s="186"/>
      <c r="CVH40" s="186"/>
      <c r="CVI40" s="186"/>
      <c r="CVJ40" s="187"/>
      <c r="CVK40" s="251"/>
      <c r="CVL40" s="252"/>
      <c r="CVM40" s="175"/>
      <c r="CVN40" s="176"/>
      <c r="CVO40" s="177"/>
      <c r="CVP40" s="176"/>
      <c r="CVQ40" s="176"/>
      <c r="CVR40" s="178"/>
      <c r="CVS40" s="178"/>
      <c r="CVT40" s="179"/>
      <c r="CVU40" s="180"/>
      <c r="CVV40" s="180"/>
      <c r="CVW40" s="180"/>
      <c r="CVX40" s="180"/>
      <c r="CVY40" s="180"/>
      <c r="CVZ40" s="180"/>
      <c r="CWA40" s="178"/>
      <c r="CWB40" s="181"/>
      <c r="CWC40" s="182"/>
      <c r="CWD40" s="182"/>
      <c r="CWE40" s="179"/>
      <c r="CWF40" s="183"/>
      <c r="CWG40" s="184"/>
      <c r="CWH40" s="185"/>
      <c r="CWI40" s="186"/>
      <c r="CWJ40" s="186"/>
      <c r="CWK40" s="186"/>
      <c r="CWL40" s="186"/>
      <c r="CWM40" s="187"/>
      <c r="CWN40" s="251"/>
      <c r="CWO40" s="252"/>
      <c r="CWP40" s="175"/>
      <c r="CWQ40" s="176"/>
      <c r="CWR40" s="177"/>
      <c r="CWS40" s="176"/>
      <c r="CWT40" s="176"/>
      <c r="CWU40" s="178"/>
      <c r="CWV40" s="178"/>
      <c r="CWW40" s="179"/>
      <c r="CWX40" s="180"/>
      <c r="CWY40" s="180"/>
      <c r="CWZ40" s="180"/>
      <c r="CXA40" s="180"/>
      <c r="CXB40" s="180"/>
      <c r="CXC40" s="180"/>
      <c r="CXD40" s="178"/>
      <c r="CXE40" s="181"/>
      <c r="CXF40" s="182"/>
      <c r="CXG40" s="182"/>
      <c r="CXH40" s="179"/>
      <c r="CXI40" s="183"/>
      <c r="CXJ40" s="184"/>
      <c r="CXK40" s="185"/>
      <c r="CXL40" s="186"/>
      <c r="CXM40" s="186"/>
      <c r="CXN40" s="186"/>
      <c r="CXO40" s="186"/>
      <c r="CXP40" s="187"/>
      <c r="CXQ40" s="251"/>
      <c r="CXR40" s="252"/>
      <c r="CXS40" s="175"/>
      <c r="CXT40" s="176"/>
      <c r="CXU40" s="177"/>
      <c r="CXV40" s="176"/>
      <c r="CXW40" s="176"/>
      <c r="CXX40" s="178"/>
      <c r="CXY40" s="178"/>
      <c r="CXZ40" s="179"/>
      <c r="CYA40" s="180"/>
      <c r="CYB40" s="180"/>
      <c r="CYC40" s="180"/>
      <c r="CYD40" s="180"/>
      <c r="CYE40" s="180"/>
      <c r="CYF40" s="180"/>
      <c r="CYG40" s="178"/>
      <c r="CYH40" s="181"/>
      <c r="CYI40" s="182"/>
      <c r="CYJ40" s="182"/>
      <c r="CYK40" s="179"/>
      <c r="CYL40" s="183"/>
      <c r="CYM40" s="184"/>
      <c r="CYN40" s="185"/>
      <c r="CYO40" s="186"/>
      <c r="CYP40" s="186"/>
      <c r="CYQ40" s="186"/>
      <c r="CYR40" s="186"/>
      <c r="CYS40" s="187"/>
      <c r="CYT40" s="251"/>
      <c r="CYU40" s="252"/>
      <c r="CYV40" s="175"/>
      <c r="CYW40" s="176"/>
      <c r="CYX40" s="177"/>
      <c r="CYY40" s="176"/>
      <c r="CYZ40" s="176"/>
      <c r="CZA40" s="178"/>
      <c r="CZB40" s="178"/>
      <c r="CZC40" s="179"/>
      <c r="CZD40" s="180"/>
      <c r="CZE40" s="180"/>
      <c r="CZF40" s="180"/>
      <c r="CZG40" s="180"/>
      <c r="CZH40" s="180"/>
      <c r="CZI40" s="180"/>
      <c r="CZJ40" s="178"/>
      <c r="CZK40" s="181"/>
      <c r="CZL40" s="182"/>
      <c r="CZM40" s="182"/>
      <c r="CZN40" s="179"/>
      <c r="CZO40" s="183"/>
      <c r="CZP40" s="184"/>
      <c r="CZQ40" s="185"/>
      <c r="CZR40" s="186"/>
      <c r="CZS40" s="186"/>
      <c r="CZT40" s="186"/>
      <c r="CZU40" s="186"/>
      <c r="CZV40" s="187"/>
      <c r="CZW40" s="251"/>
      <c r="CZX40" s="252"/>
      <c r="CZY40" s="175"/>
      <c r="CZZ40" s="176"/>
      <c r="DAA40" s="177"/>
      <c r="DAB40" s="176"/>
      <c r="DAC40" s="176"/>
      <c r="DAD40" s="178"/>
      <c r="DAE40" s="178"/>
      <c r="DAF40" s="179"/>
      <c r="DAG40" s="180"/>
      <c r="DAH40" s="180"/>
      <c r="DAI40" s="180"/>
      <c r="DAJ40" s="180"/>
      <c r="DAK40" s="180"/>
      <c r="DAL40" s="180"/>
      <c r="DAM40" s="178"/>
      <c r="DAN40" s="181"/>
      <c r="DAO40" s="182"/>
      <c r="DAP40" s="182"/>
      <c r="DAQ40" s="179"/>
      <c r="DAR40" s="183"/>
      <c r="DAS40" s="184"/>
      <c r="DAT40" s="185"/>
      <c r="DAU40" s="186"/>
      <c r="DAV40" s="186"/>
      <c r="DAW40" s="186"/>
      <c r="DAX40" s="186"/>
      <c r="DAY40" s="187"/>
      <c r="DAZ40" s="251"/>
      <c r="DBA40" s="252"/>
      <c r="DBB40" s="175"/>
      <c r="DBC40" s="176"/>
      <c r="DBD40" s="177"/>
      <c r="DBE40" s="176"/>
      <c r="DBF40" s="176"/>
      <c r="DBG40" s="178"/>
      <c r="DBH40" s="178"/>
      <c r="DBI40" s="179"/>
      <c r="DBJ40" s="180"/>
      <c r="DBK40" s="180"/>
      <c r="DBL40" s="180"/>
      <c r="DBM40" s="180"/>
      <c r="DBN40" s="180"/>
      <c r="DBO40" s="180"/>
      <c r="DBP40" s="178"/>
      <c r="DBQ40" s="181"/>
      <c r="DBR40" s="182"/>
      <c r="DBS40" s="182"/>
      <c r="DBT40" s="179"/>
      <c r="DBU40" s="183"/>
      <c r="DBV40" s="184"/>
      <c r="DBW40" s="185"/>
      <c r="DBX40" s="186"/>
      <c r="DBY40" s="186"/>
      <c r="DBZ40" s="186"/>
      <c r="DCA40" s="186"/>
      <c r="DCB40" s="187"/>
      <c r="DCC40" s="251"/>
      <c r="DCD40" s="252"/>
      <c r="DCE40" s="175"/>
      <c r="DCF40" s="176"/>
      <c r="DCG40" s="177"/>
      <c r="DCH40" s="176"/>
      <c r="DCI40" s="176"/>
      <c r="DCJ40" s="178"/>
      <c r="DCK40" s="178"/>
      <c r="DCL40" s="179"/>
      <c r="DCM40" s="180"/>
      <c r="DCN40" s="180"/>
      <c r="DCO40" s="180"/>
      <c r="DCP40" s="180"/>
      <c r="DCQ40" s="180"/>
      <c r="DCR40" s="180"/>
      <c r="DCS40" s="178"/>
      <c r="DCT40" s="181"/>
      <c r="DCU40" s="182"/>
      <c r="DCV40" s="182"/>
      <c r="DCW40" s="179"/>
      <c r="DCX40" s="183"/>
      <c r="DCY40" s="184"/>
      <c r="DCZ40" s="185"/>
      <c r="DDA40" s="186"/>
      <c r="DDB40" s="186"/>
      <c r="DDC40" s="186"/>
      <c r="DDD40" s="186"/>
      <c r="DDE40" s="187"/>
      <c r="DDF40" s="251"/>
      <c r="DDG40" s="252"/>
      <c r="DDH40" s="175"/>
      <c r="DDI40" s="176"/>
      <c r="DDJ40" s="177"/>
      <c r="DDK40" s="176"/>
      <c r="DDL40" s="176"/>
      <c r="DDM40" s="178"/>
      <c r="DDN40" s="178"/>
      <c r="DDO40" s="179"/>
      <c r="DDP40" s="180"/>
      <c r="DDQ40" s="180"/>
      <c r="DDR40" s="180"/>
      <c r="DDS40" s="180"/>
      <c r="DDT40" s="180"/>
      <c r="DDU40" s="180"/>
      <c r="DDV40" s="178"/>
      <c r="DDW40" s="181"/>
      <c r="DDX40" s="182"/>
      <c r="DDY40" s="182"/>
      <c r="DDZ40" s="179"/>
      <c r="DEA40" s="183"/>
      <c r="DEB40" s="184"/>
      <c r="DEC40" s="185"/>
      <c r="DED40" s="186"/>
      <c r="DEE40" s="186"/>
      <c r="DEF40" s="186"/>
      <c r="DEG40" s="186"/>
      <c r="DEH40" s="187"/>
      <c r="DEI40" s="251"/>
      <c r="DEJ40" s="252"/>
      <c r="DEK40" s="175"/>
      <c r="DEL40" s="176"/>
      <c r="DEM40" s="177"/>
      <c r="DEN40" s="176"/>
      <c r="DEO40" s="176"/>
      <c r="DEP40" s="178"/>
      <c r="DEQ40" s="178"/>
      <c r="DER40" s="179"/>
      <c r="DES40" s="180"/>
      <c r="DET40" s="180"/>
      <c r="DEU40" s="180"/>
      <c r="DEV40" s="180"/>
      <c r="DEW40" s="180"/>
      <c r="DEX40" s="180"/>
      <c r="DEY40" s="178"/>
      <c r="DEZ40" s="181"/>
      <c r="DFA40" s="182"/>
      <c r="DFB40" s="182"/>
      <c r="DFC40" s="179"/>
      <c r="DFD40" s="183"/>
      <c r="DFE40" s="184"/>
      <c r="DFF40" s="185"/>
      <c r="DFG40" s="186"/>
      <c r="DFH40" s="186"/>
      <c r="DFI40" s="186"/>
      <c r="DFJ40" s="186"/>
      <c r="DFK40" s="187"/>
      <c r="DFL40" s="251"/>
      <c r="DFM40" s="252"/>
      <c r="DFN40" s="175"/>
      <c r="DFO40" s="176"/>
      <c r="DFP40" s="177"/>
      <c r="DFQ40" s="176"/>
      <c r="DFR40" s="176"/>
      <c r="DFS40" s="178"/>
      <c r="DFT40" s="178"/>
      <c r="DFU40" s="179"/>
      <c r="DFV40" s="180"/>
      <c r="DFW40" s="180"/>
      <c r="DFX40" s="180"/>
      <c r="DFY40" s="180"/>
      <c r="DFZ40" s="180"/>
      <c r="DGA40" s="180"/>
      <c r="DGB40" s="178"/>
      <c r="DGC40" s="181"/>
      <c r="DGD40" s="182"/>
      <c r="DGE40" s="182"/>
      <c r="DGF40" s="179"/>
      <c r="DGG40" s="183"/>
      <c r="DGH40" s="184"/>
      <c r="DGI40" s="185"/>
      <c r="DGJ40" s="186"/>
      <c r="DGK40" s="186"/>
      <c r="DGL40" s="186"/>
      <c r="DGM40" s="186"/>
      <c r="DGN40" s="187"/>
      <c r="DGO40" s="251"/>
      <c r="DGP40" s="252"/>
      <c r="DGQ40" s="175"/>
      <c r="DGR40" s="176"/>
      <c r="DGS40" s="177"/>
      <c r="DGT40" s="176"/>
      <c r="DGU40" s="176"/>
      <c r="DGV40" s="178"/>
      <c r="DGW40" s="178"/>
      <c r="DGX40" s="179"/>
      <c r="DGY40" s="180"/>
      <c r="DGZ40" s="180"/>
      <c r="DHA40" s="180"/>
      <c r="DHB40" s="180"/>
      <c r="DHC40" s="180"/>
      <c r="DHD40" s="180"/>
      <c r="DHE40" s="178"/>
      <c r="DHF40" s="181"/>
      <c r="DHG40" s="182"/>
      <c r="DHH40" s="182"/>
      <c r="DHI40" s="179"/>
      <c r="DHJ40" s="183"/>
      <c r="DHK40" s="184"/>
      <c r="DHL40" s="185"/>
      <c r="DHM40" s="186"/>
      <c r="DHN40" s="186"/>
      <c r="DHO40" s="186"/>
      <c r="DHP40" s="186"/>
      <c r="DHQ40" s="187"/>
      <c r="DHR40" s="251"/>
      <c r="DHS40" s="252"/>
      <c r="DHT40" s="175"/>
      <c r="DHU40" s="176"/>
      <c r="DHV40" s="177"/>
      <c r="DHW40" s="176"/>
      <c r="DHX40" s="176"/>
      <c r="DHY40" s="178"/>
      <c r="DHZ40" s="178"/>
      <c r="DIA40" s="179"/>
      <c r="DIB40" s="180"/>
      <c r="DIC40" s="180"/>
      <c r="DID40" s="180"/>
      <c r="DIE40" s="180"/>
      <c r="DIF40" s="180"/>
      <c r="DIG40" s="180"/>
      <c r="DIH40" s="178"/>
      <c r="DII40" s="181"/>
      <c r="DIJ40" s="182"/>
      <c r="DIK40" s="182"/>
      <c r="DIL40" s="179"/>
      <c r="DIM40" s="183"/>
      <c r="DIN40" s="184"/>
      <c r="DIO40" s="185"/>
      <c r="DIP40" s="186"/>
      <c r="DIQ40" s="186"/>
      <c r="DIR40" s="186"/>
      <c r="DIS40" s="186"/>
      <c r="DIT40" s="187"/>
      <c r="DIU40" s="251"/>
      <c r="DIV40" s="252"/>
      <c r="DIW40" s="175"/>
      <c r="DIX40" s="176"/>
      <c r="DIY40" s="177"/>
      <c r="DIZ40" s="176"/>
      <c r="DJA40" s="176"/>
      <c r="DJB40" s="178"/>
      <c r="DJC40" s="178"/>
      <c r="DJD40" s="179"/>
      <c r="DJE40" s="180"/>
      <c r="DJF40" s="180"/>
      <c r="DJG40" s="180"/>
      <c r="DJH40" s="180"/>
      <c r="DJI40" s="180"/>
      <c r="DJJ40" s="180"/>
      <c r="DJK40" s="178"/>
      <c r="DJL40" s="181"/>
      <c r="DJM40" s="182"/>
      <c r="DJN40" s="182"/>
      <c r="DJO40" s="179"/>
      <c r="DJP40" s="183"/>
      <c r="DJQ40" s="184"/>
      <c r="DJR40" s="185"/>
      <c r="DJS40" s="186"/>
      <c r="DJT40" s="186"/>
      <c r="DJU40" s="186"/>
      <c r="DJV40" s="186"/>
      <c r="DJW40" s="187"/>
      <c r="DJX40" s="251"/>
      <c r="DJY40" s="252"/>
      <c r="DJZ40" s="175"/>
      <c r="DKA40" s="176"/>
      <c r="DKB40" s="177"/>
      <c r="DKC40" s="176"/>
      <c r="DKD40" s="176"/>
      <c r="DKE40" s="178"/>
      <c r="DKF40" s="178"/>
      <c r="DKG40" s="179"/>
      <c r="DKH40" s="180"/>
      <c r="DKI40" s="180"/>
      <c r="DKJ40" s="180"/>
      <c r="DKK40" s="180"/>
      <c r="DKL40" s="180"/>
      <c r="DKM40" s="180"/>
      <c r="DKN40" s="178"/>
      <c r="DKO40" s="181"/>
      <c r="DKP40" s="182"/>
      <c r="DKQ40" s="182"/>
      <c r="DKR40" s="179"/>
      <c r="DKS40" s="183"/>
      <c r="DKT40" s="184"/>
      <c r="DKU40" s="185"/>
      <c r="DKV40" s="186"/>
      <c r="DKW40" s="186"/>
      <c r="DKX40" s="186"/>
      <c r="DKY40" s="186"/>
      <c r="DKZ40" s="187"/>
      <c r="DLA40" s="251"/>
      <c r="DLB40" s="252"/>
      <c r="DLC40" s="175"/>
      <c r="DLD40" s="176"/>
      <c r="DLE40" s="177"/>
      <c r="DLF40" s="176"/>
      <c r="DLG40" s="176"/>
      <c r="DLH40" s="178"/>
      <c r="DLI40" s="178"/>
      <c r="DLJ40" s="179"/>
      <c r="DLK40" s="180"/>
      <c r="DLL40" s="180"/>
      <c r="DLM40" s="180"/>
      <c r="DLN40" s="180"/>
      <c r="DLO40" s="180"/>
      <c r="DLP40" s="180"/>
      <c r="DLQ40" s="178"/>
      <c r="DLR40" s="181"/>
      <c r="DLS40" s="182"/>
      <c r="DLT40" s="182"/>
      <c r="DLU40" s="179"/>
      <c r="DLV40" s="183"/>
      <c r="DLW40" s="184"/>
      <c r="DLX40" s="185"/>
      <c r="DLY40" s="186"/>
      <c r="DLZ40" s="186"/>
      <c r="DMA40" s="186"/>
      <c r="DMB40" s="186"/>
      <c r="DMC40" s="187"/>
      <c r="DMD40" s="251"/>
      <c r="DME40" s="252"/>
      <c r="DMF40" s="175"/>
      <c r="DMG40" s="176"/>
      <c r="DMH40" s="177"/>
      <c r="DMI40" s="176"/>
      <c r="DMJ40" s="176"/>
      <c r="DMK40" s="178"/>
      <c r="DML40" s="178"/>
      <c r="DMM40" s="179"/>
      <c r="DMN40" s="180"/>
      <c r="DMO40" s="180"/>
      <c r="DMP40" s="180"/>
      <c r="DMQ40" s="180"/>
      <c r="DMR40" s="180"/>
      <c r="DMS40" s="180"/>
      <c r="DMT40" s="178"/>
      <c r="DMU40" s="181"/>
      <c r="DMV40" s="182"/>
      <c r="DMW40" s="182"/>
      <c r="DMX40" s="179"/>
      <c r="DMY40" s="183"/>
      <c r="DMZ40" s="184"/>
      <c r="DNA40" s="185"/>
      <c r="DNB40" s="186"/>
      <c r="DNC40" s="186"/>
      <c r="DND40" s="186"/>
      <c r="DNE40" s="186"/>
      <c r="DNF40" s="187"/>
      <c r="DNG40" s="251"/>
      <c r="DNH40" s="252"/>
      <c r="DNI40" s="175"/>
      <c r="DNJ40" s="176"/>
      <c r="DNK40" s="177"/>
      <c r="DNL40" s="176"/>
      <c r="DNM40" s="176"/>
      <c r="DNN40" s="178"/>
      <c r="DNO40" s="178"/>
      <c r="DNP40" s="179"/>
      <c r="DNQ40" s="180"/>
      <c r="DNR40" s="180"/>
      <c r="DNS40" s="180"/>
      <c r="DNT40" s="180"/>
      <c r="DNU40" s="180"/>
      <c r="DNV40" s="180"/>
      <c r="DNW40" s="178"/>
      <c r="DNX40" s="181"/>
      <c r="DNY40" s="182"/>
      <c r="DNZ40" s="182"/>
      <c r="DOA40" s="179"/>
      <c r="DOB40" s="183"/>
      <c r="DOC40" s="184"/>
      <c r="DOD40" s="185"/>
      <c r="DOE40" s="186"/>
      <c r="DOF40" s="186"/>
      <c r="DOG40" s="186"/>
      <c r="DOH40" s="186"/>
      <c r="DOI40" s="187"/>
      <c r="DOJ40" s="251"/>
      <c r="DOK40" s="252"/>
      <c r="DOL40" s="175"/>
      <c r="DOM40" s="176"/>
      <c r="DON40" s="177"/>
      <c r="DOO40" s="176"/>
      <c r="DOP40" s="176"/>
      <c r="DOQ40" s="178"/>
      <c r="DOR40" s="178"/>
      <c r="DOS40" s="179"/>
      <c r="DOT40" s="180"/>
      <c r="DOU40" s="180"/>
      <c r="DOV40" s="180"/>
      <c r="DOW40" s="180"/>
      <c r="DOX40" s="180"/>
      <c r="DOY40" s="180"/>
      <c r="DOZ40" s="178"/>
      <c r="DPA40" s="181"/>
      <c r="DPB40" s="182"/>
      <c r="DPC40" s="182"/>
      <c r="DPD40" s="179"/>
      <c r="DPE40" s="183"/>
      <c r="DPF40" s="184"/>
      <c r="DPG40" s="185"/>
      <c r="DPH40" s="186"/>
      <c r="DPI40" s="186"/>
      <c r="DPJ40" s="186"/>
      <c r="DPK40" s="186"/>
      <c r="DPL40" s="187"/>
      <c r="DPM40" s="251"/>
      <c r="DPN40" s="252"/>
      <c r="DPO40" s="175"/>
      <c r="DPP40" s="176"/>
      <c r="DPQ40" s="177"/>
      <c r="DPR40" s="176"/>
      <c r="DPS40" s="176"/>
      <c r="DPT40" s="178"/>
      <c r="DPU40" s="178"/>
      <c r="DPV40" s="179"/>
      <c r="DPW40" s="180"/>
      <c r="DPX40" s="180"/>
      <c r="DPY40" s="180"/>
      <c r="DPZ40" s="180"/>
      <c r="DQA40" s="180"/>
      <c r="DQB40" s="180"/>
      <c r="DQC40" s="178"/>
      <c r="DQD40" s="181"/>
      <c r="DQE40" s="182"/>
      <c r="DQF40" s="182"/>
      <c r="DQG40" s="179"/>
      <c r="DQH40" s="183"/>
      <c r="DQI40" s="184"/>
      <c r="DQJ40" s="185"/>
      <c r="DQK40" s="186"/>
      <c r="DQL40" s="186"/>
      <c r="DQM40" s="186"/>
      <c r="DQN40" s="186"/>
      <c r="DQO40" s="187"/>
      <c r="DQP40" s="251"/>
      <c r="DQQ40" s="252"/>
      <c r="DQR40" s="175"/>
      <c r="DQS40" s="176"/>
      <c r="DQT40" s="177"/>
      <c r="DQU40" s="176"/>
      <c r="DQV40" s="176"/>
      <c r="DQW40" s="178"/>
      <c r="DQX40" s="178"/>
      <c r="DQY40" s="179"/>
      <c r="DQZ40" s="180"/>
      <c r="DRA40" s="180"/>
      <c r="DRB40" s="180"/>
      <c r="DRC40" s="180"/>
      <c r="DRD40" s="180"/>
      <c r="DRE40" s="180"/>
      <c r="DRF40" s="178"/>
      <c r="DRG40" s="181"/>
      <c r="DRH40" s="182"/>
      <c r="DRI40" s="182"/>
      <c r="DRJ40" s="179"/>
      <c r="DRK40" s="183"/>
      <c r="DRL40" s="184"/>
      <c r="DRM40" s="185"/>
      <c r="DRN40" s="186"/>
      <c r="DRO40" s="186"/>
      <c r="DRP40" s="186"/>
      <c r="DRQ40" s="186"/>
      <c r="DRR40" s="187"/>
      <c r="DRS40" s="251"/>
      <c r="DRT40" s="252"/>
      <c r="DRU40" s="175"/>
      <c r="DRV40" s="176"/>
      <c r="DRW40" s="177"/>
      <c r="DRX40" s="176"/>
      <c r="DRY40" s="176"/>
      <c r="DRZ40" s="178"/>
      <c r="DSA40" s="178"/>
      <c r="DSB40" s="179"/>
      <c r="DSC40" s="180"/>
      <c r="DSD40" s="180"/>
      <c r="DSE40" s="180"/>
      <c r="DSF40" s="180"/>
      <c r="DSG40" s="180"/>
      <c r="DSH40" s="180"/>
      <c r="DSI40" s="178"/>
      <c r="DSJ40" s="181"/>
      <c r="DSK40" s="182"/>
      <c r="DSL40" s="182"/>
      <c r="DSM40" s="179"/>
      <c r="DSN40" s="183"/>
      <c r="DSO40" s="184"/>
      <c r="DSP40" s="185"/>
      <c r="DSQ40" s="186"/>
      <c r="DSR40" s="186"/>
      <c r="DSS40" s="186"/>
      <c r="DST40" s="186"/>
      <c r="DSU40" s="187"/>
      <c r="DSV40" s="251"/>
      <c r="DSW40" s="252"/>
      <c r="DSX40" s="175"/>
      <c r="DSY40" s="176"/>
      <c r="DSZ40" s="177"/>
      <c r="DTA40" s="176"/>
      <c r="DTB40" s="176"/>
      <c r="DTC40" s="178"/>
      <c r="DTD40" s="178"/>
      <c r="DTE40" s="179"/>
      <c r="DTF40" s="180"/>
      <c r="DTG40" s="180"/>
      <c r="DTH40" s="180"/>
      <c r="DTI40" s="180"/>
      <c r="DTJ40" s="180"/>
      <c r="DTK40" s="180"/>
      <c r="DTL40" s="178"/>
      <c r="DTM40" s="181"/>
      <c r="DTN40" s="182"/>
      <c r="DTO40" s="182"/>
      <c r="DTP40" s="179"/>
      <c r="DTQ40" s="183"/>
      <c r="DTR40" s="184"/>
      <c r="DTS40" s="185"/>
      <c r="DTT40" s="186"/>
      <c r="DTU40" s="186"/>
      <c r="DTV40" s="186"/>
      <c r="DTW40" s="186"/>
      <c r="DTX40" s="187"/>
      <c r="DTY40" s="251"/>
      <c r="DTZ40" s="252"/>
      <c r="DUA40" s="175"/>
      <c r="DUB40" s="176"/>
      <c r="DUC40" s="177"/>
      <c r="DUD40" s="176"/>
      <c r="DUE40" s="176"/>
      <c r="DUF40" s="178"/>
      <c r="DUG40" s="178"/>
      <c r="DUH40" s="179"/>
      <c r="DUI40" s="180"/>
      <c r="DUJ40" s="180"/>
      <c r="DUK40" s="180"/>
      <c r="DUL40" s="180"/>
      <c r="DUM40" s="180"/>
      <c r="DUN40" s="180"/>
      <c r="DUO40" s="178"/>
      <c r="DUP40" s="181"/>
      <c r="DUQ40" s="182"/>
      <c r="DUR40" s="182"/>
      <c r="DUS40" s="179"/>
      <c r="DUT40" s="183"/>
      <c r="DUU40" s="184"/>
      <c r="DUV40" s="185"/>
      <c r="DUW40" s="186"/>
      <c r="DUX40" s="186"/>
      <c r="DUY40" s="186"/>
      <c r="DUZ40" s="186"/>
      <c r="DVA40" s="187"/>
      <c r="DVB40" s="251"/>
      <c r="DVC40" s="252"/>
      <c r="DVD40" s="175"/>
      <c r="DVE40" s="176"/>
      <c r="DVF40" s="177"/>
      <c r="DVG40" s="176"/>
      <c r="DVH40" s="176"/>
      <c r="DVI40" s="178"/>
      <c r="DVJ40" s="178"/>
      <c r="DVK40" s="179"/>
      <c r="DVL40" s="180"/>
      <c r="DVM40" s="180"/>
      <c r="DVN40" s="180"/>
      <c r="DVO40" s="180"/>
      <c r="DVP40" s="180"/>
      <c r="DVQ40" s="180"/>
      <c r="DVR40" s="178"/>
      <c r="DVS40" s="181"/>
      <c r="DVT40" s="182"/>
      <c r="DVU40" s="182"/>
      <c r="DVV40" s="179"/>
      <c r="DVW40" s="183"/>
      <c r="DVX40" s="184"/>
      <c r="DVY40" s="185"/>
      <c r="DVZ40" s="186"/>
      <c r="DWA40" s="186"/>
      <c r="DWB40" s="186"/>
      <c r="DWC40" s="186"/>
      <c r="DWD40" s="187"/>
      <c r="DWE40" s="251"/>
      <c r="DWF40" s="252"/>
      <c r="DWG40" s="175"/>
      <c r="DWH40" s="176"/>
      <c r="DWI40" s="177"/>
      <c r="DWJ40" s="176"/>
      <c r="DWK40" s="176"/>
      <c r="DWL40" s="178"/>
      <c r="DWM40" s="178"/>
      <c r="DWN40" s="179"/>
      <c r="DWO40" s="180"/>
      <c r="DWP40" s="180"/>
      <c r="DWQ40" s="180"/>
      <c r="DWR40" s="180"/>
      <c r="DWS40" s="180"/>
      <c r="DWT40" s="180"/>
      <c r="DWU40" s="178"/>
      <c r="DWV40" s="181"/>
      <c r="DWW40" s="182"/>
      <c r="DWX40" s="182"/>
      <c r="DWY40" s="179"/>
      <c r="DWZ40" s="183"/>
      <c r="DXA40" s="184"/>
      <c r="DXB40" s="185"/>
      <c r="DXC40" s="186"/>
      <c r="DXD40" s="186"/>
      <c r="DXE40" s="186"/>
      <c r="DXF40" s="186"/>
      <c r="DXG40" s="187"/>
      <c r="DXH40" s="251"/>
      <c r="DXI40" s="252"/>
      <c r="DXJ40" s="175"/>
      <c r="DXK40" s="176"/>
      <c r="DXL40" s="177"/>
      <c r="DXM40" s="176"/>
      <c r="DXN40" s="176"/>
      <c r="DXO40" s="178"/>
      <c r="DXP40" s="178"/>
      <c r="DXQ40" s="179"/>
      <c r="DXR40" s="180"/>
      <c r="DXS40" s="180"/>
      <c r="DXT40" s="180"/>
      <c r="DXU40" s="180"/>
      <c r="DXV40" s="180"/>
      <c r="DXW40" s="180"/>
      <c r="DXX40" s="178"/>
      <c r="DXY40" s="181"/>
      <c r="DXZ40" s="182"/>
      <c r="DYA40" s="182"/>
      <c r="DYB40" s="179"/>
      <c r="DYC40" s="183"/>
      <c r="DYD40" s="184"/>
      <c r="DYE40" s="185"/>
      <c r="DYF40" s="186"/>
      <c r="DYG40" s="186"/>
      <c r="DYH40" s="186"/>
      <c r="DYI40" s="186"/>
      <c r="DYJ40" s="187"/>
      <c r="DYK40" s="251"/>
      <c r="DYL40" s="252"/>
      <c r="DYM40" s="175"/>
      <c r="DYN40" s="176"/>
      <c r="DYO40" s="177"/>
      <c r="DYP40" s="176"/>
      <c r="DYQ40" s="176"/>
      <c r="DYR40" s="178"/>
      <c r="DYS40" s="178"/>
      <c r="DYT40" s="179"/>
      <c r="DYU40" s="180"/>
      <c r="DYV40" s="180"/>
      <c r="DYW40" s="180"/>
      <c r="DYX40" s="180"/>
      <c r="DYY40" s="180"/>
      <c r="DYZ40" s="180"/>
      <c r="DZA40" s="178"/>
      <c r="DZB40" s="181"/>
      <c r="DZC40" s="182"/>
      <c r="DZD40" s="182"/>
      <c r="DZE40" s="179"/>
      <c r="DZF40" s="183"/>
      <c r="DZG40" s="184"/>
      <c r="DZH40" s="185"/>
      <c r="DZI40" s="186"/>
      <c r="DZJ40" s="186"/>
      <c r="DZK40" s="186"/>
      <c r="DZL40" s="186"/>
      <c r="DZM40" s="187"/>
      <c r="DZN40" s="251"/>
      <c r="DZO40" s="252"/>
      <c r="DZP40" s="175"/>
      <c r="DZQ40" s="176"/>
      <c r="DZR40" s="177"/>
      <c r="DZS40" s="176"/>
      <c r="DZT40" s="176"/>
      <c r="DZU40" s="178"/>
      <c r="DZV40" s="178"/>
      <c r="DZW40" s="179"/>
      <c r="DZX40" s="180"/>
      <c r="DZY40" s="180"/>
      <c r="DZZ40" s="180"/>
      <c r="EAA40" s="180"/>
      <c r="EAB40" s="180"/>
      <c r="EAC40" s="180"/>
      <c r="EAD40" s="178"/>
      <c r="EAE40" s="181"/>
      <c r="EAF40" s="182"/>
      <c r="EAG40" s="182"/>
      <c r="EAH40" s="179"/>
      <c r="EAI40" s="183"/>
      <c r="EAJ40" s="184"/>
      <c r="EAK40" s="185"/>
      <c r="EAL40" s="186"/>
      <c r="EAM40" s="186"/>
      <c r="EAN40" s="186"/>
      <c r="EAO40" s="186"/>
      <c r="EAP40" s="187"/>
      <c r="EAQ40" s="251"/>
      <c r="EAR40" s="252"/>
      <c r="EAS40" s="175"/>
      <c r="EAT40" s="176"/>
      <c r="EAU40" s="177"/>
      <c r="EAV40" s="176"/>
      <c r="EAW40" s="176"/>
      <c r="EAX40" s="178"/>
      <c r="EAY40" s="178"/>
      <c r="EAZ40" s="179"/>
      <c r="EBA40" s="180"/>
      <c r="EBB40" s="180"/>
      <c r="EBC40" s="180"/>
      <c r="EBD40" s="180"/>
      <c r="EBE40" s="180"/>
      <c r="EBF40" s="180"/>
      <c r="EBG40" s="178"/>
      <c r="EBH40" s="181"/>
      <c r="EBI40" s="182"/>
      <c r="EBJ40" s="182"/>
      <c r="EBK40" s="179"/>
      <c r="EBL40" s="183"/>
      <c r="EBM40" s="184"/>
      <c r="EBN40" s="185"/>
      <c r="EBO40" s="186"/>
      <c r="EBP40" s="186"/>
      <c r="EBQ40" s="186"/>
      <c r="EBR40" s="186"/>
      <c r="EBS40" s="187"/>
      <c r="EBT40" s="251"/>
      <c r="EBU40" s="252"/>
      <c r="EBV40" s="175"/>
      <c r="EBW40" s="176"/>
      <c r="EBX40" s="177"/>
      <c r="EBY40" s="176"/>
      <c r="EBZ40" s="176"/>
      <c r="ECA40" s="178"/>
      <c r="ECB40" s="178"/>
      <c r="ECC40" s="179"/>
      <c r="ECD40" s="180"/>
      <c r="ECE40" s="180"/>
      <c r="ECF40" s="180"/>
      <c r="ECG40" s="180"/>
      <c r="ECH40" s="180"/>
      <c r="ECI40" s="180"/>
      <c r="ECJ40" s="178"/>
      <c r="ECK40" s="181"/>
      <c r="ECL40" s="182"/>
      <c r="ECM40" s="182"/>
      <c r="ECN40" s="179"/>
      <c r="ECO40" s="183"/>
      <c r="ECP40" s="184"/>
      <c r="ECQ40" s="185"/>
      <c r="ECR40" s="186"/>
      <c r="ECS40" s="186"/>
      <c r="ECT40" s="186"/>
      <c r="ECU40" s="186"/>
      <c r="ECV40" s="187"/>
      <c r="ECW40" s="251"/>
      <c r="ECX40" s="252"/>
      <c r="ECY40" s="175"/>
      <c r="ECZ40" s="176"/>
      <c r="EDA40" s="177"/>
      <c r="EDB40" s="176"/>
      <c r="EDC40" s="176"/>
      <c r="EDD40" s="178"/>
      <c r="EDE40" s="178"/>
      <c r="EDF40" s="179"/>
      <c r="EDG40" s="180"/>
      <c r="EDH40" s="180"/>
      <c r="EDI40" s="180"/>
      <c r="EDJ40" s="180"/>
      <c r="EDK40" s="180"/>
      <c r="EDL40" s="180"/>
      <c r="EDM40" s="178"/>
      <c r="EDN40" s="181"/>
      <c r="EDO40" s="182"/>
      <c r="EDP40" s="182"/>
      <c r="EDQ40" s="179"/>
      <c r="EDR40" s="183"/>
      <c r="EDS40" s="184"/>
      <c r="EDT40" s="185"/>
      <c r="EDU40" s="186"/>
      <c r="EDV40" s="186"/>
      <c r="EDW40" s="186"/>
      <c r="EDX40" s="186"/>
      <c r="EDY40" s="187"/>
      <c r="EDZ40" s="251"/>
      <c r="EEA40" s="252"/>
      <c r="EEB40" s="175"/>
      <c r="EEC40" s="176"/>
      <c r="EED40" s="177"/>
      <c r="EEE40" s="176"/>
      <c r="EEF40" s="176"/>
      <c r="EEG40" s="178"/>
      <c r="EEH40" s="178"/>
      <c r="EEI40" s="179"/>
      <c r="EEJ40" s="180"/>
      <c r="EEK40" s="180"/>
      <c r="EEL40" s="180"/>
      <c r="EEM40" s="180"/>
      <c r="EEN40" s="180"/>
      <c r="EEO40" s="180"/>
      <c r="EEP40" s="178"/>
      <c r="EEQ40" s="181"/>
      <c r="EER40" s="182"/>
      <c r="EES40" s="182"/>
      <c r="EET40" s="179"/>
      <c r="EEU40" s="183"/>
      <c r="EEV40" s="184"/>
      <c r="EEW40" s="185"/>
      <c r="EEX40" s="186"/>
      <c r="EEY40" s="186"/>
      <c r="EEZ40" s="186"/>
      <c r="EFA40" s="186"/>
      <c r="EFB40" s="187"/>
      <c r="EFC40" s="251"/>
      <c r="EFD40" s="252"/>
      <c r="EFE40" s="175"/>
      <c r="EFF40" s="176"/>
      <c r="EFG40" s="177"/>
      <c r="EFH40" s="176"/>
      <c r="EFI40" s="176"/>
      <c r="EFJ40" s="178"/>
      <c r="EFK40" s="178"/>
      <c r="EFL40" s="179"/>
      <c r="EFM40" s="180"/>
      <c r="EFN40" s="180"/>
      <c r="EFO40" s="180"/>
      <c r="EFP40" s="180"/>
      <c r="EFQ40" s="180"/>
      <c r="EFR40" s="180"/>
      <c r="EFS40" s="178"/>
      <c r="EFT40" s="181"/>
      <c r="EFU40" s="182"/>
      <c r="EFV40" s="182"/>
      <c r="EFW40" s="179"/>
      <c r="EFX40" s="183"/>
      <c r="EFY40" s="184"/>
      <c r="EFZ40" s="185"/>
      <c r="EGA40" s="186"/>
      <c r="EGB40" s="186"/>
      <c r="EGC40" s="186"/>
      <c r="EGD40" s="186"/>
      <c r="EGE40" s="187"/>
      <c r="EGF40" s="251"/>
      <c r="EGG40" s="252"/>
      <c r="EGH40" s="175"/>
      <c r="EGI40" s="176"/>
      <c r="EGJ40" s="177"/>
      <c r="EGK40" s="176"/>
      <c r="EGL40" s="176"/>
      <c r="EGM40" s="178"/>
      <c r="EGN40" s="178"/>
      <c r="EGO40" s="179"/>
      <c r="EGP40" s="180"/>
      <c r="EGQ40" s="180"/>
      <c r="EGR40" s="180"/>
      <c r="EGS40" s="180"/>
      <c r="EGT40" s="180"/>
      <c r="EGU40" s="180"/>
      <c r="EGV40" s="178"/>
      <c r="EGW40" s="181"/>
      <c r="EGX40" s="182"/>
      <c r="EGY40" s="182"/>
      <c r="EGZ40" s="179"/>
      <c r="EHA40" s="183"/>
      <c r="EHB40" s="184"/>
      <c r="EHC40" s="185"/>
      <c r="EHD40" s="186"/>
      <c r="EHE40" s="186"/>
      <c r="EHF40" s="186"/>
      <c r="EHG40" s="186"/>
      <c r="EHH40" s="187"/>
      <c r="EHI40" s="251"/>
      <c r="EHJ40" s="252"/>
      <c r="EHK40" s="175"/>
      <c r="EHL40" s="176"/>
      <c r="EHM40" s="177"/>
      <c r="EHN40" s="176"/>
      <c r="EHO40" s="176"/>
      <c r="EHP40" s="178"/>
      <c r="EHQ40" s="178"/>
      <c r="EHR40" s="179"/>
      <c r="EHS40" s="180"/>
      <c r="EHT40" s="180"/>
      <c r="EHU40" s="180"/>
      <c r="EHV40" s="180"/>
      <c r="EHW40" s="180"/>
      <c r="EHX40" s="180"/>
      <c r="EHY40" s="178"/>
      <c r="EHZ40" s="181"/>
      <c r="EIA40" s="182"/>
      <c r="EIB40" s="182"/>
      <c r="EIC40" s="179"/>
      <c r="EID40" s="183"/>
      <c r="EIE40" s="184"/>
      <c r="EIF40" s="185"/>
      <c r="EIG40" s="186"/>
      <c r="EIH40" s="186"/>
      <c r="EII40" s="186"/>
      <c r="EIJ40" s="186"/>
      <c r="EIK40" s="187"/>
      <c r="EIL40" s="251"/>
      <c r="EIM40" s="252"/>
      <c r="EIN40" s="175"/>
      <c r="EIO40" s="176"/>
      <c r="EIP40" s="177"/>
      <c r="EIQ40" s="176"/>
      <c r="EIR40" s="176"/>
      <c r="EIS40" s="178"/>
      <c r="EIT40" s="178"/>
      <c r="EIU40" s="179"/>
      <c r="EIV40" s="180"/>
      <c r="EIW40" s="180"/>
      <c r="EIX40" s="180"/>
      <c r="EIY40" s="180"/>
      <c r="EIZ40" s="180"/>
      <c r="EJA40" s="180"/>
      <c r="EJB40" s="178"/>
      <c r="EJC40" s="181"/>
      <c r="EJD40" s="182"/>
      <c r="EJE40" s="182"/>
      <c r="EJF40" s="179"/>
      <c r="EJG40" s="183"/>
      <c r="EJH40" s="184"/>
      <c r="EJI40" s="185"/>
      <c r="EJJ40" s="186"/>
      <c r="EJK40" s="186"/>
      <c r="EJL40" s="186"/>
      <c r="EJM40" s="186"/>
      <c r="EJN40" s="187"/>
      <c r="EJO40" s="251"/>
      <c r="EJP40" s="252"/>
      <c r="EJQ40" s="175"/>
      <c r="EJR40" s="176"/>
      <c r="EJS40" s="177"/>
      <c r="EJT40" s="176"/>
      <c r="EJU40" s="176"/>
      <c r="EJV40" s="178"/>
      <c r="EJW40" s="178"/>
      <c r="EJX40" s="179"/>
      <c r="EJY40" s="180"/>
      <c r="EJZ40" s="180"/>
      <c r="EKA40" s="180"/>
      <c r="EKB40" s="180"/>
      <c r="EKC40" s="180"/>
      <c r="EKD40" s="180"/>
      <c r="EKE40" s="178"/>
      <c r="EKF40" s="181"/>
      <c r="EKG40" s="182"/>
      <c r="EKH40" s="182"/>
      <c r="EKI40" s="179"/>
      <c r="EKJ40" s="183"/>
      <c r="EKK40" s="184"/>
      <c r="EKL40" s="185"/>
      <c r="EKM40" s="186"/>
      <c r="EKN40" s="186"/>
      <c r="EKO40" s="186"/>
      <c r="EKP40" s="186"/>
      <c r="EKQ40" s="187"/>
      <c r="EKR40" s="251"/>
      <c r="EKS40" s="252"/>
      <c r="EKT40" s="175"/>
      <c r="EKU40" s="176"/>
      <c r="EKV40" s="177"/>
      <c r="EKW40" s="176"/>
      <c r="EKX40" s="176"/>
      <c r="EKY40" s="178"/>
      <c r="EKZ40" s="178"/>
      <c r="ELA40" s="179"/>
      <c r="ELB40" s="180"/>
      <c r="ELC40" s="180"/>
      <c r="ELD40" s="180"/>
      <c r="ELE40" s="180"/>
      <c r="ELF40" s="180"/>
      <c r="ELG40" s="180"/>
      <c r="ELH40" s="178"/>
      <c r="ELI40" s="181"/>
      <c r="ELJ40" s="182"/>
      <c r="ELK40" s="182"/>
      <c r="ELL40" s="179"/>
      <c r="ELM40" s="183"/>
      <c r="ELN40" s="184"/>
      <c r="ELO40" s="185"/>
      <c r="ELP40" s="186"/>
      <c r="ELQ40" s="186"/>
      <c r="ELR40" s="186"/>
      <c r="ELS40" s="186"/>
      <c r="ELT40" s="187"/>
      <c r="ELU40" s="251"/>
      <c r="ELV40" s="252"/>
      <c r="ELW40" s="175"/>
      <c r="ELX40" s="176"/>
      <c r="ELY40" s="177"/>
      <c r="ELZ40" s="176"/>
      <c r="EMA40" s="176"/>
      <c r="EMB40" s="178"/>
      <c r="EMC40" s="178"/>
      <c r="EMD40" s="179"/>
      <c r="EME40" s="180"/>
      <c r="EMF40" s="180"/>
      <c r="EMG40" s="180"/>
      <c r="EMH40" s="180"/>
      <c r="EMI40" s="180"/>
      <c r="EMJ40" s="180"/>
      <c r="EMK40" s="178"/>
      <c r="EML40" s="181"/>
      <c r="EMM40" s="182"/>
      <c r="EMN40" s="182"/>
      <c r="EMO40" s="179"/>
      <c r="EMP40" s="183"/>
      <c r="EMQ40" s="184"/>
      <c r="EMR40" s="185"/>
      <c r="EMS40" s="186"/>
      <c r="EMT40" s="186"/>
      <c r="EMU40" s="186"/>
      <c r="EMV40" s="186"/>
      <c r="EMW40" s="187"/>
      <c r="EMX40" s="251"/>
      <c r="EMY40" s="252"/>
      <c r="EMZ40" s="175"/>
      <c r="ENA40" s="176"/>
      <c r="ENB40" s="177"/>
      <c r="ENC40" s="176"/>
      <c r="END40" s="176"/>
      <c r="ENE40" s="178"/>
      <c r="ENF40" s="178"/>
      <c r="ENG40" s="179"/>
      <c r="ENH40" s="180"/>
      <c r="ENI40" s="180"/>
      <c r="ENJ40" s="180"/>
      <c r="ENK40" s="180"/>
      <c r="ENL40" s="180"/>
      <c r="ENM40" s="180"/>
      <c r="ENN40" s="178"/>
      <c r="ENO40" s="181"/>
      <c r="ENP40" s="182"/>
      <c r="ENQ40" s="182"/>
      <c r="ENR40" s="179"/>
      <c r="ENS40" s="183"/>
      <c r="ENT40" s="184"/>
      <c r="ENU40" s="185"/>
      <c r="ENV40" s="186"/>
      <c r="ENW40" s="186"/>
      <c r="ENX40" s="186"/>
      <c r="ENY40" s="186"/>
      <c r="ENZ40" s="187"/>
      <c r="EOA40" s="251"/>
      <c r="EOB40" s="252"/>
      <c r="EOC40" s="175"/>
      <c r="EOD40" s="176"/>
      <c r="EOE40" s="177"/>
      <c r="EOF40" s="176"/>
      <c r="EOG40" s="176"/>
      <c r="EOH40" s="178"/>
      <c r="EOI40" s="178"/>
      <c r="EOJ40" s="179"/>
      <c r="EOK40" s="180"/>
      <c r="EOL40" s="180"/>
      <c r="EOM40" s="180"/>
      <c r="EON40" s="180"/>
      <c r="EOO40" s="180"/>
      <c r="EOP40" s="180"/>
      <c r="EOQ40" s="178"/>
      <c r="EOR40" s="181"/>
      <c r="EOS40" s="182"/>
      <c r="EOT40" s="182"/>
      <c r="EOU40" s="179"/>
      <c r="EOV40" s="183"/>
      <c r="EOW40" s="184"/>
      <c r="EOX40" s="185"/>
      <c r="EOY40" s="186"/>
      <c r="EOZ40" s="186"/>
      <c r="EPA40" s="186"/>
      <c r="EPB40" s="186"/>
      <c r="EPC40" s="187"/>
      <c r="EPD40" s="251"/>
      <c r="EPE40" s="252"/>
      <c r="EPF40" s="175"/>
      <c r="EPG40" s="176"/>
      <c r="EPH40" s="177"/>
      <c r="EPI40" s="176"/>
      <c r="EPJ40" s="176"/>
      <c r="EPK40" s="178"/>
      <c r="EPL40" s="178"/>
      <c r="EPM40" s="179"/>
      <c r="EPN40" s="180"/>
      <c r="EPO40" s="180"/>
      <c r="EPP40" s="180"/>
      <c r="EPQ40" s="180"/>
      <c r="EPR40" s="180"/>
      <c r="EPS40" s="180"/>
      <c r="EPT40" s="178"/>
      <c r="EPU40" s="181"/>
      <c r="EPV40" s="182"/>
      <c r="EPW40" s="182"/>
      <c r="EPX40" s="179"/>
      <c r="EPY40" s="183"/>
      <c r="EPZ40" s="184"/>
      <c r="EQA40" s="185"/>
      <c r="EQB40" s="186"/>
      <c r="EQC40" s="186"/>
      <c r="EQD40" s="186"/>
      <c r="EQE40" s="186"/>
      <c r="EQF40" s="187"/>
      <c r="EQG40" s="251"/>
      <c r="EQH40" s="252"/>
      <c r="EQI40" s="175"/>
      <c r="EQJ40" s="176"/>
      <c r="EQK40" s="177"/>
      <c r="EQL40" s="176"/>
      <c r="EQM40" s="176"/>
      <c r="EQN40" s="178"/>
      <c r="EQO40" s="178"/>
      <c r="EQP40" s="179"/>
      <c r="EQQ40" s="180"/>
      <c r="EQR40" s="180"/>
      <c r="EQS40" s="180"/>
      <c r="EQT40" s="180"/>
      <c r="EQU40" s="180"/>
      <c r="EQV40" s="180"/>
      <c r="EQW40" s="178"/>
      <c r="EQX40" s="181"/>
      <c r="EQY40" s="182"/>
      <c r="EQZ40" s="182"/>
      <c r="ERA40" s="179"/>
      <c r="ERB40" s="183"/>
      <c r="ERC40" s="184"/>
      <c r="ERD40" s="185"/>
      <c r="ERE40" s="186"/>
      <c r="ERF40" s="186"/>
      <c r="ERG40" s="186"/>
      <c r="ERH40" s="186"/>
      <c r="ERI40" s="187"/>
      <c r="ERJ40" s="251"/>
      <c r="ERK40" s="252"/>
      <c r="ERL40" s="175"/>
      <c r="ERM40" s="176"/>
      <c r="ERN40" s="177"/>
      <c r="ERO40" s="176"/>
      <c r="ERP40" s="176"/>
      <c r="ERQ40" s="178"/>
      <c r="ERR40" s="178"/>
      <c r="ERS40" s="179"/>
      <c r="ERT40" s="180"/>
      <c r="ERU40" s="180"/>
      <c r="ERV40" s="180"/>
      <c r="ERW40" s="180"/>
      <c r="ERX40" s="180"/>
      <c r="ERY40" s="180"/>
      <c r="ERZ40" s="178"/>
      <c r="ESA40" s="181"/>
      <c r="ESB40" s="182"/>
      <c r="ESC40" s="182"/>
      <c r="ESD40" s="179"/>
      <c r="ESE40" s="183"/>
      <c r="ESF40" s="184"/>
      <c r="ESG40" s="185"/>
      <c r="ESH40" s="186"/>
      <c r="ESI40" s="186"/>
      <c r="ESJ40" s="186"/>
      <c r="ESK40" s="186"/>
      <c r="ESL40" s="187"/>
      <c r="ESM40" s="251"/>
      <c r="ESN40" s="252"/>
      <c r="ESO40" s="175"/>
      <c r="ESP40" s="176"/>
      <c r="ESQ40" s="177"/>
      <c r="ESR40" s="176"/>
      <c r="ESS40" s="176"/>
      <c r="EST40" s="178"/>
      <c r="ESU40" s="178"/>
      <c r="ESV40" s="179"/>
      <c r="ESW40" s="180"/>
      <c r="ESX40" s="180"/>
      <c r="ESY40" s="180"/>
      <c r="ESZ40" s="180"/>
      <c r="ETA40" s="180"/>
      <c r="ETB40" s="180"/>
      <c r="ETC40" s="178"/>
      <c r="ETD40" s="181"/>
      <c r="ETE40" s="182"/>
      <c r="ETF40" s="182"/>
      <c r="ETG40" s="179"/>
      <c r="ETH40" s="183"/>
      <c r="ETI40" s="184"/>
      <c r="ETJ40" s="185"/>
      <c r="ETK40" s="186"/>
      <c r="ETL40" s="186"/>
      <c r="ETM40" s="186"/>
      <c r="ETN40" s="186"/>
      <c r="ETO40" s="187"/>
      <c r="ETP40" s="251"/>
      <c r="ETQ40" s="252"/>
      <c r="ETR40" s="175"/>
      <c r="ETS40" s="176"/>
      <c r="ETT40" s="177"/>
      <c r="ETU40" s="176"/>
      <c r="ETV40" s="176"/>
      <c r="ETW40" s="178"/>
      <c r="ETX40" s="178"/>
      <c r="ETY40" s="179"/>
      <c r="ETZ40" s="180"/>
      <c r="EUA40" s="180"/>
      <c r="EUB40" s="180"/>
      <c r="EUC40" s="180"/>
      <c r="EUD40" s="180"/>
      <c r="EUE40" s="180"/>
      <c r="EUF40" s="178"/>
      <c r="EUG40" s="181"/>
      <c r="EUH40" s="182"/>
      <c r="EUI40" s="182"/>
      <c r="EUJ40" s="179"/>
      <c r="EUK40" s="183"/>
      <c r="EUL40" s="184"/>
      <c r="EUM40" s="185"/>
      <c r="EUN40" s="186"/>
      <c r="EUO40" s="186"/>
      <c r="EUP40" s="186"/>
      <c r="EUQ40" s="186"/>
      <c r="EUR40" s="187"/>
      <c r="EUS40" s="251"/>
      <c r="EUT40" s="252"/>
      <c r="EUU40" s="175"/>
      <c r="EUV40" s="176"/>
      <c r="EUW40" s="177"/>
      <c r="EUX40" s="176"/>
      <c r="EUY40" s="176"/>
      <c r="EUZ40" s="178"/>
      <c r="EVA40" s="178"/>
      <c r="EVB40" s="179"/>
      <c r="EVC40" s="180"/>
      <c r="EVD40" s="180"/>
      <c r="EVE40" s="180"/>
      <c r="EVF40" s="180"/>
      <c r="EVG40" s="180"/>
      <c r="EVH40" s="180"/>
      <c r="EVI40" s="178"/>
      <c r="EVJ40" s="181"/>
      <c r="EVK40" s="182"/>
      <c r="EVL40" s="182"/>
      <c r="EVM40" s="179"/>
      <c r="EVN40" s="183"/>
      <c r="EVO40" s="184"/>
      <c r="EVP40" s="185"/>
      <c r="EVQ40" s="186"/>
      <c r="EVR40" s="186"/>
      <c r="EVS40" s="186"/>
      <c r="EVT40" s="186"/>
      <c r="EVU40" s="187"/>
      <c r="EVV40" s="251"/>
      <c r="EVW40" s="252"/>
      <c r="EVX40" s="175"/>
      <c r="EVY40" s="176"/>
      <c r="EVZ40" s="177"/>
      <c r="EWA40" s="176"/>
      <c r="EWB40" s="176"/>
      <c r="EWC40" s="178"/>
      <c r="EWD40" s="178"/>
      <c r="EWE40" s="179"/>
      <c r="EWF40" s="180"/>
      <c r="EWG40" s="180"/>
      <c r="EWH40" s="180"/>
      <c r="EWI40" s="180"/>
      <c r="EWJ40" s="180"/>
      <c r="EWK40" s="180"/>
      <c r="EWL40" s="178"/>
      <c r="EWM40" s="181"/>
      <c r="EWN40" s="182"/>
      <c r="EWO40" s="182"/>
      <c r="EWP40" s="179"/>
      <c r="EWQ40" s="183"/>
      <c r="EWR40" s="184"/>
      <c r="EWS40" s="185"/>
      <c r="EWT40" s="186"/>
      <c r="EWU40" s="186"/>
      <c r="EWV40" s="186"/>
      <c r="EWW40" s="186"/>
      <c r="EWX40" s="187"/>
      <c r="EWY40" s="251"/>
      <c r="EWZ40" s="252"/>
      <c r="EXA40" s="175"/>
      <c r="EXB40" s="176"/>
      <c r="EXC40" s="177"/>
      <c r="EXD40" s="176"/>
      <c r="EXE40" s="176"/>
      <c r="EXF40" s="178"/>
      <c r="EXG40" s="178"/>
      <c r="EXH40" s="179"/>
      <c r="EXI40" s="180"/>
      <c r="EXJ40" s="180"/>
      <c r="EXK40" s="180"/>
      <c r="EXL40" s="180"/>
      <c r="EXM40" s="180"/>
      <c r="EXN40" s="180"/>
      <c r="EXO40" s="178"/>
      <c r="EXP40" s="181"/>
      <c r="EXQ40" s="182"/>
      <c r="EXR40" s="182"/>
      <c r="EXS40" s="179"/>
      <c r="EXT40" s="183"/>
      <c r="EXU40" s="184"/>
      <c r="EXV40" s="185"/>
      <c r="EXW40" s="186"/>
      <c r="EXX40" s="186"/>
      <c r="EXY40" s="186"/>
      <c r="EXZ40" s="186"/>
      <c r="EYA40" s="187"/>
      <c r="EYB40" s="251"/>
      <c r="EYC40" s="252"/>
      <c r="EYD40" s="175"/>
      <c r="EYE40" s="176"/>
      <c r="EYF40" s="177"/>
      <c r="EYG40" s="176"/>
      <c r="EYH40" s="176"/>
      <c r="EYI40" s="178"/>
      <c r="EYJ40" s="178"/>
      <c r="EYK40" s="179"/>
      <c r="EYL40" s="180"/>
      <c r="EYM40" s="180"/>
      <c r="EYN40" s="180"/>
      <c r="EYO40" s="180"/>
      <c r="EYP40" s="180"/>
      <c r="EYQ40" s="180"/>
      <c r="EYR40" s="178"/>
      <c r="EYS40" s="181"/>
      <c r="EYT40" s="182"/>
      <c r="EYU40" s="182"/>
      <c r="EYV40" s="179"/>
      <c r="EYW40" s="183"/>
      <c r="EYX40" s="184"/>
      <c r="EYY40" s="185"/>
      <c r="EYZ40" s="186"/>
      <c r="EZA40" s="186"/>
      <c r="EZB40" s="186"/>
      <c r="EZC40" s="186"/>
      <c r="EZD40" s="187"/>
      <c r="EZE40" s="251"/>
      <c r="EZF40" s="252"/>
      <c r="EZG40" s="175"/>
      <c r="EZH40" s="176"/>
      <c r="EZI40" s="177"/>
      <c r="EZJ40" s="176"/>
      <c r="EZK40" s="176"/>
      <c r="EZL40" s="178"/>
      <c r="EZM40" s="178"/>
      <c r="EZN40" s="179"/>
      <c r="EZO40" s="180"/>
      <c r="EZP40" s="180"/>
      <c r="EZQ40" s="180"/>
      <c r="EZR40" s="180"/>
      <c r="EZS40" s="180"/>
      <c r="EZT40" s="180"/>
      <c r="EZU40" s="178"/>
      <c r="EZV40" s="181"/>
      <c r="EZW40" s="182"/>
      <c r="EZX40" s="182"/>
      <c r="EZY40" s="179"/>
      <c r="EZZ40" s="183"/>
      <c r="FAA40" s="184"/>
      <c r="FAB40" s="185"/>
      <c r="FAC40" s="186"/>
      <c r="FAD40" s="186"/>
      <c r="FAE40" s="186"/>
      <c r="FAF40" s="186"/>
      <c r="FAG40" s="187"/>
      <c r="FAH40" s="251"/>
      <c r="FAI40" s="252"/>
      <c r="FAJ40" s="175"/>
      <c r="FAK40" s="176"/>
      <c r="FAL40" s="177"/>
      <c r="FAM40" s="176"/>
      <c r="FAN40" s="176"/>
      <c r="FAO40" s="178"/>
      <c r="FAP40" s="178"/>
      <c r="FAQ40" s="179"/>
      <c r="FAR40" s="180"/>
      <c r="FAS40" s="180"/>
      <c r="FAT40" s="180"/>
      <c r="FAU40" s="180"/>
      <c r="FAV40" s="180"/>
      <c r="FAW40" s="180"/>
      <c r="FAX40" s="178"/>
      <c r="FAY40" s="181"/>
      <c r="FAZ40" s="182"/>
      <c r="FBA40" s="182"/>
      <c r="FBB40" s="179"/>
      <c r="FBC40" s="183"/>
      <c r="FBD40" s="184"/>
      <c r="FBE40" s="185"/>
      <c r="FBF40" s="186"/>
      <c r="FBG40" s="186"/>
      <c r="FBH40" s="186"/>
      <c r="FBI40" s="186"/>
      <c r="FBJ40" s="187"/>
      <c r="FBK40" s="251"/>
      <c r="FBL40" s="252"/>
      <c r="FBM40" s="175"/>
      <c r="FBN40" s="176"/>
      <c r="FBO40" s="177"/>
      <c r="FBP40" s="176"/>
      <c r="FBQ40" s="176"/>
      <c r="FBR40" s="178"/>
      <c r="FBS40" s="178"/>
      <c r="FBT40" s="179"/>
      <c r="FBU40" s="180"/>
      <c r="FBV40" s="180"/>
      <c r="FBW40" s="180"/>
      <c r="FBX40" s="180"/>
      <c r="FBY40" s="180"/>
      <c r="FBZ40" s="180"/>
      <c r="FCA40" s="178"/>
      <c r="FCB40" s="181"/>
      <c r="FCC40" s="182"/>
      <c r="FCD40" s="182"/>
      <c r="FCE40" s="179"/>
      <c r="FCF40" s="183"/>
      <c r="FCG40" s="184"/>
      <c r="FCH40" s="185"/>
      <c r="FCI40" s="186"/>
      <c r="FCJ40" s="186"/>
      <c r="FCK40" s="186"/>
      <c r="FCL40" s="186"/>
      <c r="FCM40" s="187"/>
      <c r="FCN40" s="251"/>
      <c r="FCO40" s="252"/>
      <c r="FCP40" s="175"/>
      <c r="FCQ40" s="176"/>
      <c r="FCR40" s="177"/>
      <c r="FCS40" s="176"/>
      <c r="FCT40" s="176"/>
      <c r="FCU40" s="178"/>
      <c r="FCV40" s="178"/>
      <c r="FCW40" s="179"/>
      <c r="FCX40" s="180"/>
      <c r="FCY40" s="180"/>
      <c r="FCZ40" s="180"/>
      <c r="FDA40" s="180"/>
      <c r="FDB40" s="180"/>
      <c r="FDC40" s="180"/>
      <c r="FDD40" s="178"/>
      <c r="FDE40" s="181"/>
      <c r="FDF40" s="182"/>
      <c r="FDG40" s="182"/>
      <c r="FDH40" s="179"/>
      <c r="FDI40" s="183"/>
      <c r="FDJ40" s="184"/>
      <c r="FDK40" s="185"/>
      <c r="FDL40" s="186"/>
      <c r="FDM40" s="186"/>
      <c r="FDN40" s="186"/>
      <c r="FDO40" s="186"/>
      <c r="FDP40" s="187"/>
      <c r="FDQ40" s="251"/>
      <c r="FDR40" s="252"/>
      <c r="FDS40" s="175"/>
      <c r="FDT40" s="176"/>
      <c r="FDU40" s="177"/>
      <c r="FDV40" s="176"/>
      <c r="FDW40" s="176"/>
      <c r="FDX40" s="178"/>
      <c r="FDY40" s="178"/>
      <c r="FDZ40" s="179"/>
      <c r="FEA40" s="180"/>
      <c r="FEB40" s="180"/>
      <c r="FEC40" s="180"/>
      <c r="FED40" s="180"/>
      <c r="FEE40" s="180"/>
      <c r="FEF40" s="180"/>
      <c r="FEG40" s="178"/>
      <c r="FEH40" s="181"/>
      <c r="FEI40" s="182"/>
      <c r="FEJ40" s="182"/>
      <c r="FEK40" s="179"/>
      <c r="FEL40" s="183"/>
      <c r="FEM40" s="184"/>
      <c r="FEN40" s="185"/>
      <c r="FEO40" s="186"/>
      <c r="FEP40" s="186"/>
      <c r="FEQ40" s="186"/>
      <c r="FER40" s="186"/>
      <c r="FES40" s="187"/>
      <c r="FET40" s="251"/>
      <c r="FEU40" s="252"/>
      <c r="FEV40" s="175"/>
      <c r="FEW40" s="176"/>
      <c r="FEX40" s="177"/>
      <c r="FEY40" s="176"/>
      <c r="FEZ40" s="176"/>
      <c r="FFA40" s="178"/>
      <c r="FFB40" s="178"/>
      <c r="FFC40" s="179"/>
      <c r="FFD40" s="180"/>
      <c r="FFE40" s="180"/>
      <c r="FFF40" s="180"/>
      <c r="FFG40" s="180"/>
      <c r="FFH40" s="180"/>
      <c r="FFI40" s="180"/>
      <c r="FFJ40" s="178"/>
      <c r="FFK40" s="181"/>
      <c r="FFL40" s="182"/>
      <c r="FFM40" s="182"/>
      <c r="FFN40" s="179"/>
      <c r="FFO40" s="183"/>
      <c r="FFP40" s="184"/>
      <c r="FFQ40" s="185"/>
      <c r="FFR40" s="186"/>
      <c r="FFS40" s="186"/>
      <c r="FFT40" s="186"/>
      <c r="FFU40" s="186"/>
      <c r="FFV40" s="187"/>
      <c r="FFW40" s="251"/>
      <c r="FFX40" s="252"/>
      <c r="FFY40" s="175"/>
      <c r="FFZ40" s="176"/>
      <c r="FGA40" s="177"/>
      <c r="FGB40" s="176"/>
      <c r="FGC40" s="176"/>
      <c r="FGD40" s="178"/>
      <c r="FGE40" s="178"/>
      <c r="FGF40" s="179"/>
      <c r="FGG40" s="180"/>
      <c r="FGH40" s="180"/>
      <c r="FGI40" s="180"/>
      <c r="FGJ40" s="180"/>
      <c r="FGK40" s="180"/>
      <c r="FGL40" s="180"/>
      <c r="FGM40" s="178"/>
      <c r="FGN40" s="181"/>
      <c r="FGO40" s="182"/>
      <c r="FGP40" s="182"/>
      <c r="FGQ40" s="179"/>
      <c r="FGR40" s="183"/>
      <c r="FGS40" s="184"/>
      <c r="FGT40" s="185"/>
      <c r="FGU40" s="186"/>
      <c r="FGV40" s="186"/>
      <c r="FGW40" s="186"/>
      <c r="FGX40" s="186"/>
      <c r="FGY40" s="187"/>
      <c r="FGZ40" s="251"/>
      <c r="FHA40" s="252"/>
      <c r="FHB40" s="175"/>
      <c r="FHC40" s="176"/>
      <c r="FHD40" s="177"/>
      <c r="FHE40" s="176"/>
      <c r="FHF40" s="176"/>
      <c r="FHG40" s="178"/>
      <c r="FHH40" s="178"/>
      <c r="FHI40" s="179"/>
      <c r="FHJ40" s="180"/>
      <c r="FHK40" s="180"/>
      <c r="FHL40" s="180"/>
      <c r="FHM40" s="180"/>
      <c r="FHN40" s="180"/>
      <c r="FHO40" s="180"/>
      <c r="FHP40" s="178"/>
      <c r="FHQ40" s="181"/>
      <c r="FHR40" s="182"/>
      <c r="FHS40" s="182"/>
      <c r="FHT40" s="179"/>
      <c r="FHU40" s="183"/>
      <c r="FHV40" s="184"/>
      <c r="FHW40" s="185"/>
      <c r="FHX40" s="186"/>
      <c r="FHY40" s="186"/>
      <c r="FHZ40" s="186"/>
      <c r="FIA40" s="186"/>
      <c r="FIB40" s="187"/>
      <c r="FIC40" s="251"/>
      <c r="FID40" s="252"/>
      <c r="FIE40" s="175"/>
      <c r="FIF40" s="176"/>
      <c r="FIG40" s="177"/>
      <c r="FIH40" s="176"/>
      <c r="FII40" s="176"/>
      <c r="FIJ40" s="178"/>
      <c r="FIK40" s="178"/>
      <c r="FIL40" s="179"/>
      <c r="FIM40" s="180"/>
      <c r="FIN40" s="180"/>
      <c r="FIO40" s="180"/>
      <c r="FIP40" s="180"/>
      <c r="FIQ40" s="180"/>
      <c r="FIR40" s="180"/>
      <c r="FIS40" s="178"/>
      <c r="FIT40" s="181"/>
      <c r="FIU40" s="182"/>
      <c r="FIV40" s="182"/>
      <c r="FIW40" s="179"/>
      <c r="FIX40" s="183"/>
      <c r="FIY40" s="184"/>
      <c r="FIZ40" s="185"/>
      <c r="FJA40" s="186"/>
      <c r="FJB40" s="186"/>
      <c r="FJC40" s="186"/>
      <c r="FJD40" s="186"/>
      <c r="FJE40" s="187"/>
      <c r="FJF40" s="251"/>
      <c r="FJG40" s="252"/>
      <c r="FJH40" s="175"/>
      <c r="FJI40" s="176"/>
      <c r="FJJ40" s="177"/>
      <c r="FJK40" s="176"/>
      <c r="FJL40" s="176"/>
      <c r="FJM40" s="178"/>
      <c r="FJN40" s="178"/>
      <c r="FJO40" s="179"/>
      <c r="FJP40" s="180"/>
      <c r="FJQ40" s="180"/>
      <c r="FJR40" s="180"/>
      <c r="FJS40" s="180"/>
      <c r="FJT40" s="180"/>
      <c r="FJU40" s="180"/>
      <c r="FJV40" s="178"/>
      <c r="FJW40" s="181"/>
      <c r="FJX40" s="182"/>
      <c r="FJY40" s="182"/>
      <c r="FJZ40" s="179"/>
      <c r="FKA40" s="183"/>
      <c r="FKB40" s="184"/>
      <c r="FKC40" s="185"/>
      <c r="FKD40" s="186"/>
      <c r="FKE40" s="186"/>
      <c r="FKF40" s="186"/>
      <c r="FKG40" s="186"/>
      <c r="FKH40" s="187"/>
      <c r="FKI40" s="251"/>
      <c r="FKJ40" s="252"/>
      <c r="FKK40" s="175"/>
      <c r="FKL40" s="176"/>
      <c r="FKM40" s="177"/>
      <c r="FKN40" s="176"/>
      <c r="FKO40" s="176"/>
      <c r="FKP40" s="178"/>
      <c r="FKQ40" s="178"/>
      <c r="FKR40" s="179"/>
      <c r="FKS40" s="180"/>
      <c r="FKT40" s="180"/>
      <c r="FKU40" s="180"/>
      <c r="FKV40" s="180"/>
      <c r="FKW40" s="180"/>
      <c r="FKX40" s="180"/>
      <c r="FKY40" s="178"/>
      <c r="FKZ40" s="181"/>
      <c r="FLA40" s="182"/>
      <c r="FLB40" s="182"/>
      <c r="FLC40" s="179"/>
      <c r="FLD40" s="183"/>
      <c r="FLE40" s="184"/>
      <c r="FLF40" s="185"/>
      <c r="FLG40" s="186"/>
      <c r="FLH40" s="186"/>
      <c r="FLI40" s="186"/>
      <c r="FLJ40" s="186"/>
      <c r="FLK40" s="187"/>
      <c r="FLL40" s="251"/>
      <c r="FLM40" s="252"/>
      <c r="FLN40" s="175"/>
      <c r="FLO40" s="176"/>
      <c r="FLP40" s="177"/>
      <c r="FLQ40" s="176"/>
      <c r="FLR40" s="176"/>
      <c r="FLS40" s="178"/>
      <c r="FLT40" s="178"/>
      <c r="FLU40" s="179"/>
      <c r="FLV40" s="180"/>
      <c r="FLW40" s="180"/>
      <c r="FLX40" s="180"/>
      <c r="FLY40" s="180"/>
      <c r="FLZ40" s="180"/>
      <c r="FMA40" s="180"/>
      <c r="FMB40" s="178"/>
      <c r="FMC40" s="181"/>
      <c r="FMD40" s="182"/>
      <c r="FME40" s="182"/>
      <c r="FMF40" s="179"/>
      <c r="FMG40" s="183"/>
      <c r="FMH40" s="184"/>
      <c r="FMI40" s="185"/>
      <c r="FMJ40" s="186"/>
      <c r="FMK40" s="186"/>
      <c r="FML40" s="186"/>
      <c r="FMM40" s="186"/>
      <c r="FMN40" s="187"/>
      <c r="FMO40" s="251"/>
      <c r="FMP40" s="252"/>
      <c r="FMQ40" s="175"/>
      <c r="FMR40" s="176"/>
      <c r="FMS40" s="177"/>
      <c r="FMT40" s="176"/>
      <c r="FMU40" s="176"/>
      <c r="FMV40" s="178"/>
      <c r="FMW40" s="178"/>
      <c r="FMX40" s="179"/>
      <c r="FMY40" s="180"/>
      <c r="FMZ40" s="180"/>
      <c r="FNA40" s="180"/>
      <c r="FNB40" s="180"/>
      <c r="FNC40" s="180"/>
      <c r="FND40" s="180"/>
      <c r="FNE40" s="178"/>
      <c r="FNF40" s="181"/>
      <c r="FNG40" s="182"/>
      <c r="FNH40" s="182"/>
      <c r="FNI40" s="179"/>
      <c r="FNJ40" s="183"/>
      <c r="FNK40" s="184"/>
      <c r="FNL40" s="185"/>
      <c r="FNM40" s="186"/>
      <c r="FNN40" s="186"/>
      <c r="FNO40" s="186"/>
      <c r="FNP40" s="186"/>
      <c r="FNQ40" s="187"/>
      <c r="FNR40" s="251"/>
      <c r="FNS40" s="252"/>
      <c r="FNT40" s="175"/>
      <c r="FNU40" s="176"/>
      <c r="FNV40" s="177"/>
      <c r="FNW40" s="176"/>
      <c r="FNX40" s="176"/>
      <c r="FNY40" s="178"/>
      <c r="FNZ40" s="178"/>
      <c r="FOA40" s="179"/>
      <c r="FOB40" s="180"/>
      <c r="FOC40" s="180"/>
      <c r="FOD40" s="180"/>
      <c r="FOE40" s="180"/>
      <c r="FOF40" s="180"/>
      <c r="FOG40" s="180"/>
      <c r="FOH40" s="178"/>
      <c r="FOI40" s="181"/>
      <c r="FOJ40" s="182"/>
      <c r="FOK40" s="182"/>
      <c r="FOL40" s="179"/>
      <c r="FOM40" s="183"/>
      <c r="FON40" s="184"/>
      <c r="FOO40" s="185"/>
      <c r="FOP40" s="186"/>
      <c r="FOQ40" s="186"/>
      <c r="FOR40" s="186"/>
      <c r="FOS40" s="186"/>
      <c r="FOT40" s="187"/>
      <c r="FOU40" s="251"/>
      <c r="FOV40" s="252"/>
      <c r="FOW40" s="175"/>
      <c r="FOX40" s="176"/>
      <c r="FOY40" s="177"/>
      <c r="FOZ40" s="176"/>
      <c r="FPA40" s="176"/>
      <c r="FPB40" s="178"/>
      <c r="FPC40" s="178"/>
      <c r="FPD40" s="179"/>
      <c r="FPE40" s="180"/>
      <c r="FPF40" s="180"/>
      <c r="FPG40" s="180"/>
      <c r="FPH40" s="180"/>
      <c r="FPI40" s="180"/>
      <c r="FPJ40" s="180"/>
      <c r="FPK40" s="178"/>
      <c r="FPL40" s="181"/>
      <c r="FPM40" s="182"/>
      <c r="FPN40" s="182"/>
      <c r="FPO40" s="179"/>
      <c r="FPP40" s="183"/>
      <c r="FPQ40" s="184"/>
      <c r="FPR40" s="185"/>
      <c r="FPS40" s="186"/>
      <c r="FPT40" s="186"/>
      <c r="FPU40" s="186"/>
      <c r="FPV40" s="186"/>
      <c r="FPW40" s="187"/>
      <c r="FPX40" s="251"/>
      <c r="FPY40" s="252"/>
      <c r="FPZ40" s="175"/>
      <c r="FQA40" s="176"/>
      <c r="FQB40" s="177"/>
      <c r="FQC40" s="176"/>
      <c r="FQD40" s="176"/>
      <c r="FQE40" s="178"/>
      <c r="FQF40" s="178"/>
      <c r="FQG40" s="179"/>
      <c r="FQH40" s="180"/>
      <c r="FQI40" s="180"/>
      <c r="FQJ40" s="180"/>
      <c r="FQK40" s="180"/>
      <c r="FQL40" s="180"/>
      <c r="FQM40" s="180"/>
      <c r="FQN40" s="178"/>
      <c r="FQO40" s="181"/>
      <c r="FQP40" s="182"/>
      <c r="FQQ40" s="182"/>
      <c r="FQR40" s="179"/>
      <c r="FQS40" s="183"/>
      <c r="FQT40" s="184"/>
      <c r="FQU40" s="185"/>
      <c r="FQV40" s="186"/>
      <c r="FQW40" s="186"/>
      <c r="FQX40" s="186"/>
      <c r="FQY40" s="186"/>
      <c r="FQZ40" s="187"/>
      <c r="FRA40" s="251"/>
      <c r="FRB40" s="252"/>
      <c r="FRC40" s="175"/>
      <c r="FRD40" s="176"/>
      <c r="FRE40" s="177"/>
      <c r="FRF40" s="176"/>
      <c r="FRG40" s="176"/>
      <c r="FRH40" s="178"/>
      <c r="FRI40" s="178"/>
      <c r="FRJ40" s="179"/>
      <c r="FRK40" s="180"/>
      <c r="FRL40" s="180"/>
      <c r="FRM40" s="180"/>
      <c r="FRN40" s="180"/>
      <c r="FRO40" s="180"/>
      <c r="FRP40" s="180"/>
      <c r="FRQ40" s="178"/>
      <c r="FRR40" s="181"/>
      <c r="FRS40" s="182"/>
      <c r="FRT40" s="182"/>
      <c r="FRU40" s="179"/>
      <c r="FRV40" s="183"/>
      <c r="FRW40" s="184"/>
      <c r="FRX40" s="185"/>
      <c r="FRY40" s="186"/>
      <c r="FRZ40" s="186"/>
      <c r="FSA40" s="186"/>
      <c r="FSB40" s="186"/>
      <c r="FSC40" s="187"/>
      <c r="FSD40" s="251"/>
      <c r="FSE40" s="252"/>
      <c r="FSF40" s="175"/>
      <c r="FSG40" s="176"/>
      <c r="FSH40" s="177"/>
      <c r="FSI40" s="176"/>
      <c r="FSJ40" s="176"/>
      <c r="FSK40" s="178"/>
      <c r="FSL40" s="178"/>
      <c r="FSM40" s="179"/>
      <c r="FSN40" s="180"/>
      <c r="FSO40" s="180"/>
      <c r="FSP40" s="180"/>
      <c r="FSQ40" s="180"/>
      <c r="FSR40" s="180"/>
      <c r="FSS40" s="180"/>
      <c r="FST40" s="178"/>
      <c r="FSU40" s="181"/>
      <c r="FSV40" s="182"/>
      <c r="FSW40" s="182"/>
      <c r="FSX40" s="179"/>
      <c r="FSY40" s="183"/>
      <c r="FSZ40" s="184"/>
      <c r="FTA40" s="185"/>
      <c r="FTB40" s="186"/>
      <c r="FTC40" s="186"/>
      <c r="FTD40" s="186"/>
      <c r="FTE40" s="186"/>
      <c r="FTF40" s="187"/>
      <c r="FTG40" s="251"/>
      <c r="FTH40" s="252"/>
      <c r="FTI40" s="175"/>
      <c r="FTJ40" s="176"/>
      <c r="FTK40" s="177"/>
      <c r="FTL40" s="176"/>
      <c r="FTM40" s="176"/>
      <c r="FTN40" s="178"/>
      <c r="FTO40" s="178"/>
      <c r="FTP40" s="179"/>
      <c r="FTQ40" s="180"/>
      <c r="FTR40" s="180"/>
      <c r="FTS40" s="180"/>
      <c r="FTT40" s="180"/>
      <c r="FTU40" s="180"/>
      <c r="FTV40" s="180"/>
      <c r="FTW40" s="178"/>
      <c r="FTX40" s="181"/>
      <c r="FTY40" s="182"/>
      <c r="FTZ40" s="182"/>
      <c r="FUA40" s="179"/>
      <c r="FUB40" s="183"/>
      <c r="FUC40" s="184"/>
      <c r="FUD40" s="185"/>
      <c r="FUE40" s="186"/>
      <c r="FUF40" s="186"/>
      <c r="FUG40" s="186"/>
      <c r="FUH40" s="186"/>
      <c r="FUI40" s="187"/>
      <c r="FUJ40" s="251"/>
      <c r="FUK40" s="252"/>
      <c r="FUL40" s="175"/>
      <c r="FUM40" s="176"/>
      <c r="FUN40" s="177"/>
      <c r="FUO40" s="176"/>
      <c r="FUP40" s="176"/>
      <c r="FUQ40" s="178"/>
      <c r="FUR40" s="178"/>
      <c r="FUS40" s="179"/>
      <c r="FUT40" s="180"/>
      <c r="FUU40" s="180"/>
      <c r="FUV40" s="180"/>
      <c r="FUW40" s="180"/>
      <c r="FUX40" s="180"/>
      <c r="FUY40" s="180"/>
      <c r="FUZ40" s="178"/>
      <c r="FVA40" s="181"/>
      <c r="FVB40" s="182"/>
      <c r="FVC40" s="182"/>
      <c r="FVD40" s="179"/>
      <c r="FVE40" s="183"/>
      <c r="FVF40" s="184"/>
      <c r="FVG40" s="185"/>
      <c r="FVH40" s="186"/>
      <c r="FVI40" s="186"/>
      <c r="FVJ40" s="186"/>
      <c r="FVK40" s="186"/>
      <c r="FVL40" s="187"/>
      <c r="FVM40" s="251"/>
      <c r="FVN40" s="252"/>
      <c r="FVO40" s="175"/>
      <c r="FVP40" s="176"/>
      <c r="FVQ40" s="177"/>
      <c r="FVR40" s="176"/>
      <c r="FVS40" s="176"/>
      <c r="FVT40" s="178"/>
      <c r="FVU40" s="178"/>
      <c r="FVV40" s="179"/>
      <c r="FVW40" s="180"/>
      <c r="FVX40" s="180"/>
      <c r="FVY40" s="180"/>
      <c r="FVZ40" s="180"/>
      <c r="FWA40" s="180"/>
      <c r="FWB40" s="180"/>
      <c r="FWC40" s="178"/>
      <c r="FWD40" s="181"/>
      <c r="FWE40" s="182"/>
      <c r="FWF40" s="182"/>
      <c r="FWG40" s="179"/>
      <c r="FWH40" s="183"/>
      <c r="FWI40" s="184"/>
      <c r="FWJ40" s="185"/>
      <c r="FWK40" s="186"/>
      <c r="FWL40" s="186"/>
      <c r="FWM40" s="186"/>
      <c r="FWN40" s="186"/>
      <c r="FWO40" s="187"/>
      <c r="FWP40" s="251"/>
      <c r="FWQ40" s="252"/>
      <c r="FWR40" s="175"/>
      <c r="FWS40" s="176"/>
      <c r="FWT40" s="177"/>
      <c r="FWU40" s="176"/>
      <c r="FWV40" s="176"/>
      <c r="FWW40" s="178"/>
      <c r="FWX40" s="178"/>
      <c r="FWY40" s="179"/>
      <c r="FWZ40" s="180"/>
      <c r="FXA40" s="180"/>
      <c r="FXB40" s="180"/>
      <c r="FXC40" s="180"/>
      <c r="FXD40" s="180"/>
      <c r="FXE40" s="180"/>
      <c r="FXF40" s="178"/>
      <c r="FXG40" s="181"/>
      <c r="FXH40" s="182"/>
      <c r="FXI40" s="182"/>
      <c r="FXJ40" s="179"/>
      <c r="FXK40" s="183"/>
      <c r="FXL40" s="184"/>
      <c r="FXM40" s="185"/>
      <c r="FXN40" s="186"/>
      <c r="FXO40" s="186"/>
      <c r="FXP40" s="186"/>
      <c r="FXQ40" s="186"/>
      <c r="FXR40" s="187"/>
      <c r="FXS40" s="251"/>
      <c r="FXT40" s="252"/>
      <c r="FXU40" s="175"/>
      <c r="FXV40" s="176"/>
      <c r="FXW40" s="177"/>
      <c r="FXX40" s="176"/>
      <c r="FXY40" s="176"/>
      <c r="FXZ40" s="178"/>
      <c r="FYA40" s="178"/>
      <c r="FYB40" s="179"/>
      <c r="FYC40" s="180"/>
      <c r="FYD40" s="180"/>
      <c r="FYE40" s="180"/>
      <c r="FYF40" s="180"/>
      <c r="FYG40" s="180"/>
      <c r="FYH40" s="180"/>
      <c r="FYI40" s="178"/>
      <c r="FYJ40" s="181"/>
      <c r="FYK40" s="182"/>
      <c r="FYL40" s="182"/>
      <c r="FYM40" s="179"/>
      <c r="FYN40" s="183"/>
      <c r="FYO40" s="184"/>
      <c r="FYP40" s="185"/>
      <c r="FYQ40" s="186"/>
      <c r="FYR40" s="186"/>
      <c r="FYS40" s="186"/>
      <c r="FYT40" s="186"/>
      <c r="FYU40" s="187"/>
      <c r="FYV40" s="251"/>
      <c r="FYW40" s="252"/>
      <c r="FYX40" s="175"/>
      <c r="FYY40" s="176"/>
      <c r="FYZ40" s="177"/>
      <c r="FZA40" s="176"/>
      <c r="FZB40" s="176"/>
      <c r="FZC40" s="178"/>
      <c r="FZD40" s="178"/>
      <c r="FZE40" s="179"/>
      <c r="FZF40" s="180"/>
      <c r="FZG40" s="180"/>
      <c r="FZH40" s="180"/>
      <c r="FZI40" s="180"/>
      <c r="FZJ40" s="180"/>
      <c r="FZK40" s="180"/>
      <c r="FZL40" s="178"/>
      <c r="FZM40" s="181"/>
      <c r="FZN40" s="182"/>
      <c r="FZO40" s="182"/>
      <c r="FZP40" s="179"/>
      <c r="FZQ40" s="183"/>
      <c r="FZR40" s="184"/>
      <c r="FZS40" s="185"/>
      <c r="FZT40" s="186"/>
      <c r="FZU40" s="186"/>
      <c r="FZV40" s="186"/>
      <c r="FZW40" s="186"/>
      <c r="FZX40" s="187"/>
      <c r="FZY40" s="251"/>
      <c r="FZZ40" s="252"/>
      <c r="GAA40" s="175"/>
      <c r="GAB40" s="176"/>
      <c r="GAC40" s="177"/>
      <c r="GAD40" s="176"/>
      <c r="GAE40" s="176"/>
      <c r="GAF40" s="178"/>
      <c r="GAG40" s="178"/>
      <c r="GAH40" s="179"/>
      <c r="GAI40" s="180"/>
      <c r="GAJ40" s="180"/>
      <c r="GAK40" s="180"/>
      <c r="GAL40" s="180"/>
      <c r="GAM40" s="180"/>
      <c r="GAN40" s="180"/>
      <c r="GAO40" s="178"/>
      <c r="GAP40" s="181"/>
      <c r="GAQ40" s="182"/>
      <c r="GAR40" s="182"/>
      <c r="GAS40" s="179"/>
      <c r="GAT40" s="183"/>
      <c r="GAU40" s="184"/>
      <c r="GAV40" s="185"/>
      <c r="GAW40" s="186"/>
      <c r="GAX40" s="186"/>
      <c r="GAY40" s="186"/>
      <c r="GAZ40" s="186"/>
      <c r="GBA40" s="187"/>
      <c r="GBB40" s="251"/>
      <c r="GBC40" s="252"/>
      <c r="GBD40" s="175"/>
      <c r="GBE40" s="176"/>
      <c r="GBF40" s="177"/>
      <c r="GBG40" s="176"/>
      <c r="GBH40" s="176"/>
      <c r="GBI40" s="178"/>
      <c r="GBJ40" s="178"/>
      <c r="GBK40" s="179"/>
      <c r="GBL40" s="180"/>
      <c r="GBM40" s="180"/>
      <c r="GBN40" s="180"/>
      <c r="GBO40" s="180"/>
      <c r="GBP40" s="180"/>
      <c r="GBQ40" s="180"/>
      <c r="GBR40" s="178"/>
      <c r="GBS40" s="181"/>
      <c r="GBT40" s="182"/>
      <c r="GBU40" s="182"/>
      <c r="GBV40" s="179"/>
      <c r="GBW40" s="183"/>
      <c r="GBX40" s="184"/>
      <c r="GBY40" s="185"/>
      <c r="GBZ40" s="186"/>
      <c r="GCA40" s="186"/>
      <c r="GCB40" s="186"/>
      <c r="GCC40" s="186"/>
      <c r="GCD40" s="187"/>
      <c r="GCE40" s="251"/>
      <c r="GCF40" s="252"/>
      <c r="GCG40" s="175"/>
      <c r="GCH40" s="176"/>
      <c r="GCI40" s="177"/>
      <c r="GCJ40" s="176"/>
      <c r="GCK40" s="176"/>
      <c r="GCL40" s="178"/>
      <c r="GCM40" s="178"/>
      <c r="GCN40" s="179"/>
      <c r="GCO40" s="180"/>
      <c r="GCP40" s="180"/>
      <c r="GCQ40" s="180"/>
      <c r="GCR40" s="180"/>
      <c r="GCS40" s="180"/>
      <c r="GCT40" s="180"/>
      <c r="GCU40" s="178"/>
      <c r="GCV40" s="181"/>
      <c r="GCW40" s="182"/>
      <c r="GCX40" s="182"/>
      <c r="GCY40" s="179"/>
      <c r="GCZ40" s="183"/>
      <c r="GDA40" s="184"/>
      <c r="GDB40" s="185"/>
      <c r="GDC40" s="186"/>
      <c r="GDD40" s="186"/>
      <c r="GDE40" s="186"/>
      <c r="GDF40" s="186"/>
      <c r="GDG40" s="187"/>
      <c r="GDH40" s="251"/>
      <c r="GDI40" s="252"/>
      <c r="GDJ40" s="175"/>
      <c r="GDK40" s="176"/>
      <c r="GDL40" s="177"/>
      <c r="GDM40" s="176"/>
      <c r="GDN40" s="176"/>
      <c r="GDO40" s="178"/>
      <c r="GDP40" s="178"/>
      <c r="GDQ40" s="179"/>
      <c r="GDR40" s="180"/>
      <c r="GDS40" s="180"/>
      <c r="GDT40" s="180"/>
      <c r="GDU40" s="180"/>
      <c r="GDV40" s="180"/>
      <c r="GDW40" s="180"/>
      <c r="GDX40" s="178"/>
      <c r="GDY40" s="181"/>
      <c r="GDZ40" s="182"/>
      <c r="GEA40" s="182"/>
      <c r="GEB40" s="179"/>
      <c r="GEC40" s="183"/>
      <c r="GED40" s="184"/>
      <c r="GEE40" s="185"/>
      <c r="GEF40" s="186"/>
      <c r="GEG40" s="186"/>
      <c r="GEH40" s="186"/>
      <c r="GEI40" s="186"/>
      <c r="GEJ40" s="187"/>
      <c r="GEK40" s="251"/>
      <c r="GEL40" s="252"/>
      <c r="GEM40" s="175"/>
      <c r="GEN40" s="176"/>
      <c r="GEO40" s="177"/>
      <c r="GEP40" s="176"/>
      <c r="GEQ40" s="176"/>
      <c r="GER40" s="178"/>
      <c r="GES40" s="178"/>
      <c r="GET40" s="179"/>
      <c r="GEU40" s="180"/>
      <c r="GEV40" s="180"/>
      <c r="GEW40" s="180"/>
      <c r="GEX40" s="180"/>
      <c r="GEY40" s="180"/>
      <c r="GEZ40" s="180"/>
      <c r="GFA40" s="178"/>
      <c r="GFB40" s="181"/>
      <c r="GFC40" s="182"/>
      <c r="GFD40" s="182"/>
      <c r="GFE40" s="179"/>
      <c r="GFF40" s="183"/>
      <c r="GFG40" s="184"/>
      <c r="GFH40" s="185"/>
      <c r="GFI40" s="186"/>
      <c r="GFJ40" s="186"/>
      <c r="GFK40" s="186"/>
      <c r="GFL40" s="186"/>
      <c r="GFM40" s="187"/>
      <c r="GFN40" s="251"/>
      <c r="GFO40" s="252"/>
      <c r="GFP40" s="175"/>
      <c r="GFQ40" s="176"/>
      <c r="GFR40" s="177"/>
      <c r="GFS40" s="176"/>
      <c r="GFT40" s="176"/>
      <c r="GFU40" s="178"/>
      <c r="GFV40" s="178"/>
      <c r="GFW40" s="179"/>
      <c r="GFX40" s="180"/>
      <c r="GFY40" s="180"/>
      <c r="GFZ40" s="180"/>
      <c r="GGA40" s="180"/>
      <c r="GGB40" s="180"/>
      <c r="GGC40" s="180"/>
      <c r="GGD40" s="178"/>
      <c r="GGE40" s="181"/>
      <c r="GGF40" s="182"/>
      <c r="GGG40" s="182"/>
      <c r="GGH40" s="179"/>
      <c r="GGI40" s="183"/>
      <c r="GGJ40" s="184"/>
      <c r="GGK40" s="185"/>
      <c r="GGL40" s="186"/>
      <c r="GGM40" s="186"/>
      <c r="GGN40" s="186"/>
      <c r="GGO40" s="186"/>
      <c r="GGP40" s="187"/>
      <c r="GGQ40" s="251"/>
      <c r="GGR40" s="252"/>
      <c r="GGS40" s="175"/>
      <c r="GGT40" s="176"/>
      <c r="GGU40" s="177"/>
      <c r="GGV40" s="176"/>
      <c r="GGW40" s="176"/>
      <c r="GGX40" s="178"/>
      <c r="GGY40" s="178"/>
      <c r="GGZ40" s="179"/>
      <c r="GHA40" s="180"/>
      <c r="GHB40" s="180"/>
      <c r="GHC40" s="180"/>
      <c r="GHD40" s="180"/>
      <c r="GHE40" s="180"/>
      <c r="GHF40" s="180"/>
      <c r="GHG40" s="178"/>
      <c r="GHH40" s="181"/>
      <c r="GHI40" s="182"/>
      <c r="GHJ40" s="182"/>
      <c r="GHK40" s="179"/>
      <c r="GHL40" s="183"/>
      <c r="GHM40" s="184"/>
      <c r="GHN40" s="185"/>
      <c r="GHO40" s="186"/>
      <c r="GHP40" s="186"/>
      <c r="GHQ40" s="186"/>
      <c r="GHR40" s="186"/>
      <c r="GHS40" s="187"/>
      <c r="GHT40" s="251"/>
      <c r="GHU40" s="252"/>
      <c r="GHV40" s="175"/>
      <c r="GHW40" s="176"/>
      <c r="GHX40" s="177"/>
      <c r="GHY40" s="176"/>
      <c r="GHZ40" s="176"/>
      <c r="GIA40" s="178"/>
      <c r="GIB40" s="178"/>
      <c r="GIC40" s="179"/>
      <c r="GID40" s="180"/>
      <c r="GIE40" s="180"/>
      <c r="GIF40" s="180"/>
      <c r="GIG40" s="180"/>
      <c r="GIH40" s="180"/>
      <c r="GII40" s="180"/>
      <c r="GIJ40" s="178"/>
      <c r="GIK40" s="181"/>
      <c r="GIL40" s="182"/>
      <c r="GIM40" s="182"/>
      <c r="GIN40" s="179"/>
      <c r="GIO40" s="183"/>
      <c r="GIP40" s="184"/>
      <c r="GIQ40" s="185"/>
      <c r="GIR40" s="186"/>
      <c r="GIS40" s="186"/>
      <c r="GIT40" s="186"/>
      <c r="GIU40" s="186"/>
      <c r="GIV40" s="187"/>
      <c r="GIW40" s="251"/>
      <c r="GIX40" s="252"/>
      <c r="GIY40" s="175"/>
      <c r="GIZ40" s="176"/>
      <c r="GJA40" s="177"/>
      <c r="GJB40" s="176"/>
      <c r="GJC40" s="176"/>
      <c r="GJD40" s="178"/>
      <c r="GJE40" s="178"/>
      <c r="GJF40" s="179"/>
      <c r="GJG40" s="180"/>
      <c r="GJH40" s="180"/>
      <c r="GJI40" s="180"/>
      <c r="GJJ40" s="180"/>
      <c r="GJK40" s="180"/>
      <c r="GJL40" s="180"/>
      <c r="GJM40" s="178"/>
      <c r="GJN40" s="181"/>
      <c r="GJO40" s="182"/>
      <c r="GJP40" s="182"/>
      <c r="GJQ40" s="179"/>
      <c r="GJR40" s="183"/>
      <c r="GJS40" s="184"/>
      <c r="GJT40" s="185"/>
      <c r="GJU40" s="186"/>
      <c r="GJV40" s="186"/>
      <c r="GJW40" s="186"/>
      <c r="GJX40" s="186"/>
      <c r="GJY40" s="187"/>
      <c r="GJZ40" s="251"/>
      <c r="GKA40" s="252"/>
      <c r="GKB40" s="175"/>
      <c r="GKC40" s="176"/>
      <c r="GKD40" s="177"/>
      <c r="GKE40" s="176"/>
      <c r="GKF40" s="176"/>
      <c r="GKG40" s="178"/>
      <c r="GKH40" s="178"/>
      <c r="GKI40" s="179"/>
      <c r="GKJ40" s="180"/>
      <c r="GKK40" s="180"/>
      <c r="GKL40" s="180"/>
      <c r="GKM40" s="180"/>
      <c r="GKN40" s="180"/>
      <c r="GKO40" s="180"/>
      <c r="GKP40" s="178"/>
      <c r="GKQ40" s="181"/>
      <c r="GKR40" s="182"/>
      <c r="GKS40" s="182"/>
      <c r="GKT40" s="179"/>
      <c r="GKU40" s="183"/>
      <c r="GKV40" s="184"/>
      <c r="GKW40" s="185"/>
      <c r="GKX40" s="186"/>
      <c r="GKY40" s="186"/>
      <c r="GKZ40" s="186"/>
      <c r="GLA40" s="186"/>
      <c r="GLB40" s="187"/>
      <c r="GLC40" s="251"/>
      <c r="GLD40" s="252"/>
      <c r="GLE40" s="175"/>
      <c r="GLF40" s="176"/>
      <c r="GLG40" s="177"/>
      <c r="GLH40" s="176"/>
      <c r="GLI40" s="176"/>
      <c r="GLJ40" s="178"/>
      <c r="GLK40" s="178"/>
      <c r="GLL40" s="179"/>
      <c r="GLM40" s="180"/>
      <c r="GLN40" s="180"/>
      <c r="GLO40" s="180"/>
      <c r="GLP40" s="180"/>
      <c r="GLQ40" s="180"/>
      <c r="GLR40" s="180"/>
      <c r="GLS40" s="178"/>
      <c r="GLT40" s="181"/>
      <c r="GLU40" s="182"/>
      <c r="GLV40" s="182"/>
      <c r="GLW40" s="179"/>
      <c r="GLX40" s="183"/>
      <c r="GLY40" s="184"/>
      <c r="GLZ40" s="185"/>
      <c r="GMA40" s="186"/>
      <c r="GMB40" s="186"/>
      <c r="GMC40" s="186"/>
      <c r="GMD40" s="186"/>
      <c r="GME40" s="187"/>
      <c r="GMF40" s="251"/>
      <c r="GMG40" s="252"/>
      <c r="GMH40" s="175"/>
      <c r="GMI40" s="176"/>
      <c r="GMJ40" s="177"/>
      <c r="GMK40" s="176"/>
      <c r="GML40" s="176"/>
      <c r="GMM40" s="178"/>
      <c r="GMN40" s="178"/>
      <c r="GMO40" s="179"/>
      <c r="GMP40" s="180"/>
      <c r="GMQ40" s="180"/>
      <c r="GMR40" s="180"/>
      <c r="GMS40" s="180"/>
      <c r="GMT40" s="180"/>
      <c r="GMU40" s="180"/>
      <c r="GMV40" s="178"/>
      <c r="GMW40" s="181"/>
      <c r="GMX40" s="182"/>
      <c r="GMY40" s="182"/>
      <c r="GMZ40" s="179"/>
      <c r="GNA40" s="183"/>
      <c r="GNB40" s="184"/>
      <c r="GNC40" s="185"/>
      <c r="GND40" s="186"/>
      <c r="GNE40" s="186"/>
      <c r="GNF40" s="186"/>
      <c r="GNG40" s="186"/>
      <c r="GNH40" s="187"/>
      <c r="GNI40" s="251"/>
      <c r="GNJ40" s="252"/>
      <c r="GNK40" s="175"/>
      <c r="GNL40" s="176"/>
      <c r="GNM40" s="177"/>
      <c r="GNN40" s="176"/>
      <c r="GNO40" s="176"/>
      <c r="GNP40" s="178"/>
      <c r="GNQ40" s="178"/>
      <c r="GNR40" s="179"/>
      <c r="GNS40" s="180"/>
      <c r="GNT40" s="180"/>
      <c r="GNU40" s="180"/>
      <c r="GNV40" s="180"/>
      <c r="GNW40" s="180"/>
      <c r="GNX40" s="180"/>
      <c r="GNY40" s="178"/>
      <c r="GNZ40" s="181"/>
      <c r="GOA40" s="182"/>
      <c r="GOB40" s="182"/>
      <c r="GOC40" s="179"/>
      <c r="GOD40" s="183"/>
      <c r="GOE40" s="184"/>
      <c r="GOF40" s="185"/>
      <c r="GOG40" s="186"/>
      <c r="GOH40" s="186"/>
      <c r="GOI40" s="186"/>
      <c r="GOJ40" s="186"/>
      <c r="GOK40" s="187"/>
      <c r="GOL40" s="251"/>
      <c r="GOM40" s="252"/>
      <c r="GON40" s="175"/>
      <c r="GOO40" s="176"/>
      <c r="GOP40" s="177"/>
      <c r="GOQ40" s="176"/>
      <c r="GOR40" s="176"/>
      <c r="GOS40" s="178"/>
      <c r="GOT40" s="178"/>
      <c r="GOU40" s="179"/>
      <c r="GOV40" s="180"/>
      <c r="GOW40" s="180"/>
      <c r="GOX40" s="180"/>
      <c r="GOY40" s="180"/>
      <c r="GOZ40" s="180"/>
      <c r="GPA40" s="180"/>
      <c r="GPB40" s="178"/>
      <c r="GPC40" s="181"/>
      <c r="GPD40" s="182"/>
      <c r="GPE40" s="182"/>
      <c r="GPF40" s="179"/>
      <c r="GPG40" s="183"/>
      <c r="GPH40" s="184"/>
      <c r="GPI40" s="185"/>
      <c r="GPJ40" s="186"/>
      <c r="GPK40" s="186"/>
      <c r="GPL40" s="186"/>
      <c r="GPM40" s="186"/>
      <c r="GPN40" s="187"/>
      <c r="GPO40" s="251"/>
      <c r="GPP40" s="252"/>
      <c r="GPQ40" s="175"/>
      <c r="GPR40" s="176"/>
      <c r="GPS40" s="177"/>
      <c r="GPT40" s="176"/>
      <c r="GPU40" s="176"/>
      <c r="GPV40" s="178"/>
      <c r="GPW40" s="178"/>
      <c r="GPX40" s="179"/>
      <c r="GPY40" s="180"/>
      <c r="GPZ40" s="180"/>
      <c r="GQA40" s="180"/>
      <c r="GQB40" s="180"/>
      <c r="GQC40" s="180"/>
      <c r="GQD40" s="180"/>
      <c r="GQE40" s="178"/>
      <c r="GQF40" s="181"/>
      <c r="GQG40" s="182"/>
      <c r="GQH40" s="182"/>
      <c r="GQI40" s="179"/>
      <c r="GQJ40" s="183"/>
      <c r="GQK40" s="184"/>
      <c r="GQL40" s="185"/>
      <c r="GQM40" s="186"/>
      <c r="GQN40" s="186"/>
      <c r="GQO40" s="186"/>
      <c r="GQP40" s="186"/>
      <c r="GQQ40" s="187"/>
      <c r="GQR40" s="251"/>
      <c r="GQS40" s="252"/>
      <c r="GQT40" s="175"/>
      <c r="GQU40" s="176"/>
      <c r="GQV40" s="177"/>
      <c r="GQW40" s="176"/>
      <c r="GQX40" s="176"/>
      <c r="GQY40" s="178"/>
      <c r="GQZ40" s="178"/>
      <c r="GRA40" s="179"/>
      <c r="GRB40" s="180"/>
      <c r="GRC40" s="180"/>
      <c r="GRD40" s="180"/>
      <c r="GRE40" s="180"/>
      <c r="GRF40" s="180"/>
      <c r="GRG40" s="180"/>
      <c r="GRH40" s="178"/>
      <c r="GRI40" s="181"/>
      <c r="GRJ40" s="182"/>
      <c r="GRK40" s="182"/>
      <c r="GRL40" s="179"/>
      <c r="GRM40" s="183"/>
      <c r="GRN40" s="184"/>
      <c r="GRO40" s="185"/>
      <c r="GRP40" s="186"/>
      <c r="GRQ40" s="186"/>
      <c r="GRR40" s="186"/>
      <c r="GRS40" s="186"/>
      <c r="GRT40" s="187"/>
      <c r="GRU40" s="251"/>
      <c r="GRV40" s="252"/>
      <c r="GRW40" s="175"/>
      <c r="GRX40" s="176"/>
      <c r="GRY40" s="177"/>
      <c r="GRZ40" s="176"/>
      <c r="GSA40" s="176"/>
      <c r="GSB40" s="178"/>
      <c r="GSC40" s="178"/>
      <c r="GSD40" s="179"/>
      <c r="GSE40" s="180"/>
      <c r="GSF40" s="180"/>
      <c r="GSG40" s="180"/>
      <c r="GSH40" s="180"/>
      <c r="GSI40" s="180"/>
      <c r="GSJ40" s="180"/>
      <c r="GSK40" s="178"/>
      <c r="GSL40" s="181"/>
      <c r="GSM40" s="182"/>
      <c r="GSN40" s="182"/>
      <c r="GSO40" s="179"/>
      <c r="GSP40" s="183"/>
      <c r="GSQ40" s="184"/>
      <c r="GSR40" s="185"/>
      <c r="GSS40" s="186"/>
      <c r="GST40" s="186"/>
      <c r="GSU40" s="186"/>
      <c r="GSV40" s="186"/>
      <c r="GSW40" s="187"/>
      <c r="GSX40" s="251"/>
      <c r="GSY40" s="252"/>
      <c r="GSZ40" s="175"/>
      <c r="GTA40" s="176"/>
      <c r="GTB40" s="177"/>
      <c r="GTC40" s="176"/>
      <c r="GTD40" s="176"/>
      <c r="GTE40" s="178"/>
      <c r="GTF40" s="178"/>
      <c r="GTG40" s="179"/>
      <c r="GTH40" s="180"/>
      <c r="GTI40" s="180"/>
      <c r="GTJ40" s="180"/>
      <c r="GTK40" s="180"/>
      <c r="GTL40" s="180"/>
      <c r="GTM40" s="180"/>
      <c r="GTN40" s="178"/>
      <c r="GTO40" s="181"/>
      <c r="GTP40" s="182"/>
      <c r="GTQ40" s="182"/>
      <c r="GTR40" s="179"/>
      <c r="GTS40" s="183"/>
      <c r="GTT40" s="184"/>
      <c r="GTU40" s="185"/>
      <c r="GTV40" s="186"/>
      <c r="GTW40" s="186"/>
      <c r="GTX40" s="186"/>
      <c r="GTY40" s="186"/>
      <c r="GTZ40" s="187"/>
      <c r="GUA40" s="251"/>
      <c r="GUB40" s="252"/>
      <c r="GUC40" s="175"/>
      <c r="GUD40" s="176"/>
      <c r="GUE40" s="177"/>
      <c r="GUF40" s="176"/>
      <c r="GUG40" s="176"/>
      <c r="GUH40" s="178"/>
      <c r="GUI40" s="178"/>
      <c r="GUJ40" s="179"/>
      <c r="GUK40" s="180"/>
      <c r="GUL40" s="180"/>
      <c r="GUM40" s="180"/>
      <c r="GUN40" s="180"/>
      <c r="GUO40" s="180"/>
      <c r="GUP40" s="180"/>
      <c r="GUQ40" s="178"/>
      <c r="GUR40" s="181"/>
      <c r="GUS40" s="182"/>
      <c r="GUT40" s="182"/>
      <c r="GUU40" s="179"/>
      <c r="GUV40" s="183"/>
      <c r="GUW40" s="184"/>
      <c r="GUX40" s="185"/>
      <c r="GUY40" s="186"/>
      <c r="GUZ40" s="186"/>
      <c r="GVA40" s="186"/>
      <c r="GVB40" s="186"/>
      <c r="GVC40" s="187"/>
      <c r="GVD40" s="251"/>
      <c r="GVE40" s="252"/>
      <c r="GVF40" s="175"/>
      <c r="GVG40" s="176"/>
      <c r="GVH40" s="177"/>
      <c r="GVI40" s="176"/>
      <c r="GVJ40" s="176"/>
      <c r="GVK40" s="178"/>
      <c r="GVL40" s="178"/>
      <c r="GVM40" s="179"/>
      <c r="GVN40" s="180"/>
      <c r="GVO40" s="180"/>
      <c r="GVP40" s="180"/>
      <c r="GVQ40" s="180"/>
      <c r="GVR40" s="180"/>
      <c r="GVS40" s="180"/>
      <c r="GVT40" s="178"/>
      <c r="GVU40" s="181"/>
      <c r="GVV40" s="182"/>
      <c r="GVW40" s="182"/>
      <c r="GVX40" s="179"/>
      <c r="GVY40" s="183"/>
      <c r="GVZ40" s="184"/>
      <c r="GWA40" s="185"/>
      <c r="GWB40" s="186"/>
      <c r="GWC40" s="186"/>
      <c r="GWD40" s="186"/>
      <c r="GWE40" s="186"/>
      <c r="GWF40" s="187"/>
      <c r="GWG40" s="251"/>
      <c r="GWH40" s="252"/>
      <c r="GWI40" s="175"/>
      <c r="GWJ40" s="176"/>
      <c r="GWK40" s="177"/>
      <c r="GWL40" s="176"/>
      <c r="GWM40" s="176"/>
      <c r="GWN40" s="178"/>
      <c r="GWO40" s="178"/>
      <c r="GWP40" s="179"/>
      <c r="GWQ40" s="180"/>
      <c r="GWR40" s="180"/>
      <c r="GWS40" s="180"/>
      <c r="GWT40" s="180"/>
      <c r="GWU40" s="180"/>
      <c r="GWV40" s="180"/>
      <c r="GWW40" s="178"/>
      <c r="GWX40" s="181"/>
      <c r="GWY40" s="182"/>
      <c r="GWZ40" s="182"/>
      <c r="GXA40" s="179"/>
      <c r="GXB40" s="183"/>
      <c r="GXC40" s="184"/>
      <c r="GXD40" s="185"/>
      <c r="GXE40" s="186"/>
      <c r="GXF40" s="186"/>
      <c r="GXG40" s="186"/>
      <c r="GXH40" s="186"/>
      <c r="GXI40" s="187"/>
      <c r="GXJ40" s="251"/>
      <c r="GXK40" s="252"/>
      <c r="GXL40" s="175"/>
      <c r="GXM40" s="176"/>
      <c r="GXN40" s="177"/>
      <c r="GXO40" s="176"/>
      <c r="GXP40" s="176"/>
      <c r="GXQ40" s="178"/>
      <c r="GXR40" s="178"/>
      <c r="GXS40" s="179"/>
      <c r="GXT40" s="180"/>
      <c r="GXU40" s="180"/>
      <c r="GXV40" s="180"/>
      <c r="GXW40" s="180"/>
      <c r="GXX40" s="180"/>
      <c r="GXY40" s="180"/>
      <c r="GXZ40" s="178"/>
      <c r="GYA40" s="181"/>
      <c r="GYB40" s="182"/>
      <c r="GYC40" s="182"/>
      <c r="GYD40" s="179"/>
      <c r="GYE40" s="183"/>
      <c r="GYF40" s="184"/>
      <c r="GYG40" s="185"/>
      <c r="GYH40" s="186"/>
      <c r="GYI40" s="186"/>
      <c r="GYJ40" s="186"/>
      <c r="GYK40" s="186"/>
      <c r="GYL40" s="187"/>
      <c r="GYM40" s="251"/>
      <c r="GYN40" s="252"/>
      <c r="GYO40" s="175"/>
      <c r="GYP40" s="176"/>
      <c r="GYQ40" s="177"/>
      <c r="GYR40" s="176"/>
      <c r="GYS40" s="176"/>
      <c r="GYT40" s="178"/>
      <c r="GYU40" s="178"/>
      <c r="GYV40" s="179"/>
      <c r="GYW40" s="180"/>
      <c r="GYX40" s="180"/>
      <c r="GYY40" s="180"/>
      <c r="GYZ40" s="180"/>
      <c r="GZA40" s="180"/>
      <c r="GZB40" s="180"/>
      <c r="GZC40" s="178"/>
      <c r="GZD40" s="181"/>
      <c r="GZE40" s="182"/>
      <c r="GZF40" s="182"/>
      <c r="GZG40" s="179"/>
      <c r="GZH40" s="183"/>
      <c r="GZI40" s="184"/>
      <c r="GZJ40" s="185"/>
      <c r="GZK40" s="186"/>
      <c r="GZL40" s="186"/>
      <c r="GZM40" s="186"/>
      <c r="GZN40" s="186"/>
      <c r="GZO40" s="187"/>
      <c r="GZP40" s="251"/>
      <c r="GZQ40" s="252"/>
      <c r="GZR40" s="175"/>
      <c r="GZS40" s="176"/>
      <c r="GZT40" s="177"/>
      <c r="GZU40" s="176"/>
      <c r="GZV40" s="176"/>
      <c r="GZW40" s="178"/>
      <c r="GZX40" s="178"/>
      <c r="GZY40" s="179"/>
      <c r="GZZ40" s="180"/>
      <c r="HAA40" s="180"/>
      <c r="HAB40" s="180"/>
      <c r="HAC40" s="180"/>
      <c r="HAD40" s="180"/>
      <c r="HAE40" s="180"/>
      <c r="HAF40" s="178"/>
      <c r="HAG40" s="181"/>
      <c r="HAH40" s="182"/>
      <c r="HAI40" s="182"/>
      <c r="HAJ40" s="179"/>
      <c r="HAK40" s="183"/>
      <c r="HAL40" s="184"/>
      <c r="HAM40" s="185"/>
      <c r="HAN40" s="186"/>
      <c r="HAO40" s="186"/>
      <c r="HAP40" s="186"/>
      <c r="HAQ40" s="186"/>
      <c r="HAR40" s="187"/>
      <c r="HAS40" s="251"/>
      <c r="HAT40" s="252"/>
      <c r="HAU40" s="175"/>
      <c r="HAV40" s="176"/>
      <c r="HAW40" s="177"/>
      <c r="HAX40" s="176"/>
      <c r="HAY40" s="176"/>
      <c r="HAZ40" s="178"/>
      <c r="HBA40" s="178"/>
      <c r="HBB40" s="179"/>
      <c r="HBC40" s="180"/>
      <c r="HBD40" s="180"/>
      <c r="HBE40" s="180"/>
      <c r="HBF40" s="180"/>
      <c r="HBG40" s="180"/>
      <c r="HBH40" s="180"/>
      <c r="HBI40" s="178"/>
      <c r="HBJ40" s="181"/>
      <c r="HBK40" s="182"/>
      <c r="HBL40" s="182"/>
      <c r="HBM40" s="179"/>
      <c r="HBN40" s="183"/>
      <c r="HBO40" s="184"/>
      <c r="HBP40" s="185"/>
      <c r="HBQ40" s="186"/>
      <c r="HBR40" s="186"/>
      <c r="HBS40" s="186"/>
      <c r="HBT40" s="186"/>
      <c r="HBU40" s="187"/>
      <c r="HBV40" s="251"/>
      <c r="HBW40" s="252"/>
      <c r="HBX40" s="175"/>
      <c r="HBY40" s="176"/>
      <c r="HBZ40" s="177"/>
      <c r="HCA40" s="176"/>
      <c r="HCB40" s="176"/>
      <c r="HCC40" s="178"/>
      <c r="HCD40" s="178"/>
      <c r="HCE40" s="179"/>
      <c r="HCF40" s="180"/>
      <c r="HCG40" s="180"/>
      <c r="HCH40" s="180"/>
      <c r="HCI40" s="180"/>
      <c r="HCJ40" s="180"/>
      <c r="HCK40" s="180"/>
      <c r="HCL40" s="178"/>
      <c r="HCM40" s="181"/>
      <c r="HCN40" s="182"/>
      <c r="HCO40" s="182"/>
      <c r="HCP40" s="179"/>
      <c r="HCQ40" s="183"/>
      <c r="HCR40" s="184"/>
      <c r="HCS40" s="185"/>
      <c r="HCT40" s="186"/>
      <c r="HCU40" s="186"/>
      <c r="HCV40" s="186"/>
      <c r="HCW40" s="186"/>
      <c r="HCX40" s="187"/>
      <c r="HCY40" s="251"/>
      <c r="HCZ40" s="252"/>
      <c r="HDA40" s="175"/>
      <c r="HDB40" s="176"/>
      <c r="HDC40" s="177"/>
      <c r="HDD40" s="176"/>
      <c r="HDE40" s="176"/>
      <c r="HDF40" s="178"/>
      <c r="HDG40" s="178"/>
      <c r="HDH40" s="179"/>
      <c r="HDI40" s="180"/>
      <c r="HDJ40" s="180"/>
      <c r="HDK40" s="180"/>
      <c r="HDL40" s="180"/>
      <c r="HDM40" s="180"/>
      <c r="HDN40" s="180"/>
      <c r="HDO40" s="178"/>
      <c r="HDP40" s="181"/>
      <c r="HDQ40" s="182"/>
      <c r="HDR40" s="182"/>
      <c r="HDS40" s="179"/>
      <c r="HDT40" s="183"/>
      <c r="HDU40" s="184"/>
      <c r="HDV40" s="185"/>
      <c r="HDW40" s="186"/>
      <c r="HDX40" s="186"/>
      <c r="HDY40" s="186"/>
      <c r="HDZ40" s="186"/>
      <c r="HEA40" s="187"/>
      <c r="HEB40" s="251"/>
      <c r="HEC40" s="252"/>
      <c r="HED40" s="175"/>
      <c r="HEE40" s="176"/>
      <c r="HEF40" s="177"/>
      <c r="HEG40" s="176"/>
      <c r="HEH40" s="176"/>
      <c r="HEI40" s="178"/>
      <c r="HEJ40" s="178"/>
      <c r="HEK40" s="179"/>
      <c r="HEL40" s="180"/>
      <c r="HEM40" s="180"/>
      <c r="HEN40" s="180"/>
      <c r="HEO40" s="180"/>
      <c r="HEP40" s="180"/>
      <c r="HEQ40" s="180"/>
      <c r="HER40" s="178"/>
      <c r="HES40" s="181"/>
      <c r="HET40" s="182"/>
      <c r="HEU40" s="182"/>
      <c r="HEV40" s="179"/>
      <c r="HEW40" s="183"/>
      <c r="HEX40" s="184"/>
      <c r="HEY40" s="185"/>
      <c r="HEZ40" s="186"/>
      <c r="HFA40" s="186"/>
      <c r="HFB40" s="186"/>
      <c r="HFC40" s="186"/>
      <c r="HFD40" s="187"/>
      <c r="HFE40" s="251"/>
      <c r="HFF40" s="252"/>
      <c r="HFG40" s="175"/>
      <c r="HFH40" s="176"/>
      <c r="HFI40" s="177"/>
      <c r="HFJ40" s="176"/>
      <c r="HFK40" s="176"/>
      <c r="HFL40" s="178"/>
      <c r="HFM40" s="178"/>
      <c r="HFN40" s="179"/>
      <c r="HFO40" s="180"/>
      <c r="HFP40" s="180"/>
      <c r="HFQ40" s="180"/>
      <c r="HFR40" s="180"/>
      <c r="HFS40" s="180"/>
      <c r="HFT40" s="180"/>
      <c r="HFU40" s="178"/>
      <c r="HFV40" s="181"/>
      <c r="HFW40" s="182"/>
      <c r="HFX40" s="182"/>
      <c r="HFY40" s="179"/>
      <c r="HFZ40" s="183"/>
      <c r="HGA40" s="184"/>
      <c r="HGB40" s="185"/>
      <c r="HGC40" s="186"/>
      <c r="HGD40" s="186"/>
      <c r="HGE40" s="186"/>
      <c r="HGF40" s="186"/>
      <c r="HGG40" s="187"/>
      <c r="HGH40" s="251"/>
      <c r="HGI40" s="252"/>
      <c r="HGJ40" s="175"/>
      <c r="HGK40" s="176"/>
      <c r="HGL40" s="177"/>
      <c r="HGM40" s="176"/>
      <c r="HGN40" s="176"/>
      <c r="HGO40" s="178"/>
      <c r="HGP40" s="178"/>
      <c r="HGQ40" s="179"/>
      <c r="HGR40" s="180"/>
      <c r="HGS40" s="180"/>
      <c r="HGT40" s="180"/>
      <c r="HGU40" s="180"/>
      <c r="HGV40" s="180"/>
      <c r="HGW40" s="180"/>
      <c r="HGX40" s="178"/>
      <c r="HGY40" s="181"/>
      <c r="HGZ40" s="182"/>
      <c r="HHA40" s="182"/>
      <c r="HHB40" s="179"/>
      <c r="HHC40" s="183"/>
      <c r="HHD40" s="184"/>
      <c r="HHE40" s="185"/>
      <c r="HHF40" s="186"/>
      <c r="HHG40" s="186"/>
      <c r="HHH40" s="186"/>
      <c r="HHI40" s="186"/>
      <c r="HHJ40" s="187"/>
      <c r="HHK40" s="251"/>
      <c r="HHL40" s="252"/>
      <c r="HHM40" s="175"/>
      <c r="HHN40" s="176"/>
      <c r="HHO40" s="177"/>
      <c r="HHP40" s="176"/>
      <c r="HHQ40" s="176"/>
      <c r="HHR40" s="178"/>
      <c r="HHS40" s="178"/>
      <c r="HHT40" s="179"/>
      <c r="HHU40" s="180"/>
      <c r="HHV40" s="180"/>
      <c r="HHW40" s="180"/>
      <c r="HHX40" s="180"/>
      <c r="HHY40" s="180"/>
      <c r="HHZ40" s="180"/>
      <c r="HIA40" s="178"/>
      <c r="HIB40" s="181"/>
      <c r="HIC40" s="182"/>
      <c r="HID40" s="182"/>
      <c r="HIE40" s="179"/>
      <c r="HIF40" s="183"/>
      <c r="HIG40" s="184"/>
      <c r="HIH40" s="185"/>
      <c r="HII40" s="186"/>
      <c r="HIJ40" s="186"/>
      <c r="HIK40" s="186"/>
      <c r="HIL40" s="186"/>
      <c r="HIM40" s="187"/>
      <c r="HIN40" s="251"/>
      <c r="HIO40" s="252"/>
      <c r="HIP40" s="175"/>
      <c r="HIQ40" s="176"/>
      <c r="HIR40" s="177"/>
      <c r="HIS40" s="176"/>
      <c r="HIT40" s="176"/>
      <c r="HIU40" s="178"/>
      <c r="HIV40" s="178"/>
      <c r="HIW40" s="179"/>
      <c r="HIX40" s="180"/>
      <c r="HIY40" s="180"/>
      <c r="HIZ40" s="180"/>
      <c r="HJA40" s="180"/>
      <c r="HJB40" s="180"/>
      <c r="HJC40" s="180"/>
      <c r="HJD40" s="178"/>
      <c r="HJE40" s="181"/>
      <c r="HJF40" s="182"/>
      <c r="HJG40" s="182"/>
      <c r="HJH40" s="179"/>
      <c r="HJI40" s="183"/>
      <c r="HJJ40" s="184"/>
      <c r="HJK40" s="185"/>
      <c r="HJL40" s="186"/>
      <c r="HJM40" s="186"/>
      <c r="HJN40" s="186"/>
      <c r="HJO40" s="186"/>
      <c r="HJP40" s="187"/>
      <c r="HJQ40" s="251"/>
      <c r="HJR40" s="252"/>
      <c r="HJS40" s="175"/>
      <c r="HJT40" s="176"/>
      <c r="HJU40" s="177"/>
      <c r="HJV40" s="176"/>
      <c r="HJW40" s="176"/>
      <c r="HJX40" s="178"/>
      <c r="HJY40" s="178"/>
      <c r="HJZ40" s="179"/>
      <c r="HKA40" s="180"/>
      <c r="HKB40" s="180"/>
      <c r="HKC40" s="180"/>
      <c r="HKD40" s="180"/>
      <c r="HKE40" s="180"/>
      <c r="HKF40" s="180"/>
      <c r="HKG40" s="178"/>
      <c r="HKH40" s="181"/>
      <c r="HKI40" s="182"/>
      <c r="HKJ40" s="182"/>
      <c r="HKK40" s="179"/>
      <c r="HKL40" s="183"/>
      <c r="HKM40" s="184"/>
      <c r="HKN40" s="185"/>
      <c r="HKO40" s="186"/>
      <c r="HKP40" s="186"/>
      <c r="HKQ40" s="186"/>
      <c r="HKR40" s="186"/>
      <c r="HKS40" s="187"/>
      <c r="HKT40" s="251"/>
      <c r="HKU40" s="252"/>
      <c r="HKV40" s="175"/>
      <c r="HKW40" s="176"/>
      <c r="HKX40" s="177"/>
      <c r="HKY40" s="176"/>
      <c r="HKZ40" s="176"/>
      <c r="HLA40" s="178"/>
      <c r="HLB40" s="178"/>
      <c r="HLC40" s="179"/>
      <c r="HLD40" s="180"/>
      <c r="HLE40" s="180"/>
      <c r="HLF40" s="180"/>
      <c r="HLG40" s="180"/>
      <c r="HLH40" s="180"/>
      <c r="HLI40" s="180"/>
      <c r="HLJ40" s="178"/>
      <c r="HLK40" s="181"/>
      <c r="HLL40" s="182"/>
      <c r="HLM40" s="182"/>
      <c r="HLN40" s="179"/>
      <c r="HLO40" s="183"/>
      <c r="HLP40" s="184"/>
      <c r="HLQ40" s="185"/>
      <c r="HLR40" s="186"/>
      <c r="HLS40" s="186"/>
      <c r="HLT40" s="186"/>
      <c r="HLU40" s="186"/>
      <c r="HLV40" s="187"/>
      <c r="HLW40" s="251"/>
      <c r="HLX40" s="252"/>
      <c r="HLY40" s="175"/>
      <c r="HLZ40" s="176"/>
      <c r="HMA40" s="177"/>
      <c r="HMB40" s="176"/>
      <c r="HMC40" s="176"/>
      <c r="HMD40" s="178"/>
      <c r="HME40" s="178"/>
      <c r="HMF40" s="179"/>
      <c r="HMG40" s="180"/>
      <c r="HMH40" s="180"/>
      <c r="HMI40" s="180"/>
      <c r="HMJ40" s="180"/>
      <c r="HMK40" s="180"/>
      <c r="HML40" s="180"/>
      <c r="HMM40" s="178"/>
      <c r="HMN40" s="181"/>
      <c r="HMO40" s="182"/>
      <c r="HMP40" s="182"/>
      <c r="HMQ40" s="179"/>
      <c r="HMR40" s="183"/>
      <c r="HMS40" s="184"/>
      <c r="HMT40" s="185"/>
      <c r="HMU40" s="186"/>
      <c r="HMV40" s="186"/>
      <c r="HMW40" s="186"/>
      <c r="HMX40" s="186"/>
      <c r="HMY40" s="187"/>
      <c r="HMZ40" s="251"/>
      <c r="HNA40" s="252"/>
      <c r="HNB40" s="175"/>
      <c r="HNC40" s="176"/>
      <c r="HND40" s="177"/>
      <c r="HNE40" s="176"/>
      <c r="HNF40" s="176"/>
      <c r="HNG40" s="178"/>
      <c r="HNH40" s="178"/>
      <c r="HNI40" s="179"/>
      <c r="HNJ40" s="180"/>
      <c r="HNK40" s="180"/>
      <c r="HNL40" s="180"/>
      <c r="HNM40" s="180"/>
      <c r="HNN40" s="180"/>
      <c r="HNO40" s="180"/>
      <c r="HNP40" s="178"/>
      <c r="HNQ40" s="181"/>
      <c r="HNR40" s="182"/>
      <c r="HNS40" s="182"/>
      <c r="HNT40" s="179"/>
      <c r="HNU40" s="183"/>
      <c r="HNV40" s="184"/>
      <c r="HNW40" s="185"/>
      <c r="HNX40" s="186"/>
      <c r="HNY40" s="186"/>
      <c r="HNZ40" s="186"/>
      <c r="HOA40" s="186"/>
      <c r="HOB40" s="187"/>
      <c r="HOC40" s="251"/>
      <c r="HOD40" s="252"/>
      <c r="HOE40" s="175"/>
      <c r="HOF40" s="176"/>
      <c r="HOG40" s="177"/>
      <c r="HOH40" s="176"/>
      <c r="HOI40" s="176"/>
      <c r="HOJ40" s="178"/>
      <c r="HOK40" s="178"/>
      <c r="HOL40" s="179"/>
      <c r="HOM40" s="180"/>
      <c r="HON40" s="180"/>
      <c r="HOO40" s="180"/>
      <c r="HOP40" s="180"/>
      <c r="HOQ40" s="180"/>
      <c r="HOR40" s="180"/>
      <c r="HOS40" s="178"/>
      <c r="HOT40" s="181"/>
      <c r="HOU40" s="182"/>
      <c r="HOV40" s="182"/>
      <c r="HOW40" s="179"/>
      <c r="HOX40" s="183"/>
      <c r="HOY40" s="184"/>
      <c r="HOZ40" s="185"/>
      <c r="HPA40" s="186"/>
      <c r="HPB40" s="186"/>
      <c r="HPC40" s="186"/>
      <c r="HPD40" s="186"/>
      <c r="HPE40" s="187"/>
      <c r="HPF40" s="251"/>
      <c r="HPG40" s="252"/>
      <c r="HPH40" s="175"/>
      <c r="HPI40" s="176"/>
      <c r="HPJ40" s="177"/>
      <c r="HPK40" s="176"/>
      <c r="HPL40" s="176"/>
      <c r="HPM40" s="178"/>
      <c r="HPN40" s="178"/>
      <c r="HPO40" s="179"/>
      <c r="HPP40" s="180"/>
      <c r="HPQ40" s="180"/>
      <c r="HPR40" s="180"/>
      <c r="HPS40" s="180"/>
      <c r="HPT40" s="180"/>
      <c r="HPU40" s="180"/>
      <c r="HPV40" s="178"/>
      <c r="HPW40" s="181"/>
      <c r="HPX40" s="182"/>
      <c r="HPY40" s="182"/>
      <c r="HPZ40" s="179"/>
      <c r="HQA40" s="183"/>
      <c r="HQB40" s="184"/>
      <c r="HQC40" s="185"/>
      <c r="HQD40" s="186"/>
      <c r="HQE40" s="186"/>
      <c r="HQF40" s="186"/>
      <c r="HQG40" s="186"/>
      <c r="HQH40" s="187"/>
      <c r="HQI40" s="251"/>
      <c r="HQJ40" s="252"/>
      <c r="HQK40" s="175"/>
      <c r="HQL40" s="176"/>
      <c r="HQM40" s="177"/>
      <c r="HQN40" s="176"/>
      <c r="HQO40" s="176"/>
      <c r="HQP40" s="178"/>
      <c r="HQQ40" s="178"/>
      <c r="HQR40" s="179"/>
      <c r="HQS40" s="180"/>
      <c r="HQT40" s="180"/>
      <c r="HQU40" s="180"/>
      <c r="HQV40" s="180"/>
      <c r="HQW40" s="180"/>
      <c r="HQX40" s="180"/>
      <c r="HQY40" s="178"/>
      <c r="HQZ40" s="181"/>
      <c r="HRA40" s="182"/>
      <c r="HRB40" s="182"/>
      <c r="HRC40" s="179"/>
      <c r="HRD40" s="183"/>
      <c r="HRE40" s="184"/>
      <c r="HRF40" s="185"/>
      <c r="HRG40" s="186"/>
      <c r="HRH40" s="186"/>
      <c r="HRI40" s="186"/>
      <c r="HRJ40" s="186"/>
      <c r="HRK40" s="187"/>
      <c r="HRL40" s="251"/>
      <c r="HRM40" s="252"/>
      <c r="HRN40" s="175"/>
      <c r="HRO40" s="176"/>
      <c r="HRP40" s="177"/>
      <c r="HRQ40" s="176"/>
      <c r="HRR40" s="176"/>
      <c r="HRS40" s="178"/>
      <c r="HRT40" s="178"/>
      <c r="HRU40" s="179"/>
      <c r="HRV40" s="180"/>
      <c r="HRW40" s="180"/>
      <c r="HRX40" s="180"/>
      <c r="HRY40" s="180"/>
      <c r="HRZ40" s="180"/>
      <c r="HSA40" s="180"/>
      <c r="HSB40" s="178"/>
      <c r="HSC40" s="181"/>
      <c r="HSD40" s="182"/>
      <c r="HSE40" s="182"/>
      <c r="HSF40" s="179"/>
      <c r="HSG40" s="183"/>
      <c r="HSH40" s="184"/>
      <c r="HSI40" s="185"/>
      <c r="HSJ40" s="186"/>
      <c r="HSK40" s="186"/>
      <c r="HSL40" s="186"/>
      <c r="HSM40" s="186"/>
      <c r="HSN40" s="187"/>
      <c r="HSO40" s="251"/>
      <c r="HSP40" s="252"/>
      <c r="HSQ40" s="175"/>
      <c r="HSR40" s="176"/>
      <c r="HSS40" s="177"/>
      <c r="HST40" s="176"/>
      <c r="HSU40" s="176"/>
      <c r="HSV40" s="178"/>
      <c r="HSW40" s="178"/>
      <c r="HSX40" s="179"/>
      <c r="HSY40" s="180"/>
      <c r="HSZ40" s="180"/>
      <c r="HTA40" s="180"/>
      <c r="HTB40" s="180"/>
      <c r="HTC40" s="180"/>
      <c r="HTD40" s="180"/>
      <c r="HTE40" s="178"/>
      <c r="HTF40" s="181"/>
      <c r="HTG40" s="182"/>
      <c r="HTH40" s="182"/>
      <c r="HTI40" s="179"/>
      <c r="HTJ40" s="183"/>
      <c r="HTK40" s="184"/>
      <c r="HTL40" s="185"/>
      <c r="HTM40" s="186"/>
      <c r="HTN40" s="186"/>
      <c r="HTO40" s="186"/>
      <c r="HTP40" s="186"/>
      <c r="HTQ40" s="187"/>
      <c r="HTR40" s="251"/>
      <c r="HTS40" s="252"/>
      <c r="HTT40" s="175"/>
      <c r="HTU40" s="176"/>
      <c r="HTV40" s="177"/>
      <c r="HTW40" s="176"/>
      <c r="HTX40" s="176"/>
      <c r="HTY40" s="178"/>
      <c r="HTZ40" s="178"/>
      <c r="HUA40" s="179"/>
      <c r="HUB40" s="180"/>
      <c r="HUC40" s="180"/>
      <c r="HUD40" s="180"/>
      <c r="HUE40" s="180"/>
      <c r="HUF40" s="180"/>
      <c r="HUG40" s="180"/>
      <c r="HUH40" s="178"/>
      <c r="HUI40" s="181"/>
      <c r="HUJ40" s="182"/>
      <c r="HUK40" s="182"/>
      <c r="HUL40" s="179"/>
      <c r="HUM40" s="183"/>
      <c r="HUN40" s="184"/>
      <c r="HUO40" s="185"/>
      <c r="HUP40" s="186"/>
      <c r="HUQ40" s="186"/>
      <c r="HUR40" s="186"/>
      <c r="HUS40" s="186"/>
      <c r="HUT40" s="187"/>
      <c r="HUU40" s="251"/>
      <c r="HUV40" s="252"/>
      <c r="HUW40" s="175"/>
      <c r="HUX40" s="176"/>
      <c r="HUY40" s="177"/>
      <c r="HUZ40" s="176"/>
      <c r="HVA40" s="176"/>
      <c r="HVB40" s="178"/>
      <c r="HVC40" s="178"/>
      <c r="HVD40" s="179"/>
      <c r="HVE40" s="180"/>
      <c r="HVF40" s="180"/>
      <c r="HVG40" s="180"/>
      <c r="HVH40" s="180"/>
      <c r="HVI40" s="180"/>
      <c r="HVJ40" s="180"/>
      <c r="HVK40" s="178"/>
      <c r="HVL40" s="181"/>
      <c r="HVM40" s="182"/>
      <c r="HVN40" s="182"/>
      <c r="HVO40" s="179"/>
      <c r="HVP40" s="183"/>
      <c r="HVQ40" s="184"/>
      <c r="HVR40" s="185"/>
      <c r="HVS40" s="186"/>
      <c r="HVT40" s="186"/>
      <c r="HVU40" s="186"/>
      <c r="HVV40" s="186"/>
      <c r="HVW40" s="187"/>
      <c r="HVX40" s="251"/>
      <c r="HVY40" s="252"/>
      <c r="HVZ40" s="175"/>
      <c r="HWA40" s="176"/>
      <c r="HWB40" s="177"/>
      <c r="HWC40" s="176"/>
      <c r="HWD40" s="176"/>
      <c r="HWE40" s="178"/>
      <c r="HWF40" s="178"/>
      <c r="HWG40" s="179"/>
      <c r="HWH40" s="180"/>
      <c r="HWI40" s="180"/>
      <c r="HWJ40" s="180"/>
      <c r="HWK40" s="180"/>
      <c r="HWL40" s="180"/>
      <c r="HWM40" s="180"/>
      <c r="HWN40" s="178"/>
      <c r="HWO40" s="181"/>
      <c r="HWP40" s="182"/>
      <c r="HWQ40" s="182"/>
      <c r="HWR40" s="179"/>
      <c r="HWS40" s="183"/>
      <c r="HWT40" s="184"/>
      <c r="HWU40" s="185"/>
      <c r="HWV40" s="186"/>
      <c r="HWW40" s="186"/>
      <c r="HWX40" s="186"/>
      <c r="HWY40" s="186"/>
      <c r="HWZ40" s="187"/>
      <c r="HXA40" s="251"/>
      <c r="HXB40" s="252"/>
      <c r="HXC40" s="175"/>
      <c r="HXD40" s="176"/>
      <c r="HXE40" s="177"/>
      <c r="HXF40" s="176"/>
      <c r="HXG40" s="176"/>
      <c r="HXH40" s="178"/>
      <c r="HXI40" s="178"/>
      <c r="HXJ40" s="179"/>
      <c r="HXK40" s="180"/>
      <c r="HXL40" s="180"/>
      <c r="HXM40" s="180"/>
      <c r="HXN40" s="180"/>
      <c r="HXO40" s="180"/>
      <c r="HXP40" s="180"/>
      <c r="HXQ40" s="178"/>
      <c r="HXR40" s="181"/>
      <c r="HXS40" s="182"/>
      <c r="HXT40" s="182"/>
      <c r="HXU40" s="179"/>
      <c r="HXV40" s="183"/>
      <c r="HXW40" s="184"/>
      <c r="HXX40" s="185"/>
      <c r="HXY40" s="186"/>
      <c r="HXZ40" s="186"/>
      <c r="HYA40" s="186"/>
      <c r="HYB40" s="186"/>
      <c r="HYC40" s="187"/>
      <c r="HYD40" s="251"/>
      <c r="HYE40" s="252"/>
      <c r="HYF40" s="175"/>
      <c r="HYG40" s="176"/>
      <c r="HYH40" s="177"/>
      <c r="HYI40" s="176"/>
      <c r="HYJ40" s="176"/>
      <c r="HYK40" s="178"/>
      <c r="HYL40" s="178"/>
      <c r="HYM40" s="179"/>
      <c r="HYN40" s="180"/>
      <c r="HYO40" s="180"/>
      <c r="HYP40" s="180"/>
      <c r="HYQ40" s="180"/>
      <c r="HYR40" s="180"/>
      <c r="HYS40" s="180"/>
      <c r="HYT40" s="178"/>
      <c r="HYU40" s="181"/>
      <c r="HYV40" s="182"/>
      <c r="HYW40" s="182"/>
      <c r="HYX40" s="179"/>
      <c r="HYY40" s="183"/>
      <c r="HYZ40" s="184"/>
      <c r="HZA40" s="185"/>
      <c r="HZB40" s="186"/>
      <c r="HZC40" s="186"/>
      <c r="HZD40" s="186"/>
      <c r="HZE40" s="186"/>
      <c r="HZF40" s="187"/>
      <c r="HZG40" s="251"/>
      <c r="HZH40" s="252"/>
      <c r="HZI40" s="175"/>
      <c r="HZJ40" s="176"/>
      <c r="HZK40" s="177"/>
      <c r="HZL40" s="176"/>
      <c r="HZM40" s="176"/>
      <c r="HZN40" s="178"/>
      <c r="HZO40" s="178"/>
      <c r="HZP40" s="179"/>
      <c r="HZQ40" s="180"/>
      <c r="HZR40" s="180"/>
      <c r="HZS40" s="180"/>
      <c r="HZT40" s="180"/>
      <c r="HZU40" s="180"/>
      <c r="HZV40" s="180"/>
      <c r="HZW40" s="178"/>
      <c r="HZX40" s="181"/>
      <c r="HZY40" s="182"/>
      <c r="HZZ40" s="182"/>
      <c r="IAA40" s="179"/>
      <c r="IAB40" s="183"/>
      <c r="IAC40" s="184"/>
      <c r="IAD40" s="185"/>
      <c r="IAE40" s="186"/>
      <c r="IAF40" s="186"/>
      <c r="IAG40" s="186"/>
      <c r="IAH40" s="186"/>
      <c r="IAI40" s="187"/>
      <c r="IAJ40" s="251"/>
      <c r="IAK40" s="252"/>
      <c r="IAL40" s="175"/>
      <c r="IAM40" s="176"/>
      <c r="IAN40" s="177"/>
      <c r="IAO40" s="176"/>
      <c r="IAP40" s="176"/>
      <c r="IAQ40" s="178"/>
      <c r="IAR40" s="178"/>
      <c r="IAS40" s="179"/>
      <c r="IAT40" s="180"/>
      <c r="IAU40" s="180"/>
      <c r="IAV40" s="180"/>
      <c r="IAW40" s="180"/>
      <c r="IAX40" s="180"/>
      <c r="IAY40" s="180"/>
      <c r="IAZ40" s="178"/>
      <c r="IBA40" s="181"/>
      <c r="IBB40" s="182"/>
      <c r="IBC40" s="182"/>
      <c r="IBD40" s="179"/>
      <c r="IBE40" s="183"/>
      <c r="IBF40" s="184"/>
      <c r="IBG40" s="185"/>
      <c r="IBH40" s="186"/>
      <c r="IBI40" s="186"/>
      <c r="IBJ40" s="186"/>
      <c r="IBK40" s="186"/>
      <c r="IBL40" s="187"/>
      <c r="IBM40" s="251"/>
      <c r="IBN40" s="252"/>
      <c r="IBO40" s="175"/>
      <c r="IBP40" s="176"/>
      <c r="IBQ40" s="177"/>
      <c r="IBR40" s="176"/>
      <c r="IBS40" s="176"/>
      <c r="IBT40" s="178"/>
      <c r="IBU40" s="178"/>
      <c r="IBV40" s="179"/>
      <c r="IBW40" s="180"/>
      <c r="IBX40" s="180"/>
      <c r="IBY40" s="180"/>
      <c r="IBZ40" s="180"/>
      <c r="ICA40" s="180"/>
      <c r="ICB40" s="180"/>
      <c r="ICC40" s="178"/>
      <c r="ICD40" s="181"/>
      <c r="ICE40" s="182"/>
      <c r="ICF40" s="182"/>
      <c r="ICG40" s="179"/>
      <c r="ICH40" s="183"/>
      <c r="ICI40" s="184"/>
      <c r="ICJ40" s="185"/>
      <c r="ICK40" s="186"/>
      <c r="ICL40" s="186"/>
      <c r="ICM40" s="186"/>
      <c r="ICN40" s="186"/>
      <c r="ICO40" s="187"/>
      <c r="ICP40" s="251"/>
      <c r="ICQ40" s="252"/>
      <c r="ICR40" s="175"/>
      <c r="ICS40" s="176"/>
      <c r="ICT40" s="177"/>
      <c r="ICU40" s="176"/>
      <c r="ICV40" s="176"/>
      <c r="ICW40" s="178"/>
      <c r="ICX40" s="178"/>
      <c r="ICY40" s="179"/>
      <c r="ICZ40" s="180"/>
      <c r="IDA40" s="180"/>
      <c r="IDB40" s="180"/>
      <c r="IDC40" s="180"/>
      <c r="IDD40" s="180"/>
      <c r="IDE40" s="180"/>
      <c r="IDF40" s="178"/>
      <c r="IDG40" s="181"/>
      <c r="IDH40" s="182"/>
      <c r="IDI40" s="182"/>
      <c r="IDJ40" s="179"/>
      <c r="IDK40" s="183"/>
      <c r="IDL40" s="184"/>
      <c r="IDM40" s="185"/>
      <c r="IDN40" s="186"/>
      <c r="IDO40" s="186"/>
      <c r="IDP40" s="186"/>
      <c r="IDQ40" s="186"/>
      <c r="IDR40" s="187"/>
      <c r="IDS40" s="251"/>
      <c r="IDT40" s="252"/>
      <c r="IDU40" s="175"/>
      <c r="IDV40" s="176"/>
      <c r="IDW40" s="177"/>
      <c r="IDX40" s="176"/>
      <c r="IDY40" s="176"/>
      <c r="IDZ40" s="178"/>
      <c r="IEA40" s="178"/>
      <c r="IEB40" s="179"/>
      <c r="IEC40" s="180"/>
      <c r="IED40" s="180"/>
      <c r="IEE40" s="180"/>
      <c r="IEF40" s="180"/>
      <c r="IEG40" s="180"/>
      <c r="IEH40" s="180"/>
      <c r="IEI40" s="178"/>
      <c r="IEJ40" s="181"/>
      <c r="IEK40" s="182"/>
      <c r="IEL40" s="182"/>
      <c r="IEM40" s="179"/>
      <c r="IEN40" s="183"/>
      <c r="IEO40" s="184"/>
      <c r="IEP40" s="185"/>
      <c r="IEQ40" s="186"/>
      <c r="IER40" s="186"/>
      <c r="IES40" s="186"/>
      <c r="IET40" s="186"/>
      <c r="IEU40" s="187"/>
      <c r="IEV40" s="251"/>
      <c r="IEW40" s="252"/>
      <c r="IEX40" s="175"/>
      <c r="IEY40" s="176"/>
      <c r="IEZ40" s="177"/>
      <c r="IFA40" s="176"/>
      <c r="IFB40" s="176"/>
      <c r="IFC40" s="178"/>
      <c r="IFD40" s="178"/>
      <c r="IFE40" s="179"/>
      <c r="IFF40" s="180"/>
      <c r="IFG40" s="180"/>
      <c r="IFH40" s="180"/>
      <c r="IFI40" s="180"/>
      <c r="IFJ40" s="180"/>
      <c r="IFK40" s="180"/>
      <c r="IFL40" s="178"/>
      <c r="IFM40" s="181"/>
      <c r="IFN40" s="182"/>
      <c r="IFO40" s="182"/>
      <c r="IFP40" s="179"/>
      <c r="IFQ40" s="183"/>
      <c r="IFR40" s="184"/>
      <c r="IFS40" s="185"/>
      <c r="IFT40" s="186"/>
      <c r="IFU40" s="186"/>
      <c r="IFV40" s="186"/>
      <c r="IFW40" s="186"/>
      <c r="IFX40" s="187"/>
      <c r="IFY40" s="251"/>
      <c r="IFZ40" s="252"/>
      <c r="IGA40" s="175"/>
      <c r="IGB40" s="176"/>
      <c r="IGC40" s="177"/>
      <c r="IGD40" s="176"/>
      <c r="IGE40" s="176"/>
      <c r="IGF40" s="178"/>
      <c r="IGG40" s="178"/>
      <c r="IGH40" s="179"/>
      <c r="IGI40" s="180"/>
      <c r="IGJ40" s="180"/>
      <c r="IGK40" s="180"/>
      <c r="IGL40" s="180"/>
      <c r="IGM40" s="180"/>
      <c r="IGN40" s="180"/>
      <c r="IGO40" s="178"/>
      <c r="IGP40" s="181"/>
      <c r="IGQ40" s="182"/>
      <c r="IGR40" s="182"/>
      <c r="IGS40" s="179"/>
      <c r="IGT40" s="183"/>
      <c r="IGU40" s="184"/>
      <c r="IGV40" s="185"/>
      <c r="IGW40" s="186"/>
      <c r="IGX40" s="186"/>
      <c r="IGY40" s="186"/>
      <c r="IGZ40" s="186"/>
      <c r="IHA40" s="187"/>
      <c r="IHB40" s="251"/>
      <c r="IHC40" s="252"/>
      <c r="IHD40" s="175"/>
      <c r="IHE40" s="176"/>
      <c r="IHF40" s="177"/>
      <c r="IHG40" s="176"/>
      <c r="IHH40" s="176"/>
      <c r="IHI40" s="178"/>
      <c r="IHJ40" s="178"/>
      <c r="IHK40" s="179"/>
      <c r="IHL40" s="180"/>
      <c r="IHM40" s="180"/>
      <c r="IHN40" s="180"/>
      <c r="IHO40" s="180"/>
      <c r="IHP40" s="180"/>
      <c r="IHQ40" s="180"/>
      <c r="IHR40" s="178"/>
      <c r="IHS40" s="181"/>
      <c r="IHT40" s="182"/>
      <c r="IHU40" s="182"/>
      <c r="IHV40" s="179"/>
      <c r="IHW40" s="183"/>
      <c r="IHX40" s="184"/>
      <c r="IHY40" s="185"/>
      <c r="IHZ40" s="186"/>
      <c r="IIA40" s="186"/>
      <c r="IIB40" s="186"/>
      <c r="IIC40" s="186"/>
      <c r="IID40" s="187"/>
      <c r="IIE40" s="251"/>
      <c r="IIF40" s="252"/>
      <c r="IIG40" s="175"/>
      <c r="IIH40" s="176"/>
      <c r="III40" s="177"/>
      <c r="IIJ40" s="176"/>
      <c r="IIK40" s="176"/>
      <c r="IIL40" s="178"/>
      <c r="IIM40" s="178"/>
      <c r="IIN40" s="179"/>
      <c r="IIO40" s="180"/>
      <c r="IIP40" s="180"/>
      <c r="IIQ40" s="180"/>
      <c r="IIR40" s="180"/>
      <c r="IIS40" s="180"/>
      <c r="IIT40" s="180"/>
      <c r="IIU40" s="178"/>
      <c r="IIV40" s="181"/>
      <c r="IIW40" s="182"/>
      <c r="IIX40" s="182"/>
      <c r="IIY40" s="179"/>
      <c r="IIZ40" s="183"/>
      <c r="IJA40" s="184"/>
      <c r="IJB40" s="185"/>
      <c r="IJC40" s="186"/>
      <c r="IJD40" s="186"/>
      <c r="IJE40" s="186"/>
      <c r="IJF40" s="186"/>
      <c r="IJG40" s="187"/>
      <c r="IJH40" s="251"/>
      <c r="IJI40" s="252"/>
      <c r="IJJ40" s="175"/>
      <c r="IJK40" s="176"/>
      <c r="IJL40" s="177"/>
      <c r="IJM40" s="176"/>
      <c r="IJN40" s="176"/>
      <c r="IJO40" s="178"/>
      <c r="IJP40" s="178"/>
      <c r="IJQ40" s="179"/>
      <c r="IJR40" s="180"/>
      <c r="IJS40" s="180"/>
      <c r="IJT40" s="180"/>
      <c r="IJU40" s="180"/>
      <c r="IJV40" s="180"/>
      <c r="IJW40" s="180"/>
      <c r="IJX40" s="178"/>
      <c r="IJY40" s="181"/>
      <c r="IJZ40" s="182"/>
      <c r="IKA40" s="182"/>
      <c r="IKB40" s="179"/>
      <c r="IKC40" s="183"/>
      <c r="IKD40" s="184"/>
      <c r="IKE40" s="185"/>
      <c r="IKF40" s="186"/>
      <c r="IKG40" s="186"/>
      <c r="IKH40" s="186"/>
      <c r="IKI40" s="186"/>
      <c r="IKJ40" s="187"/>
      <c r="IKK40" s="251"/>
      <c r="IKL40" s="252"/>
      <c r="IKM40" s="175"/>
      <c r="IKN40" s="176"/>
      <c r="IKO40" s="177"/>
      <c r="IKP40" s="176"/>
      <c r="IKQ40" s="176"/>
      <c r="IKR40" s="178"/>
      <c r="IKS40" s="178"/>
      <c r="IKT40" s="179"/>
      <c r="IKU40" s="180"/>
      <c r="IKV40" s="180"/>
      <c r="IKW40" s="180"/>
      <c r="IKX40" s="180"/>
      <c r="IKY40" s="180"/>
      <c r="IKZ40" s="180"/>
      <c r="ILA40" s="178"/>
      <c r="ILB40" s="181"/>
      <c r="ILC40" s="182"/>
      <c r="ILD40" s="182"/>
      <c r="ILE40" s="179"/>
      <c r="ILF40" s="183"/>
      <c r="ILG40" s="184"/>
      <c r="ILH40" s="185"/>
      <c r="ILI40" s="186"/>
      <c r="ILJ40" s="186"/>
      <c r="ILK40" s="186"/>
      <c r="ILL40" s="186"/>
      <c r="ILM40" s="187"/>
      <c r="ILN40" s="251"/>
      <c r="ILO40" s="252"/>
      <c r="ILP40" s="175"/>
      <c r="ILQ40" s="176"/>
      <c r="ILR40" s="177"/>
      <c r="ILS40" s="176"/>
      <c r="ILT40" s="176"/>
      <c r="ILU40" s="178"/>
      <c r="ILV40" s="178"/>
      <c r="ILW40" s="179"/>
      <c r="ILX40" s="180"/>
      <c r="ILY40" s="180"/>
      <c r="ILZ40" s="180"/>
      <c r="IMA40" s="180"/>
      <c r="IMB40" s="180"/>
      <c r="IMC40" s="180"/>
      <c r="IMD40" s="178"/>
      <c r="IME40" s="181"/>
      <c r="IMF40" s="182"/>
      <c r="IMG40" s="182"/>
      <c r="IMH40" s="179"/>
      <c r="IMI40" s="183"/>
      <c r="IMJ40" s="184"/>
      <c r="IMK40" s="185"/>
      <c r="IML40" s="186"/>
      <c r="IMM40" s="186"/>
      <c r="IMN40" s="186"/>
      <c r="IMO40" s="186"/>
      <c r="IMP40" s="187"/>
      <c r="IMQ40" s="251"/>
      <c r="IMR40" s="252"/>
      <c r="IMS40" s="175"/>
      <c r="IMT40" s="176"/>
      <c r="IMU40" s="177"/>
      <c r="IMV40" s="176"/>
      <c r="IMW40" s="176"/>
      <c r="IMX40" s="178"/>
      <c r="IMY40" s="178"/>
      <c r="IMZ40" s="179"/>
      <c r="INA40" s="180"/>
      <c r="INB40" s="180"/>
      <c r="INC40" s="180"/>
      <c r="IND40" s="180"/>
      <c r="INE40" s="180"/>
      <c r="INF40" s="180"/>
      <c r="ING40" s="178"/>
      <c r="INH40" s="181"/>
      <c r="INI40" s="182"/>
      <c r="INJ40" s="182"/>
      <c r="INK40" s="179"/>
      <c r="INL40" s="183"/>
      <c r="INM40" s="184"/>
      <c r="INN40" s="185"/>
      <c r="INO40" s="186"/>
      <c r="INP40" s="186"/>
      <c r="INQ40" s="186"/>
      <c r="INR40" s="186"/>
      <c r="INS40" s="187"/>
      <c r="INT40" s="251"/>
      <c r="INU40" s="252"/>
      <c r="INV40" s="175"/>
      <c r="INW40" s="176"/>
      <c r="INX40" s="177"/>
      <c r="INY40" s="176"/>
      <c r="INZ40" s="176"/>
      <c r="IOA40" s="178"/>
      <c r="IOB40" s="178"/>
      <c r="IOC40" s="179"/>
      <c r="IOD40" s="180"/>
      <c r="IOE40" s="180"/>
      <c r="IOF40" s="180"/>
      <c r="IOG40" s="180"/>
      <c r="IOH40" s="180"/>
      <c r="IOI40" s="180"/>
      <c r="IOJ40" s="178"/>
      <c r="IOK40" s="181"/>
      <c r="IOL40" s="182"/>
      <c r="IOM40" s="182"/>
      <c r="ION40" s="179"/>
      <c r="IOO40" s="183"/>
      <c r="IOP40" s="184"/>
      <c r="IOQ40" s="185"/>
      <c r="IOR40" s="186"/>
      <c r="IOS40" s="186"/>
      <c r="IOT40" s="186"/>
      <c r="IOU40" s="186"/>
      <c r="IOV40" s="187"/>
      <c r="IOW40" s="251"/>
      <c r="IOX40" s="252"/>
      <c r="IOY40" s="175"/>
      <c r="IOZ40" s="176"/>
      <c r="IPA40" s="177"/>
      <c r="IPB40" s="176"/>
      <c r="IPC40" s="176"/>
      <c r="IPD40" s="178"/>
      <c r="IPE40" s="178"/>
      <c r="IPF40" s="179"/>
      <c r="IPG40" s="180"/>
      <c r="IPH40" s="180"/>
      <c r="IPI40" s="180"/>
      <c r="IPJ40" s="180"/>
      <c r="IPK40" s="180"/>
      <c r="IPL40" s="180"/>
      <c r="IPM40" s="178"/>
      <c r="IPN40" s="181"/>
      <c r="IPO40" s="182"/>
      <c r="IPP40" s="182"/>
      <c r="IPQ40" s="179"/>
      <c r="IPR40" s="183"/>
      <c r="IPS40" s="184"/>
      <c r="IPT40" s="185"/>
      <c r="IPU40" s="186"/>
      <c r="IPV40" s="186"/>
      <c r="IPW40" s="186"/>
      <c r="IPX40" s="186"/>
      <c r="IPY40" s="187"/>
      <c r="IPZ40" s="251"/>
      <c r="IQA40" s="252"/>
      <c r="IQB40" s="175"/>
      <c r="IQC40" s="176"/>
      <c r="IQD40" s="177"/>
      <c r="IQE40" s="176"/>
      <c r="IQF40" s="176"/>
      <c r="IQG40" s="178"/>
      <c r="IQH40" s="178"/>
      <c r="IQI40" s="179"/>
      <c r="IQJ40" s="180"/>
      <c r="IQK40" s="180"/>
      <c r="IQL40" s="180"/>
      <c r="IQM40" s="180"/>
      <c r="IQN40" s="180"/>
      <c r="IQO40" s="180"/>
      <c r="IQP40" s="178"/>
      <c r="IQQ40" s="181"/>
      <c r="IQR40" s="182"/>
      <c r="IQS40" s="182"/>
      <c r="IQT40" s="179"/>
      <c r="IQU40" s="183"/>
      <c r="IQV40" s="184"/>
      <c r="IQW40" s="185"/>
      <c r="IQX40" s="186"/>
      <c r="IQY40" s="186"/>
      <c r="IQZ40" s="186"/>
      <c r="IRA40" s="186"/>
      <c r="IRB40" s="187"/>
      <c r="IRC40" s="251"/>
      <c r="IRD40" s="252"/>
      <c r="IRE40" s="175"/>
      <c r="IRF40" s="176"/>
      <c r="IRG40" s="177"/>
      <c r="IRH40" s="176"/>
      <c r="IRI40" s="176"/>
      <c r="IRJ40" s="178"/>
      <c r="IRK40" s="178"/>
      <c r="IRL40" s="179"/>
      <c r="IRM40" s="180"/>
      <c r="IRN40" s="180"/>
      <c r="IRO40" s="180"/>
      <c r="IRP40" s="180"/>
      <c r="IRQ40" s="180"/>
      <c r="IRR40" s="180"/>
      <c r="IRS40" s="178"/>
      <c r="IRT40" s="181"/>
      <c r="IRU40" s="182"/>
      <c r="IRV40" s="182"/>
      <c r="IRW40" s="179"/>
      <c r="IRX40" s="183"/>
      <c r="IRY40" s="184"/>
      <c r="IRZ40" s="185"/>
      <c r="ISA40" s="186"/>
      <c r="ISB40" s="186"/>
      <c r="ISC40" s="186"/>
      <c r="ISD40" s="186"/>
      <c r="ISE40" s="187"/>
      <c r="ISF40" s="251"/>
      <c r="ISG40" s="252"/>
      <c r="ISH40" s="175"/>
      <c r="ISI40" s="176"/>
      <c r="ISJ40" s="177"/>
      <c r="ISK40" s="176"/>
      <c r="ISL40" s="176"/>
      <c r="ISM40" s="178"/>
      <c r="ISN40" s="178"/>
      <c r="ISO40" s="179"/>
      <c r="ISP40" s="180"/>
      <c r="ISQ40" s="180"/>
      <c r="ISR40" s="180"/>
      <c r="ISS40" s="180"/>
      <c r="IST40" s="180"/>
      <c r="ISU40" s="180"/>
      <c r="ISV40" s="178"/>
      <c r="ISW40" s="181"/>
      <c r="ISX40" s="182"/>
      <c r="ISY40" s="182"/>
      <c r="ISZ40" s="179"/>
      <c r="ITA40" s="183"/>
      <c r="ITB40" s="184"/>
      <c r="ITC40" s="185"/>
      <c r="ITD40" s="186"/>
      <c r="ITE40" s="186"/>
      <c r="ITF40" s="186"/>
      <c r="ITG40" s="186"/>
      <c r="ITH40" s="187"/>
      <c r="ITI40" s="251"/>
      <c r="ITJ40" s="252"/>
      <c r="ITK40" s="175"/>
      <c r="ITL40" s="176"/>
      <c r="ITM40" s="177"/>
      <c r="ITN40" s="176"/>
      <c r="ITO40" s="176"/>
      <c r="ITP40" s="178"/>
      <c r="ITQ40" s="178"/>
      <c r="ITR40" s="179"/>
      <c r="ITS40" s="180"/>
      <c r="ITT40" s="180"/>
      <c r="ITU40" s="180"/>
      <c r="ITV40" s="180"/>
      <c r="ITW40" s="180"/>
      <c r="ITX40" s="180"/>
      <c r="ITY40" s="178"/>
      <c r="ITZ40" s="181"/>
      <c r="IUA40" s="182"/>
      <c r="IUB40" s="182"/>
      <c r="IUC40" s="179"/>
      <c r="IUD40" s="183"/>
      <c r="IUE40" s="184"/>
      <c r="IUF40" s="185"/>
      <c r="IUG40" s="186"/>
      <c r="IUH40" s="186"/>
      <c r="IUI40" s="186"/>
      <c r="IUJ40" s="186"/>
      <c r="IUK40" s="187"/>
      <c r="IUL40" s="251"/>
      <c r="IUM40" s="252"/>
      <c r="IUN40" s="175"/>
      <c r="IUO40" s="176"/>
      <c r="IUP40" s="177"/>
      <c r="IUQ40" s="176"/>
      <c r="IUR40" s="176"/>
      <c r="IUS40" s="178"/>
      <c r="IUT40" s="178"/>
      <c r="IUU40" s="179"/>
      <c r="IUV40" s="180"/>
      <c r="IUW40" s="180"/>
      <c r="IUX40" s="180"/>
      <c r="IUY40" s="180"/>
      <c r="IUZ40" s="180"/>
      <c r="IVA40" s="180"/>
      <c r="IVB40" s="178"/>
      <c r="IVC40" s="181"/>
      <c r="IVD40" s="182"/>
      <c r="IVE40" s="182"/>
      <c r="IVF40" s="179"/>
      <c r="IVG40" s="183"/>
      <c r="IVH40" s="184"/>
      <c r="IVI40" s="185"/>
      <c r="IVJ40" s="186"/>
      <c r="IVK40" s="186"/>
      <c r="IVL40" s="186"/>
      <c r="IVM40" s="186"/>
      <c r="IVN40" s="187"/>
      <c r="IVO40" s="251"/>
      <c r="IVP40" s="252"/>
      <c r="IVQ40" s="175"/>
      <c r="IVR40" s="176"/>
      <c r="IVS40" s="177"/>
      <c r="IVT40" s="176"/>
      <c r="IVU40" s="176"/>
      <c r="IVV40" s="178"/>
      <c r="IVW40" s="178"/>
      <c r="IVX40" s="179"/>
      <c r="IVY40" s="180"/>
      <c r="IVZ40" s="180"/>
      <c r="IWA40" s="180"/>
      <c r="IWB40" s="180"/>
      <c r="IWC40" s="180"/>
      <c r="IWD40" s="180"/>
      <c r="IWE40" s="178"/>
      <c r="IWF40" s="181"/>
      <c r="IWG40" s="182"/>
      <c r="IWH40" s="182"/>
      <c r="IWI40" s="179"/>
      <c r="IWJ40" s="183"/>
      <c r="IWK40" s="184"/>
      <c r="IWL40" s="185"/>
      <c r="IWM40" s="186"/>
      <c r="IWN40" s="186"/>
      <c r="IWO40" s="186"/>
      <c r="IWP40" s="186"/>
      <c r="IWQ40" s="187"/>
      <c r="IWR40" s="251"/>
      <c r="IWS40" s="252"/>
      <c r="IWT40" s="175"/>
      <c r="IWU40" s="176"/>
      <c r="IWV40" s="177"/>
      <c r="IWW40" s="176"/>
      <c r="IWX40" s="176"/>
      <c r="IWY40" s="178"/>
      <c r="IWZ40" s="178"/>
      <c r="IXA40" s="179"/>
      <c r="IXB40" s="180"/>
      <c r="IXC40" s="180"/>
      <c r="IXD40" s="180"/>
      <c r="IXE40" s="180"/>
      <c r="IXF40" s="180"/>
      <c r="IXG40" s="180"/>
      <c r="IXH40" s="178"/>
      <c r="IXI40" s="181"/>
      <c r="IXJ40" s="182"/>
      <c r="IXK40" s="182"/>
      <c r="IXL40" s="179"/>
      <c r="IXM40" s="183"/>
      <c r="IXN40" s="184"/>
      <c r="IXO40" s="185"/>
      <c r="IXP40" s="186"/>
      <c r="IXQ40" s="186"/>
      <c r="IXR40" s="186"/>
      <c r="IXS40" s="186"/>
      <c r="IXT40" s="187"/>
      <c r="IXU40" s="251"/>
      <c r="IXV40" s="252"/>
      <c r="IXW40" s="175"/>
      <c r="IXX40" s="176"/>
      <c r="IXY40" s="177"/>
      <c r="IXZ40" s="176"/>
      <c r="IYA40" s="176"/>
      <c r="IYB40" s="178"/>
      <c r="IYC40" s="178"/>
      <c r="IYD40" s="179"/>
      <c r="IYE40" s="180"/>
      <c r="IYF40" s="180"/>
      <c r="IYG40" s="180"/>
      <c r="IYH40" s="180"/>
      <c r="IYI40" s="180"/>
      <c r="IYJ40" s="180"/>
      <c r="IYK40" s="178"/>
      <c r="IYL40" s="181"/>
      <c r="IYM40" s="182"/>
      <c r="IYN40" s="182"/>
      <c r="IYO40" s="179"/>
      <c r="IYP40" s="183"/>
      <c r="IYQ40" s="184"/>
      <c r="IYR40" s="185"/>
      <c r="IYS40" s="186"/>
      <c r="IYT40" s="186"/>
      <c r="IYU40" s="186"/>
      <c r="IYV40" s="186"/>
      <c r="IYW40" s="187"/>
      <c r="IYX40" s="251"/>
      <c r="IYY40" s="252"/>
      <c r="IYZ40" s="175"/>
      <c r="IZA40" s="176"/>
      <c r="IZB40" s="177"/>
      <c r="IZC40" s="176"/>
      <c r="IZD40" s="176"/>
      <c r="IZE40" s="178"/>
      <c r="IZF40" s="178"/>
      <c r="IZG40" s="179"/>
      <c r="IZH40" s="180"/>
      <c r="IZI40" s="180"/>
      <c r="IZJ40" s="180"/>
      <c r="IZK40" s="180"/>
      <c r="IZL40" s="180"/>
      <c r="IZM40" s="180"/>
      <c r="IZN40" s="178"/>
      <c r="IZO40" s="181"/>
      <c r="IZP40" s="182"/>
      <c r="IZQ40" s="182"/>
      <c r="IZR40" s="179"/>
      <c r="IZS40" s="183"/>
      <c r="IZT40" s="184"/>
      <c r="IZU40" s="185"/>
      <c r="IZV40" s="186"/>
      <c r="IZW40" s="186"/>
      <c r="IZX40" s="186"/>
      <c r="IZY40" s="186"/>
      <c r="IZZ40" s="187"/>
      <c r="JAA40" s="251"/>
      <c r="JAB40" s="252"/>
      <c r="JAC40" s="175"/>
      <c r="JAD40" s="176"/>
      <c r="JAE40" s="177"/>
      <c r="JAF40" s="176"/>
      <c r="JAG40" s="176"/>
      <c r="JAH40" s="178"/>
      <c r="JAI40" s="178"/>
      <c r="JAJ40" s="179"/>
      <c r="JAK40" s="180"/>
      <c r="JAL40" s="180"/>
      <c r="JAM40" s="180"/>
      <c r="JAN40" s="180"/>
      <c r="JAO40" s="180"/>
      <c r="JAP40" s="180"/>
      <c r="JAQ40" s="178"/>
      <c r="JAR40" s="181"/>
      <c r="JAS40" s="182"/>
      <c r="JAT40" s="182"/>
      <c r="JAU40" s="179"/>
      <c r="JAV40" s="183"/>
      <c r="JAW40" s="184"/>
      <c r="JAX40" s="185"/>
      <c r="JAY40" s="186"/>
      <c r="JAZ40" s="186"/>
      <c r="JBA40" s="186"/>
      <c r="JBB40" s="186"/>
      <c r="JBC40" s="187"/>
      <c r="JBD40" s="251"/>
      <c r="JBE40" s="252"/>
      <c r="JBF40" s="175"/>
      <c r="JBG40" s="176"/>
      <c r="JBH40" s="177"/>
      <c r="JBI40" s="176"/>
      <c r="JBJ40" s="176"/>
      <c r="JBK40" s="178"/>
      <c r="JBL40" s="178"/>
      <c r="JBM40" s="179"/>
      <c r="JBN40" s="180"/>
      <c r="JBO40" s="180"/>
      <c r="JBP40" s="180"/>
      <c r="JBQ40" s="180"/>
      <c r="JBR40" s="180"/>
      <c r="JBS40" s="180"/>
      <c r="JBT40" s="178"/>
      <c r="JBU40" s="181"/>
      <c r="JBV40" s="182"/>
      <c r="JBW40" s="182"/>
      <c r="JBX40" s="179"/>
      <c r="JBY40" s="183"/>
      <c r="JBZ40" s="184"/>
      <c r="JCA40" s="185"/>
      <c r="JCB40" s="186"/>
      <c r="JCC40" s="186"/>
      <c r="JCD40" s="186"/>
      <c r="JCE40" s="186"/>
      <c r="JCF40" s="187"/>
      <c r="JCG40" s="251"/>
      <c r="JCH40" s="252"/>
      <c r="JCI40" s="175"/>
      <c r="JCJ40" s="176"/>
      <c r="JCK40" s="177"/>
      <c r="JCL40" s="176"/>
      <c r="JCM40" s="176"/>
      <c r="JCN40" s="178"/>
      <c r="JCO40" s="178"/>
      <c r="JCP40" s="179"/>
      <c r="JCQ40" s="180"/>
      <c r="JCR40" s="180"/>
      <c r="JCS40" s="180"/>
      <c r="JCT40" s="180"/>
      <c r="JCU40" s="180"/>
      <c r="JCV40" s="180"/>
      <c r="JCW40" s="178"/>
      <c r="JCX40" s="181"/>
      <c r="JCY40" s="182"/>
      <c r="JCZ40" s="182"/>
      <c r="JDA40" s="179"/>
      <c r="JDB40" s="183"/>
      <c r="JDC40" s="184"/>
      <c r="JDD40" s="185"/>
      <c r="JDE40" s="186"/>
      <c r="JDF40" s="186"/>
      <c r="JDG40" s="186"/>
      <c r="JDH40" s="186"/>
      <c r="JDI40" s="187"/>
      <c r="JDJ40" s="251"/>
      <c r="JDK40" s="252"/>
      <c r="JDL40" s="175"/>
      <c r="JDM40" s="176"/>
      <c r="JDN40" s="177"/>
      <c r="JDO40" s="176"/>
      <c r="JDP40" s="176"/>
      <c r="JDQ40" s="178"/>
      <c r="JDR40" s="178"/>
      <c r="JDS40" s="179"/>
      <c r="JDT40" s="180"/>
      <c r="JDU40" s="180"/>
      <c r="JDV40" s="180"/>
      <c r="JDW40" s="180"/>
      <c r="JDX40" s="180"/>
      <c r="JDY40" s="180"/>
      <c r="JDZ40" s="178"/>
      <c r="JEA40" s="181"/>
      <c r="JEB40" s="182"/>
      <c r="JEC40" s="182"/>
      <c r="JED40" s="179"/>
      <c r="JEE40" s="183"/>
      <c r="JEF40" s="184"/>
      <c r="JEG40" s="185"/>
      <c r="JEH40" s="186"/>
      <c r="JEI40" s="186"/>
      <c r="JEJ40" s="186"/>
      <c r="JEK40" s="186"/>
      <c r="JEL40" s="187"/>
      <c r="JEM40" s="251"/>
      <c r="JEN40" s="252"/>
      <c r="JEO40" s="175"/>
      <c r="JEP40" s="176"/>
      <c r="JEQ40" s="177"/>
      <c r="JER40" s="176"/>
      <c r="JES40" s="176"/>
      <c r="JET40" s="178"/>
      <c r="JEU40" s="178"/>
      <c r="JEV40" s="179"/>
      <c r="JEW40" s="180"/>
      <c r="JEX40" s="180"/>
      <c r="JEY40" s="180"/>
      <c r="JEZ40" s="180"/>
      <c r="JFA40" s="180"/>
      <c r="JFB40" s="180"/>
      <c r="JFC40" s="178"/>
      <c r="JFD40" s="181"/>
      <c r="JFE40" s="182"/>
      <c r="JFF40" s="182"/>
      <c r="JFG40" s="179"/>
      <c r="JFH40" s="183"/>
      <c r="JFI40" s="184"/>
      <c r="JFJ40" s="185"/>
      <c r="JFK40" s="186"/>
      <c r="JFL40" s="186"/>
      <c r="JFM40" s="186"/>
      <c r="JFN40" s="186"/>
      <c r="JFO40" s="187"/>
      <c r="JFP40" s="251"/>
      <c r="JFQ40" s="252"/>
      <c r="JFR40" s="175"/>
      <c r="JFS40" s="176"/>
      <c r="JFT40" s="177"/>
      <c r="JFU40" s="176"/>
      <c r="JFV40" s="176"/>
      <c r="JFW40" s="178"/>
      <c r="JFX40" s="178"/>
      <c r="JFY40" s="179"/>
      <c r="JFZ40" s="180"/>
      <c r="JGA40" s="180"/>
      <c r="JGB40" s="180"/>
      <c r="JGC40" s="180"/>
      <c r="JGD40" s="180"/>
      <c r="JGE40" s="180"/>
      <c r="JGF40" s="178"/>
      <c r="JGG40" s="181"/>
      <c r="JGH40" s="182"/>
      <c r="JGI40" s="182"/>
      <c r="JGJ40" s="179"/>
      <c r="JGK40" s="183"/>
      <c r="JGL40" s="184"/>
      <c r="JGM40" s="185"/>
      <c r="JGN40" s="186"/>
      <c r="JGO40" s="186"/>
      <c r="JGP40" s="186"/>
      <c r="JGQ40" s="186"/>
      <c r="JGR40" s="187"/>
      <c r="JGS40" s="251"/>
      <c r="JGT40" s="252"/>
      <c r="JGU40" s="175"/>
      <c r="JGV40" s="176"/>
      <c r="JGW40" s="177"/>
      <c r="JGX40" s="176"/>
      <c r="JGY40" s="176"/>
      <c r="JGZ40" s="178"/>
      <c r="JHA40" s="178"/>
      <c r="JHB40" s="179"/>
      <c r="JHC40" s="180"/>
      <c r="JHD40" s="180"/>
      <c r="JHE40" s="180"/>
      <c r="JHF40" s="180"/>
      <c r="JHG40" s="180"/>
      <c r="JHH40" s="180"/>
      <c r="JHI40" s="178"/>
      <c r="JHJ40" s="181"/>
      <c r="JHK40" s="182"/>
      <c r="JHL40" s="182"/>
      <c r="JHM40" s="179"/>
      <c r="JHN40" s="183"/>
      <c r="JHO40" s="184"/>
      <c r="JHP40" s="185"/>
      <c r="JHQ40" s="186"/>
      <c r="JHR40" s="186"/>
      <c r="JHS40" s="186"/>
      <c r="JHT40" s="186"/>
      <c r="JHU40" s="187"/>
      <c r="JHV40" s="251"/>
      <c r="JHW40" s="252"/>
      <c r="JHX40" s="175"/>
      <c r="JHY40" s="176"/>
      <c r="JHZ40" s="177"/>
      <c r="JIA40" s="176"/>
      <c r="JIB40" s="176"/>
      <c r="JIC40" s="178"/>
      <c r="JID40" s="178"/>
      <c r="JIE40" s="179"/>
      <c r="JIF40" s="180"/>
      <c r="JIG40" s="180"/>
      <c r="JIH40" s="180"/>
      <c r="JII40" s="180"/>
      <c r="JIJ40" s="180"/>
      <c r="JIK40" s="180"/>
      <c r="JIL40" s="178"/>
      <c r="JIM40" s="181"/>
      <c r="JIN40" s="182"/>
      <c r="JIO40" s="182"/>
      <c r="JIP40" s="179"/>
      <c r="JIQ40" s="183"/>
      <c r="JIR40" s="184"/>
      <c r="JIS40" s="185"/>
      <c r="JIT40" s="186"/>
      <c r="JIU40" s="186"/>
      <c r="JIV40" s="186"/>
      <c r="JIW40" s="186"/>
      <c r="JIX40" s="187"/>
      <c r="JIY40" s="251"/>
      <c r="JIZ40" s="252"/>
      <c r="JJA40" s="175"/>
      <c r="JJB40" s="176"/>
      <c r="JJC40" s="177"/>
      <c r="JJD40" s="176"/>
      <c r="JJE40" s="176"/>
      <c r="JJF40" s="178"/>
      <c r="JJG40" s="178"/>
      <c r="JJH40" s="179"/>
      <c r="JJI40" s="180"/>
      <c r="JJJ40" s="180"/>
      <c r="JJK40" s="180"/>
      <c r="JJL40" s="180"/>
      <c r="JJM40" s="180"/>
      <c r="JJN40" s="180"/>
      <c r="JJO40" s="178"/>
      <c r="JJP40" s="181"/>
      <c r="JJQ40" s="182"/>
      <c r="JJR40" s="182"/>
      <c r="JJS40" s="179"/>
      <c r="JJT40" s="183"/>
      <c r="JJU40" s="184"/>
      <c r="JJV40" s="185"/>
      <c r="JJW40" s="186"/>
      <c r="JJX40" s="186"/>
      <c r="JJY40" s="186"/>
      <c r="JJZ40" s="186"/>
      <c r="JKA40" s="187"/>
      <c r="JKB40" s="251"/>
      <c r="JKC40" s="252"/>
      <c r="JKD40" s="175"/>
      <c r="JKE40" s="176"/>
      <c r="JKF40" s="177"/>
      <c r="JKG40" s="176"/>
      <c r="JKH40" s="176"/>
      <c r="JKI40" s="178"/>
      <c r="JKJ40" s="178"/>
      <c r="JKK40" s="179"/>
      <c r="JKL40" s="180"/>
      <c r="JKM40" s="180"/>
      <c r="JKN40" s="180"/>
      <c r="JKO40" s="180"/>
      <c r="JKP40" s="180"/>
      <c r="JKQ40" s="180"/>
      <c r="JKR40" s="178"/>
      <c r="JKS40" s="181"/>
      <c r="JKT40" s="182"/>
      <c r="JKU40" s="182"/>
      <c r="JKV40" s="179"/>
      <c r="JKW40" s="183"/>
      <c r="JKX40" s="184"/>
      <c r="JKY40" s="185"/>
      <c r="JKZ40" s="186"/>
      <c r="JLA40" s="186"/>
      <c r="JLB40" s="186"/>
      <c r="JLC40" s="186"/>
      <c r="JLD40" s="187"/>
      <c r="JLE40" s="251"/>
      <c r="JLF40" s="252"/>
      <c r="JLG40" s="175"/>
      <c r="JLH40" s="176"/>
      <c r="JLI40" s="177"/>
      <c r="JLJ40" s="176"/>
      <c r="JLK40" s="176"/>
      <c r="JLL40" s="178"/>
      <c r="JLM40" s="178"/>
      <c r="JLN40" s="179"/>
      <c r="JLO40" s="180"/>
      <c r="JLP40" s="180"/>
      <c r="JLQ40" s="180"/>
      <c r="JLR40" s="180"/>
      <c r="JLS40" s="180"/>
      <c r="JLT40" s="180"/>
      <c r="JLU40" s="178"/>
      <c r="JLV40" s="181"/>
      <c r="JLW40" s="182"/>
      <c r="JLX40" s="182"/>
      <c r="JLY40" s="179"/>
      <c r="JLZ40" s="183"/>
      <c r="JMA40" s="184"/>
      <c r="JMB40" s="185"/>
      <c r="JMC40" s="186"/>
      <c r="JMD40" s="186"/>
      <c r="JME40" s="186"/>
      <c r="JMF40" s="186"/>
      <c r="JMG40" s="187"/>
      <c r="JMH40" s="251"/>
      <c r="JMI40" s="252"/>
      <c r="JMJ40" s="175"/>
      <c r="JMK40" s="176"/>
      <c r="JML40" s="177"/>
      <c r="JMM40" s="176"/>
      <c r="JMN40" s="176"/>
      <c r="JMO40" s="178"/>
      <c r="JMP40" s="178"/>
      <c r="JMQ40" s="179"/>
      <c r="JMR40" s="180"/>
      <c r="JMS40" s="180"/>
      <c r="JMT40" s="180"/>
      <c r="JMU40" s="180"/>
      <c r="JMV40" s="180"/>
      <c r="JMW40" s="180"/>
      <c r="JMX40" s="178"/>
      <c r="JMY40" s="181"/>
      <c r="JMZ40" s="182"/>
      <c r="JNA40" s="182"/>
      <c r="JNB40" s="179"/>
      <c r="JNC40" s="183"/>
      <c r="JND40" s="184"/>
      <c r="JNE40" s="185"/>
      <c r="JNF40" s="186"/>
      <c r="JNG40" s="186"/>
      <c r="JNH40" s="186"/>
      <c r="JNI40" s="186"/>
      <c r="JNJ40" s="187"/>
      <c r="JNK40" s="251"/>
      <c r="JNL40" s="252"/>
      <c r="JNM40" s="175"/>
      <c r="JNN40" s="176"/>
      <c r="JNO40" s="177"/>
      <c r="JNP40" s="176"/>
      <c r="JNQ40" s="176"/>
      <c r="JNR40" s="178"/>
      <c r="JNS40" s="178"/>
      <c r="JNT40" s="179"/>
      <c r="JNU40" s="180"/>
      <c r="JNV40" s="180"/>
      <c r="JNW40" s="180"/>
      <c r="JNX40" s="180"/>
      <c r="JNY40" s="180"/>
      <c r="JNZ40" s="180"/>
      <c r="JOA40" s="178"/>
      <c r="JOB40" s="181"/>
      <c r="JOC40" s="182"/>
      <c r="JOD40" s="182"/>
      <c r="JOE40" s="179"/>
      <c r="JOF40" s="183"/>
      <c r="JOG40" s="184"/>
      <c r="JOH40" s="185"/>
      <c r="JOI40" s="186"/>
      <c r="JOJ40" s="186"/>
      <c r="JOK40" s="186"/>
      <c r="JOL40" s="186"/>
      <c r="JOM40" s="187"/>
      <c r="JON40" s="251"/>
      <c r="JOO40" s="252"/>
      <c r="JOP40" s="175"/>
      <c r="JOQ40" s="176"/>
      <c r="JOR40" s="177"/>
      <c r="JOS40" s="176"/>
      <c r="JOT40" s="176"/>
      <c r="JOU40" s="178"/>
      <c r="JOV40" s="178"/>
      <c r="JOW40" s="179"/>
      <c r="JOX40" s="180"/>
      <c r="JOY40" s="180"/>
      <c r="JOZ40" s="180"/>
      <c r="JPA40" s="180"/>
      <c r="JPB40" s="180"/>
      <c r="JPC40" s="180"/>
      <c r="JPD40" s="178"/>
      <c r="JPE40" s="181"/>
      <c r="JPF40" s="182"/>
      <c r="JPG40" s="182"/>
      <c r="JPH40" s="179"/>
      <c r="JPI40" s="183"/>
      <c r="JPJ40" s="184"/>
      <c r="JPK40" s="185"/>
      <c r="JPL40" s="186"/>
      <c r="JPM40" s="186"/>
      <c r="JPN40" s="186"/>
      <c r="JPO40" s="186"/>
      <c r="JPP40" s="187"/>
      <c r="JPQ40" s="251"/>
      <c r="JPR40" s="252"/>
      <c r="JPS40" s="175"/>
      <c r="JPT40" s="176"/>
      <c r="JPU40" s="177"/>
      <c r="JPV40" s="176"/>
      <c r="JPW40" s="176"/>
      <c r="JPX40" s="178"/>
      <c r="JPY40" s="178"/>
      <c r="JPZ40" s="179"/>
      <c r="JQA40" s="180"/>
      <c r="JQB40" s="180"/>
      <c r="JQC40" s="180"/>
      <c r="JQD40" s="180"/>
      <c r="JQE40" s="180"/>
      <c r="JQF40" s="180"/>
      <c r="JQG40" s="178"/>
      <c r="JQH40" s="181"/>
      <c r="JQI40" s="182"/>
      <c r="JQJ40" s="182"/>
      <c r="JQK40" s="179"/>
      <c r="JQL40" s="183"/>
      <c r="JQM40" s="184"/>
      <c r="JQN40" s="185"/>
      <c r="JQO40" s="186"/>
      <c r="JQP40" s="186"/>
      <c r="JQQ40" s="186"/>
      <c r="JQR40" s="186"/>
      <c r="JQS40" s="187"/>
      <c r="JQT40" s="251"/>
      <c r="JQU40" s="252"/>
      <c r="JQV40" s="175"/>
      <c r="JQW40" s="176"/>
      <c r="JQX40" s="177"/>
      <c r="JQY40" s="176"/>
      <c r="JQZ40" s="176"/>
      <c r="JRA40" s="178"/>
      <c r="JRB40" s="178"/>
      <c r="JRC40" s="179"/>
      <c r="JRD40" s="180"/>
      <c r="JRE40" s="180"/>
      <c r="JRF40" s="180"/>
      <c r="JRG40" s="180"/>
      <c r="JRH40" s="180"/>
      <c r="JRI40" s="180"/>
      <c r="JRJ40" s="178"/>
      <c r="JRK40" s="181"/>
      <c r="JRL40" s="182"/>
      <c r="JRM40" s="182"/>
      <c r="JRN40" s="179"/>
      <c r="JRO40" s="183"/>
      <c r="JRP40" s="184"/>
      <c r="JRQ40" s="185"/>
      <c r="JRR40" s="186"/>
      <c r="JRS40" s="186"/>
      <c r="JRT40" s="186"/>
      <c r="JRU40" s="186"/>
      <c r="JRV40" s="187"/>
      <c r="JRW40" s="251"/>
      <c r="JRX40" s="252"/>
      <c r="JRY40" s="175"/>
      <c r="JRZ40" s="176"/>
      <c r="JSA40" s="177"/>
      <c r="JSB40" s="176"/>
      <c r="JSC40" s="176"/>
      <c r="JSD40" s="178"/>
      <c r="JSE40" s="178"/>
      <c r="JSF40" s="179"/>
      <c r="JSG40" s="180"/>
      <c r="JSH40" s="180"/>
      <c r="JSI40" s="180"/>
      <c r="JSJ40" s="180"/>
      <c r="JSK40" s="180"/>
      <c r="JSL40" s="180"/>
      <c r="JSM40" s="178"/>
      <c r="JSN40" s="181"/>
      <c r="JSO40" s="182"/>
      <c r="JSP40" s="182"/>
      <c r="JSQ40" s="179"/>
      <c r="JSR40" s="183"/>
      <c r="JSS40" s="184"/>
      <c r="JST40" s="185"/>
      <c r="JSU40" s="186"/>
      <c r="JSV40" s="186"/>
      <c r="JSW40" s="186"/>
      <c r="JSX40" s="186"/>
      <c r="JSY40" s="187"/>
      <c r="JSZ40" s="251"/>
      <c r="JTA40" s="252"/>
      <c r="JTB40" s="175"/>
      <c r="JTC40" s="176"/>
      <c r="JTD40" s="177"/>
      <c r="JTE40" s="176"/>
      <c r="JTF40" s="176"/>
      <c r="JTG40" s="178"/>
      <c r="JTH40" s="178"/>
      <c r="JTI40" s="179"/>
      <c r="JTJ40" s="180"/>
      <c r="JTK40" s="180"/>
      <c r="JTL40" s="180"/>
      <c r="JTM40" s="180"/>
      <c r="JTN40" s="180"/>
      <c r="JTO40" s="180"/>
      <c r="JTP40" s="178"/>
      <c r="JTQ40" s="181"/>
      <c r="JTR40" s="182"/>
      <c r="JTS40" s="182"/>
      <c r="JTT40" s="179"/>
      <c r="JTU40" s="183"/>
      <c r="JTV40" s="184"/>
      <c r="JTW40" s="185"/>
      <c r="JTX40" s="186"/>
      <c r="JTY40" s="186"/>
      <c r="JTZ40" s="186"/>
      <c r="JUA40" s="186"/>
      <c r="JUB40" s="187"/>
      <c r="JUC40" s="251"/>
      <c r="JUD40" s="252"/>
      <c r="JUE40" s="175"/>
      <c r="JUF40" s="176"/>
      <c r="JUG40" s="177"/>
      <c r="JUH40" s="176"/>
      <c r="JUI40" s="176"/>
      <c r="JUJ40" s="178"/>
      <c r="JUK40" s="178"/>
      <c r="JUL40" s="179"/>
      <c r="JUM40" s="180"/>
      <c r="JUN40" s="180"/>
      <c r="JUO40" s="180"/>
      <c r="JUP40" s="180"/>
      <c r="JUQ40" s="180"/>
      <c r="JUR40" s="180"/>
      <c r="JUS40" s="178"/>
      <c r="JUT40" s="181"/>
      <c r="JUU40" s="182"/>
      <c r="JUV40" s="182"/>
      <c r="JUW40" s="179"/>
      <c r="JUX40" s="183"/>
      <c r="JUY40" s="184"/>
      <c r="JUZ40" s="185"/>
      <c r="JVA40" s="186"/>
      <c r="JVB40" s="186"/>
      <c r="JVC40" s="186"/>
      <c r="JVD40" s="186"/>
      <c r="JVE40" s="187"/>
      <c r="JVF40" s="251"/>
      <c r="JVG40" s="252"/>
      <c r="JVH40" s="175"/>
      <c r="JVI40" s="176"/>
      <c r="JVJ40" s="177"/>
      <c r="JVK40" s="176"/>
      <c r="JVL40" s="176"/>
      <c r="JVM40" s="178"/>
      <c r="JVN40" s="178"/>
      <c r="JVO40" s="179"/>
      <c r="JVP40" s="180"/>
      <c r="JVQ40" s="180"/>
      <c r="JVR40" s="180"/>
      <c r="JVS40" s="180"/>
      <c r="JVT40" s="180"/>
      <c r="JVU40" s="180"/>
      <c r="JVV40" s="178"/>
      <c r="JVW40" s="181"/>
      <c r="JVX40" s="182"/>
      <c r="JVY40" s="182"/>
      <c r="JVZ40" s="179"/>
      <c r="JWA40" s="183"/>
      <c r="JWB40" s="184"/>
      <c r="JWC40" s="185"/>
      <c r="JWD40" s="186"/>
      <c r="JWE40" s="186"/>
      <c r="JWF40" s="186"/>
      <c r="JWG40" s="186"/>
      <c r="JWH40" s="187"/>
      <c r="JWI40" s="251"/>
      <c r="JWJ40" s="252"/>
      <c r="JWK40" s="175"/>
      <c r="JWL40" s="176"/>
      <c r="JWM40" s="177"/>
      <c r="JWN40" s="176"/>
      <c r="JWO40" s="176"/>
      <c r="JWP40" s="178"/>
      <c r="JWQ40" s="178"/>
      <c r="JWR40" s="179"/>
      <c r="JWS40" s="180"/>
      <c r="JWT40" s="180"/>
      <c r="JWU40" s="180"/>
      <c r="JWV40" s="180"/>
      <c r="JWW40" s="180"/>
      <c r="JWX40" s="180"/>
      <c r="JWY40" s="178"/>
      <c r="JWZ40" s="181"/>
      <c r="JXA40" s="182"/>
      <c r="JXB40" s="182"/>
      <c r="JXC40" s="179"/>
      <c r="JXD40" s="183"/>
      <c r="JXE40" s="184"/>
      <c r="JXF40" s="185"/>
      <c r="JXG40" s="186"/>
      <c r="JXH40" s="186"/>
      <c r="JXI40" s="186"/>
      <c r="JXJ40" s="186"/>
      <c r="JXK40" s="187"/>
      <c r="JXL40" s="251"/>
      <c r="JXM40" s="252"/>
      <c r="JXN40" s="175"/>
      <c r="JXO40" s="176"/>
      <c r="JXP40" s="177"/>
      <c r="JXQ40" s="176"/>
      <c r="JXR40" s="176"/>
      <c r="JXS40" s="178"/>
      <c r="JXT40" s="178"/>
      <c r="JXU40" s="179"/>
      <c r="JXV40" s="180"/>
      <c r="JXW40" s="180"/>
      <c r="JXX40" s="180"/>
      <c r="JXY40" s="180"/>
      <c r="JXZ40" s="180"/>
      <c r="JYA40" s="180"/>
      <c r="JYB40" s="178"/>
      <c r="JYC40" s="181"/>
      <c r="JYD40" s="182"/>
      <c r="JYE40" s="182"/>
      <c r="JYF40" s="179"/>
      <c r="JYG40" s="183"/>
      <c r="JYH40" s="184"/>
      <c r="JYI40" s="185"/>
      <c r="JYJ40" s="186"/>
      <c r="JYK40" s="186"/>
      <c r="JYL40" s="186"/>
      <c r="JYM40" s="186"/>
      <c r="JYN40" s="187"/>
      <c r="JYO40" s="251"/>
      <c r="JYP40" s="252"/>
      <c r="JYQ40" s="175"/>
      <c r="JYR40" s="176"/>
      <c r="JYS40" s="177"/>
      <c r="JYT40" s="176"/>
      <c r="JYU40" s="176"/>
      <c r="JYV40" s="178"/>
      <c r="JYW40" s="178"/>
      <c r="JYX40" s="179"/>
      <c r="JYY40" s="180"/>
      <c r="JYZ40" s="180"/>
      <c r="JZA40" s="180"/>
      <c r="JZB40" s="180"/>
      <c r="JZC40" s="180"/>
      <c r="JZD40" s="180"/>
      <c r="JZE40" s="178"/>
      <c r="JZF40" s="181"/>
      <c r="JZG40" s="182"/>
      <c r="JZH40" s="182"/>
      <c r="JZI40" s="179"/>
      <c r="JZJ40" s="183"/>
      <c r="JZK40" s="184"/>
      <c r="JZL40" s="185"/>
      <c r="JZM40" s="186"/>
      <c r="JZN40" s="186"/>
      <c r="JZO40" s="186"/>
      <c r="JZP40" s="186"/>
      <c r="JZQ40" s="187"/>
      <c r="JZR40" s="251"/>
      <c r="JZS40" s="252"/>
      <c r="JZT40" s="175"/>
      <c r="JZU40" s="176"/>
      <c r="JZV40" s="177"/>
      <c r="JZW40" s="176"/>
      <c r="JZX40" s="176"/>
      <c r="JZY40" s="178"/>
      <c r="JZZ40" s="178"/>
      <c r="KAA40" s="179"/>
      <c r="KAB40" s="180"/>
      <c r="KAC40" s="180"/>
      <c r="KAD40" s="180"/>
      <c r="KAE40" s="180"/>
      <c r="KAF40" s="180"/>
      <c r="KAG40" s="180"/>
      <c r="KAH40" s="178"/>
      <c r="KAI40" s="181"/>
      <c r="KAJ40" s="182"/>
      <c r="KAK40" s="182"/>
      <c r="KAL40" s="179"/>
      <c r="KAM40" s="183"/>
      <c r="KAN40" s="184"/>
      <c r="KAO40" s="185"/>
      <c r="KAP40" s="186"/>
      <c r="KAQ40" s="186"/>
      <c r="KAR40" s="186"/>
      <c r="KAS40" s="186"/>
      <c r="KAT40" s="187"/>
      <c r="KAU40" s="251"/>
      <c r="KAV40" s="252"/>
      <c r="KAW40" s="175"/>
      <c r="KAX40" s="176"/>
      <c r="KAY40" s="177"/>
      <c r="KAZ40" s="176"/>
      <c r="KBA40" s="176"/>
      <c r="KBB40" s="178"/>
      <c r="KBC40" s="178"/>
      <c r="KBD40" s="179"/>
      <c r="KBE40" s="180"/>
      <c r="KBF40" s="180"/>
      <c r="KBG40" s="180"/>
      <c r="KBH40" s="180"/>
      <c r="KBI40" s="180"/>
      <c r="KBJ40" s="180"/>
      <c r="KBK40" s="178"/>
      <c r="KBL40" s="181"/>
      <c r="KBM40" s="182"/>
      <c r="KBN40" s="182"/>
      <c r="KBO40" s="179"/>
      <c r="KBP40" s="183"/>
      <c r="KBQ40" s="184"/>
      <c r="KBR40" s="185"/>
      <c r="KBS40" s="186"/>
      <c r="KBT40" s="186"/>
      <c r="KBU40" s="186"/>
      <c r="KBV40" s="186"/>
      <c r="KBW40" s="187"/>
      <c r="KBX40" s="251"/>
      <c r="KBY40" s="252"/>
      <c r="KBZ40" s="175"/>
      <c r="KCA40" s="176"/>
      <c r="KCB40" s="177"/>
      <c r="KCC40" s="176"/>
      <c r="KCD40" s="176"/>
      <c r="KCE40" s="178"/>
      <c r="KCF40" s="178"/>
      <c r="KCG40" s="179"/>
      <c r="KCH40" s="180"/>
      <c r="KCI40" s="180"/>
      <c r="KCJ40" s="180"/>
      <c r="KCK40" s="180"/>
      <c r="KCL40" s="180"/>
      <c r="KCM40" s="180"/>
      <c r="KCN40" s="178"/>
      <c r="KCO40" s="181"/>
      <c r="KCP40" s="182"/>
      <c r="KCQ40" s="182"/>
      <c r="KCR40" s="179"/>
      <c r="KCS40" s="183"/>
      <c r="KCT40" s="184"/>
      <c r="KCU40" s="185"/>
      <c r="KCV40" s="186"/>
      <c r="KCW40" s="186"/>
      <c r="KCX40" s="186"/>
      <c r="KCY40" s="186"/>
      <c r="KCZ40" s="187"/>
      <c r="KDA40" s="251"/>
      <c r="KDB40" s="252"/>
      <c r="KDC40" s="175"/>
      <c r="KDD40" s="176"/>
      <c r="KDE40" s="177"/>
      <c r="KDF40" s="176"/>
      <c r="KDG40" s="176"/>
      <c r="KDH40" s="178"/>
      <c r="KDI40" s="178"/>
      <c r="KDJ40" s="179"/>
      <c r="KDK40" s="180"/>
      <c r="KDL40" s="180"/>
      <c r="KDM40" s="180"/>
      <c r="KDN40" s="180"/>
      <c r="KDO40" s="180"/>
      <c r="KDP40" s="180"/>
      <c r="KDQ40" s="178"/>
      <c r="KDR40" s="181"/>
      <c r="KDS40" s="182"/>
      <c r="KDT40" s="182"/>
      <c r="KDU40" s="179"/>
      <c r="KDV40" s="183"/>
      <c r="KDW40" s="184"/>
      <c r="KDX40" s="185"/>
      <c r="KDY40" s="186"/>
      <c r="KDZ40" s="186"/>
      <c r="KEA40" s="186"/>
      <c r="KEB40" s="186"/>
      <c r="KEC40" s="187"/>
      <c r="KED40" s="251"/>
      <c r="KEE40" s="252"/>
      <c r="KEF40" s="175"/>
      <c r="KEG40" s="176"/>
      <c r="KEH40" s="177"/>
      <c r="KEI40" s="176"/>
      <c r="KEJ40" s="176"/>
      <c r="KEK40" s="178"/>
      <c r="KEL40" s="178"/>
      <c r="KEM40" s="179"/>
      <c r="KEN40" s="180"/>
      <c r="KEO40" s="180"/>
      <c r="KEP40" s="180"/>
      <c r="KEQ40" s="180"/>
      <c r="KER40" s="180"/>
      <c r="KES40" s="180"/>
      <c r="KET40" s="178"/>
      <c r="KEU40" s="181"/>
      <c r="KEV40" s="182"/>
      <c r="KEW40" s="182"/>
      <c r="KEX40" s="179"/>
      <c r="KEY40" s="183"/>
      <c r="KEZ40" s="184"/>
      <c r="KFA40" s="185"/>
      <c r="KFB40" s="186"/>
      <c r="KFC40" s="186"/>
      <c r="KFD40" s="186"/>
      <c r="KFE40" s="186"/>
      <c r="KFF40" s="187"/>
      <c r="KFG40" s="251"/>
      <c r="KFH40" s="252"/>
      <c r="KFI40" s="175"/>
      <c r="KFJ40" s="176"/>
      <c r="KFK40" s="177"/>
      <c r="KFL40" s="176"/>
      <c r="KFM40" s="176"/>
      <c r="KFN40" s="178"/>
      <c r="KFO40" s="178"/>
      <c r="KFP40" s="179"/>
      <c r="KFQ40" s="180"/>
      <c r="KFR40" s="180"/>
      <c r="KFS40" s="180"/>
      <c r="KFT40" s="180"/>
      <c r="KFU40" s="180"/>
      <c r="KFV40" s="180"/>
      <c r="KFW40" s="178"/>
      <c r="KFX40" s="181"/>
      <c r="KFY40" s="182"/>
      <c r="KFZ40" s="182"/>
      <c r="KGA40" s="179"/>
      <c r="KGB40" s="183"/>
      <c r="KGC40" s="184"/>
      <c r="KGD40" s="185"/>
      <c r="KGE40" s="186"/>
      <c r="KGF40" s="186"/>
      <c r="KGG40" s="186"/>
      <c r="KGH40" s="186"/>
      <c r="KGI40" s="187"/>
      <c r="KGJ40" s="251"/>
      <c r="KGK40" s="252"/>
      <c r="KGL40" s="175"/>
      <c r="KGM40" s="176"/>
      <c r="KGN40" s="177"/>
      <c r="KGO40" s="176"/>
      <c r="KGP40" s="176"/>
      <c r="KGQ40" s="178"/>
      <c r="KGR40" s="178"/>
      <c r="KGS40" s="179"/>
      <c r="KGT40" s="180"/>
      <c r="KGU40" s="180"/>
      <c r="KGV40" s="180"/>
      <c r="KGW40" s="180"/>
      <c r="KGX40" s="180"/>
      <c r="KGY40" s="180"/>
      <c r="KGZ40" s="178"/>
      <c r="KHA40" s="181"/>
      <c r="KHB40" s="182"/>
      <c r="KHC40" s="182"/>
      <c r="KHD40" s="179"/>
      <c r="KHE40" s="183"/>
      <c r="KHF40" s="184"/>
      <c r="KHG40" s="185"/>
      <c r="KHH40" s="186"/>
      <c r="KHI40" s="186"/>
      <c r="KHJ40" s="186"/>
      <c r="KHK40" s="186"/>
      <c r="KHL40" s="187"/>
      <c r="KHM40" s="251"/>
      <c r="KHN40" s="252"/>
      <c r="KHO40" s="175"/>
      <c r="KHP40" s="176"/>
      <c r="KHQ40" s="177"/>
      <c r="KHR40" s="176"/>
      <c r="KHS40" s="176"/>
      <c r="KHT40" s="178"/>
      <c r="KHU40" s="178"/>
      <c r="KHV40" s="179"/>
      <c r="KHW40" s="180"/>
      <c r="KHX40" s="180"/>
      <c r="KHY40" s="180"/>
      <c r="KHZ40" s="180"/>
      <c r="KIA40" s="180"/>
      <c r="KIB40" s="180"/>
      <c r="KIC40" s="178"/>
      <c r="KID40" s="181"/>
      <c r="KIE40" s="182"/>
      <c r="KIF40" s="182"/>
      <c r="KIG40" s="179"/>
      <c r="KIH40" s="183"/>
      <c r="KII40" s="184"/>
      <c r="KIJ40" s="185"/>
      <c r="KIK40" s="186"/>
      <c r="KIL40" s="186"/>
      <c r="KIM40" s="186"/>
      <c r="KIN40" s="186"/>
      <c r="KIO40" s="187"/>
      <c r="KIP40" s="251"/>
      <c r="KIQ40" s="252"/>
      <c r="KIR40" s="175"/>
      <c r="KIS40" s="176"/>
      <c r="KIT40" s="177"/>
      <c r="KIU40" s="176"/>
      <c r="KIV40" s="176"/>
      <c r="KIW40" s="178"/>
      <c r="KIX40" s="178"/>
      <c r="KIY40" s="179"/>
      <c r="KIZ40" s="180"/>
      <c r="KJA40" s="180"/>
      <c r="KJB40" s="180"/>
      <c r="KJC40" s="180"/>
      <c r="KJD40" s="180"/>
      <c r="KJE40" s="180"/>
      <c r="KJF40" s="178"/>
      <c r="KJG40" s="181"/>
      <c r="KJH40" s="182"/>
      <c r="KJI40" s="182"/>
      <c r="KJJ40" s="179"/>
      <c r="KJK40" s="183"/>
      <c r="KJL40" s="184"/>
      <c r="KJM40" s="185"/>
      <c r="KJN40" s="186"/>
      <c r="KJO40" s="186"/>
      <c r="KJP40" s="186"/>
      <c r="KJQ40" s="186"/>
      <c r="KJR40" s="187"/>
      <c r="KJS40" s="251"/>
      <c r="KJT40" s="252"/>
      <c r="KJU40" s="175"/>
      <c r="KJV40" s="176"/>
      <c r="KJW40" s="177"/>
      <c r="KJX40" s="176"/>
      <c r="KJY40" s="176"/>
      <c r="KJZ40" s="178"/>
      <c r="KKA40" s="178"/>
      <c r="KKB40" s="179"/>
      <c r="KKC40" s="180"/>
      <c r="KKD40" s="180"/>
      <c r="KKE40" s="180"/>
      <c r="KKF40" s="180"/>
      <c r="KKG40" s="180"/>
      <c r="KKH40" s="180"/>
      <c r="KKI40" s="178"/>
      <c r="KKJ40" s="181"/>
      <c r="KKK40" s="182"/>
      <c r="KKL40" s="182"/>
      <c r="KKM40" s="179"/>
      <c r="KKN40" s="183"/>
      <c r="KKO40" s="184"/>
      <c r="KKP40" s="185"/>
      <c r="KKQ40" s="186"/>
      <c r="KKR40" s="186"/>
      <c r="KKS40" s="186"/>
      <c r="KKT40" s="186"/>
      <c r="KKU40" s="187"/>
      <c r="KKV40" s="251"/>
      <c r="KKW40" s="252"/>
      <c r="KKX40" s="175"/>
      <c r="KKY40" s="176"/>
      <c r="KKZ40" s="177"/>
      <c r="KLA40" s="176"/>
      <c r="KLB40" s="176"/>
      <c r="KLC40" s="178"/>
      <c r="KLD40" s="178"/>
      <c r="KLE40" s="179"/>
      <c r="KLF40" s="180"/>
      <c r="KLG40" s="180"/>
      <c r="KLH40" s="180"/>
      <c r="KLI40" s="180"/>
      <c r="KLJ40" s="180"/>
      <c r="KLK40" s="180"/>
      <c r="KLL40" s="178"/>
      <c r="KLM40" s="181"/>
      <c r="KLN40" s="182"/>
      <c r="KLO40" s="182"/>
      <c r="KLP40" s="179"/>
      <c r="KLQ40" s="183"/>
      <c r="KLR40" s="184"/>
      <c r="KLS40" s="185"/>
      <c r="KLT40" s="186"/>
      <c r="KLU40" s="186"/>
      <c r="KLV40" s="186"/>
      <c r="KLW40" s="186"/>
      <c r="KLX40" s="187"/>
      <c r="KLY40" s="251"/>
      <c r="KLZ40" s="252"/>
      <c r="KMA40" s="175"/>
      <c r="KMB40" s="176"/>
      <c r="KMC40" s="177"/>
      <c r="KMD40" s="176"/>
      <c r="KME40" s="176"/>
      <c r="KMF40" s="178"/>
      <c r="KMG40" s="178"/>
      <c r="KMH40" s="179"/>
      <c r="KMI40" s="180"/>
      <c r="KMJ40" s="180"/>
      <c r="KMK40" s="180"/>
      <c r="KML40" s="180"/>
      <c r="KMM40" s="180"/>
      <c r="KMN40" s="180"/>
      <c r="KMO40" s="178"/>
      <c r="KMP40" s="181"/>
      <c r="KMQ40" s="182"/>
      <c r="KMR40" s="182"/>
      <c r="KMS40" s="179"/>
      <c r="KMT40" s="183"/>
      <c r="KMU40" s="184"/>
      <c r="KMV40" s="185"/>
      <c r="KMW40" s="186"/>
      <c r="KMX40" s="186"/>
      <c r="KMY40" s="186"/>
      <c r="KMZ40" s="186"/>
      <c r="KNA40" s="187"/>
      <c r="KNB40" s="251"/>
      <c r="KNC40" s="252"/>
      <c r="KND40" s="175"/>
      <c r="KNE40" s="176"/>
      <c r="KNF40" s="177"/>
      <c r="KNG40" s="176"/>
      <c r="KNH40" s="176"/>
      <c r="KNI40" s="178"/>
      <c r="KNJ40" s="178"/>
      <c r="KNK40" s="179"/>
      <c r="KNL40" s="180"/>
      <c r="KNM40" s="180"/>
      <c r="KNN40" s="180"/>
      <c r="KNO40" s="180"/>
      <c r="KNP40" s="180"/>
      <c r="KNQ40" s="180"/>
      <c r="KNR40" s="178"/>
      <c r="KNS40" s="181"/>
      <c r="KNT40" s="182"/>
      <c r="KNU40" s="182"/>
      <c r="KNV40" s="179"/>
      <c r="KNW40" s="183"/>
      <c r="KNX40" s="184"/>
      <c r="KNY40" s="185"/>
      <c r="KNZ40" s="186"/>
      <c r="KOA40" s="186"/>
      <c r="KOB40" s="186"/>
      <c r="KOC40" s="186"/>
      <c r="KOD40" s="187"/>
      <c r="KOE40" s="251"/>
      <c r="KOF40" s="252"/>
      <c r="KOG40" s="175"/>
      <c r="KOH40" s="176"/>
      <c r="KOI40" s="177"/>
      <c r="KOJ40" s="176"/>
      <c r="KOK40" s="176"/>
      <c r="KOL40" s="178"/>
      <c r="KOM40" s="178"/>
      <c r="KON40" s="179"/>
      <c r="KOO40" s="180"/>
      <c r="KOP40" s="180"/>
      <c r="KOQ40" s="180"/>
      <c r="KOR40" s="180"/>
      <c r="KOS40" s="180"/>
      <c r="KOT40" s="180"/>
      <c r="KOU40" s="178"/>
      <c r="KOV40" s="181"/>
      <c r="KOW40" s="182"/>
      <c r="KOX40" s="182"/>
      <c r="KOY40" s="179"/>
      <c r="KOZ40" s="183"/>
      <c r="KPA40" s="184"/>
      <c r="KPB40" s="185"/>
      <c r="KPC40" s="186"/>
      <c r="KPD40" s="186"/>
      <c r="KPE40" s="186"/>
      <c r="KPF40" s="186"/>
      <c r="KPG40" s="187"/>
      <c r="KPH40" s="251"/>
      <c r="KPI40" s="252"/>
      <c r="KPJ40" s="175"/>
      <c r="KPK40" s="176"/>
      <c r="KPL40" s="177"/>
      <c r="KPM40" s="176"/>
      <c r="KPN40" s="176"/>
      <c r="KPO40" s="178"/>
      <c r="KPP40" s="178"/>
      <c r="KPQ40" s="179"/>
      <c r="KPR40" s="180"/>
      <c r="KPS40" s="180"/>
      <c r="KPT40" s="180"/>
      <c r="KPU40" s="180"/>
      <c r="KPV40" s="180"/>
      <c r="KPW40" s="180"/>
      <c r="KPX40" s="178"/>
      <c r="KPY40" s="181"/>
      <c r="KPZ40" s="182"/>
      <c r="KQA40" s="182"/>
      <c r="KQB40" s="179"/>
      <c r="KQC40" s="183"/>
      <c r="KQD40" s="184"/>
      <c r="KQE40" s="185"/>
      <c r="KQF40" s="186"/>
      <c r="KQG40" s="186"/>
      <c r="KQH40" s="186"/>
      <c r="KQI40" s="186"/>
      <c r="KQJ40" s="187"/>
      <c r="KQK40" s="251"/>
      <c r="KQL40" s="252"/>
      <c r="KQM40" s="175"/>
      <c r="KQN40" s="176"/>
      <c r="KQO40" s="177"/>
      <c r="KQP40" s="176"/>
      <c r="KQQ40" s="176"/>
      <c r="KQR40" s="178"/>
      <c r="KQS40" s="178"/>
      <c r="KQT40" s="179"/>
      <c r="KQU40" s="180"/>
      <c r="KQV40" s="180"/>
      <c r="KQW40" s="180"/>
      <c r="KQX40" s="180"/>
      <c r="KQY40" s="180"/>
      <c r="KQZ40" s="180"/>
      <c r="KRA40" s="178"/>
      <c r="KRB40" s="181"/>
      <c r="KRC40" s="182"/>
      <c r="KRD40" s="182"/>
      <c r="KRE40" s="179"/>
      <c r="KRF40" s="183"/>
      <c r="KRG40" s="184"/>
      <c r="KRH40" s="185"/>
      <c r="KRI40" s="186"/>
      <c r="KRJ40" s="186"/>
      <c r="KRK40" s="186"/>
      <c r="KRL40" s="186"/>
      <c r="KRM40" s="187"/>
      <c r="KRN40" s="251"/>
      <c r="KRO40" s="252"/>
      <c r="KRP40" s="175"/>
      <c r="KRQ40" s="176"/>
      <c r="KRR40" s="177"/>
      <c r="KRS40" s="176"/>
      <c r="KRT40" s="176"/>
      <c r="KRU40" s="178"/>
      <c r="KRV40" s="178"/>
      <c r="KRW40" s="179"/>
      <c r="KRX40" s="180"/>
      <c r="KRY40" s="180"/>
      <c r="KRZ40" s="180"/>
      <c r="KSA40" s="180"/>
      <c r="KSB40" s="180"/>
      <c r="KSC40" s="180"/>
      <c r="KSD40" s="178"/>
      <c r="KSE40" s="181"/>
      <c r="KSF40" s="182"/>
      <c r="KSG40" s="182"/>
      <c r="KSH40" s="179"/>
      <c r="KSI40" s="183"/>
      <c r="KSJ40" s="184"/>
      <c r="KSK40" s="185"/>
      <c r="KSL40" s="186"/>
      <c r="KSM40" s="186"/>
      <c r="KSN40" s="186"/>
      <c r="KSO40" s="186"/>
      <c r="KSP40" s="187"/>
      <c r="KSQ40" s="251"/>
      <c r="KSR40" s="252"/>
      <c r="KSS40" s="175"/>
      <c r="KST40" s="176"/>
      <c r="KSU40" s="177"/>
      <c r="KSV40" s="176"/>
      <c r="KSW40" s="176"/>
      <c r="KSX40" s="178"/>
      <c r="KSY40" s="178"/>
      <c r="KSZ40" s="179"/>
      <c r="KTA40" s="180"/>
      <c r="KTB40" s="180"/>
      <c r="KTC40" s="180"/>
      <c r="KTD40" s="180"/>
      <c r="KTE40" s="180"/>
      <c r="KTF40" s="180"/>
      <c r="KTG40" s="178"/>
      <c r="KTH40" s="181"/>
      <c r="KTI40" s="182"/>
      <c r="KTJ40" s="182"/>
      <c r="KTK40" s="179"/>
      <c r="KTL40" s="183"/>
      <c r="KTM40" s="184"/>
      <c r="KTN40" s="185"/>
      <c r="KTO40" s="186"/>
      <c r="KTP40" s="186"/>
      <c r="KTQ40" s="186"/>
      <c r="KTR40" s="186"/>
      <c r="KTS40" s="187"/>
      <c r="KTT40" s="251"/>
      <c r="KTU40" s="252"/>
      <c r="KTV40" s="175"/>
      <c r="KTW40" s="176"/>
      <c r="KTX40" s="177"/>
      <c r="KTY40" s="176"/>
      <c r="KTZ40" s="176"/>
      <c r="KUA40" s="178"/>
      <c r="KUB40" s="178"/>
      <c r="KUC40" s="179"/>
      <c r="KUD40" s="180"/>
      <c r="KUE40" s="180"/>
      <c r="KUF40" s="180"/>
      <c r="KUG40" s="180"/>
      <c r="KUH40" s="180"/>
      <c r="KUI40" s="180"/>
      <c r="KUJ40" s="178"/>
      <c r="KUK40" s="181"/>
      <c r="KUL40" s="182"/>
      <c r="KUM40" s="182"/>
      <c r="KUN40" s="179"/>
      <c r="KUO40" s="183"/>
      <c r="KUP40" s="184"/>
      <c r="KUQ40" s="185"/>
      <c r="KUR40" s="186"/>
      <c r="KUS40" s="186"/>
      <c r="KUT40" s="186"/>
      <c r="KUU40" s="186"/>
      <c r="KUV40" s="187"/>
      <c r="KUW40" s="251"/>
      <c r="KUX40" s="252"/>
      <c r="KUY40" s="175"/>
      <c r="KUZ40" s="176"/>
      <c r="KVA40" s="177"/>
      <c r="KVB40" s="176"/>
      <c r="KVC40" s="176"/>
      <c r="KVD40" s="178"/>
      <c r="KVE40" s="178"/>
      <c r="KVF40" s="179"/>
      <c r="KVG40" s="180"/>
      <c r="KVH40" s="180"/>
      <c r="KVI40" s="180"/>
      <c r="KVJ40" s="180"/>
      <c r="KVK40" s="180"/>
      <c r="KVL40" s="180"/>
      <c r="KVM40" s="178"/>
      <c r="KVN40" s="181"/>
      <c r="KVO40" s="182"/>
      <c r="KVP40" s="182"/>
      <c r="KVQ40" s="179"/>
      <c r="KVR40" s="183"/>
      <c r="KVS40" s="184"/>
      <c r="KVT40" s="185"/>
      <c r="KVU40" s="186"/>
      <c r="KVV40" s="186"/>
      <c r="KVW40" s="186"/>
      <c r="KVX40" s="186"/>
      <c r="KVY40" s="187"/>
      <c r="KVZ40" s="251"/>
      <c r="KWA40" s="252"/>
      <c r="KWB40" s="175"/>
      <c r="KWC40" s="176"/>
      <c r="KWD40" s="177"/>
      <c r="KWE40" s="176"/>
      <c r="KWF40" s="176"/>
      <c r="KWG40" s="178"/>
      <c r="KWH40" s="178"/>
      <c r="KWI40" s="179"/>
      <c r="KWJ40" s="180"/>
      <c r="KWK40" s="180"/>
      <c r="KWL40" s="180"/>
      <c r="KWM40" s="180"/>
      <c r="KWN40" s="180"/>
      <c r="KWO40" s="180"/>
      <c r="KWP40" s="178"/>
      <c r="KWQ40" s="181"/>
      <c r="KWR40" s="182"/>
      <c r="KWS40" s="182"/>
      <c r="KWT40" s="179"/>
      <c r="KWU40" s="183"/>
      <c r="KWV40" s="184"/>
      <c r="KWW40" s="185"/>
      <c r="KWX40" s="186"/>
      <c r="KWY40" s="186"/>
      <c r="KWZ40" s="186"/>
      <c r="KXA40" s="186"/>
      <c r="KXB40" s="187"/>
      <c r="KXC40" s="251"/>
      <c r="KXD40" s="252"/>
      <c r="KXE40" s="175"/>
      <c r="KXF40" s="176"/>
      <c r="KXG40" s="177"/>
      <c r="KXH40" s="176"/>
      <c r="KXI40" s="176"/>
      <c r="KXJ40" s="178"/>
      <c r="KXK40" s="178"/>
      <c r="KXL40" s="179"/>
      <c r="KXM40" s="180"/>
      <c r="KXN40" s="180"/>
      <c r="KXO40" s="180"/>
      <c r="KXP40" s="180"/>
      <c r="KXQ40" s="180"/>
      <c r="KXR40" s="180"/>
      <c r="KXS40" s="178"/>
      <c r="KXT40" s="181"/>
      <c r="KXU40" s="182"/>
      <c r="KXV40" s="182"/>
      <c r="KXW40" s="179"/>
      <c r="KXX40" s="183"/>
      <c r="KXY40" s="184"/>
      <c r="KXZ40" s="185"/>
      <c r="KYA40" s="186"/>
      <c r="KYB40" s="186"/>
      <c r="KYC40" s="186"/>
      <c r="KYD40" s="186"/>
      <c r="KYE40" s="187"/>
      <c r="KYF40" s="251"/>
      <c r="KYG40" s="252"/>
      <c r="KYH40" s="175"/>
      <c r="KYI40" s="176"/>
      <c r="KYJ40" s="177"/>
      <c r="KYK40" s="176"/>
      <c r="KYL40" s="176"/>
      <c r="KYM40" s="178"/>
      <c r="KYN40" s="178"/>
      <c r="KYO40" s="179"/>
      <c r="KYP40" s="180"/>
      <c r="KYQ40" s="180"/>
      <c r="KYR40" s="180"/>
      <c r="KYS40" s="180"/>
      <c r="KYT40" s="180"/>
      <c r="KYU40" s="180"/>
      <c r="KYV40" s="178"/>
      <c r="KYW40" s="181"/>
      <c r="KYX40" s="182"/>
      <c r="KYY40" s="182"/>
      <c r="KYZ40" s="179"/>
      <c r="KZA40" s="183"/>
      <c r="KZB40" s="184"/>
      <c r="KZC40" s="185"/>
      <c r="KZD40" s="186"/>
      <c r="KZE40" s="186"/>
      <c r="KZF40" s="186"/>
      <c r="KZG40" s="186"/>
      <c r="KZH40" s="187"/>
      <c r="KZI40" s="251"/>
      <c r="KZJ40" s="252"/>
      <c r="KZK40" s="175"/>
      <c r="KZL40" s="176"/>
      <c r="KZM40" s="177"/>
      <c r="KZN40" s="176"/>
      <c r="KZO40" s="176"/>
      <c r="KZP40" s="178"/>
      <c r="KZQ40" s="178"/>
      <c r="KZR40" s="179"/>
      <c r="KZS40" s="180"/>
      <c r="KZT40" s="180"/>
      <c r="KZU40" s="180"/>
      <c r="KZV40" s="180"/>
      <c r="KZW40" s="180"/>
      <c r="KZX40" s="180"/>
      <c r="KZY40" s="178"/>
      <c r="KZZ40" s="181"/>
      <c r="LAA40" s="182"/>
      <c r="LAB40" s="182"/>
      <c r="LAC40" s="179"/>
      <c r="LAD40" s="183"/>
      <c r="LAE40" s="184"/>
      <c r="LAF40" s="185"/>
      <c r="LAG40" s="186"/>
      <c r="LAH40" s="186"/>
      <c r="LAI40" s="186"/>
      <c r="LAJ40" s="186"/>
      <c r="LAK40" s="187"/>
      <c r="LAL40" s="251"/>
      <c r="LAM40" s="252"/>
      <c r="LAN40" s="175"/>
      <c r="LAO40" s="176"/>
      <c r="LAP40" s="177"/>
      <c r="LAQ40" s="176"/>
      <c r="LAR40" s="176"/>
      <c r="LAS40" s="178"/>
      <c r="LAT40" s="178"/>
      <c r="LAU40" s="179"/>
      <c r="LAV40" s="180"/>
      <c r="LAW40" s="180"/>
      <c r="LAX40" s="180"/>
      <c r="LAY40" s="180"/>
      <c r="LAZ40" s="180"/>
      <c r="LBA40" s="180"/>
      <c r="LBB40" s="178"/>
      <c r="LBC40" s="181"/>
      <c r="LBD40" s="182"/>
      <c r="LBE40" s="182"/>
      <c r="LBF40" s="179"/>
      <c r="LBG40" s="183"/>
      <c r="LBH40" s="184"/>
      <c r="LBI40" s="185"/>
      <c r="LBJ40" s="186"/>
      <c r="LBK40" s="186"/>
      <c r="LBL40" s="186"/>
      <c r="LBM40" s="186"/>
      <c r="LBN40" s="187"/>
      <c r="LBO40" s="251"/>
      <c r="LBP40" s="252"/>
      <c r="LBQ40" s="175"/>
      <c r="LBR40" s="176"/>
      <c r="LBS40" s="177"/>
      <c r="LBT40" s="176"/>
      <c r="LBU40" s="176"/>
      <c r="LBV40" s="178"/>
      <c r="LBW40" s="178"/>
      <c r="LBX40" s="179"/>
      <c r="LBY40" s="180"/>
      <c r="LBZ40" s="180"/>
      <c r="LCA40" s="180"/>
      <c r="LCB40" s="180"/>
      <c r="LCC40" s="180"/>
      <c r="LCD40" s="180"/>
      <c r="LCE40" s="178"/>
      <c r="LCF40" s="181"/>
      <c r="LCG40" s="182"/>
      <c r="LCH40" s="182"/>
      <c r="LCI40" s="179"/>
      <c r="LCJ40" s="183"/>
      <c r="LCK40" s="184"/>
      <c r="LCL40" s="185"/>
      <c r="LCM40" s="186"/>
      <c r="LCN40" s="186"/>
      <c r="LCO40" s="186"/>
      <c r="LCP40" s="186"/>
      <c r="LCQ40" s="187"/>
      <c r="LCR40" s="251"/>
      <c r="LCS40" s="252"/>
      <c r="LCT40" s="175"/>
      <c r="LCU40" s="176"/>
      <c r="LCV40" s="177"/>
      <c r="LCW40" s="176"/>
      <c r="LCX40" s="176"/>
      <c r="LCY40" s="178"/>
      <c r="LCZ40" s="178"/>
      <c r="LDA40" s="179"/>
      <c r="LDB40" s="180"/>
      <c r="LDC40" s="180"/>
      <c r="LDD40" s="180"/>
      <c r="LDE40" s="180"/>
      <c r="LDF40" s="180"/>
      <c r="LDG40" s="180"/>
      <c r="LDH40" s="178"/>
      <c r="LDI40" s="181"/>
      <c r="LDJ40" s="182"/>
      <c r="LDK40" s="182"/>
      <c r="LDL40" s="179"/>
      <c r="LDM40" s="183"/>
      <c r="LDN40" s="184"/>
      <c r="LDO40" s="185"/>
      <c r="LDP40" s="186"/>
      <c r="LDQ40" s="186"/>
      <c r="LDR40" s="186"/>
      <c r="LDS40" s="186"/>
      <c r="LDT40" s="187"/>
      <c r="LDU40" s="251"/>
      <c r="LDV40" s="252"/>
      <c r="LDW40" s="175"/>
      <c r="LDX40" s="176"/>
      <c r="LDY40" s="177"/>
      <c r="LDZ40" s="176"/>
      <c r="LEA40" s="176"/>
      <c r="LEB40" s="178"/>
      <c r="LEC40" s="178"/>
      <c r="LED40" s="179"/>
      <c r="LEE40" s="180"/>
      <c r="LEF40" s="180"/>
      <c r="LEG40" s="180"/>
      <c r="LEH40" s="180"/>
      <c r="LEI40" s="180"/>
      <c r="LEJ40" s="180"/>
      <c r="LEK40" s="178"/>
      <c r="LEL40" s="181"/>
      <c r="LEM40" s="182"/>
      <c r="LEN40" s="182"/>
      <c r="LEO40" s="179"/>
      <c r="LEP40" s="183"/>
      <c r="LEQ40" s="184"/>
      <c r="LER40" s="185"/>
      <c r="LES40" s="186"/>
      <c r="LET40" s="186"/>
      <c r="LEU40" s="186"/>
      <c r="LEV40" s="186"/>
      <c r="LEW40" s="187"/>
      <c r="LEX40" s="251"/>
      <c r="LEY40" s="252"/>
      <c r="LEZ40" s="175"/>
      <c r="LFA40" s="176"/>
      <c r="LFB40" s="177"/>
      <c r="LFC40" s="176"/>
      <c r="LFD40" s="176"/>
      <c r="LFE40" s="178"/>
      <c r="LFF40" s="178"/>
      <c r="LFG40" s="179"/>
      <c r="LFH40" s="180"/>
      <c r="LFI40" s="180"/>
      <c r="LFJ40" s="180"/>
      <c r="LFK40" s="180"/>
      <c r="LFL40" s="180"/>
      <c r="LFM40" s="180"/>
      <c r="LFN40" s="178"/>
      <c r="LFO40" s="181"/>
      <c r="LFP40" s="182"/>
      <c r="LFQ40" s="182"/>
      <c r="LFR40" s="179"/>
      <c r="LFS40" s="183"/>
      <c r="LFT40" s="184"/>
      <c r="LFU40" s="185"/>
      <c r="LFV40" s="186"/>
      <c r="LFW40" s="186"/>
      <c r="LFX40" s="186"/>
      <c r="LFY40" s="186"/>
      <c r="LFZ40" s="187"/>
      <c r="LGA40" s="251"/>
      <c r="LGB40" s="252"/>
      <c r="LGC40" s="175"/>
      <c r="LGD40" s="176"/>
      <c r="LGE40" s="177"/>
      <c r="LGF40" s="176"/>
      <c r="LGG40" s="176"/>
      <c r="LGH40" s="178"/>
      <c r="LGI40" s="178"/>
      <c r="LGJ40" s="179"/>
      <c r="LGK40" s="180"/>
      <c r="LGL40" s="180"/>
      <c r="LGM40" s="180"/>
      <c r="LGN40" s="180"/>
      <c r="LGO40" s="180"/>
      <c r="LGP40" s="180"/>
      <c r="LGQ40" s="178"/>
      <c r="LGR40" s="181"/>
      <c r="LGS40" s="182"/>
      <c r="LGT40" s="182"/>
      <c r="LGU40" s="179"/>
      <c r="LGV40" s="183"/>
      <c r="LGW40" s="184"/>
      <c r="LGX40" s="185"/>
      <c r="LGY40" s="186"/>
      <c r="LGZ40" s="186"/>
      <c r="LHA40" s="186"/>
      <c r="LHB40" s="186"/>
      <c r="LHC40" s="187"/>
      <c r="LHD40" s="251"/>
      <c r="LHE40" s="252"/>
      <c r="LHF40" s="175"/>
      <c r="LHG40" s="176"/>
      <c r="LHH40" s="177"/>
      <c r="LHI40" s="176"/>
      <c r="LHJ40" s="176"/>
      <c r="LHK40" s="178"/>
      <c r="LHL40" s="178"/>
      <c r="LHM40" s="179"/>
      <c r="LHN40" s="180"/>
      <c r="LHO40" s="180"/>
      <c r="LHP40" s="180"/>
      <c r="LHQ40" s="180"/>
      <c r="LHR40" s="180"/>
      <c r="LHS40" s="180"/>
      <c r="LHT40" s="178"/>
      <c r="LHU40" s="181"/>
      <c r="LHV40" s="182"/>
      <c r="LHW40" s="182"/>
      <c r="LHX40" s="179"/>
      <c r="LHY40" s="183"/>
      <c r="LHZ40" s="184"/>
      <c r="LIA40" s="185"/>
      <c r="LIB40" s="186"/>
      <c r="LIC40" s="186"/>
      <c r="LID40" s="186"/>
      <c r="LIE40" s="186"/>
      <c r="LIF40" s="187"/>
      <c r="LIG40" s="251"/>
      <c r="LIH40" s="252"/>
      <c r="LII40" s="175"/>
      <c r="LIJ40" s="176"/>
      <c r="LIK40" s="177"/>
      <c r="LIL40" s="176"/>
      <c r="LIM40" s="176"/>
      <c r="LIN40" s="178"/>
      <c r="LIO40" s="178"/>
      <c r="LIP40" s="179"/>
      <c r="LIQ40" s="180"/>
      <c r="LIR40" s="180"/>
      <c r="LIS40" s="180"/>
      <c r="LIT40" s="180"/>
      <c r="LIU40" s="180"/>
      <c r="LIV40" s="180"/>
      <c r="LIW40" s="178"/>
      <c r="LIX40" s="181"/>
      <c r="LIY40" s="182"/>
      <c r="LIZ40" s="182"/>
      <c r="LJA40" s="179"/>
      <c r="LJB40" s="183"/>
      <c r="LJC40" s="184"/>
      <c r="LJD40" s="185"/>
      <c r="LJE40" s="186"/>
      <c r="LJF40" s="186"/>
      <c r="LJG40" s="186"/>
      <c r="LJH40" s="186"/>
      <c r="LJI40" s="187"/>
      <c r="LJJ40" s="251"/>
      <c r="LJK40" s="252"/>
      <c r="LJL40" s="175"/>
      <c r="LJM40" s="176"/>
      <c r="LJN40" s="177"/>
      <c r="LJO40" s="176"/>
      <c r="LJP40" s="176"/>
      <c r="LJQ40" s="178"/>
      <c r="LJR40" s="178"/>
      <c r="LJS40" s="179"/>
      <c r="LJT40" s="180"/>
      <c r="LJU40" s="180"/>
      <c r="LJV40" s="180"/>
      <c r="LJW40" s="180"/>
      <c r="LJX40" s="180"/>
      <c r="LJY40" s="180"/>
      <c r="LJZ40" s="178"/>
      <c r="LKA40" s="181"/>
      <c r="LKB40" s="182"/>
      <c r="LKC40" s="182"/>
      <c r="LKD40" s="179"/>
      <c r="LKE40" s="183"/>
      <c r="LKF40" s="184"/>
      <c r="LKG40" s="185"/>
      <c r="LKH40" s="186"/>
      <c r="LKI40" s="186"/>
      <c r="LKJ40" s="186"/>
      <c r="LKK40" s="186"/>
      <c r="LKL40" s="187"/>
      <c r="LKM40" s="251"/>
      <c r="LKN40" s="252"/>
      <c r="LKO40" s="175"/>
      <c r="LKP40" s="176"/>
      <c r="LKQ40" s="177"/>
      <c r="LKR40" s="176"/>
      <c r="LKS40" s="176"/>
      <c r="LKT40" s="178"/>
      <c r="LKU40" s="178"/>
      <c r="LKV40" s="179"/>
      <c r="LKW40" s="180"/>
      <c r="LKX40" s="180"/>
      <c r="LKY40" s="180"/>
      <c r="LKZ40" s="180"/>
      <c r="LLA40" s="180"/>
      <c r="LLB40" s="180"/>
      <c r="LLC40" s="178"/>
      <c r="LLD40" s="181"/>
      <c r="LLE40" s="182"/>
      <c r="LLF40" s="182"/>
      <c r="LLG40" s="179"/>
      <c r="LLH40" s="183"/>
      <c r="LLI40" s="184"/>
      <c r="LLJ40" s="185"/>
      <c r="LLK40" s="186"/>
      <c r="LLL40" s="186"/>
      <c r="LLM40" s="186"/>
      <c r="LLN40" s="186"/>
      <c r="LLO40" s="187"/>
      <c r="LLP40" s="251"/>
      <c r="LLQ40" s="252"/>
      <c r="LLR40" s="175"/>
      <c r="LLS40" s="176"/>
      <c r="LLT40" s="177"/>
      <c r="LLU40" s="176"/>
      <c r="LLV40" s="176"/>
      <c r="LLW40" s="178"/>
      <c r="LLX40" s="178"/>
      <c r="LLY40" s="179"/>
      <c r="LLZ40" s="180"/>
      <c r="LMA40" s="180"/>
      <c r="LMB40" s="180"/>
      <c r="LMC40" s="180"/>
      <c r="LMD40" s="180"/>
      <c r="LME40" s="180"/>
      <c r="LMF40" s="178"/>
      <c r="LMG40" s="181"/>
      <c r="LMH40" s="182"/>
      <c r="LMI40" s="182"/>
      <c r="LMJ40" s="179"/>
      <c r="LMK40" s="183"/>
      <c r="LML40" s="184"/>
      <c r="LMM40" s="185"/>
      <c r="LMN40" s="186"/>
      <c r="LMO40" s="186"/>
      <c r="LMP40" s="186"/>
      <c r="LMQ40" s="186"/>
      <c r="LMR40" s="187"/>
      <c r="LMS40" s="251"/>
      <c r="LMT40" s="252"/>
      <c r="LMU40" s="175"/>
      <c r="LMV40" s="176"/>
      <c r="LMW40" s="177"/>
      <c r="LMX40" s="176"/>
      <c r="LMY40" s="176"/>
      <c r="LMZ40" s="178"/>
      <c r="LNA40" s="178"/>
      <c r="LNB40" s="179"/>
      <c r="LNC40" s="180"/>
      <c r="LND40" s="180"/>
      <c r="LNE40" s="180"/>
      <c r="LNF40" s="180"/>
      <c r="LNG40" s="180"/>
      <c r="LNH40" s="180"/>
      <c r="LNI40" s="178"/>
      <c r="LNJ40" s="181"/>
      <c r="LNK40" s="182"/>
      <c r="LNL40" s="182"/>
      <c r="LNM40" s="179"/>
      <c r="LNN40" s="183"/>
      <c r="LNO40" s="184"/>
      <c r="LNP40" s="185"/>
      <c r="LNQ40" s="186"/>
      <c r="LNR40" s="186"/>
      <c r="LNS40" s="186"/>
      <c r="LNT40" s="186"/>
      <c r="LNU40" s="187"/>
      <c r="LNV40" s="251"/>
      <c r="LNW40" s="252"/>
      <c r="LNX40" s="175"/>
      <c r="LNY40" s="176"/>
      <c r="LNZ40" s="177"/>
      <c r="LOA40" s="176"/>
      <c r="LOB40" s="176"/>
      <c r="LOC40" s="178"/>
      <c r="LOD40" s="178"/>
      <c r="LOE40" s="179"/>
      <c r="LOF40" s="180"/>
      <c r="LOG40" s="180"/>
      <c r="LOH40" s="180"/>
      <c r="LOI40" s="180"/>
      <c r="LOJ40" s="180"/>
      <c r="LOK40" s="180"/>
      <c r="LOL40" s="178"/>
      <c r="LOM40" s="181"/>
      <c r="LON40" s="182"/>
      <c r="LOO40" s="182"/>
      <c r="LOP40" s="179"/>
      <c r="LOQ40" s="183"/>
      <c r="LOR40" s="184"/>
      <c r="LOS40" s="185"/>
      <c r="LOT40" s="186"/>
      <c r="LOU40" s="186"/>
      <c r="LOV40" s="186"/>
      <c r="LOW40" s="186"/>
      <c r="LOX40" s="187"/>
      <c r="LOY40" s="251"/>
      <c r="LOZ40" s="252"/>
      <c r="LPA40" s="175"/>
      <c r="LPB40" s="176"/>
      <c r="LPC40" s="177"/>
      <c r="LPD40" s="176"/>
      <c r="LPE40" s="176"/>
      <c r="LPF40" s="178"/>
      <c r="LPG40" s="178"/>
      <c r="LPH40" s="179"/>
      <c r="LPI40" s="180"/>
      <c r="LPJ40" s="180"/>
      <c r="LPK40" s="180"/>
      <c r="LPL40" s="180"/>
      <c r="LPM40" s="180"/>
      <c r="LPN40" s="180"/>
      <c r="LPO40" s="178"/>
      <c r="LPP40" s="181"/>
      <c r="LPQ40" s="182"/>
      <c r="LPR40" s="182"/>
      <c r="LPS40" s="179"/>
      <c r="LPT40" s="183"/>
      <c r="LPU40" s="184"/>
      <c r="LPV40" s="185"/>
      <c r="LPW40" s="186"/>
      <c r="LPX40" s="186"/>
      <c r="LPY40" s="186"/>
      <c r="LPZ40" s="186"/>
      <c r="LQA40" s="187"/>
      <c r="LQB40" s="251"/>
      <c r="LQC40" s="252"/>
      <c r="LQD40" s="175"/>
      <c r="LQE40" s="176"/>
      <c r="LQF40" s="177"/>
      <c r="LQG40" s="176"/>
      <c r="LQH40" s="176"/>
      <c r="LQI40" s="178"/>
      <c r="LQJ40" s="178"/>
      <c r="LQK40" s="179"/>
      <c r="LQL40" s="180"/>
      <c r="LQM40" s="180"/>
      <c r="LQN40" s="180"/>
      <c r="LQO40" s="180"/>
      <c r="LQP40" s="180"/>
      <c r="LQQ40" s="180"/>
      <c r="LQR40" s="178"/>
      <c r="LQS40" s="181"/>
      <c r="LQT40" s="182"/>
      <c r="LQU40" s="182"/>
      <c r="LQV40" s="179"/>
      <c r="LQW40" s="183"/>
      <c r="LQX40" s="184"/>
      <c r="LQY40" s="185"/>
      <c r="LQZ40" s="186"/>
      <c r="LRA40" s="186"/>
      <c r="LRB40" s="186"/>
      <c r="LRC40" s="186"/>
      <c r="LRD40" s="187"/>
      <c r="LRE40" s="251"/>
      <c r="LRF40" s="252"/>
      <c r="LRG40" s="175"/>
      <c r="LRH40" s="176"/>
      <c r="LRI40" s="177"/>
      <c r="LRJ40" s="176"/>
      <c r="LRK40" s="176"/>
      <c r="LRL40" s="178"/>
      <c r="LRM40" s="178"/>
      <c r="LRN40" s="179"/>
      <c r="LRO40" s="180"/>
      <c r="LRP40" s="180"/>
      <c r="LRQ40" s="180"/>
      <c r="LRR40" s="180"/>
      <c r="LRS40" s="180"/>
      <c r="LRT40" s="180"/>
      <c r="LRU40" s="178"/>
      <c r="LRV40" s="181"/>
      <c r="LRW40" s="182"/>
      <c r="LRX40" s="182"/>
      <c r="LRY40" s="179"/>
      <c r="LRZ40" s="183"/>
      <c r="LSA40" s="184"/>
      <c r="LSB40" s="185"/>
      <c r="LSC40" s="186"/>
      <c r="LSD40" s="186"/>
      <c r="LSE40" s="186"/>
      <c r="LSF40" s="186"/>
      <c r="LSG40" s="187"/>
      <c r="LSH40" s="251"/>
      <c r="LSI40" s="252"/>
      <c r="LSJ40" s="175"/>
      <c r="LSK40" s="176"/>
      <c r="LSL40" s="177"/>
      <c r="LSM40" s="176"/>
      <c r="LSN40" s="176"/>
      <c r="LSO40" s="178"/>
      <c r="LSP40" s="178"/>
      <c r="LSQ40" s="179"/>
      <c r="LSR40" s="180"/>
      <c r="LSS40" s="180"/>
      <c r="LST40" s="180"/>
      <c r="LSU40" s="180"/>
      <c r="LSV40" s="180"/>
      <c r="LSW40" s="180"/>
      <c r="LSX40" s="178"/>
      <c r="LSY40" s="181"/>
      <c r="LSZ40" s="182"/>
      <c r="LTA40" s="182"/>
      <c r="LTB40" s="179"/>
      <c r="LTC40" s="183"/>
      <c r="LTD40" s="184"/>
      <c r="LTE40" s="185"/>
      <c r="LTF40" s="186"/>
      <c r="LTG40" s="186"/>
      <c r="LTH40" s="186"/>
      <c r="LTI40" s="186"/>
      <c r="LTJ40" s="187"/>
      <c r="LTK40" s="251"/>
      <c r="LTL40" s="252"/>
      <c r="LTM40" s="175"/>
      <c r="LTN40" s="176"/>
      <c r="LTO40" s="177"/>
      <c r="LTP40" s="176"/>
      <c r="LTQ40" s="176"/>
      <c r="LTR40" s="178"/>
      <c r="LTS40" s="178"/>
      <c r="LTT40" s="179"/>
      <c r="LTU40" s="180"/>
      <c r="LTV40" s="180"/>
      <c r="LTW40" s="180"/>
      <c r="LTX40" s="180"/>
      <c r="LTY40" s="180"/>
      <c r="LTZ40" s="180"/>
      <c r="LUA40" s="178"/>
      <c r="LUB40" s="181"/>
      <c r="LUC40" s="182"/>
      <c r="LUD40" s="182"/>
      <c r="LUE40" s="179"/>
      <c r="LUF40" s="183"/>
      <c r="LUG40" s="184"/>
      <c r="LUH40" s="185"/>
      <c r="LUI40" s="186"/>
      <c r="LUJ40" s="186"/>
      <c r="LUK40" s="186"/>
      <c r="LUL40" s="186"/>
      <c r="LUM40" s="187"/>
      <c r="LUN40" s="251"/>
      <c r="LUO40" s="252"/>
      <c r="LUP40" s="175"/>
      <c r="LUQ40" s="176"/>
      <c r="LUR40" s="177"/>
      <c r="LUS40" s="176"/>
      <c r="LUT40" s="176"/>
      <c r="LUU40" s="178"/>
      <c r="LUV40" s="178"/>
      <c r="LUW40" s="179"/>
      <c r="LUX40" s="180"/>
      <c r="LUY40" s="180"/>
      <c r="LUZ40" s="180"/>
      <c r="LVA40" s="180"/>
      <c r="LVB40" s="180"/>
      <c r="LVC40" s="180"/>
      <c r="LVD40" s="178"/>
      <c r="LVE40" s="181"/>
      <c r="LVF40" s="182"/>
      <c r="LVG40" s="182"/>
      <c r="LVH40" s="179"/>
      <c r="LVI40" s="183"/>
      <c r="LVJ40" s="184"/>
      <c r="LVK40" s="185"/>
      <c r="LVL40" s="186"/>
      <c r="LVM40" s="186"/>
      <c r="LVN40" s="186"/>
      <c r="LVO40" s="186"/>
      <c r="LVP40" s="187"/>
      <c r="LVQ40" s="251"/>
      <c r="LVR40" s="252"/>
      <c r="LVS40" s="175"/>
      <c r="LVT40" s="176"/>
      <c r="LVU40" s="177"/>
      <c r="LVV40" s="176"/>
      <c r="LVW40" s="176"/>
      <c r="LVX40" s="178"/>
      <c r="LVY40" s="178"/>
      <c r="LVZ40" s="179"/>
      <c r="LWA40" s="180"/>
      <c r="LWB40" s="180"/>
      <c r="LWC40" s="180"/>
      <c r="LWD40" s="180"/>
      <c r="LWE40" s="180"/>
      <c r="LWF40" s="180"/>
      <c r="LWG40" s="178"/>
      <c r="LWH40" s="181"/>
      <c r="LWI40" s="182"/>
      <c r="LWJ40" s="182"/>
      <c r="LWK40" s="179"/>
      <c r="LWL40" s="183"/>
      <c r="LWM40" s="184"/>
      <c r="LWN40" s="185"/>
      <c r="LWO40" s="186"/>
      <c r="LWP40" s="186"/>
      <c r="LWQ40" s="186"/>
      <c r="LWR40" s="186"/>
      <c r="LWS40" s="187"/>
      <c r="LWT40" s="251"/>
      <c r="LWU40" s="252"/>
      <c r="LWV40" s="175"/>
      <c r="LWW40" s="176"/>
      <c r="LWX40" s="177"/>
      <c r="LWY40" s="176"/>
      <c r="LWZ40" s="176"/>
      <c r="LXA40" s="178"/>
      <c r="LXB40" s="178"/>
      <c r="LXC40" s="179"/>
      <c r="LXD40" s="180"/>
      <c r="LXE40" s="180"/>
      <c r="LXF40" s="180"/>
      <c r="LXG40" s="180"/>
      <c r="LXH40" s="180"/>
      <c r="LXI40" s="180"/>
      <c r="LXJ40" s="178"/>
      <c r="LXK40" s="181"/>
      <c r="LXL40" s="182"/>
      <c r="LXM40" s="182"/>
      <c r="LXN40" s="179"/>
      <c r="LXO40" s="183"/>
      <c r="LXP40" s="184"/>
      <c r="LXQ40" s="185"/>
      <c r="LXR40" s="186"/>
      <c r="LXS40" s="186"/>
      <c r="LXT40" s="186"/>
      <c r="LXU40" s="186"/>
      <c r="LXV40" s="187"/>
      <c r="LXW40" s="251"/>
      <c r="LXX40" s="252"/>
      <c r="LXY40" s="175"/>
      <c r="LXZ40" s="176"/>
      <c r="LYA40" s="177"/>
      <c r="LYB40" s="176"/>
      <c r="LYC40" s="176"/>
      <c r="LYD40" s="178"/>
      <c r="LYE40" s="178"/>
      <c r="LYF40" s="179"/>
      <c r="LYG40" s="180"/>
      <c r="LYH40" s="180"/>
      <c r="LYI40" s="180"/>
      <c r="LYJ40" s="180"/>
      <c r="LYK40" s="180"/>
      <c r="LYL40" s="180"/>
      <c r="LYM40" s="178"/>
      <c r="LYN40" s="181"/>
      <c r="LYO40" s="182"/>
      <c r="LYP40" s="182"/>
      <c r="LYQ40" s="179"/>
      <c r="LYR40" s="183"/>
      <c r="LYS40" s="184"/>
      <c r="LYT40" s="185"/>
      <c r="LYU40" s="186"/>
      <c r="LYV40" s="186"/>
      <c r="LYW40" s="186"/>
      <c r="LYX40" s="186"/>
      <c r="LYY40" s="187"/>
      <c r="LYZ40" s="251"/>
      <c r="LZA40" s="252"/>
      <c r="LZB40" s="175"/>
      <c r="LZC40" s="176"/>
      <c r="LZD40" s="177"/>
      <c r="LZE40" s="176"/>
      <c r="LZF40" s="176"/>
      <c r="LZG40" s="178"/>
      <c r="LZH40" s="178"/>
      <c r="LZI40" s="179"/>
      <c r="LZJ40" s="180"/>
      <c r="LZK40" s="180"/>
      <c r="LZL40" s="180"/>
      <c r="LZM40" s="180"/>
      <c r="LZN40" s="180"/>
      <c r="LZO40" s="180"/>
      <c r="LZP40" s="178"/>
      <c r="LZQ40" s="181"/>
      <c r="LZR40" s="182"/>
      <c r="LZS40" s="182"/>
      <c r="LZT40" s="179"/>
      <c r="LZU40" s="183"/>
      <c r="LZV40" s="184"/>
      <c r="LZW40" s="185"/>
      <c r="LZX40" s="186"/>
      <c r="LZY40" s="186"/>
      <c r="LZZ40" s="186"/>
      <c r="MAA40" s="186"/>
      <c r="MAB40" s="187"/>
      <c r="MAC40" s="251"/>
      <c r="MAD40" s="252"/>
      <c r="MAE40" s="175"/>
      <c r="MAF40" s="176"/>
      <c r="MAG40" s="177"/>
      <c r="MAH40" s="176"/>
      <c r="MAI40" s="176"/>
      <c r="MAJ40" s="178"/>
      <c r="MAK40" s="178"/>
      <c r="MAL40" s="179"/>
      <c r="MAM40" s="180"/>
      <c r="MAN40" s="180"/>
      <c r="MAO40" s="180"/>
      <c r="MAP40" s="180"/>
      <c r="MAQ40" s="180"/>
      <c r="MAR40" s="180"/>
      <c r="MAS40" s="178"/>
      <c r="MAT40" s="181"/>
      <c r="MAU40" s="182"/>
      <c r="MAV40" s="182"/>
      <c r="MAW40" s="179"/>
      <c r="MAX40" s="183"/>
      <c r="MAY40" s="184"/>
      <c r="MAZ40" s="185"/>
      <c r="MBA40" s="186"/>
      <c r="MBB40" s="186"/>
      <c r="MBC40" s="186"/>
      <c r="MBD40" s="186"/>
      <c r="MBE40" s="187"/>
      <c r="MBF40" s="251"/>
      <c r="MBG40" s="252"/>
      <c r="MBH40" s="175"/>
      <c r="MBI40" s="176"/>
      <c r="MBJ40" s="177"/>
      <c r="MBK40" s="176"/>
      <c r="MBL40" s="176"/>
      <c r="MBM40" s="178"/>
      <c r="MBN40" s="178"/>
      <c r="MBO40" s="179"/>
      <c r="MBP40" s="180"/>
      <c r="MBQ40" s="180"/>
      <c r="MBR40" s="180"/>
      <c r="MBS40" s="180"/>
      <c r="MBT40" s="180"/>
      <c r="MBU40" s="180"/>
      <c r="MBV40" s="178"/>
      <c r="MBW40" s="181"/>
      <c r="MBX40" s="182"/>
      <c r="MBY40" s="182"/>
      <c r="MBZ40" s="179"/>
      <c r="MCA40" s="183"/>
      <c r="MCB40" s="184"/>
      <c r="MCC40" s="185"/>
      <c r="MCD40" s="186"/>
      <c r="MCE40" s="186"/>
      <c r="MCF40" s="186"/>
      <c r="MCG40" s="186"/>
      <c r="MCH40" s="187"/>
      <c r="MCI40" s="251"/>
      <c r="MCJ40" s="252"/>
      <c r="MCK40" s="175"/>
      <c r="MCL40" s="176"/>
      <c r="MCM40" s="177"/>
      <c r="MCN40" s="176"/>
      <c r="MCO40" s="176"/>
      <c r="MCP40" s="178"/>
      <c r="MCQ40" s="178"/>
      <c r="MCR40" s="179"/>
      <c r="MCS40" s="180"/>
      <c r="MCT40" s="180"/>
      <c r="MCU40" s="180"/>
      <c r="MCV40" s="180"/>
      <c r="MCW40" s="180"/>
      <c r="MCX40" s="180"/>
      <c r="MCY40" s="178"/>
      <c r="MCZ40" s="181"/>
      <c r="MDA40" s="182"/>
      <c r="MDB40" s="182"/>
      <c r="MDC40" s="179"/>
      <c r="MDD40" s="183"/>
      <c r="MDE40" s="184"/>
      <c r="MDF40" s="185"/>
      <c r="MDG40" s="186"/>
      <c r="MDH40" s="186"/>
      <c r="MDI40" s="186"/>
      <c r="MDJ40" s="186"/>
      <c r="MDK40" s="187"/>
      <c r="MDL40" s="251"/>
      <c r="MDM40" s="252"/>
      <c r="MDN40" s="175"/>
      <c r="MDO40" s="176"/>
      <c r="MDP40" s="177"/>
      <c r="MDQ40" s="176"/>
      <c r="MDR40" s="176"/>
      <c r="MDS40" s="178"/>
      <c r="MDT40" s="178"/>
      <c r="MDU40" s="179"/>
      <c r="MDV40" s="180"/>
      <c r="MDW40" s="180"/>
      <c r="MDX40" s="180"/>
      <c r="MDY40" s="180"/>
      <c r="MDZ40" s="180"/>
      <c r="MEA40" s="180"/>
      <c r="MEB40" s="178"/>
      <c r="MEC40" s="181"/>
      <c r="MED40" s="182"/>
      <c r="MEE40" s="182"/>
      <c r="MEF40" s="179"/>
      <c r="MEG40" s="183"/>
      <c r="MEH40" s="184"/>
      <c r="MEI40" s="185"/>
      <c r="MEJ40" s="186"/>
      <c r="MEK40" s="186"/>
      <c r="MEL40" s="186"/>
      <c r="MEM40" s="186"/>
      <c r="MEN40" s="187"/>
      <c r="MEO40" s="251"/>
      <c r="MEP40" s="252"/>
      <c r="MEQ40" s="175"/>
      <c r="MER40" s="176"/>
      <c r="MES40" s="177"/>
      <c r="MET40" s="176"/>
      <c r="MEU40" s="176"/>
      <c r="MEV40" s="178"/>
      <c r="MEW40" s="178"/>
      <c r="MEX40" s="179"/>
      <c r="MEY40" s="180"/>
      <c r="MEZ40" s="180"/>
      <c r="MFA40" s="180"/>
      <c r="MFB40" s="180"/>
      <c r="MFC40" s="180"/>
      <c r="MFD40" s="180"/>
      <c r="MFE40" s="178"/>
      <c r="MFF40" s="181"/>
      <c r="MFG40" s="182"/>
      <c r="MFH40" s="182"/>
      <c r="MFI40" s="179"/>
      <c r="MFJ40" s="183"/>
      <c r="MFK40" s="184"/>
      <c r="MFL40" s="185"/>
      <c r="MFM40" s="186"/>
      <c r="MFN40" s="186"/>
      <c r="MFO40" s="186"/>
      <c r="MFP40" s="186"/>
      <c r="MFQ40" s="187"/>
      <c r="MFR40" s="251"/>
      <c r="MFS40" s="252"/>
      <c r="MFT40" s="175"/>
      <c r="MFU40" s="176"/>
      <c r="MFV40" s="177"/>
      <c r="MFW40" s="176"/>
      <c r="MFX40" s="176"/>
      <c r="MFY40" s="178"/>
      <c r="MFZ40" s="178"/>
      <c r="MGA40" s="179"/>
      <c r="MGB40" s="180"/>
      <c r="MGC40" s="180"/>
      <c r="MGD40" s="180"/>
      <c r="MGE40" s="180"/>
      <c r="MGF40" s="180"/>
      <c r="MGG40" s="180"/>
      <c r="MGH40" s="178"/>
      <c r="MGI40" s="181"/>
      <c r="MGJ40" s="182"/>
      <c r="MGK40" s="182"/>
      <c r="MGL40" s="179"/>
      <c r="MGM40" s="183"/>
      <c r="MGN40" s="184"/>
      <c r="MGO40" s="185"/>
      <c r="MGP40" s="186"/>
      <c r="MGQ40" s="186"/>
      <c r="MGR40" s="186"/>
      <c r="MGS40" s="186"/>
      <c r="MGT40" s="187"/>
      <c r="MGU40" s="251"/>
      <c r="MGV40" s="252"/>
      <c r="MGW40" s="175"/>
      <c r="MGX40" s="176"/>
      <c r="MGY40" s="177"/>
      <c r="MGZ40" s="176"/>
      <c r="MHA40" s="176"/>
      <c r="MHB40" s="178"/>
      <c r="MHC40" s="178"/>
      <c r="MHD40" s="179"/>
      <c r="MHE40" s="180"/>
      <c r="MHF40" s="180"/>
      <c r="MHG40" s="180"/>
      <c r="MHH40" s="180"/>
      <c r="MHI40" s="180"/>
      <c r="MHJ40" s="180"/>
      <c r="MHK40" s="178"/>
      <c r="MHL40" s="181"/>
      <c r="MHM40" s="182"/>
      <c r="MHN40" s="182"/>
      <c r="MHO40" s="179"/>
      <c r="MHP40" s="183"/>
      <c r="MHQ40" s="184"/>
      <c r="MHR40" s="185"/>
      <c r="MHS40" s="186"/>
      <c r="MHT40" s="186"/>
      <c r="MHU40" s="186"/>
      <c r="MHV40" s="186"/>
      <c r="MHW40" s="187"/>
      <c r="MHX40" s="251"/>
      <c r="MHY40" s="252"/>
      <c r="MHZ40" s="175"/>
      <c r="MIA40" s="176"/>
      <c r="MIB40" s="177"/>
      <c r="MIC40" s="176"/>
      <c r="MID40" s="176"/>
      <c r="MIE40" s="178"/>
      <c r="MIF40" s="178"/>
      <c r="MIG40" s="179"/>
      <c r="MIH40" s="180"/>
      <c r="MII40" s="180"/>
      <c r="MIJ40" s="180"/>
      <c r="MIK40" s="180"/>
      <c r="MIL40" s="180"/>
      <c r="MIM40" s="180"/>
      <c r="MIN40" s="178"/>
      <c r="MIO40" s="181"/>
      <c r="MIP40" s="182"/>
      <c r="MIQ40" s="182"/>
      <c r="MIR40" s="179"/>
      <c r="MIS40" s="183"/>
      <c r="MIT40" s="184"/>
      <c r="MIU40" s="185"/>
      <c r="MIV40" s="186"/>
      <c r="MIW40" s="186"/>
      <c r="MIX40" s="186"/>
      <c r="MIY40" s="186"/>
      <c r="MIZ40" s="187"/>
      <c r="MJA40" s="251"/>
      <c r="MJB40" s="252"/>
      <c r="MJC40" s="175"/>
      <c r="MJD40" s="176"/>
      <c r="MJE40" s="177"/>
      <c r="MJF40" s="176"/>
      <c r="MJG40" s="176"/>
      <c r="MJH40" s="178"/>
      <c r="MJI40" s="178"/>
      <c r="MJJ40" s="179"/>
      <c r="MJK40" s="180"/>
      <c r="MJL40" s="180"/>
      <c r="MJM40" s="180"/>
      <c r="MJN40" s="180"/>
      <c r="MJO40" s="180"/>
      <c r="MJP40" s="180"/>
      <c r="MJQ40" s="178"/>
      <c r="MJR40" s="181"/>
      <c r="MJS40" s="182"/>
      <c r="MJT40" s="182"/>
      <c r="MJU40" s="179"/>
      <c r="MJV40" s="183"/>
      <c r="MJW40" s="184"/>
      <c r="MJX40" s="185"/>
      <c r="MJY40" s="186"/>
      <c r="MJZ40" s="186"/>
      <c r="MKA40" s="186"/>
      <c r="MKB40" s="186"/>
      <c r="MKC40" s="187"/>
      <c r="MKD40" s="251"/>
      <c r="MKE40" s="252"/>
      <c r="MKF40" s="175"/>
      <c r="MKG40" s="176"/>
      <c r="MKH40" s="177"/>
      <c r="MKI40" s="176"/>
      <c r="MKJ40" s="176"/>
      <c r="MKK40" s="178"/>
      <c r="MKL40" s="178"/>
      <c r="MKM40" s="179"/>
      <c r="MKN40" s="180"/>
      <c r="MKO40" s="180"/>
      <c r="MKP40" s="180"/>
      <c r="MKQ40" s="180"/>
      <c r="MKR40" s="180"/>
      <c r="MKS40" s="180"/>
      <c r="MKT40" s="178"/>
      <c r="MKU40" s="181"/>
      <c r="MKV40" s="182"/>
      <c r="MKW40" s="182"/>
      <c r="MKX40" s="179"/>
      <c r="MKY40" s="183"/>
      <c r="MKZ40" s="184"/>
      <c r="MLA40" s="185"/>
      <c r="MLB40" s="186"/>
      <c r="MLC40" s="186"/>
      <c r="MLD40" s="186"/>
      <c r="MLE40" s="186"/>
      <c r="MLF40" s="187"/>
      <c r="MLG40" s="251"/>
      <c r="MLH40" s="252"/>
      <c r="MLI40" s="175"/>
      <c r="MLJ40" s="176"/>
      <c r="MLK40" s="177"/>
      <c r="MLL40" s="176"/>
      <c r="MLM40" s="176"/>
      <c r="MLN40" s="178"/>
      <c r="MLO40" s="178"/>
      <c r="MLP40" s="179"/>
      <c r="MLQ40" s="180"/>
      <c r="MLR40" s="180"/>
      <c r="MLS40" s="180"/>
      <c r="MLT40" s="180"/>
      <c r="MLU40" s="180"/>
      <c r="MLV40" s="180"/>
      <c r="MLW40" s="178"/>
      <c r="MLX40" s="181"/>
      <c r="MLY40" s="182"/>
      <c r="MLZ40" s="182"/>
      <c r="MMA40" s="179"/>
      <c r="MMB40" s="183"/>
      <c r="MMC40" s="184"/>
      <c r="MMD40" s="185"/>
      <c r="MME40" s="186"/>
      <c r="MMF40" s="186"/>
      <c r="MMG40" s="186"/>
      <c r="MMH40" s="186"/>
      <c r="MMI40" s="187"/>
      <c r="MMJ40" s="251"/>
      <c r="MMK40" s="252"/>
      <c r="MML40" s="175"/>
      <c r="MMM40" s="176"/>
      <c r="MMN40" s="177"/>
      <c r="MMO40" s="176"/>
      <c r="MMP40" s="176"/>
      <c r="MMQ40" s="178"/>
      <c r="MMR40" s="178"/>
      <c r="MMS40" s="179"/>
      <c r="MMT40" s="180"/>
      <c r="MMU40" s="180"/>
      <c r="MMV40" s="180"/>
      <c r="MMW40" s="180"/>
      <c r="MMX40" s="180"/>
      <c r="MMY40" s="180"/>
      <c r="MMZ40" s="178"/>
      <c r="MNA40" s="181"/>
      <c r="MNB40" s="182"/>
      <c r="MNC40" s="182"/>
      <c r="MND40" s="179"/>
      <c r="MNE40" s="183"/>
      <c r="MNF40" s="184"/>
      <c r="MNG40" s="185"/>
      <c r="MNH40" s="186"/>
      <c r="MNI40" s="186"/>
      <c r="MNJ40" s="186"/>
      <c r="MNK40" s="186"/>
      <c r="MNL40" s="187"/>
      <c r="MNM40" s="251"/>
      <c r="MNN40" s="252"/>
      <c r="MNO40" s="175"/>
      <c r="MNP40" s="176"/>
      <c r="MNQ40" s="177"/>
      <c r="MNR40" s="176"/>
      <c r="MNS40" s="176"/>
      <c r="MNT40" s="178"/>
      <c r="MNU40" s="178"/>
      <c r="MNV40" s="179"/>
      <c r="MNW40" s="180"/>
      <c r="MNX40" s="180"/>
      <c r="MNY40" s="180"/>
      <c r="MNZ40" s="180"/>
      <c r="MOA40" s="180"/>
      <c r="MOB40" s="180"/>
      <c r="MOC40" s="178"/>
      <c r="MOD40" s="181"/>
      <c r="MOE40" s="182"/>
      <c r="MOF40" s="182"/>
      <c r="MOG40" s="179"/>
      <c r="MOH40" s="183"/>
      <c r="MOI40" s="184"/>
      <c r="MOJ40" s="185"/>
      <c r="MOK40" s="186"/>
      <c r="MOL40" s="186"/>
      <c r="MOM40" s="186"/>
      <c r="MON40" s="186"/>
      <c r="MOO40" s="187"/>
      <c r="MOP40" s="251"/>
      <c r="MOQ40" s="252"/>
      <c r="MOR40" s="175"/>
      <c r="MOS40" s="176"/>
      <c r="MOT40" s="177"/>
      <c r="MOU40" s="176"/>
      <c r="MOV40" s="176"/>
      <c r="MOW40" s="178"/>
      <c r="MOX40" s="178"/>
      <c r="MOY40" s="179"/>
      <c r="MOZ40" s="180"/>
      <c r="MPA40" s="180"/>
      <c r="MPB40" s="180"/>
      <c r="MPC40" s="180"/>
      <c r="MPD40" s="180"/>
      <c r="MPE40" s="180"/>
      <c r="MPF40" s="178"/>
      <c r="MPG40" s="181"/>
      <c r="MPH40" s="182"/>
      <c r="MPI40" s="182"/>
      <c r="MPJ40" s="179"/>
      <c r="MPK40" s="183"/>
      <c r="MPL40" s="184"/>
      <c r="MPM40" s="185"/>
      <c r="MPN40" s="186"/>
      <c r="MPO40" s="186"/>
      <c r="MPP40" s="186"/>
      <c r="MPQ40" s="186"/>
      <c r="MPR40" s="187"/>
      <c r="MPS40" s="251"/>
      <c r="MPT40" s="252"/>
      <c r="MPU40" s="175"/>
      <c r="MPV40" s="176"/>
      <c r="MPW40" s="177"/>
      <c r="MPX40" s="176"/>
      <c r="MPY40" s="176"/>
      <c r="MPZ40" s="178"/>
      <c r="MQA40" s="178"/>
      <c r="MQB40" s="179"/>
      <c r="MQC40" s="180"/>
      <c r="MQD40" s="180"/>
      <c r="MQE40" s="180"/>
      <c r="MQF40" s="180"/>
      <c r="MQG40" s="180"/>
      <c r="MQH40" s="180"/>
      <c r="MQI40" s="178"/>
      <c r="MQJ40" s="181"/>
      <c r="MQK40" s="182"/>
      <c r="MQL40" s="182"/>
      <c r="MQM40" s="179"/>
      <c r="MQN40" s="183"/>
      <c r="MQO40" s="184"/>
      <c r="MQP40" s="185"/>
      <c r="MQQ40" s="186"/>
      <c r="MQR40" s="186"/>
      <c r="MQS40" s="186"/>
      <c r="MQT40" s="186"/>
      <c r="MQU40" s="187"/>
      <c r="MQV40" s="251"/>
      <c r="MQW40" s="252"/>
      <c r="MQX40" s="175"/>
      <c r="MQY40" s="176"/>
      <c r="MQZ40" s="177"/>
      <c r="MRA40" s="176"/>
      <c r="MRB40" s="176"/>
      <c r="MRC40" s="178"/>
      <c r="MRD40" s="178"/>
      <c r="MRE40" s="179"/>
      <c r="MRF40" s="180"/>
      <c r="MRG40" s="180"/>
      <c r="MRH40" s="180"/>
      <c r="MRI40" s="180"/>
      <c r="MRJ40" s="180"/>
      <c r="MRK40" s="180"/>
      <c r="MRL40" s="178"/>
      <c r="MRM40" s="181"/>
      <c r="MRN40" s="182"/>
      <c r="MRO40" s="182"/>
      <c r="MRP40" s="179"/>
      <c r="MRQ40" s="183"/>
      <c r="MRR40" s="184"/>
      <c r="MRS40" s="185"/>
      <c r="MRT40" s="186"/>
      <c r="MRU40" s="186"/>
      <c r="MRV40" s="186"/>
      <c r="MRW40" s="186"/>
      <c r="MRX40" s="187"/>
      <c r="MRY40" s="251"/>
      <c r="MRZ40" s="252"/>
      <c r="MSA40" s="175"/>
      <c r="MSB40" s="176"/>
      <c r="MSC40" s="177"/>
      <c r="MSD40" s="176"/>
      <c r="MSE40" s="176"/>
      <c r="MSF40" s="178"/>
      <c r="MSG40" s="178"/>
      <c r="MSH40" s="179"/>
      <c r="MSI40" s="180"/>
      <c r="MSJ40" s="180"/>
      <c r="MSK40" s="180"/>
      <c r="MSL40" s="180"/>
      <c r="MSM40" s="180"/>
      <c r="MSN40" s="180"/>
      <c r="MSO40" s="178"/>
      <c r="MSP40" s="181"/>
      <c r="MSQ40" s="182"/>
      <c r="MSR40" s="182"/>
      <c r="MSS40" s="179"/>
      <c r="MST40" s="183"/>
      <c r="MSU40" s="184"/>
      <c r="MSV40" s="185"/>
      <c r="MSW40" s="186"/>
      <c r="MSX40" s="186"/>
      <c r="MSY40" s="186"/>
      <c r="MSZ40" s="186"/>
      <c r="MTA40" s="187"/>
      <c r="MTB40" s="251"/>
      <c r="MTC40" s="252"/>
      <c r="MTD40" s="175"/>
      <c r="MTE40" s="176"/>
      <c r="MTF40" s="177"/>
      <c r="MTG40" s="176"/>
      <c r="MTH40" s="176"/>
      <c r="MTI40" s="178"/>
      <c r="MTJ40" s="178"/>
      <c r="MTK40" s="179"/>
      <c r="MTL40" s="180"/>
      <c r="MTM40" s="180"/>
      <c r="MTN40" s="180"/>
      <c r="MTO40" s="180"/>
      <c r="MTP40" s="180"/>
      <c r="MTQ40" s="180"/>
      <c r="MTR40" s="178"/>
      <c r="MTS40" s="181"/>
      <c r="MTT40" s="182"/>
      <c r="MTU40" s="182"/>
      <c r="MTV40" s="179"/>
      <c r="MTW40" s="183"/>
      <c r="MTX40" s="184"/>
      <c r="MTY40" s="185"/>
      <c r="MTZ40" s="186"/>
      <c r="MUA40" s="186"/>
      <c r="MUB40" s="186"/>
      <c r="MUC40" s="186"/>
      <c r="MUD40" s="187"/>
      <c r="MUE40" s="251"/>
      <c r="MUF40" s="252"/>
      <c r="MUG40" s="175"/>
      <c r="MUH40" s="176"/>
      <c r="MUI40" s="177"/>
      <c r="MUJ40" s="176"/>
      <c r="MUK40" s="176"/>
      <c r="MUL40" s="178"/>
      <c r="MUM40" s="178"/>
      <c r="MUN40" s="179"/>
      <c r="MUO40" s="180"/>
      <c r="MUP40" s="180"/>
      <c r="MUQ40" s="180"/>
      <c r="MUR40" s="180"/>
      <c r="MUS40" s="180"/>
      <c r="MUT40" s="180"/>
      <c r="MUU40" s="178"/>
      <c r="MUV40" s="181"/>
      <c r="MUW40" s="182"/>
      <c r="MUX40" s="182"/>
      <c r="MUY40" s="179"/>
      <c r="MUZ40" s="183"/>
      <c r="MVA40" s="184"/>
      <c r="MVB40" s="185"/>
      <c r="MVC40" s="186"/>
      <c r="MVD40" s="186"/>
      <c r="MVE40" s="186"/>
      <c r="MVF40" s="186"/>
      <c r="MVG40" s="187"/>
      <c r="MVH40" s="251"/>
      <c r="MVI40" s="252"/>
      <c r="MVJ40" s="175"/>
      <c r="MVK40" s="176"/>
      <c r="MVL40" s="177"/>
      <c r="MVM40" s="176"/>
      <c r="MVN40" s="176"/>
      <c r="MVO40" s="178"/>
      <c r="MVP40" s="178"/>
      <c r="MVQ40" s="179"/>
      <c r="MVR40" s="180"/>
      <c r="MVS40" s="180"/>
      <c r="MVT40" s="180"/>
      <c r="MVU40" s="180"/>
      <c r="MVV40" s="180"/>
      <c r="MVW40" s="180"/>
      <c r="MVX40" s="178"/>
      <c r="MVY40" s="181"/>
      <c r="MVZ40" s="182"/>
      <c r="MWA40" s="182"/>
      <c r="MWB40" s="179"/>
      <c r="MWC40" s="183"/>
      <c r="MWD40" s="184"/>
      <c r="MWE40" s="185"/>
      <c r="MWF40" s="186"/>
      <c r="MWG40" s="186"/>
      <c r="MWH40" s="186"/>
      <c r="MWI40" s="186"/>
      <c r="MWJ40" s="187"/>
      <c r="MWK40" s="251"/>
      <c r="MWL40" s="252"/>
      <c r="MWM40" s="175"/>
      <c r="MWN40" s="176"/>
      <c r="MWO40" s="177"/>
      <c r="MWP40" s="176"/>
      <c r="MWQ40" s="176"/>
      <c r="MWR40" s="178"/>
      <c r="MWS40" s="178"/>
      <c r="MWT40" s="179"/>
      <c r="MWU40" s="180"/>
      <c r="MWV40" s="180"/>
      <c r="MWW40" s="180"/>
      <c r="MWX40" s="180"/>
      <c r="MWY40" s="180"/>
      <c r="MWZ40" s="180"/>
      <c r="MXA40" s="178"/>
      <c r="MXB40" s="181"/>
      <c r="MXC40" s="182"/>
      <c r="MXD40" s="182"/>
      <c r="MXE40" s="179"/>
      <c r="MXF40" s="183"/>
      <c r="MXG40" s="184"/>
      <c r="MXH40" s="185"/>
      <c r="MXI40" s="186"/>
      <c r="MXJ40" s="186"/>
      <c r="MXK40" s="186"/>
      <c r="MXL40" s="186"/>
      <c r="MXM40" s="187"/>
      <c r="MXN40" s="251"/>
      <c r="MXO40" s="252"/>
      <c r="MXP40" s="175"/>
      <c r="MXQ40" s="176"/>
      <c r="MXR40" s="177"/>
      <c r="MXS40" s="176"/>
      <c r="MXT40" s="176"/>
      <c r="MXU40" s="178"/>
      <c r="MXV40" s="178"/>
      <c r="MXW40" s="179"/>
      <c r="MXX40" s="180"/>
      <c r="MXY40" s="180"/>
      <c r="MXZ40" s="180"/>
      <c r="MYA40" s="180"/>
      <c r="MYB40" s="180"/>
      <c r="MYC40" s="180"/>
      <c r="MYD40" s="178"/>
      <c r="MYE40" s="181"/>
      <c r="MYF40" s="182"/>
      <c r="MYG40" s="182"/>
      <c r="MYH40" s="179"/>
      <c r="MYI40" s="183"/>
      <c r="MYJ40" s="184"/>
      <c r="MYK40" s="185"/>
      <c r="MYL40" s="186"/>
      <c r="MYM40" s="186"/>
      <c r="MYN40" s="186"/>
      <c r="MYO40" s="186"/>
      <c r="MYP40" s="187"/>
      <c r="MYQ40" s="251"/>
      <c r="MYR40" s="252"/>
      <c r="MYS40" s="175"/>
      <c r="MYT40" s="176"/>
      <c r="MYU40" s="177"/>
      <c r="MYV40" s="176"/>
      <c r="MYW40" s="176"/>
      <c r="MYX40" s="178"/>
      <c r="MYY40" s="178"/>
      <c r="MYZ40" s="179"/>
      <c r="MZA40" s="180"/>
      <c r="MZB40" s="180"/>
      <c r="MZC40" s="180"/>
      <c r="MZD40" s="180"/>
      <c r="MZE40" s="180"/>
      <c r="MZF40" s="180"/>
      <c r="MZG40" s="178"/>
      <c r="MZH40" s="181"/>
      <c r="MZI40" s="182"/>
      <c r="MZJ40" s="182"/>
      <c r="MZK40" s="179"/>
      <c r="MZL40" s="183"/>
      <c r="MZM40" s="184"/>
      <c r="MZN40" s="185"/>
      <c r="MZO40" s="186"/>
      <c r="MZP40" s="186"/>
      <c r="MZQ40" s="186"/>
      <c r="MZR40" s="186"/>
      <c r="MZS40" s="187"/>
      <c r="MZT40" s="251"/>
      <c r="MZU40" s="252"/>
      <c r="MZV40" s="175"/>
      <c r="MZW40" s="176"/>
      <c r="MZX40" s="177"/>
      <c r="MZY40" s="176"/>
      <c r="MZZ40" s="176"/>
      <c r="NAA40" s="178"/>
      <c r="NAB40" s="178"/>
      <c r="NAC40" s="179"/>
      <c r="NAD40" s="180"/>
      <c r="NAE40" s="180"/>
      <c r="NAF40" s="180"/>
      <c r="NAG40" s="180"/>
      <c r="NAH40" s="180"/>
      <c r="NAI40" s="180"/>
      <c r="NAJ40" s="178"/>
      <c r="NAK40" s="181"/>
      <c r="NAL40" s="182"/>
      <c r="NAM40" s="182"/>
      <c r="NAN40" s="179"/>
      <c r="NAO40" s="183"/>
      <c r="NAP40" s="184"/>
      <c r="NAQ40" s="185"/>
      <c r="NAR40" s="186"/>
      <c r="NAS40" s="186"/>
      <c r="NAT40" s="186"/>
      <c r="NAU40" s="186"/>
      <c r="NAV40" s="187"/>
      <c r="NAW40" s="251"/>
      <c r="NAX40" s="252"/>
      <c r="NAY40" s="175"/>
      <c r="NAZ40" s="176"/>
      <c r="NBA40" s="177"/>
      <c r="NBB40" s="176"/>
      <c r="NBC40" s="176"/>
      <c r="NBD40" s="178"/>
      <c r="NBE40" s="178"/>
      <c r="NBF40" s="179"/>
      <c r="NBG40" s="180"/>
      <c r="NBH40" s="180"/>
      <c r="NBI40" s="180"/>
      <c r="NBJ40" s="180"/>
      <c r="NBK40" s="180"/>
      <c r="NBL40" s="180"/>
      <c r="NBM40" s="178"/>
      <c r="NBN40" s="181"/>
      <c r="NBO40" s="182"/>
      <c r="NBP40" s="182"/>
      <c r="NBQ40" s="179"/>
      <c r="NBR40" s="183"/>
      <c r="NBS40" s="184"/>
      <c r="NBT40" s="185"/>
      <c r="NBU40" s="186"/>
      <c r="NBV40" s="186"/>
      <c r="NBW40" s="186"/>
      <c r="NBX40" s="186"/>
      <c r="NBY40" s="187"/>
      <c r="NBZ40" s="251"/>
      <c r="NCA40" s="252"/>
      <c r="NCB40" s="175"/>
      <c r="NCC40" s="176"/>
      <c r="NCD40" s="177"/>
      <c r="NCE40" s="176"/>
      <c r="NCF40" s="176"/>
      <c r="NCG40" s="178"/>
      <c r="NCH40" s="178"/>
      <c r="NCI40" s="179"/>
      <c r="NCJ40" s="180"/>
      <c r="NCK40" s="180"/>
      <c r="NCL40" s="180"/>
      <c r="NCM40" s="180"/>
      <c r="NCN40" s="180"/>
      <c r="NCO40" s="180"/>
      <c r="NCP40" s="178"/>
      <c r="NCQ40" s="181"/>
      <c r="NCR40" s="182"/>
      <c r="NCS40" s="182"/>
      <c r="NCT40" s="179"/>
      <c r="NCU40" s="183"/>
      <c r="NCV40" s="184"/>
      <c r="NCW40" s="185"/>
      <c r="NCX40" s="186"/>
      <c r="NCY40" s="186"/>
      <c r="NCZ40" s="186"/>
      <c r="NDA40" s="186"/>
      <c r="NDB40" s="187"/>
      <c r="NDC40" s="251"/>
      <c r="NDD40" s="252"/>
      <c r="NDE40" s="175"/>
      <c r="NDF40" s="176"/>
      <c r="NDG40" s="177"/>
      <c r="NDH40" s="176"/>
      <c r="NDI40" s="176"/>
      <c r="NDJ40" s="178"/>
      <c r="NDK40" s="178"/>
      <c r="NDL40" s="179"/>
      <c r="NDM40" s="180"/>
      <c r="NDN40" s="180"/>
      <c r="NDO40" s="180"/>
      <c r="NDP40" s="180"/>
      <c r="NDQ40" s="180"/>
      <c r="NDR40" s="180"/>
      <c r="NDS40" s="178"/>
      <c r="NDT40" s="181"/>
      <c r="NDU40" s="182"/>
      <c r="NDV40" s="182"/>
      <c r="NDW40" s="179"/>
      <c r="NDX40" s="183"/>
      <c r="NDY40" s="184"/>
      <c r="NDZ40" s="185"/>
      <c r="NEA40" s="186"/>
      <c r="NEB40" s="186"/>
      <c r="NEC40" s="186"/>
      <c r="NED40" s="186"/>
      <c r="NEE40" s="187"/>
      <c r="NEF40" s="251"/>
      <c r="NEG40" s="252"/>
      <c r="NEH40" s="175"/>
      <c r="NEI40" s="176"/>
      <c r="NEJ40" s="177"/>
      <c r="NEK40" s="176"/>
      <c r="NEL40" s="176"/>
      <c r="NEM40" s="178"/>
      <c r="NEN40" s="178"/>
      <c r="NEO40" s="179"/>
      <c r="NEP40" s="180"/>
      <c r="NEQ40" s="180"/>
      <c r="NER40" s="180"/>
      <c r="NES40" s="180"/>
      <c r="NET40" s="180"/>
      <c r="NEU40" s="180"/>
      <c r="NEV40" s="178"/>
      <c r="NEW40" s="181"/>
      <c r="NEX40" s="182"/>
      <c r="NEY40" s="182"/>
      <c r="NEZ40" s="179"/>
      <c r="NFA40" s="183"/>
      <c r="NFB40" s="184"/>
      <c r="NFC40" s="185"/>
      <c r="NFD40" s="186"/>
      <c r="NFE40" s="186"/>
      <c r="NFF40" s="186"/>
      <c r="NFG40" s="186"/>
      <c r="NFH40" s="187"/>
      <c r="NFI40" s="251"/>
      <c r="NFJ40" s="252"/>
      <c r="NFK40" s="175"/>
      <c r="NFL40" s="176"/>
      <c r="NFM40" s="177"/>
      <c r="NFN40" s="176"/>
      <c r="NFO40" s="176"/>
      <c r="NFP40" s="178"/>
      <c r="NFQ40" s="178"/>
      <c r="NFR40" s="179"/>
      <c r="NFS40" s="180"/>
      <c r="NFT40" s="180"/>
      <c r="NFU40" s="180"/>
      <c r="NFV40" s="180"/>
      <c r="NFW40" s="180"/>
      <c r="NFX40" s="180"/>
      <c r="NFY40" s="178"/>
      <c r="NFZ40" s="181"/>
      <c r="NGA40" s="182"/>
      <c r="NGB40" s="182"/>
      <c r="NGC40" s="179"/>
      <c r="NGD40" s="183"/>
      <c r="NGE40" s="184"/>
      <c r="NGF40" s="185"/>
      <c r="NGG40" s="186"/>
      <c r="NGH40" s="186"/>
      <c r="NGI40" s="186"/>
      <c r="NGJ40" s="186"/>
      <c r="NGK40" s="187"/>
      <c r="NGL40" s="251"/>
      <c r="NGM40" s="252"/>
      <c r="NGN40" s="175"/>
      <c r="NGO40" s="176"/>
      <c r="NGP40" s="177"/>
      <c r="NGQ40" s="176"/>
      <c r="NGR40" s="176"/>
      <c r="NGS40" s="178"/>
      <c r="NGT40" s="178"/>
      <c r="NGU40" s="179"/>
      <c r="NGV40" s="180"/>
      <c r="NGW40" s="180"/>
      <c r="NGX40" s="180"/>
      <c r="NGY40" s="180"/>
      <c r="NGZ40" s="180"/>
      <c r="NHA40" s="180"/>
      <c r="NHB40" s="178"/>
      <c r="NHC40" s="181"/>
      <c r="NHD40" s="182"/>
      <c r="NHE40" s="182"/>
      <c r="NHF40" s="179"/>
      <c r="NHG40" s="183"/>
      <c r="NHH40" s="184"/>
      <c r="NHI40" s="185"/>
      <c r="NHJ40" s="186"/>
      <c r="NHK40" s="186"/>
      <c r="NHL40" s="186"/>
      <c r="NHM40" s="186"/>
      <c r="NHN40" s="187"/>
      <c r="NHO40" s="251"/>
      <c r="NHP40" s="252"/>
      <c r="NHQ40" s="175"/>
      <c r="NHR40" s="176"/>
      <c r="NHS40" s="177"/>
      <c r="NHT40" s="176"/>
      <c r="NHU40" s="176"/>
      <c r="NHV40" s="178"/>
      <c r="NHW40" s="178"/>
      <c r="NHX40" s="179"/>
      <c r="NHY40" s="180"/>
      <c r="NHZ40" s="180"/>
      <c r="NIA40" s="180"/>
      <c r="NIB40" s="180"/>
      <c r="NIC40" s="180"/>
      <c r="NID40" s="180"/>
      <c r="NIE40" s="178"/>
      <c r="NIF40" s="181"/>
      <c r="NIG40" s="182"/>
      <c r="NIH40" s="182"/>
      <c r="NII40" s="179"/>
      <c r="NIJ40" s="183"/>
      <c r="NIK40" s="184"/>
      <c r="NIL40" s="185"/>
      <c r="NIM40" s="186"/>
      <c r="NIN40" s="186"/>
      <c r="NIO40" s="186"/>
      <c r="NIP40" s="186"/>
      <c r="NIQ40" s="187"/>
      <c r="NIR40" s="251"/>
      <c r="NIS40" s="252"/>
      <c r="NIT40" s="175"/>
      <c r="NIU40" s="176"/>
      <c r="NIV40" s="177"/>
      <c r="NIW40" s="176"/>
      <c r="NIX40" s="176"/>
      <c r="NIY40" s="178"/>
      <c r="NIZ40" s="178"/>
      <c r="NJA40" s="179"/>
      <c r="NJB40" s="180"/>
      <c r="NJC40" s="180"/>
      <c r="NJD40" s="180"/>
      <c r="NJE40" s="180"/>
      <c r="NJF40" s="180"/>
      <c r="NJG40" s="180"/>
      <c r="NJH40" s="178"/>
      <c r="NJI40" s="181"/>
      <c r="NJJ40" s="182"/>
      <c r="NJK40" s="182"/>
      <c r="NJL40" s="179"/>
      <c r="NJM40" s="183"/>
      <c r="NJN40" s="184"/>
      <c r="NJO40" s="185"/>
      <c r="NJP40" s="186"/>
      <c r="NJQ40" s="186"/>
      <c r="NJR40" s="186"/>
      <c r="NJS40" s="186"/>
      <c r="NJT40" s="187"/>
      <c r="NJU40" s="251"/>
      <c r="NJV40" s="252"/>
      <c r="NJW40" s="175"/>
      <c r="NJX40" s="176"/>
      <c r="NJY40" s="177"/>
      <c r="NJZ40" s="176"/>
      <c r="NKA40" s="176"/>
      <c r="NKB40" s="178"/>
      <c r="NKC40" s="178"/>
      <c r="NKD40" s="179"/>
      <c r="NKE40" s="180"/>
      <c r="NKF40" s="180"/>
      <c r="NKG40" s="180"/>
      <c r="NKH40" s="180"/>
      <c r="NKI40" s="180"/>
      <c r="NKJ40" s="180"/>
      <c r="NKK40" s="178"/>
      <c r="NKL40" s="181"/>
      <c r="NKM40" s="182"/>
      <c r="NKN40" s="182"/>
      <c r="NKO40" s="179"/>
      <c r="NKP40" s="183"/>
      <c r="NKQ40" s="184"/>
      <c r="NKR40" s="185"/>
      <c r="NKS40" s="186"/>
      <c r="NKT40" s="186"/>
      <c r="NKU40" s="186"/>
      <c r="NKV40" s="186"/>
      <c r="NKW40" s="187"/>
      <c r="NKX40" s="251"/>
      <c r="NKY40" s="252"/>
      <c r="NKZ40" s="175"/>
      <c r="NLA40" s="176"/>
      <c r="NLB40" s="177"/>
      <c r="NLC40" s="176"/>
      <c r="NLD40" s="176"/>
      <c r="NLE40" s="178"/>
      <c r="NLF40" s="178"/>
      <c r="NLG40" s="179"/>
      <c r="NLH40" s="180"/>
      <c r="NLI40" s="180"/>
      <c r="NLJ40" s="180"/>
      <c r="NLK40" s="180"/>
      <c r="NLL40" s="180"/>
      <c r="NLM40" s="180"/>
      <c r="NLN40" s="178"/>
      <c r="NLO40" s="181"/>
      <c r="NLP40" s="182"/>
      <c r="NLQ40" s="182"/>
      <c r="NLR40" s="179"/>
      <c r="NLS40" s="183"/>
      <c r="NLT40" s="184"/>
      <c r="NLU40" s="185"/>
      <c r="NLV40" s="186"/>
      <c r="NLW40" s="186"/>
      <c r="NLX40" s="186"/>
      <c r="NLY40" s="186"/>
      <c r="NLZ40" s="187"/>
      <c r="NMA40" s="251"/>
      <c r="NMB40" s="252"/>
      <c r="NMC40" s="175"/>
      <c r="NMD40" s="176"/>
      <c r="NME40" s="177"/>
      <c r="NMF40" s="176"/>
      <c r="NMG40" s="176"/>
      <c r="NMH40" s="178"/>
      <c r="NMI40" s="178"/>
      <c r="NMJ40" s="179"/>
      <c r="NMK40" s="180"/>
      <c r="NML40" s="180"/>
      <c r="NMM40" s="180"/>
      <c r="NMN40" s="180"/>
      <c r="NMO40" s="180"/>
      <c r="NMP40" s="180"/>
      <c r="NMQ40" s="178"/>
      <c r="NMR40" s="181"/>
      <c r="NMS40" s="182"/>
      <c r="NMT40" s="182"/>
      <c r="NMU40" s="179"/>
      <c r="NMV40" s="183"/>
      <c r="NMW40" s="184"/>
      <c r="NMX40" s="185"/>
      <c r="NMY40" s="186"/>
      <c r="NMZ40" s="186"/>
      <c r="NNA40" s="186"/>
      <c r="NNB40" s="186"/>
      <c r="NNC40" s="187"/>
      <c r="NND40" s="251"/>
      <c r="NNE40" s="252"/>
      <c r="NNF40" s="175"/>
      <c r="NNG40" s="176"/>
      <c r="NNH40" s="177"/>
      <c r="NNI40" s="176"/>
      <c r="NNJ40" s="176"/>
      <c r="NNK40" s="178"/>
      <c r="NNL40" s="178"/>
      <c r="NNM40" s="179"/>
      <c r="NNN40" s="180"/>
      <c r="NNO40" s="180"/>
      <c r="NNP40" s="180"/>
      <c r="NNQ40" s="180"/>
      <c r="NNR40" s="180"/>
      <c r="NNS40" s="180"/>
      <c r="NNT40" s="178"/>
      <c r="NNU40" s="181"/>
      <c r="NNV40" s="182"/>
      <c r="NNW40" s="182"/>
      <c r="NNX40" s="179"/>
      <c r="NNY40" s="183"/>
      <c r="NNZ40" s="184"/>
      <c r="NOA40" s="185"/>
      <c r="NOB40" s="186"/>
      <c r="NOC40" s="186"/>
      <c r="NOD40" s="186"/>
      <c r="NOE40" s="186"/>
      <c r="NOF40" s="187"/>
      <c r="NOG40" s="251"/>
      <c r="NOH40" s="252"/>
      <c r="NOI40" s="175"/>
      <c r="NOJ40" s="176"/>
      <c r="NOK40" s="177"/>
      <c r="NOL40" s="176"/>
      <c r="NOM40" s="176"/>
      <c r="NON40" s="178"/>
      <c r="NOO40" s="178"/>
      <c r="NOP40" s="179"/>
      <c r="NOQ40" s="180"/>
      <c r="NOR40" s="180"/>
      <c r="NOS40" s="180"/>
      <c r="NOT40" s="180"/>
      <c r="NOU40" s="180"/>
      <c r="NOV40" s="180"/>
      <c r="NOW40" s="178"/>
      <c r="NOX40" s="181"/>
      <c r="NOY40" s="182"/>
      <c r="NOZ40" s="182"/>
      <c r="NPA40" s="179"/>
      <c r="NPB40" s="183"/>
      <c r="NPC40" s="184"/>
      <c r="NPD40" s="185"/>
      <c r="NPE40" s="186"/>
      <c r="NPF40" s="186"/>
      <c r="NPG40" s="186"/>
      <c r="NPH40" s="186"/>
      <c r="NPI40" s="187"/>
      <c r="NPJ40" s="251"/>
      <c r="NPK40" s="252"/>
      <c r="NPL40" s="175"/>
      <c r="NPM40" s="176"/>
      <c r="NPN40" s="177"/>
      <c r="NPO40" s="176"/>
      <c r="NPP40" s="176"/>
      <c r="NPQ40" s="178"/>
      <c r="NPR40" s="178"/>
      <c r="NPS40" s="179"/>
      <c r="NPT40" s="180"/>
      <c r="NPU40" s="180"/>
      <c r="NPV40" s="180"/>
      <c r="NPW40" s="180"/>
      <c r="NPX40" s="180"/>
      <c r="NPY40" s="180"/>
      <c r="NPZ40" s="178"/>
      <c r="NQA40" s="181"/>
      <c r="NQB40" s="182"/>
      <c r="NQC40" s="182"/>
      <c r="NQD40" s="179"/>
      <c r="NQE40" s="183"/>
      <c r="NQF40" s="184"/>
      <c r="NQG40" s="185"/>
      <c r="NQH40" s="186"/>
      <c r="NQI40" s="186"/>
      <c r="NQJ40" s="186"/>
      <c r="NQK40" s="186"/>
      <c r="NQL40" s="187"/>
      <c r="NQM40" s="251"/>
      <c r="NQN40" s="252"/>
      <c r="NQO40" s="175"/>
      <c r="NQP40" s="176"/>
      <c r="NQQ40" s="177"/>
      <c r="NQR40" s="176"/>
      <c r="NQS40" s="176"/>
      <c r="NQT40" s="178"/>
      <c r="NQU40" s="178"/>
      <c r="NQV40" s="179"/>
      <c r="NQW40" s="180"/>
      <c r="NQX40" s="180"/>
      <c r="NQY40" s="180"/>
      <c r="NQZ40" s="180"/>
      <c r="NRA40" s="180"/>
      <c r="NRB40" s="180"/>
      <c r="NRC40" s="178"/>
      <c r="NRD40" s="181"/>
      <c r="NRE40" s="182"/>
      <c r="NRF40" s="182"/>
      <c r="NRG40" s="179"/>
      <c r="NRH40" s="183"/>
      <c r="NRI40" s="184"/>
      <c r="NRJ40" s="185"/>
      <c r="NRK40" s="186"/>
      <c r="NRL40" s="186"/>
      <c r="NRM40" s="186"/>
      <c r="NRN40" s="186"/>
      <c r="NRO40" s="187"/>
      <c r="NRP40" s="251"/>
      <c r="NRQ40" s="252"/>
      <c r="NRR40" s="175"/>
      <c r="NRS40" s="176"/>
      <c r="NRT40" s="177"/>
      <c r="NRU40" s="176"/>
      <c r="NRV40" s="176"/>
      <c r="NRW40" s="178"/>
      <c r="NRX40" s="178"/>
      <c r="NRY40" s="179"/>
      <c r="NRZ40" s="180"/>
      <c r="NSA40" s="180"/>
      <c r="NSB40" s="180"/>
      <c r="NSC40" s="180"/>
      <c r="NSD40" s="180"/>
      <c r="NSE40" s="180"/>
      <c r="NSF40" s="178"/>
      <c r="NSG40" s="181"/>
      <c r="NSH40" s="182"/>
      <c r="NSI40" s="182"/>
      <c r="NSJ40" s="179"/>
      <c r="NSK40" s="183"/>
      <c r="NSL40" s="184"/>
      <c r="NSM40" s="185"/>
      <c r="NSN40" s="186"/>
      <c r="NSO40" s="186"/>
      <c r="NSP40" s="186"/>
      <c r="NSQ40" s="186"/>
      <c r="NSR40" s="187"/>
      <c r="NSS40" s="251"/>
      <c r="NST40" s="252"/>
      <c r="NSU40" s="175"/>
      <c r="NSV40" s="176"/>
      <c r="NSW40" s="177"/>
      <c r="NSX40" s="176"/>
      <c r="NSY40" s="176"/>
      <c r="NSZ40" s="178"/>
      <c r="NTA40" s="178"/>
      <c r="NTB40" s="179"/>
      <c r="NTC40" s="180"/>
      <c r="NTD40" s="180"/>
      <c r="NTE40" s="180"/>
      <c r="NTF40" s="180"/>
      <c r="NTG40" s="180"/>
      <c r="NTH40" s="180"/>
      <c r="NTI40" s="178"/>
      <c r="NTJ40" s="181"/>
      <c r="NTK40" s="182"/>
      <c r="NTL40" s="182"/>
      <c r="NTM40" s="179"/>
      <c r="NTN40" s="183"/>
      <c r="NTO40" s="184"/>
      <c r="NTP40" s="185"/>
      <c r="NTQ40" s="186"/>
      <c r="NTR40" s="186"/>
      <c r="NTS40" s="186"/>
      <c r="NTT40" s="186"/>
      <c r="NTU40" s="187"/>
      <c r="NTV40" s="251"/>
      <c r="NTW40" s="252"/>
      <c r="NTX40" s="175"/>
      <c r="NTY40" s="176"/>
      <c r="NTZ40" s="177"/>
      <c r="NUA40" s="176"/>
      <c r="NUB40" s="176"/>
      <c r="NUC40" s="178"/>
      <c r="NUD40" s="178"/>
      <c r="NUE40" s="179"/>
      <c r="NUF40" s="180"/>
      <c r="NUG40" s="180"/>
      <c r="NUH40" s="180"/>
      <c r="NUI40" s="180"/>
      <c r="NUJ40" s="180"/>
      <c r="NUK40" s="180"/>
      <c r="NUL40" s="178"/>
      <c r="NUM40" s="181"/>
      <c r="NUN40" s="182"/>
      <c r="NUO40" s="182"/>
      <c r="NUP40" s="179"/>
      <c r="NUQ40" s="183"/>
      <c r="NUR40" s="184"/>
      <c r="NUS40" s="185"/>
      <c r="NUT40" s="186"/>
      <c r="NUU40" s="186"/>
      <c r="NUV40" s="186"/>
      <c r="NUW40" s="186"/>
      <c r="NUX40" s="187"/>
      <c r="NUY40" s="251"/>
      <c r="NUZ40" s="252"/>
      <c r="NVA40" s="175"/>
      <c r="NVB40" s="176"/>
      <c r="NVC40" s="177"/>
      <c r="NVD40" s="176"/>
      <c r="NVE40" s="176"/>
      <c r="NVF40" s="178"/>
      <c r="NVG40" s="178"/>
      <c r="NVH40" s="179"/>
      <c r="NVI40" s="180"/>
      <c r="NVJ40" s="180"/>
      <c r="NVK40" s="180"/>
      <c r="NVL40" s="180"/>
      <c r="NVM40" s="180"/>
      <c r="NVN40" s="180"/>
      <c r="NVO40" s="178"/>
      <c r="NVP40" s="181"/>
      <c r="NVQ40" s="182"/>
      <c r="NVR40" s="182"/>
      <c r="NVS40" s="179"/>
      <c r="NVT40" s="183"/>
      <c r="NVU40" s="184"/>
      <c r="NVV40" s="185"/>
      <c r="NVW40" s="186"/>
      <c r="NVX40" s="186"/>
      <c r="NVY40" s="186"/>
      <c r="NVZ40" s="186"/>
      <c r="NWA40" s="187"/>
      <c r="NWB40" s="251"/>
      <c r="NWC40" s="252"/>
      <c r="NWD40" s="175"/>
      <c r="NWE40" s="176"/>
      <c r="NWF40" s="177"/>
      <c r="NWG40" s="176"/>
      <c r="NWH40" s="176"/>
      <c r="NWI40" s="178"/>
      <c r="NWJ40" s="178"/>
      <c r="NWK40" s="179"/>
      <c r="NWL40" s="180"/>
      <c r="NWM40" s="180"/>
      <c r="NWN40" s="180"/>
      <c r="NWO40" s="180"/>
      <c r="NWP40" s="180"/>
      <c r="NWQ40" s="180"/>
      <c r="NWR40" s="178"/>
      <c r="NWS40" s="181"/>
      <c r="NWT40" s="182"/>
      <c r="NWU40" s="182"/>
      <c r="NWV40" s="179"/>
      <c r="NWW40" s="183"/>
      <c r="NWX40" s="184"/>
      <c r="NWY40" s="185"/>
      <c r="NWZ40" s="186"/>
      <c r="NXA40" s="186"/>
      <c r="NXB40" s="186"/>
      <c r="NXC40" s="186"/>
      <c r="NXD40" s="187"/>
      <c r="NXE40" s="251"/>
      <c r="NXF40" s="252"/>
      <c r="NXG40" s="175"/>
      <c r="NXH40" s="176"/>
      <c r="NXI40" s="177"/>
      <c r="NXJ40" s="176"/>
      <c r="NXK40" s="176"/>
      <c r="NXL40" s="178"/>
      <c r="NXM40" s="178"/>
      <c r="NXN40" s="179"/>
      <c r="NXO40" s="180"/>
      <c r="NXP40" s="180"/>
      <c r="NXQ40" s="180"/>
      <c r="NXR40" s="180"/>
      <c r="NXS40" s="180"/>
      <c r="NXT40" s="180"/>
      <c r="NXU40" s="178"/>
      <c r="NXV40" s="181"/>
      <c r="NXW40" s="182"/>
      <c r="NXX40" s="182"/>
      <c r="NXY40" s="179"/>
      <c r="NXZ40" s="183"/>
      <c r="NYA40" s="184"/>
      <c r="NYB40" s="185"/>
      <c r="NYC40" s="186"/>
      <c r="NYD40" s="186"/>
      <c r="NYE40" s="186"/>
      <c r="NYF40" s="186"/>
      <c r="NYG40" s="187"/>
      <c r="NYH40" s="251"/>
      <c r="NYI40" s="252"/>
      <c r="NYJ40" s="175"/>
      <c r="NYK40" s="176"/>
      <c r="NYL40" s="177"/>
      <c r="NYM40" s="176"/>
      <c r="NYN40" s="176"/>
      <c r="NYO40" s="178"/>
      <c r="NYP40" s="178"/>
      <c r="NYQ40" s="179"/>
      <c r="NYR40" s="180"/>
      <c r="NYS40" s="180"/>
      <c r="NYT40" s="180"/>
      <c r="NYU40" s="180"/>
      <c r="NYV40" s="180"/>
      <c r="NYW40" s="180"/>
      <c r="NYX40" s="178"/>
      <c r="NYY40" s="181"/>
      <c r="NYZ40" s="182"/>
      <c r="NZA40" s="182"/>
      <c r="NZB40" s="179"/>
      <c r="NZC40" s="183"/>
      <c r="NZD40" s="184"/>
      <c r="NZE40" s="185"/>
      <c r="NZF40" s="186"/>
      <c r="NZG40" s="186"/>
      <c r="NZH40" s="186"/>
      <c r="NZI40" s="186"/>
      <c r="NZJ40" s="187"/>
      <c r="NZK40" s="251"/>
      <c r="NZL40" s="252"/>
      <c r="NZM40" s="175"/>
      <c r="NZN40" s="176"/>
      <c r="NZO40" s="177"/>
      <c r="NZP40" s="176"/>
      <c r="NZQ40" s="176"/>
      <c r="NZR40" s="178"/>
      <c r="NZS40" s="178"/>
      <c r="NZT40" s="179"/>
      <c r="NZU40" s="180"/>
      <c r="NZV40" s="180"/>
      <c r="NZW40" s="180"/>
      <c r="NZX40" s="180"/>
      <c r="NZY40" s="180"/>
      <c r="NZZ40" s="180"/>
      <c r="OAA40" s="178"/>
      <c r="OAB40" s="181"/>
      <c r="OAC40" s="182"/>
      <c r="OAD40" s="182"/>
      <c r="OAE40" s="179"/>
      <c r="OAF40" s="183"/>
      <c r="OAG40" s="184"/>
      <c r="OAH40" s="185"/>
      <c r="OAI40" s="186"/>
      <c r="OAJ40" s="186"/>
      <c r="OAK40" s="186"/>
      <c r="OAL40" s="186"/>
      <c r="OAM40" s="187"/>
      <c r="OAN40" s="251"/>
      <c r="OAO40" s="252"/>
      <c r="OAP40" s="175"/>
      <c r="OAQ40" s="176"/>
      <c r="OAR40" s="177"/>
      <c r="OAS40" s="176"/>
      <c r="OAT40" s="176"/>
      <c r="OAU40" s="178"/>
      <c r="OAV40" s="178"/>
      <c r="OAW40" s="179"/>
      <c r="OAX40" s="180"/>
      <c r="OAY40" s="180"/>
      <c r="OAZ40" s="180"/>
      <c r="OBA40" s="180"/>
      <c r="OBB40" s="180"/>
      <c r="OBC40" s="180"/>
      <c r="OBD40" s="178"/>
      <c r="OBE40" s="181"/>
      <c r="OBF40" s="182"/>
      <c r="OBG40" s="182"/>
      <c r="OBH40" s="179"/>
      <c r="OBI40" s="183"/>
      <c r="OBJ40" s="184"/>
      <c r="OBK40" s="185"/>
      <c r="OBL40" s="186"/>
      <c r="OBM40" s="186"/>
      <c r="OBN40" s="186"/>
      <c r="OBO40" s="186"/>
      <c r="OBP40" s="187"/>
      <c r="OBQ40" s="251"/>
      <c r="OBR40" s="252"/>
      <c r="OBS40" s="175"/>
      <c r="OBT40" s="176"/>
      <c r="OBU40" s="177"/>
      <c r="OBV40" s="176"/>
      <c r="OBW40" s="176"/>
      <c r="OBX40" s="178"/>
      <c r="OBY40" s="178"/>
      <c r="OBZ40" s="179"/>
      <c r="OCA40" s="180"/>
      <c r="OCB40" s="180"/>
      <c r="OCC40" s="180"/>
      <c r="OCD40" s="180"/>
      <c r="OCE40" s="180"/>
      <c r="OCF40" s="180"/>
      <c r="OCG40" s="178"/>
      <c r="OCH40" s="181"/>
      <c r="OCI40" s="182"/>
      <c r="OCJ40" s="182"/>
      <c r="OCK40" s="179"/>
      <c r="OCL40" s="183"/>
      <c r="OCM40" s="184"/>
      <c r="OCN40" s="185"/>
      <c r="OCO40" s="186"/>
      <c r="OCP40" s="186"/>
      <c r="OCQ40" s="186"/>
      <c r="OCR40" s="186"/>
      <c r="OCS40" s="187"/>
      <c r="OCT40" s="251"/>
      <c r="OCU40" s="252"/>
      <c r="OCV40" s="175"/>
      <c r="OCW40" s="176"/>
      <c r="OCX40" s="177"/>
      <c r="OCY40" s="176"/>
      <c r="OCZ40" s="176"/>
      <c r="ODA40" s="178"/>
      <c r="ODB40" s="178"/>
      <c r="ODC40" s="179"/>
      <c r="ODD40" s="180"/>
      <c r="ODE40" s="180"/>
      <c r="ODF40" s="180"/>
      <c r="ODG40" s="180"/>
      <c r="ODH40" s="180"/>
      <c r="ODI40" s="180"/>
      <c r="ODJ40" s="178"/>
      <c r="ODK40" s="181"/>
      <c r="ODL40" s="182"/>
      <c r="ODM40" s="182"/>
      <c r="ODN40" s="179"/>
      <c r="ODO40" s="183"/>
      <c r="ODP40" s="184"/>
      <c r="ODQ40" s="185"/>
      <c r="ODR40" s="186"/>
      <c r="ODS40" s="186"/>
      <c r="ODT40" s="186"/>
      <c r="ODU40" s="186"/>
      <c r="ODV40" s="187"/>
      <c r="ODW40" s="251"/>
      <c r="ODX40" s="252"/>
      <c r="ODY40" s="175"/>
      <c r="ODZ40" s="176"/>
      <c r="OEA40" s="177"/>
      <c r="OEB40" s="176"/>
      <c r="OEC40" s="176"/>
      <c r="OED40" s="178"/>
      <c r="OEE40" s="178"/>
      <c r="OEF40" s="179"/>
      <c r="OEG40" s="180"/>
      <c r="OEH40" s="180"/>
      <c r="OEI40" s="180"/>
      <c r="OEJ40" s="180"/>
      <c r="OEK40" s="180"/>
      <c r="OEL40" s="180"/>
      <c r="OEM40" s="178"/>
      <c r="OEN40" s="181"/>
      <c r="OEO40" s="182"/>
      <c r="OEP40" s="182"/>
      <c r="OEQ40" s="179"/>
      <c r="OER40" s="183"/>
      <c r="OES40" s="184"/>
      <c r="OET40" s="185"/>
      <c r="OEU40" s="186"/>
      <c r="OEV40" s="186"/>
      <c r="OEW40" s="186"/>
      <c r="OEX40" s="186"/>
      <c r="OEY40" s="187"/>
      <c r="OEZ40" s="251"/>
      <c r="OFA40" s="252"/>
      <c r="OFB40" s="175"/>
      <c r="OFC40" s="176"/>
      <c r="OFD40" s="177"/>
      <c r="OFE40" s="176"/>
      <c r="OFF40" s="176"/>
      <c r="OFG40" s="178"/>
      <c r="OFH40" s="178"/>
      <c r="OFI40" s="179"/>
      <c r="OFJ40" s="180"/>
      <c r="OFK40" s="180"/>
      <c r="OFL40" s="180"/>
      <c r="OFM40" s="180"/>
      <c r="OFN40" s="180"/>
      <c r="OFO40" s="180"/>
      <c r="OFP40" s="178"/>
      <c r="OFQ40" s="181"/>
      <c r="OFR40" s="182"/>
      <c r="OFS40" s="182"/>
      <c r="OFT40" s="179"/>
      <c r="OFU40" s="183"/>
      <c r="OFV40" s="184"/>
      <c r="OFW40" s="185"/>
      <c r="OFX40" s="186"/>
      <c r="OFY40" s="186"/>
      <c r="OFZ40" s="186"/>
      <c r="OGA40" s="186"/>
      <c r="OGB40" s="187"/>
      <c r="OGC40" s="251"/>
      <c r="OGD40" s="252"/>
      <c r="OGE40" s="175"/>
      <c r="OGF40" s="176"/>
      <c r="OGG40" s="177"/>
      <c r="OGH40" s="176"/>
      <c r="OGI40" s="176"/>
      <c r="OGJ40" s="178"/>
      <c r="OGK40" s="178"/>
      <c r="OGL40" s="179"/>
      <c r="OGM40" s="180"/>
      <c r="OGN40" s="180"/>
      <c r="OGO40" s="180"/>
      <c r="OGP40" s="180"/>
      <c r="OGQ40" s="180"/>
      <c r="OGR40" s="180"/>
      <c r="OGS40" s="178"/>
      <c r="OGT40" s="181"/>
      <c r="OGU40" s="182"/>
      <c r="OGV40" s="182"/>
      <c r="OGW40" s="179"/>
      <c r="OGX40" s="183"/>
      <c r="OGY40" s="184"/>
      <c r="OGZ40" s="185"/>
      <c r="OHA40" s="186"/>
      <c r="OHB40" s="186"/>
      <c r="OHC40" s="186"/>
      <c r="OHD40" s="186"/>
      <c r="OHE40" s="187"/>
      <c r="OHF40" s="251"/>
      <c r="OHG40" s="252"/>
      <c r="OHH40" s="175"/>
      <c r="OHI40" s="176"/>
      <c r="OHJ40" s="177"/>
      <c r="OHK40" s="176"/>
      <c r="OHL40" s="176"/>
      <c r="OHM40" s="178"/>
      <c r="OHN40" s="178"/>
      <c r="OHO40" s="179"/>
      <c r="OHP40" s="180"/>
      <c r="OHQ40" s="180"/>
      <c r="OHR40" s="180"/>
      <c r="OHS40" s="180"/>
      <c r="OHT40" s="180"/>
      <c r="OHU40" s="180"/>
      <c r="OHV40" s="178"/>
      <c r="OHW40" s="181"/>
      <c r="OHX40" s="182"/>
      <c r="OHY40" s="182"/>
      <c r="OHZ40" s="179"/>
      <c r="OIA40" s="183"/>
      <c r="OIB40" s="184"/>
      <c r="OIC40" s="185"/>
      <c r="OID40" s="186"/>
      <c r="OIE40" s="186"/>
      <c r="OIF40" s="186"/>
      <c r="OIG40" s="186"/>
      <c r="OIH40" s="187"/>
      <c r="OII40" s="251"/>
      <c r="OIJ40" s="252"/>
      <c r="OIK40" s="175"/>
      <c r="OIL40" s="176"/>
      <c r="OIM40" s="177"/>
      <c r="OIN40" s="176"/>
      <c r="OIO40" s="176"/>
      <c r="OIP40" s="178"/>
      <c r="OIQ40" s="178"/>
      <c r="OIR40" s="179"/>
      <c r="OIS40" s="180"/>
      <c r="OIT40" s="180"/>
      <c r="OIU40" s="180"/>
      <c r="OIV40" s="180"/>
      <c r="OIW40" s="180"/>
      <c r="OIX40" s="180"/>
      <c r="OIY40" s="178"/>
      <c r="OIZ40" s="181"/>
      <c r="OJA40" s="182"/>
      <c r="OJB40" s="182"/>
      <c r="OJC40" s="179"/>
      <c r="OJD40" s="183"/>
      <c r="OJE40" s="184"/>
      <c r="OJF40" s="185"/>
      <c r="OJG40" s="186"/>
      <c r="OJH40" s="186"/>
      <c r="OJI40" s="186"/>
      <c r="OJJ40" s="186"/>
      <c r="OJK40" s="187"/>
      <c r="OJL40" s="251"/>
      <c r="OJM40" s="252"/>
      <c r="OJN40" s="175"/>
      <c r="OJO40" s="176"/>
      <c r="OJP40" s="177"/>
      <c r="OJQ40" s="176"/>
      <c r="OJR40" s="176"/>
      <c r="OJS40" s="178"/>
      <c r="OJT40" s="178"/>
      <c r="OJU40" s="179"/>
      <c r="OJV40" s="180"/>
      <c r="OJW40" s="180"/>
      <c r="OJX40" s="180"/>
      <c r="OJY40" s="180"/>
      <c r="OJZ40" s="180"/>
      <c r="OKA40" s="180"/>
      <c r="OKB40" s="178"/>
      <c r="OKC40" s="181"/>
      <c r="OKD40" s="182"/>
      <c r="OKE40" s="182"/>
      <c r="OKF40" s="179"/>
      <c r="OKG40" s="183"/>
      <c r="OKH40" s="184"/>
      <c r="OKI40" s="185"/>
      <c r="OKJ40" s="186"/>
      <c r="OKK40" s="186"/>
      <c r="OKL40" s="186"/>
      <c r="OKM40" s="186"/>
      <c r="OKN40" s="187"/>
      <c r="OKO40" s="251"/>
      <c r="OKP40" s="252"/>
      <c r="OKQ40" s="175"/>
      <c r="OKR40" s="176"/>
      <c r="OKS40" s="177"/>
      <c r="OKT40" s="176"/>
      <c r="OKU40" s="176"/>
      <c r="OKV40" s="178"/>
      <c r="OKW40" s="178"/>
      <c r="OKX40" s="179"/>
      <c r="OKY40" s="180"/>
      <c r="OKZ40" s="180"/>
      <c r="OLA40" s="180"/>
      <c r="OLB40" s="180"/>
      <c r="OLC40" s="180"/>
      <c r="OLD40" s="180"/>
      <c r="OLE40" s="178"/>
      <c r="OLF40" s="181"/>
      <c r="OLG40" s="182"/>
      <c r="OLH40" s="182"/>
      <c r="OLI40" s="179"/>
      <c r="OLJ40" s="183"/>
      <c r="OLK40" s="184"/>
      <c r="OLL40" s="185"/>
      <c r="OLM40" s="186"/>
      <c r="OLN40" s="186"/>
      <c r="OLO40" s="186"/>
      <c r="OLP40" s="186"/>
      <c r="OLQ40" s="187"/>
      <c r="OLR40" s="251"/>
      <c r="OLS40" s="252"/>
      <c r="OLT40" s="175"/>
      <c r="OLU40" s="176"/>
      <c r="OLV40" s="177"/>
      <c r="OLW40" s="176"/>
      <c r="OLX40" s="176"/>
      <c r="OLY40" s="178"/>
      <c r="OLZ40" s="178"/>
      <c r="OMA40" s="179"/>
      <c r="OMB40" s="180"/>
      <c r="OMC40" s="180"/>
      <c r="OMD40" s="180"/>
      <c r="OME40" s="180"/>
      <c r="OMF40" s="180"/>
      <c r="OMG40" s="180"/>
      <c r="OMH40" s="178"/>
      <c r="OMI40" s="181"/>
      <c r="OMJ40" s="182"/>
      <c r="OMK40" s="182"/>
      <c r="OML40" s="179"/>
      <c r="OMM40" s="183"/>
      <c r="OMN40" s="184"/>
      <c r="OMO40" s="185"/>
      <c r="OMP40" s="186"/>
      <c r="OMQ40" s="186"/>
      <c r="OMR40" s="186"/>
      <c r="OMS40" s="186"/>
      <c r="OMT40" s="187"/>
      <c r="OMU40" s="251"/>
      <c r="OMV40" s="252"/>
      <c r="OMW40" s="175"/>
      <c r="OMX40" s="176"/>
      <c r="OMY40" s="177"/>
      <c r="OMZ40" s="176"/>
      <c r="ONA40" s="176"/>
      <c r="ONB40" s="178"/>
      <c r="ONC40" s="178"/>
      <c r="OND40" s="179"/>
      <c r="ONE40" s="180"/>
      <c r="ONF40" s="180"/>
      <c r="ONG40" s="180"/>
      <c r="ONH40" s="180"/>
      <c r="ONI40" s="180"/>
      <c r="ONJ40" s="180"/>
      <c r="ONK40" s="178"/>
      <c r="ONL40" s="181"/>
      <c r="ONM40" s="182"/>
      <c r="ONN40" s="182"/>
      <c r="ONO40" s="179"/>
      <c r="ONP40" s="183"/>
      <c r="ONQ40" s="184"/>
      <c r="ONR40" s="185"/>
      <c r="ONS40" s="186"/>
      <c r="ONT40" s="186"/>
      <c r="ONU40" s="186"/>
      <c r="ONV40" s="186"/>
      <c r="ONW40" s="187"/>
      <c r="ONX40" s="251"/>
      <c r="ONY40" s="252"/>
      <c r="ONZ40" s="175"/>
      <c r="OOA40" s="176"/>
      <c r="OOB40" s="177"/>
      <c r="OOC40" s="176"/>
      <c r="OOD40" s="176"/>
      <c r="OOE40" s="178"/>
      <c r="OOF40" s="178"/>
      <c r="OOG40" s="179"/>
      <c r="OOH40" s="180"/>
      <c r="OOI40" s="180"/>
      <c r="OOJ40" s="180"/>
      <c r="OOK40" s="180"/>
      <c r="OOL40" s="180"/>
      <c r="OOM40" s="180"/>
      <c r="OON40" s="178"/>
      <c r="OOO40" s="181"/>
      <c r="OOP40" s="182"/>
      <c r="OOQ40" s="182"/>
      <c r="OOR40" s="179"/>
      <c r="OOS40" s="183"/>
      <c r="OOT40" s="184"/>
      <c r="OOU40" s="185"/>
      <c r="OOV40" s="186"/>
      <c r="OOW40" s="186"/>
      <c r="OOX40" s="186"/>
      <c r="OOY40" s="186"/>
      <c r="OOZ40" s="187"/>
      <c r="OPA40" s="251"/>
      <c r="OPB40" s="252"/>
      <c r="OPC40" s="175"/>
      <c r="OPD40" s="176"/>
      <c r="OPE40" s="177"/>
      <c r="OPF40" s="176"/>
      <c r="OPG40" s="176"/>
      <c r="OPH40" s="178"/>
      <c r="OPI40" s="178"/>
      <c r="OPJ40" s="179"/>
      <c r="OPK40" s="180"/>
      <c r="OPL40" s="180"/>
      <c r="OPM40" s="180"/>
      <c r="OPN40" s="180"/>
      <c r="OPO40" s="180"/>
      <c r="OPP40" s="180"/>
      <c r="OPQ40" s="178"/>
      <c r="OPR40" s="181"/>
      <c r="OPS40" s="182"/>
      <c r="OPT40" s="182"/>
      <c r="OPU40" s="179"/>
      <c r="OPV40" s="183"/>
      <c r="OPW40" s="184"/>
      <c r="OPX40" s="185"/>
      <c r="OPY40" s="186"/>
      <c r="OPZ40" s="186"/>
      <c r="OQA40" s="186"/>
      <c r="OQB40" s="186"/>
      <c r="OQC40" s="187"/>
      <c r="OQD40" s="251"/>
      <c r="OQE40" s="252"/>
      <c r="OQF40" s="175"/>
      <c r="OQG40" s="176"/>
      <c r="OQH40" s="177"/>
      <c r="OQI40" s="176"/>
      <c r="OQJ40" s="176"/>
      <c r="OQK40" s="178"/>
      <c r="OQL40" s="178"/>
      <c r="OQM40" s="179"/>
      <c r="OQN40" s="180"/>
      <c r="OQO40" s="180"/>
      <c r="OQP40" s="180"/>
      <c r="OQQ40" s="180"/>
      <c r="OQR40" s="180"/>
      <c r="OQS40" s="180"/>
      <c r="OQT40" s="178"/>
      <c r="OQU40" s="181"/>
      <c r="OQV40" s="182"/>
      <c r="OQW40" s="182"/>
      <c r="OQX40" s="179"/>
      <c r="OQY40" s="183"/>
      <c r="OQZ40" s="184"/>
      <c r="ORA40" s="185"/>
      <c r="ORB40" s="186"/>
      <c r="ORC40" s="186"/>
      <c r="ORD40" s="186"/>
      <c r="ORE40" s="186"/>
      <c r="ORF40" s="187"/>
      <c r="ORG40" s="251"/>
      <c r="ORH40" s="252"/>
      <c r="ORI40" s="175"/>
      <c r="ORJ40" s="176"/>
      <c r="ORK40" s="177"/>
      <c r="ORL40" s="176"/>
      <c r="ORM40" s="176"/>
      <c r="ORN40" s="178"/>
      <c r="ORO40" s="178"/>
      <c r="ORP40" s="179"/>
      <c r="ORQ40" s="180"/>
      <c r="ORR40" s="180"/>
      <c r="ORS40" s="180"/>
      <c r="ORT40" s="180"/>
      <c r="ORU40" s="180"/>
      <c r="ORV40" s="180"/>
      <c r="ORW40" s="178"/>
      <c r="ORX40" s="181"/>
      <c r="ORY40" s="182"/>
      <c r="ORZ40" s="182"/>
      <c r="OSA40" s="179"/>
      <c r="OSB40" s="183"/>
      <c r="OSC40" s="184"/>
      <c r="OSD40" s="185"/>
      <c r="OSE40" s="186"/>
      <c r="OSF40" s="186"/>
      <c r="OSG40" s="186"/>
      <c r="OSH40" s="186"/>
      <c r="OSI40" s="187"/>
      <c r="OSJ40" s="251"/>
      <c r="OSK40" s="252"/>
      <c r="OSL40" s="175"/>
      <c r="OSM40" s="176"/>
      <c r="OSN40" s="177"/>
      <c r="OSO40" s="176"/>
      <c r="OSP40" s="176"/>
      <c r="OSQ40" s="178"/>
      <c r="OSR40" s="178"/>
      <c r="OSS40" s="179"/>
      <c r="OST40" s="180"/>
      <c r="OSU40" s="180"/>
      <c r="OSV40" s="180"/>
      <c r="OSW40" s="180"/>
      <c r="OSX40" s="180"/>
      <c r="OSY40" s="180"/>
      <c r="OSZ40" s="178"/>
      <c r="OTA40" s="181"/>
      <c r="OTB40" s="182"/>
      <c r="OTC40" s="182"/>
      <c r="OTD40" s="179"/>
      <c r="OTE40" s="183"/>
      <c r="OTF40" s="184"/>
      <c r="OTG40" s="185"/>
      <c r="OTH40" s="186"/>
      <c r="OTI40" s="186"/>
      <c r="OTJ40" s="186"/>
      <c r="OTK40" s="186"/>
      <c r="OTL40" s="187"/>
      <c r="OTM40" s="251"/>
      <c r="OTN40" s="252"/>
      <c r="OTO40" s="175"/>
      <c r="OTP40" s="176"/>
      <c r="OTQ40" s="177"/>
      <c r="OTR40" s="176"/>
      <c r="OTS40" s="176"/>
      <c r="OTT40" s="178"/>
      <c r="OTU40" s="178"/>
      <c r="OTV40" s="179"/>
      <c r="OTW40" s="180"/>
      <c r="OTX40" s="180"/>
      <c r="OTY40" s="180"/>
      <c r="OTZ40" s="180"/>
      <c r="OUA40" s="180"/>
      <c r="OUB40" s="180"/>
      <c r="OUC40" s="178"/>
      <c r="OUD40" s="181"/>
      <c r="OUE40" s="182"/>
      <c r="OUF40" s="182"/>
      <c r="OUG40" s="179"/>
      <c r="OUH40" s="183"/>
      <c r="OUI40" s="184"/>
      <c r="OUJ40" s="185"/>
      <c r="OUK40" s="186"/>
      <c r="OUL40" s="186"/>
      <c r="OUM40" s="186"/>
      <c r="OUN40" s="186"/>
      <c r="OUO40" s="187"/>
      <c r="OUP40" s="251"/>
      <c r="OUQ40" s="252"/>
      <c r="OUR40" s="175"/>
      <c r="OUS40" s="176"/>
      <c r="OUT40" s="177"/>
      <c r="OUU40" s="176"/>
      <c r="OUV40" s="176"/>
      <c r="OUW40" s="178"/>
      <c r="OUX40" s="178"/>
      <c r="OUY40" s="179"/>
      <c r="OUZ40" s="180"/>
      <c r="OVA40" s="180"/>
      <c r="OVB40" s="180"/>
      <c r="OVC40" s="180"/>
      <c r="OVD40" s="180"/>
      <c r="OVE40" s="180"/>
      <c r="OVF40" s="178"/>
      <c r="OVG40" s="181"/>
      <c r="OVH40" s="182"/>
      <c r="OVI40" s="182"/>
      <c r="OVJ40" s="179"/>
      <c r="OVK40" s="183"/>
      <c r="OVL40" s="184"/>
      <c r="OVM40" s="185"/>
      <c r="OVN40" s="186"/>
      <c r="OVO40" s="186"/>
      <c r="OVP40" s="186"/>
      <c r="OVQ40" s="186"/>
      <c r="OVR40" s="187"/>
      <c r="OVS40" s="251"/>
      <c r="OVT40" s="252"/>
      <c r="OVU40" s="175"/>
      <c r="OVV40" s="176"/>
      <c r="OVW40" s="177"/>
      <c r="OVX40" s="176"/>
      <c r="OVY40" s="176"/>
      <c r="OVZ40" s="178"/>
      <c r="OWA40" s="178"/>
      <c r="OWB40" s="179"/>
      <c r="OWC40" s="180"/>
      <c r="OWD40" s="180"/>
      <c r="OWE40" s="180"/>
      <c r="OWF40" s="180"/>
      <c r="OWG40" s="180"/>
      <c r="OWH40" s="180"/>
      <c r="OWI40" s="178"/>
      <c r="OWJ40" s="181"/>
      <c r="OWK40" s="182"/>
      <c r="OWL40" s="182"/>
      <c r="OWM40" s="179"/>
      <c r="OWN40" s="183"/>
      <c r="OWO40" s="184"/>
      <c r="OWP40" s="185"/>
      <c r="OWQ40" s="186"/>
      <c r="OWR40" s="186"/>
      <c r="OWS40" s="186"/>
      <c r="OWT40" s="186"/>
      <c r="OWU40" s="187"/>
      <c r="OWV40" s="251"/>
      <c r="OWW40" s="252"/>
      <c r="OWX40" s="175"/>
      <c r="OWY40" s="176"/>
      <c r="OWZ40" s="177"/>
      <c r="OXA40" s="176"/>
      <c r="OXB40" s="176"/>
      <c r="OXC40" s="178"/>
      <c r="OXD40" s="178"/>
      <c r="OXE40" s="179"/>
      <c r="OXF40" s="180"/>
      <c r="OXG40" s="180"/>
      <c r="OXH40" s="180"/>
      <c r="OXI40" s="180"/>
      <c r="OXJ40" s="180"/>
      <c r="OXK40" s="180"/>
      <c r="OXL40" s="178"/>
      <c r="OXM40" s="181"/>
      <c r="OXN40" s="182"/>
      <c r="OXO40" s="182"/>
      <c r="OXP40" s="179"/>
      <c r="OXQ40" s="183"/>
      <c r="OXR40" s="184"/>
      <c r="OXS40" s="185"/>
      <c r="OXT40" s="186"/>
      <c r="OXU40" s="186"/>
      <c r="OXV40" s="186"/>
      <c r="OXW40" s="186"/>
      <c r="OXX40" s="187"/>
      <c r="OXY40" s="251"/>
      <c r="OXZ40" s="252"/>
      <c r="OYA40" s="175"/>
      <c r="OYB40" s="176"/>
      <c r="OYC40" s="177"/>
      <c r="OYD40" s="176"/>
      <c r="OYE40" s="176"/>
      <c r="OYF40" s="178"/>
      <c r="OYG40" s="178"/>
      <c r="OYH40" s="179"/>
      <c r="OYI40" s="180"/>
      <c r="OYJ40" s="180"/>
      <c r="OYK40" s="180"/>
      <c r="OYL40" s="180"/>
      <c r="OYM40" s="180"/>
      <c r="OYN40" s="180"/>
      <c r="OYO40" s="178"/>
      <c r="OYP40" s="181"/>
      <c r="OYQ40" s="182"/>
      <c r="OYR40" s="182"/>
      <c r="OYS40" s="179"/>
      <c r="OYT40" s="183"/>
      <c r="OYU40" s="184"/>
      <c r="OYV40" s="185"/>
      <c r="OYW40" s="186"/>
      <c r="OYX40" s="186"/>
      <c r="OYY40" s="186"/>
      <c r="OYZ40" s="186"/>
      <c r="OZA40" s="187"/>
      <c r="OZB40" s="251"/>
      <c r="OZC40" s="252"/>
      <c r="OZD40" s="175"/>
      <c r="OZE40" s="176"/>
      <c r="OZF40" s="177"/>
      <c r="OZG40" s="176"/>
      <c r="OZH40" s="176"/>
      <c r="OZI40" s="178"/>
      <c r="OZJ40" s="178"/>
      <c r="OZK40" s="179"/>
      <c r="OZL40" s="180"/>
      <c r="OZM40" s="180"/>
      <c r="OZN40" s="180"/>
      <c r="OZO40" s="180"/>
      <c r="OZP40" s="180"/>
      <c r="OZQ40" s="180"/>
      <c r="OZR40" s="178"/>
      <c r="OZS40" s="181"/>
      <c r="OZT40" s="182"/>
      <c r="OZU40" s="182"/>
      <c r="OZV40" s="179"/>
      <c r="OZW40" s="183"/>
      <c r="OZX40" s="184"/>
      <c r="OZY40" s="185"/>
      <c r="OZZ40" s="186"/>
      <c r="PAA40" s="186"/>
      <c r="PAB40" s="186"/>
      <c r="PAC40" s="186"/>
      <c r="PAD40" s="187"/>
      <c r="PAE40" s="251"/>
      <c r="PAF40" s="252"/>
      <c r="PAG40" s="175"/>
      <c r="PAH40" s="176"/>
      <c r="PAI40" s="177"/>
      <c r="PAJ40" s="176"/>
      <c r="PAK40" s="176"/>
      <c r="PAL40" s="178"/>
      <c r="PAM40" s="178"/>
      <c r="PAN40" s="179"/>
      <c r="PAO40" s="180"/>
      <c r="PAP40" s="180"/>
      <c r="PAQ40" s="180"/>
      <c r="PAR40" s="180"/>
      <c r="PAS40" s="180"/>
      <c r="PAT40" s="180"/>
      <c r="PAU40" s="178"/>
      <c r="PAV40" s="181"/>
      <c r="PAW40" s="182"/>
      <c r="PAX40" s="182"/>
      <c r="PAY40" s="179"/>
      <c r="PAZ40" s="183"/>
      <c r="PBA40" s="184"/>
      <c r="PBB40" s="185"/>
      <c r="PBC40" s="186"/>
      <c r="PBD40" s="186"/>
      <c r="PBE40" s="186"/>
      <c r="PBF40" s="186"/>
      <c r="PBG40" s="187"/>
      <c r="PBH40" s="251"/>
      <c r="PBI40" s="252"/>
      <c r="PBJ40" s="175"/>
      <c r="PBK40" s="176"/>
      <c r="PBL40" s="177"/>
      <c r="PBM40" s="176"/>
      <c r="PBN40" s="176"/>
      <c r="PBO40" s="178"/>
      <c r="PBP40" s="178"/>
      <c r="PBQ40" s="179"/>
      <c r="PBR40" s="180"/>
      <c r="PBS40" s="180"/>
      <c r="PBT40" s="180"/>
      <c r="PBU40" s="180"/>
      <c r="PBV40" s="180"/>
      <c r="PBW40" s="180"/>
      <c r="PBX40" s="178"/>
      <c r="PBY40" s="181"/>
      <c r="PBZ40" s="182"/>
      <c r="PCA40" s="182"/>
      <c r="PCB40" s="179"/>
      <c r="PCC40" s="183"/>
      <c r="PCD40" s="184"/>
      <c r="PCE40" s="185"/>
      <c r="PCF40" s="186"/>
      <c r="PCG40" s="186"/>
      <c r="PCH40" s="186"/>
      <c r="PCI40" s="186"/>
      <c r="PCJ40" s="187"/>
      <c r="PCK40" s="251"/>
      <c r="PCL40" s="252"/>
      <c r="PCM40" s="175"/>
      <c r="PCN40" s="176"/>
      <c r="PCO40" s="177"/>
      <c r="PCP40" s="176"/>
      <c r="PCQ40" s="176"/>
      <c r="PCR40" s="178"/>
      <c r="PCS40" s="178"/>
      <c r="PCT40" s="179"/>
      <c r="PCU40" s="180"/>
      <c r="PCV40" s="180"/>
      <c r="PCW40" s="180"/>
      <c r="PCX40" s="180"/>
      <c r="PCY40" s="180"/>
      <c r="PCZ40" s="180"/>
      <c r="PDA40" s="178"/>
      <c r="PDB40" s="181"/>
      <c r="PDC40" s="182"/>
      <c r="PDD40" s="182"/>
      <c r="PDE40" s="179"/>
      <c r="PDF40" s="183"/>
      <c r="PDG40" s="184"/>
      <c r="PDH40" s="185"/>
      <c r="PDI40" s="186"/>
      <c r="PDJ40" s="186"/>
      <c r="PDK40" s="186"/>
      <c r="PDL40" s="186"/>
      <c r="PDM40" s="187"/>
      <c r="PDN40" s="251"/>
      <c r="PDO40" s="252"/>
      <c r="PDP40" s="175"/>
      <c r="PDQ40" s="176"/>
      <c r="PDR40" s="177"/>
      <c r="PDS40" s="176"/>
      <c r="PDT40" s="176"/>
      <c r="PDU40" s="178"/>
      <c r="PDV40" s="178"/>
      <c r="PDW40" s="179"/>
      <c r="PDX40" s="180"/>
      <c r="PDY40" s="180"/>
      <c r="PDZ40" s="180"/>
      <c r="PEA40" s="180"/>
      <c r="PEB40" s="180"/>
      <c r="PEC40" s="180"/>
      <c r="PED40" s="178"/>
      <c r="PEE40" s="181"/>
      <c r="PEF40" s="182"/>
      <c r="PEG40" s="182"/>
      <c r="PEH40" s="179"/>
      <c r="PEI40" s="183"/>
      <c r="PEJ40" s="184"/>
      <c r="PEK40" s="185"/>
      <c r="PEL40" s="186"/>
      <c r="PEM40" s="186"/>
      <c r="PEN40" s="186"/>
      <c r="PEO40" s="186"/>
      <c r="PEP40" s="187"/>
      <c r="PEQ40" s="251"/>
      <c r="PER40" s="252"/>
      <c r="PES40" s="175"/>
      <c r="PET40" s="176"/>
      <c r="PEU40" s="177"/>
      <c r="PEV40" s="176"/>
      <c r="PEW40" s="176"/>
      <c r="PEX40" s="178"/>
      <c r="PEY40" s="178"/>
      <c r="PEZ40" s="179"/>
      <c r="PFA40" s="180"/>
      <c r="PFB40" s="180"/>
      <c r="PFC40" s="180"/>
      <c r="PFD40" s="180"/>
      <c r="PFE40" s="180"/>
      <c r="PFF40" s="180"/>
      <c r="PFG40" s="178"/>
      <c r="PFH40" s="181"/>
      <c r="PFI40" s="182"/>
      <c r="PFJ40" s="182"/>
      <c r="PFK40" s="179"/>
      <c r="PFL40" s="183"/>
      <c r="PFM40" s="184"/>
      <c r="PFN40" s="185"/>
      <c r="PFO40" s="186"/>
      <c r="PFP40" s="186"/>
      <c r="PFQ40" s="186"/>
      <c r="PFR40" s="186"/>
      <c r="PFS40" s="187"/>
      <c r="PFT40" s="251"/>
      <c r="PFU40" s="252"/>
      <c r="PFV40" s="175"/>
      <c r="PFW40" s="176"/>
      <c r="PFX40" s="177"/>
      <c r="PFY40" s="176"/>
      <c r="PFZ40" s="176"/>
      <c r="PGA40" s="178"/>
      <c r="PGB40" s="178"/>
      <c r="PGC40" s="179"/>
      <c r="PGD40" s="180"/>
      <c r="PGE40" s="180"/>
      <c r="PGF40" s="180"/>
      <c r="PGG40" s="180"/>
      <c r="PGH40" s="180"/>
      <c r="PGI40" s="180"/>
      <c r="PGJ40" s="178"/>
      <c r="PGK40" s="181"/>
      <c r="PGL40" s="182"/>
      <c r="PGM40" s="182"/>
      <c r="PGN40" s="179"/>
      <c r="PGO40" s="183"/>
      <c r="PGP40" s="184"/>
      <c r="PGQ40" s="185"/>
      <c r="PGR40" s="186"/>
      <c r="PGS40" s="186"/>
      <c r="PGT40" s="186"/>
      <c r="PGU40" s="186"/>
      <c r="PGV40" s="187"/>
      <c r="PGW40" s="251"/>
      <c r="PGX40" s="252"/>
      <c r="PGY40" s="175"/>
      <c r="PGZ40" s="176"/>
      <c r="PHA40" s="177"/>
      <c r="PHB40" s="176"/>
      <c r="PHC40" s="176"/>
      <c r="PHD40" s="178"/>
      <c r="PHE40" s="178"/>
      <c r="PHF40" s="179"/>
      <c r="PHG40" s="180"/>
      <c r="PHH40" s="180"/>
      <c r="PHI40" s="180"/>
      <c r="PHJ40" s="180"/>
      <c r="PHK40" s="180"/>
      <c r="PHL40" s="180"/>
      <c r="PHM40" s="178"/>
      <c r="PHN40" s="181"/>
      <c r="PHO40" s="182"/>
      <c r="PHP40" s="182"/>
      <c r="PHQ40" s="179"/>
      <c r="PHR40" s="183"/>
      <c r="PHS40" s="184"/>
      <c r="PHT40" s="185"/>
      <c r="PHU40" s="186"/>
      <c r="PHV40" s="186"/>
      <c r="PHW40" s="186"/>
      <c r="PHX40" s="186"/>
      <c r="PHY40" s="187"/>
      <c r="PHZ40" s="251"/>
      <c r="PIA40" s="252"/>
      <c r="PIB40" s="175"/>
      <c r="PIC40" s="176"/>
      <c r="PID40" s="177"/>
      <c r="PIE40" s="176"/>
      <c r="PIF40" s="176"/>
      <c r="PIG40" s="178"/>
      <c r="PIH40" s="178"/>
      <c r="PII40" s="179"/>
      <c r="PIJ40" s="180"/>
      <c r="PIK40" s="180"/>
      <c r="PIL40" s="180"/>
      <c r="PIM40" s="180"/>
      <c r="PIN40" s="180"/>
      <c r="PIO40" s="180"/>
      <c r="PIP40" s="178"/>
      <c r="PIQ40" s="181"/>
      <c r="PIR40" s="182"/>
      <c r="PIS40" s="182"/>
      <c r="PIT40" s="179"/>
      <c r="PIU40" s="183"/>
      <c r="PIV40" s="184"/>
      <c r="PIW40" s="185"/>
      <c r="PIX40" s="186"/>
      <c r="PIY40" s="186"/>
      <c r="PIZ40" s="186"/>
      <c r="PJA40" s="186"/>
      <c r="PJB40" s="187"/>
      <c r="PJC40" s="251"/>
      <c r="PJD40" s="252"/>
      <c r="PJE40" s="175"/>
      <c r="PJF40" s="176"/>
      <c r="PJG40" s="177"/>
      <c r="PJH40" s="176"/>
      <c r="PJI40" s="176"/>
      <c r="PJJ40" s="178"/>
      <c r="PJK40" s="178"/>
      <c r="PJL40" s="179"/>
      <c r="PJM40" s="180"/>
      <c r="PJN40" s="180"/>
      <c r="PJO40" s="180"/>
      <c r="PJP40" s="180"/>
      <c r="PJQ40" s="180"/>
      <c r="PJR40" s="180"/>
      <c r="PJS40" s="178"/>
      <c r="PJT40" s="181"/>
      <c r="PJU40" s="182"/>
      <c r="PJV40" s="182"/>
      <c r="PJW40" s="179"/>
      <c r="PJX40" s="183"/>
      <c r="PJY40" s="184"/>
      <c r="PJZ40" s="185"/>
      <c r="PKA40" s="186"/>
      <c r="PKB40" s="186"/>
      <c r="PKC40" s="186"/>
      <c r="PKD40" s="186"/>
      <c r="PKE40" s="187"/>
      <c r="PKF40" s="251"/>
      <c r="PKG40" s="252"/>
      <c r="PKH40" s="175"/>
      <c r="PKI40" s="176"/>
      <c r="PKJ40" s="177"/>
      <c r="PKK40" s="176"/>
      <c r="PKL40" s="176"/>
      <c r="PKM40" s="178"/>
      <c r="PKN40" s="178"/>
      <c r="PKO40" s="179"/>
      <c r="PKP40" s="180"/>
      <c r="PKQ40" s="180"/>
      <c r="PKR40" s="180"/>
      <c r="PKS40" s="180"/>
      <c r="PKT40" s="180"/>
      <c r="PKU40" s="180"/>
      <c r="PKV40" s="178"/>
      <c r="PKW40" s="181"/>
      <c r="PKX40" s="182"/>
      <c r="PKY40" s="182"/>
      <c r="PKZ40" s="179"/>
      <c r="PLA40" s="183"/>
      <c r="PLB40" s="184"/>
      <c r="PLC40" s="185"/>
      <c r="PLD40" s="186"/>
      <c r="PLE40" s="186"/>
      <c r="PLF40" s="186"/>
      <c r="PLG40" s="186"/>
      <c r="PLH40" s="187"/>
      <c r="PLI40" s="251"/>
      <c r="PLJ40" s="252"/>
      <c r="PLK40" s="175"/>
      <c r="PLL40" s="176"/>
      <c r="PLM40" s="177"/>
      <c r="PLN40" s="176"/>
      <c r="PLO40" s="176"/>
      <c r="PLP40" s="178"/>
      <c r="PLQ40" s="178"/>
      <c r="PLR40" s="179"/>
      <c r="PLS40" s="180"/>
      <c r="PLT40" s="180"/>
      <c r="PLU40" s="180"/>
      <c r="PLV40" s="180"/>
      <c r="PLW40" s="180"/>
      <c r="PLX40" s="180"/>
      <c r="PLY40" s="178"/>
      <c r="PLZ40" s="181"/>
      <c r="PMA40" s="182"/>
      <c r="PMB40" s="182"/>
      <c r="PMC40" s="179"/>
      <c r="PMD40" s="183"/>
      <c r="PME40" s="184"/>
      <c r="PMF40" s="185"/>
      <c r="PMG40" s="186"/>
      <c r="PMH40" s="186"/>
      <c r="PMI40" s="186"/>
      <c r="PMJ40" s="186"/>
      <c r="PMK40" s="187"/>
      <c r="PML40" s="251"/>
      <c r="PMM40" s="252"/>
      <c r="PMN40" s="175"/>
      <c r="PMO40" s="176"/>
      <c r="PMP40" s="177"/>
      <c r="PMQ40" s="176"/>
      <c r="PMR40" s="176"/>
      <c r="PMS40" s="178"/>
      <c r="PMT40" s="178"/>
      <c r="PMU40" s="179"/>
      <c r="PMV40" s="180"/>
      <c r="PMW40" s="180"/>
      <c r="PMX40" s="180"/>
      <c r="PMY40" s="180"/>
      <c r="PMZ40" s="180"/>
      <c r="PNA40" s="180"/>
      <c r="PNB40" s="178"/>
      <c r="PNC40" s="181"/>
      <c r="PND40" s="182"/>
      <c r="PNE40" s="182"/>
      <c r="PNF40" s="179"/>
      <c r="PNG40" s="183"/>
      <c r="PNH40" s="184"/>
      <c r="PNI40" s="185"/>
      <c r="PNJ40" s="186"/>
      <c r="PNK40" s="186"/>
      <c r="PNL40" s="186"/>
      <c r="PNM40" s="186"/>
      <c r="PNN40" s="187"/>
      <c r="PNO40" s="251"/>
      <c r="PNP40" s="252"/>
      <c r="PNQ40" s="175"/>
      <c r="PNR40" s="176"/>
      <c r="PNS40" s="177"/>
      <c r="PNT40" s="176"/>
      <c r="PNU40" s="176"/>
      <c r="PNV40" s="178"/>
      <c r="PNW40" s="178"/>
      <c r="PNX40" s="179"/>
      <c r="PNY40" s="180"/>
      <c r="PNZ40" s="180"/>
      <c r="POA40" s="180"/>
      <c r="POB40" s="180"/>
      <c r="POC40" s="180"/>
      <c r="POD40" s="180"/>
      <c r="POE40" s="178"/>
      <c r="POF40" s="181"/>
      <c r="POG40" s="182"/>
      <c r="POH40" s="182"/>
      <c r="POI40" s="179"/>
      <c r="POJ40" s="183"/>
      <c r="POK40" s="184"/>
      <c r="POL40" s="185"/>
      <c r="POM40" s="186"/>
      <c r="PON40" s="186"/>
      <c r="POO40" s="186"/>
      <c r="POP40" s="186"/>
      <c r="POQ40" s="187"/>
      <c r="POR40" s="251"/>
      <c r="POS40" s="252"/>
      <c r="POT40" s="175"/>
      <c r="POU40" s="176"/>
      <c r="POV40" s="177"/>
      <c r="POW40" s="176"/>
      <c r="POX40" s="176"/>
      <c r="POY40" s="178"/>
      <c r="POZ40" s="178"/>
      <c r="PPA40" s="179"/>
      <c r="PPB40" s="180"/>
      <c r="PPC40" s="180"/>
      <c r="PPD40" s="180"/>
      <c r="PPE40" s="180"/>
      <c r="PPF40" s="180"/>
      <c r="PPG40" s="180"/>
      <c r="PPH40" s="178"/>
      <c r="PPI40" s="181"/>
      <c r="PPJ40" s="182"/>
      <c r="PPK40" s="182"/>
      <c r="PPL40" s="179"/>
      <c r="PPM40" s="183"/>
      <c r="PPN40" s="184"/>
      <c r="PPO40" s="185"/>
      <c r="PPP40" s="186"/>
      <c r="PPQ40" s="186"/>
      <c r="PPR40" s="186"/>
      <c r="PPS40" s="186"/>
      <c r="PPT40" s="187"/>
      <c r="PPU40" s="251"/>
      <c r="PPV40" s="252"/>
      <c r="PPW40" s="175"/>
      <c r="PPX40" s="176"/>
      <c r="PPY40" s="177"/>
      <c r="PPZ40" s="176"/>
      <c r="PQA40" s="176"/>
      <c r="PQB40" s="178"/>
      <c r="PQC40" s="178"/>
      <c r="PQD40" s="179"/>
      <c r="PQE40" s="180"/>
      <c r="PQF40" s="180"/>
      <c r="PQG40" s="180"/>
      <c r="PQH40" s="180"/>
      <c r="PQI40" s="180"/>
      <c r="PQJ40" s="180"/>
      <c r="PQK40" s="178"/>
      <c r="PQL40" s="181"/>
      <c r="PQM40" s="182"/>
      <c r="PQN40" s="182"/>
      <c r="PQO40" s="179"/>
      <c r="PQP40" s="183"/>
      <c r="PQQ40" s="184"/>
      <c r="PQR40" s="185"/>
      <c r="PQS40" s="186"/>
      <c r="PQT40" s="186"/>
      <c r="PQU40" s="186"/>
      <c r="PQV40" s="186"/>
      <c r="PQW40" s="187"/>
      <c r="PQX40" s="251"/>
      <c r="PQY40" s="252"/>
      <c r="PQZ40" s="175"/>
      <c r="PRA40" s="176"/>
      <c r="PRB40" s="177"/>
      <c r="PRC40" s="176"/>
      <c r="PRD40" s="176"/>
      <c r="PRE40" s="178"/>
      <c r="PRF40" s="178"/>
      <c r="PRG40" s="179"/>
      <c r="PRH40" s="180"/>
      <c r="PRI40" s="180"/>
      <c r="PRJ40" s="180"/>
      <c r="PRK40" s="180"/>
      <c r="PRL40" s="180"/>
      <c r="PRM40" s="180"/>
      <c r="PRN40" s="178"/>
      <c r="PRO40" s="181"/>
      <c r="PRP40" s="182"/>
      <c r="PRQ40" s="182"/>
      <c r="PRR40" s="179"/>
      <c r="PRS40" s="183"/>
      <c r="PRT40" s="184"/>
      <c r="PRU40" s="185"/>
      <c r="PRV40" s="186"/>
      <c r="PRW40" s="186"/>
      <c r="PRX40" s="186"/>
      <c r="PRY40" s="186"/>
      <c r="PRZ40" s="187"/>
      <c r="PSA40" s="251"/>
      <c r="PSB40" s="252"/>
      <c r="PSC40" s="175"/>
      <c r="PSD40" s="176"/>
      <c r="PSE40" s="177"/>
      <c r="PSF40" s="176"/>
      <c r="PSG40" s="176"/>
      <c r="PSH40" s="178"/>
      <c r="PSI40" s="178"/>
      <c r="PSJ40" s="179"/>
      <c r="PSK40" s="180"/>
      <c r="PSL40" s="180"/>
      <c r="PSM40" s="180"/>
      <c r="PSN40" s="180"/>
      <c r="PSO40" s="180"/>
      <c r="PSP40" s="180"/>
      <c r="PSQ40" s="178"/>
      <c r="PSR40" s="181"/>
      <c r="PSS40" s="182"/>
      <c r="PST40" s="182"/>
      <c r="PSU40" s="179"/>
      <c r="PSV40" s="183"/>
      <c r="PSW40" s="184"/>
      <c r="PSX40" s="185"/>
      <c r="PSY40" s="186"/>
      <c r="PSZ40" s="186"/>
      <c r="PTA40" s="186"/>
      <c r="PTB40" s="186"/>
      <c r="PTC40" s="187"/>
      <c r="PTD40" s="251"/>
      <c r="PTE40" s="252"/>
      <c r="PTF40" s="175"/>
      <c r="PTG40" s="176"/>
      <c r="PTH40" s="177"/>
      <c r="PTI40" s="176"/>
      <c r="PTJ40" s="176"/>
      <c r="PTK40" s="178"/>
      <c r="PTL40" s="178"/>
      <c r="PTM40" s="179"/>
      <c r="PTN40" s="180"/>
      <c r="PTO40" s="180"/>
      <c r="PTP40" s="180"/>
      <c r="PTQ40" s="180"/>
      <c r="PTR40" s="180"/>
      <c r="PTS40" s="180"/>
      <c r="PTT40" s="178"/>
      <c r="PTU40" s="181"/>
      <c r="PTV40" s="182"/>
      <c r="PTW40" s="182"/>
      <c r="PTX40" s="179"/>
      <c r="PTY40" s="183"/>
      <c r="PTZ40" s="184"/>
      <c r="PUA40" s="185"/>
      <c r="PUB40" s="186"/>
      <c r="PUC40" s="186"/>
      <c r="PUD40" s="186"/>
      <c r="PUE40" s="186"/>
      <c r="PUF40" s="187"/>
      <c r="PUG40" s="251"/>
      <c r="PUH40" s="252"/>
      <c r="PUI40" s="175"/>
      <c r="PUJ40" s="176"/>
      <c r="PUK40" s="177"/>
      <c r="PUL40" s="176"/>
      <c r="PUM40" s="176"/>
      <c r="PUN40" s="178"/>
      <c r="PUO40" s="178"/>
      <c r="PUP40" s="179"/>
      <c r="PUQ40" s="180"/>
      <c r="PUR40" s="180"/>
      <c r="PUS40" s="180"/>
      <c r="PUT40" s="180"/>
      <c r="PUU40" s="180"/>
      <c r="PUV40" s="180"/>
      <c r="PUW40" s="178"/>
      <c r="PUX40" s="181"/>
      <c r="PUY40" s="182"/>
      <c r="PUZ40" s="182"/>
      <c r="PVA40" s="179"/>
      <c r="PVB40" s="183"/>
      <c r="PVC40" s="184"/>
      <c r="PVD40" s="185"/>
      <c r="PVE40" s="186"/>
      <c r="PVF40" s="186"/>
      <c r="PVG40" s="186"/>
      <c r="PVH40" s="186"/>
      <c r="PVI40" s="187"/>
      <c r="PVJ40" s="251"/>
      <c r="PVK40" s="252"/>
      <c r="PVL40" s="175"/>
      <c r="PVM40" s="176"/>
      <c r="PVN40" s="177"/>
      <c r="PVO40" s="176"/>
      <c r="PVP40" s="176"/>
      <c r="PVQ40" s="178"/>
      <c r="PVR40" s="178"/>
      <c r="PVS40" s="179"/>
      <c r="PVT40" s="180"/>
      <c r="PVU40" s="180"/>
      <c r="PVV40" s="180"/>
      <c r="PVW40" s="180"/>
      <c r="PVX40" s="180"/>
      <c r="PVY40" s="180"/>
      <c r="PVZ40" s="178"/>
      <c r="PWA40" s="181"/>
      <c r="PWB40" s="182"/>
      <c r="PWC40" s="182"/>
      <c r="PWD40" s="179"/>
      <c r="PWE40" s="183"/>
      <c r="PWF40" s="184"/>
      <c r="PWG40" s="185"/>
      <c r="PWH40" s="186"/>
      <c r="PWI40" s="186"/>
      <c r="PWJ40" s="186"/>
      <c r="PWK40" s="186"/>
      <c r="PWL40" s="187"/>
      <c r="PWM40" s="251"/>
      <c r="PWN40" s="252"/>
      <c r="PWO40" s="175"/>
      <c r="PWP40" s="176"/>
      <c r="PWQ40" s="177"/>
      <c r="PWR40" s="176"/>
      <c r="PWS40" s="176"/>
      <c r="PWT40" s="178"/>
      <c r="PWU40" s="178"/>
      <c r="PWV40" s="179"/>
      <c r="PWW40" s="180"/>
      <c r="PWX40" s="180"/>
      <c r="PWY40" s="180"/>
      <c r="PWZ40" s="180"/>
      <c r="PXA40" s="180"/>
      <c r="PXB40" s="180"/>
      <c r="PXC40" s="178"/>
      <c r="PXD40" s="181"/>
      <c r="PXE40" s="182"/>
      <c r="PXF40" s="182"/>
      <c r="PXG40" s="179"/>
      <c r="PXH40" s="183"/>
      <c r="PXI40" s="184"/>
      <c r="PXJ40" s="185"/>
      <c r="PXK40" s="186"/>
      <c r="PXL40" s="186"/>
      <c r="PXM40" s="186"/>
      <c r="PXN40" s="186"/>
      <c r="PXO40" s="187"/>
      <c r="PXP40" s="251"/>
      <c r="PXQ40" s="252"/>
      <c r="PXR40" s="175"/>
      <c r="PXS40" s="176"/>
      <c r="PXT40" s="177"/>
      <c r="PXU40" s="176"/>
      <c r="PXV40" s="176"/>
      <c r="PXW40" s="178"/>
      <c r="PXX40" s="178"/>
      <c r="PXY40" s="179"/>
      <c r="PXZ40" s="180"/>
      <c r="PYA40" s="180"/>
      <c r="PYB40" s="180"/>
      <c r="PYC40" s="180"/>
      <c r="PYD40" s="180"/>
      <c r="PYE40" s="180"/>
      <c r="PYF40" s="178"/>
      <c r="PYG40" s="181"/>
      <c r="PYH40" s="182"/>
      <c r="PYI40" s="182"/>
      <c r="PYJ40" s="179"/>
      <c r="PYK40" s="183"/>
      <c r="PYL40" s="184"/>
      <c r="PYM40" s="185"/>
      <c r="PYN40" s="186"/>
      <c r="PYO40" s="186"/>
      <c r="PYP40" s="186"/>
      <c r="PYQ40" s="186"/>
      <c r="PYR40" s="187"/>
      <c r="PYS40" s="251"/>
      <c r="PYT40" s="252"/>
      <c r="PYU40" s="175"/>
      <c r="PYV40" s="176"/>
      <c r="PYW40" s="177"/>
      <c r="PYX40" s="176"/>
      <c r="PYY40" s="176"/>
      <c r="PYZ40" s="178"/>
      <c r="PZA40" s="178"/>
      <c r="PZB40" s="179"/>
      <c r="PZC40" s="180"/>
      <c r="PZD40" s="180"/>
      <c r="PZE40" s="180"/>
      <c r="PZF40" s="180"/>
      <c r="PZG40" s="180"/>
      <c r="PZH40" s="180"/>
      <c r="PZI40" s="178"/>
      <c r="PZJ40" s="181"/>
      <c r="PZK40" s="182"/>
      <c r="PZL40" s="182"/>
      <c r="PZM40" s="179"/>
      <c r="PZN40" s="183"/>
      <c r="PZO40" s="184"/>
      <c r="PZP40" s="185"/>
      <c r="PZQ40" s="186"/>
      <c r="PZR40" s="186"/>
      <c r="PZS40" s="186"/>
      <c r="PZT40" s="186"/>
      <c r="PZU40" s="187"/>
      <c r="PZV40" s="251"/>
      <c r="PZW40" s="252"/>
      <c r="PZX40" s="175"/>
      <c r="PZY40" s="176"/>
      <c r="PZZ40" s="177"/>
      <c r="QAA40" s="176"/>
      <c r="QAB40" s="176"/>
      <c r="QAC40" s="178"/>
      <c r="QAD40" s="178"/>
      <c r="QAE40" s="179"/>
      <c r="QAF40" s="180"/>
      <c r="QAG40" s="180"/>
      <c r="QAH40" s="180"/>
      <c r="QAI40" s="180"/>
      <c r="QAJ40" s="180"/>
      <c r="QAK40" s="180"/>
      <c r="QAL40" s="178"/>
      <c r="QAM40" s="181"/>
      <c r="QAN40" s="182"/>
      <c r="QAO40" s="182"/>
      <c r="QAP40" s="179"/>
      <c r="QAQ40" s="183"/>
      <c r="QAR40" s="184"/>
      <c r="QAS40" s="185"/>
      <c r="QAT40" s="186"/>
      <c r="QAU40" s="186"/>
      <c r="QAV40" s="186"/>
      <c r="QAW40" s="186"/>
      <c r="QAX40" s="187"/>
      <c r="QAY40" s="251"/>
      <c r="QAZ40" s="252"/>
      <c r="QBA40" s="175"/>
      <c r="QBB40" s="176"/>
      <c r="QBC40" s="177"/>
      <c r="QBD40" s="176"/>
      <c r="QBE40" s="176"/>
      <c r="QBF40" s="178"/>
      <c r="QBG40" s="178"/>
      <c r="QBH40" s="179"/>
      <c r="QBI40" s="180"/>
      <c r="QBJ40" s="180"/>
      <c r="QBK40" s="180"/>
      <c r="QBL40" s="180"/>
      <c r="QBM40" s="180"/>
      <c r="QBN40" s="180"/>
      <c r="QBO40" s="178"/>
      <c r="QBP40" s="181"/>
      <c r="QBQ40" s="182"/>
      <c r="QBR40" s="182"/>
      <c r="QBS40" s="179"/>
      <c r="QBT40" s="183"/>
      <c r="QBU40" s="184"/>
      <c r="QBV40" s="185"/>
      <c r="QBW40" s="186"/>
      <c r="QBX40" s="186"/>
      <c r="QBY40" s="186"/>
      <c r="QBZ40" s="186"/>
      <c r="QCA40" s="187"/>
      <c r="QCB40" s="251"/>
      <c r="QCC40" s="252"/>
      <c r="QCD40" s="175"/>
      <c r="QCE40" s="176"/>
      <c r="QCF40" s="177"/>
      <c r="QCG40" s="176"/>
      <c r="QCH40" s="176"/>
      <c r="QCI40" s="178"/>
      <c r="QCJ40" s="178"/>
      <c r="QCK40" s="179"/>
      <c r="QCL40" s="180"/>
      <c r="QCM40" s="180"/>
      <c r="QCN40" s="180"/>
      <c r="QCO40" s="180"/>
      <c r="QCP40" s="180"/>
      <c r="QCQ40" s="180"/>
      <c r="QCR40" s="178"/>
      <c r="QCS40" s="181"/>
      <c r="QCT40" s="182"/>
      <c r="QCU40" s="182"/>
      <c r="QCV40" s="179"/>
      <c r="QCW40" s="183"/>
      <c r="QCX40" s="184"/>
      <c r="QCY40" s="185"/>
      <c r="QCZ40" s="186"/>
      <c r="QDA40" s="186"/>
      <c r="QDB40" s="186"/>
      <c r="QDC40" s="186"/>
      <c r="QDD40" s="187"/>
      <c r="QDE40" s="251"/>
      <c r="QDF40" s="252"/>
      <c r="QDG40" s="175"/>
      <c r="QDH40" s="176"/>
      <c r="QDI40" s="177"/>
      <c r="QDJ40" s="176"/>
      <c r="QDK40" s="176"/>
      <c r="QDL40" s="178"/>
      <c r="QDM40" s="178"/>
      <c r="QDN40" s="179"/>
      <c r="QDO40" s="180"/>
      <c r="QDP40" s="180"/>
      <c r="QDQ40" s="180"/>
      <c r="QDR40" s="180"/>
      <c r="QDS40" s="180"/>
      <c r="QDT40" s="180"/>
      <c r="QDU40" s="178"/>
      <c r="QDV40" s="181"/>
      <c r="QDW40" s="182"/>
      <c r="QDX40" s="182"/>
      <c r="QDY40" s="179"/>
      <c r="QDZ40" s="183"/>
      <c r="QEA40" s="184"/>
      <c r="QEB40" s="185"/>
      <c r="QEC40" s="186"/>
      <c r="QED40" s="186"/>
      <c r="QEE40" s="186"/>
      <c r="QEF40" s="186"/>
      <c r="QEG40" s="187"/>
      <c r="QEH40" s="251"/>
      <c r="QEI40" s="252"/>
      <c r="QEJ40" s="175"/>
      <c r="QEK40" s="176"/>
      <c r="QEL40" s="177"/>
      <c r="QEM40" s="176"/>
      <c r="QEN40" s="176"/>
      <c r="QEO40" s="178"/>
      <c r="QEP40" s="178"/>
      <c r="QEQ40" s="179"/>
      <c r="QER40" s="180"/>
      <c r="QES40" s="180"/>
      <c r="QET40" s="180"/>
      <c r="QEU40" s="180"/>
      <c r="QEV40" s="180"/>
      <c r="QEW40" s="180"/>
      <c r="QEX40" s="178"/>
      <c r="QEY40" s="181"/>
      <c r="QEZ40" s="182"/>
      <c r="QFA40" s="182"/>
      <c r="QFB40" s="179"/>
      <c r="QFC40" s="183"/>
      <c r="QFD40" s="184"/>
      <c r="QFE40" s="185"/>
      <c r="QFF40" s="186"/>
      <c r="QFG40" s="186"/>
      <c r="QFH40" s="186"/>
      <c r="QFI40" s="186"/>
      <c r="QFJ40" s="187"/>
      <c r="QFK40" s="251"/>
      <c r="QFL40" s="252"/>
      <c r="QFM40" s="175"/>
      <c r="QFN40" s="176"/>
      <c r="QFO40" s="177"/>
      <c r="QFP40" s="176"/>
      <c r="QFQ40" s="176"/>
      <c r="QFR40" s="178"/>
      <c r="QFS40" s="178"/>
      <c r="QFT40" s="179"/>
      <c r="QFU40" s="180"/>
      <c r="QFV40" s="180"/>
      <c r="QFW40" s="180"/>
      <c r="QFX40" s="180"/>
      <c r="QFY40" s="180"/>
      <c r="QFZ40" s="180"/>
      <c r="QGA40" s="178"/>
      <c r="QGB40" s="181"/>
      <c r="QGC40" s="182"/>
      <c r="QGD40" s="182"/>
      <c r="QGE40" s="179"/>
      <c r="QGF40" s="183"/>
      <c r="QGG40" s="184"/>
      <c r="QGH40" s="185"/>
      <c r="QGI40" s="186"/>
      <c r="QGJ40" s="186"/>
      <c r="QGK40" s="186"/>
      <c r="QGL40" s="186"/>
      <c r="QGM40" s="187"/>
      <c r="QGN40" s="251"/>
      <c r="QGO40" s="252"/>
      <c r="QGP40" s="175"/>
      <c r="QGQ40" s="176"/>
      <c r="QGR40" s="177"/>
      <c r="QGS40" s="176"/>
      <c r="QGT40" s="176"/>
      <c r="QGU40" s="178"/>
      <c r="QGV40" s="178"/>
      <c r="QGW40" s="179"/>
      <c r="QGX40" s="180"/>
      <c r="QGY40" s="180"/>
      <c r="QGZ40" s="180"/>
      <c r="QHA40" s="180"/>
      <c r="QHB40" s="180"/>
      <c r="QHC40" s="180"/>
      <c r="QHD40" s="178"/>
      <c r="QHE40" s="181"/>
      <c r="QHF40" s="182"/>
      <c r="QHG40" s="182"/>
      <c r="QHH40" s="179"/>
      <c r="QHI40" s="183"/>
      <c r="QHJ40" s="184"/>
      <c r="QHK40" s="185"/>
      <c r="QHL40" s="186"/>
      <c r="QHM40" s="186"/>
      <c r="QHN40" s="186"/>
      <c r="QHO40" s="186"/>
      <c r="QHP40" s="187"/>
      <c r="QHQ40" s="251"/>
      <c r="QHR40" s="252"/>
      <c r="QHS40" s="175"/>
      <c r="QHT40" s="176"/>
      <c r="QHU40" s="177"/>
      <c r="QHV40" s="176"/>
      <c r="QHW40" s="176"/>
      <c r="QHX40" s="178"/>
      <c r="QHY40" s="178"/>
      <c r="QHZ40" s="179"/>
      <c r="QIA40" s="180"/>
      <c r="QIB40" s="180"/>
      <c r="QIC40" s="180"/>
      <c r="QID40" s="180"/>
      <c r="QIE40" s="180"/>
      <c r="QIF40" s="180"/>
      <c r="QIG40" s="178"/>
      <c r="QIH40" s="181"/>
      <c r="QII40" s="182"/>
      <c r="QIJ40" s="182"/>
      <c r="QIK40" s="179"/>
      <c r="QIL40" s="183"/>
      <c r="QIM40" s="184"/>
      <c r="QIN40" s="185"/>
      <c r="QIO40" s="186"/>
      <c r="QIP40" s="186"/>
      <c r="QIQ40" s="186"/>
      <c r="QIR40" s="186"/>
      <c r="QIS40" s="187"/>
      <c r="QIT40" s="251"/>
      <c r="QIU40" s="252"/>
      <c r="QIV40" s="175"/>
      <c r="QIW40" s="176"/>
      <c r="QIX40" s="177"/>
      <c r="QIY40" s="176"/>
      <c r="QIZ40" s="176"/>
      <c r="QJA40" s="178"/>
      <c r="QJB40" s="178"/>
      <c r="QJC40" s="179"/>
      <c r="QJD40" s="180"/>
      <c r="QJE40" s="180"/>
      <c r="QJF40" s="180"/>
      <c r="QJG40" s="180"/>
      <c r="QJH40" s="180"/>
      <c r="QJI40" s="180"/>
      <c r="QJJ40" s="178"/>
      <c r="QJK40" s="181"/>
      <c r="QJL40" s="182"/>
      <c r="QJM40" s="182"/>
      <c r="QJN40" s="179"/>
      <c r="QJO40" s="183"/>
      <c r="QJP40" s="184"/>
      <c r="QJQ40" s="185"/>
      <c r="QJR40" s="186"/>
      <c r="QJS40" s="186"/>
      <c r="QJT40" s="186"/>
      <c r="QJU40" s="186"/>
      <c r="QJV40" s="187"/>
      <c r="QJW40" s="251"/>
      <c r="QJX40" s="252"/>
      <c r="QJY40" s="175"/>
      <c r="QJZ40" s="176"/>
      <c r="QKA40" s="177"/>
      <c r="QKB40" s="176"/>
      <c r="QKC40" s="176"/>
      <c r="QKD40" s="178"/>
      <c r="QKE40" s="178"/>
      <c r="QKF40" s="179"/>
      <c r="QKG40" s="180"/>
      <c r="QKH40" s="180"/>
      <c r="QKI40" s="180"/>
      <c r="QKJ40" s="180"/>
      <c r="QKK40" s="180"/>
      <c r="QKL40" s="180"/>
      <c r="QKM40" s="178"/>
      <c r="QKN40" s="181"/>
      <c r="QKO40" s="182"/>
      <c r="QKP40" s="182"/>
      <c r="QKQ40" s="179"/>
      <c r="QKR40" s="183"/>
      <c r="QKS40" s="184"/>
      <c r="QKT40" s="185"/>
      <c r="QKU40" s="186"/>
      <c r="QKV40" s="186"/>
      <c r="QKW40" s="186"/>
      <c r="QKX40" s="186"/>
      <c r="QKY40" s="187"/>
      <c r="QKZ40" s="251"/>
      <c r="QLA40" s="252"/>
      <c r="QLB40" s="175"/>
      <c r="QLC40" s="176"/>
      <c r="QLD40" s="177"/>
      <c r="QLE40" s="176"/>
      <c r="QLF40" s="176"/>
      <c r="QLG40" s="178"/>
      <c r="QLH40" s="178"/>
      <c r="QLI40" s="179"/>
      <c r="QLJ40" s="180"/>
      <c r="QLK40" s="180"/>
      <c r="QLL40" s="180"/>
      <c r="QLM40" s="180"/>
      <c r="QLN40" s="180"/>
      <c r="QLO40" s="180"/>
      <c r="QLP40" s="178"/>
      <c r="QLQ40" s="181"/>
      <c r="QLR40" s="182"/>
      <c r="QLS40" s="182"/>
      <c r="QLT40" s="179"/>
      <c r="QLU40" s="183"/>
      <c r="QLV40" s="184"/>
      <c r="QLW40" s="185"/>
      <c r="QLX40" s="186"/>
      <c r="QLY40" s="186"/>
      <c r="QLZ40" s="186"/>
      <c r="QMA40" s="186"/>
      <c r="QMB40" s="187"/>
      <c r="QMC40" s="251"/>
      <c r="QMD40" s="252"/>
      <c r="QME40" s="175"/>
      <c r="QMF40" s="176"/>
      <c r="QMG40" s="177"/>
      <c r="QMH40" s="176"/>
      <c r="QMI40" s="176"/>
      <c r="QMJ40" s="178"/>
      <c r="QMK40" s="178"/>
      <c r="QML40" s="179"/>
      <c r="QMM40" s="180"/>
      <c r="QMN40" s="180"/>
      <c r="QMO40" s="180"/>
      <c r="QMP40" s="180"/>
      <c r="QMQ40" s="180"/>
      <c r="QMR40" s="180"/>
      <c r="QMS40" s="178"/>
      <c r="QMT40" s="181"/>
      <c r="QMU40" s="182"/>
      <c r="QMV40" s="182"/>
      <c r="QMW40" s="179"/>
      <c r="QMX40" s="183"/>
      <c r="QMY40" s="184"/>
      <c r="QMZ40" s="185"/>
      <c r="QNA40" s="186"/>
      <c r="QNB40" s="186"/>
      <c r="QNC40" s="186"/>
      <c r="QND40" s="186"/>
      <c r="QNE40" s="187"/>
      <c r="QNF40" s="251"/>
      <c r="QNG40" s="252"/>
      <c r="QNH40" s="175"/>
      <c r="QNI40" s="176"/>
      <c r="QNJ40" s="177"/>
      <c r="QNK40" s="176"/>
      <c r="QNL40" s="176"/>
      <c r="QNM40" s="178"/>
      <c r="QNN40" s="178"/>
      <c r="QNO40" s="179"/>
      <c r="QNP40" s="180"/>
      <c r="QNQ40" s="180"/>
      <c r="QNR40" s="180"/>
      <c r="QNS40" s="180"/>
      <c r="QNT40" s="180"/>
      <c r="QNU40" s="180"/>
      <c r="QNV40" s="178"/>
      <c r="QNW40" s="181"/>
      <c r="QNX40" s="182"/>
      <c r="QNY40" s="182"/>
      <c r="QNZ40" s="179"/>
      <c r="QOA40" s="183"/>
      <c r="QOB40" s="184"/>
      <c r="QOC40" s="185"/>
      <c r="QOD40" s="186"/>
      <c r="QOE40" s="186"/>
      <c r="QOF40" s="186"/>
      <c r="QOG40" s="186"/>
      <c r="QOH40" s="187"/>
      <c r="QOI40" s="251"/>
      <c r="QOJ40" s="252"/>
      <c r="QOK40" s="175"/>
      <c r="QOL40" s="176"/>
      <c r="QOM40" s="177"/>
      <c r="QON40" s="176"/>
      <c r="QOO40" s="176"/>
      <c r="QOP40" s="178"/>
      <c r="QOQ40" s="178"/>
      <c r="QOR40" s="179"/>
      <c r="QOS40" s="180"/>
      <c r="QOT40" s="180"/>
      <c r="QOU40" s="180"/>
      <c r="QOV40" s="180"/>
      <c r="QOW40" s="180"/>
      <c r="QOX40" s="180"/>
      <c r="QOY40" s="178"/>
      <c r="QOZ40" s="181"/>
      <c r="QPA40" s="182"/>
      <c r="QPB40" s="182"/>
      <c r="QPC40" s="179"/>
      <c r="QPD40" s="183"/>
      <c r="QPE40" s="184"/>
      <c r="QPF40" s="185"/>
      <c r="QPG40" s="186"/>
      <c r="QPH40" s="186"/>
      <c r="QPI40" s="186"/>
      <c r="QPJ40" s="186"/>
      <c r="QPK40" s="187"/>
      <c r="QPL40" s="251"/>
      <c r="QPM40" s="252"/>
      <c r="QPN40" s="175"/>
      <c r="QPO40" s="176"/>
      <c r="QPP40" s="177"/>
      <c r="QPQ40" s="176"/>
      <c r="QPR40" s="176"/>
      <c r="QPS40" s="178"/>
      <c r="QPT40" s="178"/>
      <c r="QPU40" s="179"/>
      <c r="QPV40" s="180"/>
      <c r="QPW40" s="180"/>
      <c r="QPX40" s="180"/>
      <c r="QPY40" s="180"/>
      <c r="QPZ40" s="180"/>
      <c r="QQA40" s="180"/>
      <c r="QQB40" s="178"/>
      <c r="QQC40" s="181"/>
      <c r="QQD40" s="182"/>
      <c r="QQE40" s="182"/>
      <c r="QQF40" s="179"/>
      <c r="QQG40" s="183"/>
      <c r="QQH40" s="184"/>
      <c r="QQI40" s="185"/>
      <c r="QQJ40" s="186"/>
      <c r="QQK40" s="186"/>
      <c r="QQL40" s="186"/>
      <c r="QQM40" s="186"/>
      <c r="QQN40" s="187"/>
      <c r="QQO40" s="251"/>
      <c r="QQP40" s="252"/>
      <c r="QQQ40" s="175"/>
      <c r="QQR40" s="176"/>
      <c r="QQS40" s="177"/>
      <c r="QQT40" s="176"/>
      <c r="QQU40" s="176"/>
      <c r="QQV40" s="178"/>
      <c r="QQW40" s="178"/>
      <c r="QQX40" s="179"/>
      <c r="QQY40" s="180"/>
      <c r="QQZ40" s="180"/>
      <c r="QRA40" s="180"/>
      <c r="QRB40" s="180"/>
      <c r="QRC40" s="180"/>
      <c r="QRD40" s="180"/>
      <c r="QRE40" s="178"/>
      <c r="QRF40" s="181"/>
      <c r="QRG40" s="182"/>
      <c r="QRH40" s="182"/>
      <c r="QRI40" s="179"/>
      <c r="QRJ40" s="183"/>
      <c r="QRK40" s="184"/>
      <c r="QRL40" s="185"/>
      <c r="QRM40" s="186"/>
      <c r="QRN40" s="186"/>
      <c r="QRO40" s="186"/>
      <c r="QRP40" s="186"/>
      <c r="QRQ40" s="187"/>
      <c r="QRR40" s="251"/>
      <c r="QRS40" s="252"/>
      <c r="QRT40" s="175"/>
      <c r="QRU40" s="176"/>
      <c r="QRV40" s="177"/>
      <c r="QRW40" s="176"/>
      <c r="QRX40" s="176"/>
      <c r="QRY40" s="178"/>
      <c r="QRZ40" s="178"/>
      <c r="QSA40" s="179"/>
      <c r="QSB40" s="180"/>
      <c r="QSC40" s="180"/>
      <c r="QSD40" s="180"/>
      <c r="QSE40" s="180"/>
      <c r="QSF40" s="180"/>
      <c r="QSG40" s="180"/>
      <c r="QSH40" s="178"/>
      <c r="QSI40" s="181"/>
      <c r="QSJ40" s="182"/>
      <c r="QSK40" s="182"/>
      <c r="QSL40" s="179"/>
      <c r="QSM40" s="183"/>
      <c r="QSN40" s="184"/>
      <c r="QSO40" s="185"/>
      <c r="QSP40" s="186"/>
      <c r="QSQ40" s="186"/>
      <c r="QSR40" s="186"/>
      <c r="QSS40" s="186"/>
      <c r="QST40" s="187"/>
      <c r="QSU40" s="251"/>
      <c r="QSV40" s="252"/>
      <c r="QSW40" s="175"/>
      <c r="QSX40" s="176"/>
      <c r="QSY40" s="177"/>
      <c r="QSZ40" s="176"/>
      <c r="QTA40" s="176"/>
      <c r="QTB40" s="178"/>
      <c r="QTC40" s="178"/>
      <c r="QTD40" s="179"/>
      <c r="QTE40" s="180"/>
      <c r="QTF40" s="180"/>
      <c r="QTG40" s="180"/>
      <c r="QTH40" s="180"/>
      <c r="QTI40" s="180"/>
      <c r="QTJ40" s="180"/>
      <c r="QTK40" s="178"/>
      <c r="QTL40" s="181"/>
      <c r="QTM40" s="182"/>
      <c r="QTN40" s="182"/>
      <c r="QTO40" s="179"/>
      <c r="QTP40" s="183"/>
      <c r="QTQ40" s="184"/>
      <c r="QTR40" s="185"/>
      <c r="QTS40" s="186"/>
      <c r="QTT40" s="186"/>
      <c r="QTU40" s="186"/>
      <c r="QTV40" s="186"/>
      <c r="QTW40" s="187"/>
      <c r="QTX40" s="251"/>
      <c r="QTY40" s="252"/>
      <c r="QTZ40" s="175"/>
      <c r="QUA40" s="176"/>
      <c r="QUB40" s="177"/>
      <c r="QUC40" s="176"/>
      <c r="QUD40" s="176"/>
      <c r="QUE40" s="178"/>
      <c r="QUF40" s="178"/>
      <c r="QUG40" s="179"/>
      <c r="QUH40" s="180"/>
      <c r="QUI40" s="180"/>
      <c r="QUJ40" s="180"/>
      <c r="QUK40" s="180"/>
      <c r="QUL40" s="180"/>
      <c r="QUM40" s="180"/>
      <c r="QUN40" s="178"/>
      <c r="QUO40" s="181"/>
      <c r="QUP40" s="182"/>
      <c r="QUQ40" s="182"/>
      <c r="QUR40" s="179"/>
      <c r="QUS40" s="183"/>
      <c r="QUT40" s="184"/>
      <c r="QUU40" s="185"/>
      <c r="QUV40" s="186"/>
      <c r="QUW40" s="186"/>
      <c r="QUX40" s="186"/>
      <c r="QUY40" s="186"/>
      <c r="QUZ40" s="187"/>
      <c r="QVA40" s="251"/>
      <c r="QVB40" s="252"/>
      <c r="QVC40" s="175"/>
      <c r="QVD40" s="176"/>
      <c r="QVE40" s="177"/>
      <c r="QVF40" s="176"/>
      <c r="QVG40" s="176"/>
      <c r="QVH40" s="178"/>
      <c r="QVI40" s="178"/>
      <c r="QVJ40" s="179"/>
      <c r="QVK40" s="180"/>
      <c r="QVL40" s="180"/>
      <c r="QVM40" s="180"/>
      <c r="QVN40" s="180"/>
      <c r="QVO40" s="180"/>
      <c r="QVP40" s="180"/>
      <c r="QVQ40" s="178"/>
      <c r="QVR40" s="181"/>
      <c r="QVS40" s="182"/>
      <c r="QVT40" s="182"/>
      <c r="QVU40" s="179"/>
      <c r="QVV40" s="183"/>
      <c r="QVW40" s="184"/>
      <c r="QVX40" s="185"/>
      <c r="QVY40" s="186"/>
      <c r="QVZ40" s="186"/>
      <c r="QWA40" s="186"/>
      <c r="QWB40" s="186"/>
      <c r="QWC40" s="187"/>
      <c r="QWD40" s="251"/>
      <c r="QWE40" s="252"/>
      <c r="QWF40" s="175"/>
      <c r="QWG40" s="176"/>
      <c r="QWH40" s="177"/>
      <c r="QWI40" s="176"/>
      <c r="QWJ40" s="176"/>
      <c r="QWK40" s="178"/>
      <c r="QWL40" s="178"/>
      <c r="QWM40" s="179"/>
      <c r="QWN40" s="180"/>
      <c r="QWO40" s="180"/>
      <c r="QWP40" s="180"/>
      <c r="QWQ40" s="180"/>
      <c r="QWR40" s="180"/>
      <c r="QWS40" s="180"/>
      <c r="QWT40" s="178"/>
      <c r="QWU40" s="181"/>
      <c r="QWV40" s="182"/>
      <c r="QWW40" s="182"/>
      <c r="QWX40" s="179"/>
      <c r="QWY40" s="183"/>
      <c r="QWZ40" s="184"/>
      <c r="QXA40" s="185"/>
      <c r="QXB40" s="186"/>
      <c r="QXC40" s="186"/>
      <c r="QXD40" s="186"/>
      <c r="QXE40" s="186"/>
      <c r="QXF40" s="187"/>
      <c r="QXG40" s="251"/>
      <c r="QXH40" s="252"/>
      <c r="QXI40" s="175"/>
      <c r="QXJ40" s="176"/>
      <c r="QXK40" s="177"/>
      <c r="QXL40" s="176"/>
      <c r="QXM40" s="176"/>
      <c r="QXN40" s="178"/>
      <c r="QXO40" s="178"/>
      <c r="QXP40" s="179"/>
      <c r="QXQ40" s="180"/>
      <c r="QXR40" s="180"/>
      <c r="QXS40" s="180"/>
      <c r="QXT40" s="180"/>
      <c r="QXU40" s="180"/>
      <c r="QXV40" s="180"/>
      <c r="QXW40" s="178"/>
      <c r="QXX40" s="181"/>
      <c r="QXY40" s="182"/>
      <c r="QXZ40" s="182"/>
      <c r="QYA40" s="179"/>
      <c r="QYB40" s="183"/>
      <c r="QYC40" s="184"/>
      <c r="QYD40" s="185"/>
      <c r="QYE40" s="186"/>
      <c r="QYF40" s="186"/>
      <c r="QYG40" s="186"/>
      <c r="QYH40" s="186"/>
      <c r="QYI40" s="187"/>
      <c r="QYJ40" s="251"/>
      <c r="QYK40" s="252"/>
      <c r="QYL40" s="175"/>
      <c r="QYM40" s="176"/>
      <c r="QYN40" s="177"/>
      <c r="QYO40" s="176"/>
      <c r="QYP40" s="176"/>
      <c r="QYQ40" s="178"/>
      <c r="QYR40" s="178"/>
      <c r="QYS40" s="179"/>
      <c r="QYT40" s="180"/>
      <c r="QYU40" s="180"/>
      <c r="QYV40" s="180"/>
      <c r="QYW40" s="180"/>
      <c r="QYX40" s="180"/>
      <c r="QYY40" s="180"/>
      <c r="QYZ40" s="178"/>
      <c r="QZA40" s="181"/>
      <c r="QZB40" s="182"/>
      <c r="QZC40" s="182"/>
      <c r="QZD40" s="179"/>
      <c r="QZE40" s="183"/>
      <c r="QZF40" s="184"/>
      <c r="QZG40" s="185"/>
      <c r="QZH40" s="186"/>
      <c r="QZI40" s="186"/>
      <c r="QZJ40" s="186"/>
      <c r="QZK40" s="186"/>
      <c r="QZL40" s="187"/>
      <c r="QZM40" s="251"/>
      <c r="QZN40" s="252"/>
      <c r="QZO40" s="175"/>
      <c r="QZP40" s="176"/>
      <c r="QZQ40" s="177"/>
      <c r="QZR40" s="176"/>
      <c r="QZS40" s="176"/>
      <c r="QZT40" s="178"/>
      <c r="QZU40" s="178"/>
      <c r="QZV40" s="179"/>
      <c r="QZW40" s="180"/>
      <c r="QZX40" s="180"/>
      <c r="QZY40" s="180"/>
      <c r="QZZ40" s="180"/>
      <c r="RAA40" s="180"/>
      <c r="RAB40" s="180"/>
      <c r="RAC40" s="178"/>
      <c r="RAD40" s="181"/>
      <c r="RAE40" s="182"/>
      <c r="RAF40" s="182"/>
      <c r="RAG40" s="179"/>
      <c r="RAH40" s="183"/>
      <c r="RAI40" s="184"/>
      <c r="RAJ40" s="185"/>
      <c r="RAK40" s="186"/>
      <c r="RAL40" s="186"/>
      <c r="RAM40" s="186"/>
      <c r="RAN40" s="186"/>
      <c r="RAO40" s="187"/>
      <c r="RAP40" s="251"/>
      <c r="RAQ40" s="252"/>
      <c r="RAR40" s="175"/>
      <c r="RAS40" s="176"/>
      <c r="RAT40" s="177"/>
      <c r="RAU40" s="176"/>
      <c r="RAV40" s="176"/>
      <c r="RAW40" s="178"/>
      <c r="RAX40" s="178"/>
      <c r="RAY40" s="179"/>
      <c r="RAZ40" s="180"/>
      <c r="RBA40" s="180"/>
      <c r="RBB40" s="180"/>
      <c r="RBC40" s="180"/>
      <c r="RBD40" s="180"/>
      <c r="RBE40" s="180"/>
      <c r="RBF40" s="178"/>
      <c r="RBG40" s="181"/>
      <c r="RBH40" s="182"/>
      <c r="RBI40" s="182"/>
      <c r="RBJ40" s="179"/>
      <c r="RBK40" s="183"/>
      <c r="RBL40" s="184"/>
      <c r="RBM40" s="185"/>
      <c r="RBN40" s="186"/>
      <c r="RBO40" s="186"/>
      <c r="RBP40" s="186"/>
      <c r="RBQ40" s="186"/>
      <c r="RBR40" s="187"/>
      <c r="RBS40" s="251"/>
      <c r="RBT40" s="252"/>
      <c r="RBU40" s="175"/>
      <c r="RBV40" s="176"/>
      <c r="RBW40" s="177"/>
      <c r="RBX40" s="176"/>
      <c r="RBY40" s="176"/>
      <c r="RBZ40" s="178"/>
      <c r="RCA40" s="178"/>
      <c r="RCB40" s="179"/>
      <c r="RCC40" s="180"/>
      <c r="RCD40" s="180"/>
      <c r="RCE40" s="180"/>
      <c r="RCF40" s="180"/>
      <c r="RCG40" s="180"/>
      <c r="RCH40" s="180"/>
      <c r="RCI40" s="178"/>
      <c r="RCJ40" s="181"/>
      <c r="RCK40" s="182"/>
      <c r="RCL40" s="182"/>
      <c r="RCM40" s="179"/>
      <c r="RCN40" s="183"/>
      <c r="RCO40" s="184"/>
      <c r="RCP40" s="185"/>
      <c r="RCQ40" s="186"/>
      <c r="RCR40" s="186"/>
      <c r="RCS40" s="186"/>
      <c r="RCT40" s="186"/>
      <c r="RCU40" s="187"/>
      <c r="RCV40" s="251"/>
      <c r="RCW40" s="252"/>
      <c r="RCX40" s="175"/>
      <c r="RCY40" s="176"/>
      <c r="RCZ40" s="177"/>
      <c r="RDA40" s="176"/>
      <c r="RDB40" s="176"/>
      <c r="RDC40" s="178"/>
      <c r="RDD40" s="178"/>
      <c r="RDE40" s="179"/>
      <c r="RDF40" s="180"/>
      <c r="RDG40" s="180"/>
      <c r="RDH40" s="180"/>
      <c r="RDI40" s="180"/>
      <c r="RDJ40" s="180"/>
      <c r="RDK40" s="180"/>
      <c r="RDL40" s="178"/>
      <c r="RDM40" s="181"/>
      <c r="RDN40" s="182"/>
      <c r="RDO40" s="182"/>
      <c r="RDP40" s="179"/>
      <c r="RDQ40" s="183"/>
      <c r="RDR40" s="184"/>
      <c r="RDS40" s="185"/>
      <c r="RDT40" s="186"/>
      <c r="RDU40" s="186"/>
      <c r="RDV40" s="186"/>
      <c r="RDW40" s="186"/>
      <c r="RDX40" s="187"/>
      <c r="RDY40" s="251"/>
      <c r="RDZ40" s="252"/>
      <c r="REA40" s="175"/>
      <c r="REB40" s="176"/>
      <c r="REC40" s="177"/>
      <c r="RED40" s="176"/>
      <c r="REE40" s="176"/>
      <c r="REF40" s="178"/>
      <c r="REG40" s="178"/>
      <c r="REH40" s="179"/>
      <c r="REI40" s="180"/>
      <c r="REJ40" s="180"/>
      <c r="REK40" s="180"/>
      <c r="REL40" s="180"/>
      <c r="REM40" s="180"/>
      <c r="REN40" s="180"/>
      <c r="REO40" s="178"/>
      <c r="REP40" s="181"/>
      <c r="REQ40" s="182"/>
      <c r="RER40" s="182"/>
      <c r="RES40" s="179"/>
      <c r="RET40" s="183"/>
      <c r="REU40" s="184"/>
      <c r="REV40" s="185"/>
      <c r="REW40" s="186"/>
      <c r="REX40" s="186"/>
      <c r="REY40" s="186"/>
      <c r="REZ40" s="186"/>
      <c r="RFA40" s="187"/>
      <c r="RFB40" s="251"/>
      <c r="RFC40" s="252"/>
      <c r="RFD40" s="175"/>
      <c r="RFE40" s="176"/>
      <c r="RFF40" s="177"/>
      <c r="RFG40" s="176"/>
      <c r="RFH40" s="176"/>
      <c r="RFI40" s="178"/>
      <c r="RFJ40" s="178"/>
      <c r="RFK40" s="179"/>
      <c r="RFL40" s="180"/>
      <c r="RFM40" s="180"/>
      <c r="RFN40" s="180"/>
      <c r="RFO40" s="180"/>
      <c r="RFP40" s="180"/>
      <c r="RFQ40" s="180"/>
      <c r="RFR40" s="178"/>
      <c r="RFS40" s="181"/>
      <c r="RFT40" s="182"/>
      <c r="RFU40" s="182"/>
      <c r="RFV40" s="179"/>
      <c r="RFW40" s="183"/>
      <c r="RFX40" s="184"/>
      <c r="RFY40" s="185"/>
      <c r="RFZ40" s="186"/>
      <c r="RGA40" s="186"/>
      <c r="RGB40" s="186"/>
      <c r="RGC40" s="186"/>
      <c r="RGD40" s="187"/>
      <c r="RGE40" s="251"/>
      <c r="RGF40" s="252"/>
      <c r="RGG40" s="175"/>
      <c r="RGH40" s="176"/>
      <c r="RGI40" s="177"/>
      <c r="RGJ40" s="176"/>
      <c r="RGK40" s="176"/>
      <c r="RGL40" s="178"/>
      <c r="RGM40" s="178"/>
      <c r="RGN40" s="179"/>
      <c r="RGO40" s="180"/>
      <c r="RGP40" s="180"/>
      <c r="RGQ40" s="180"/>
      <c r="RGR40" s="180"/>
      <c r="RGS40" s="180"/>
      <c r="RGT40" s="180"/>
      <c r="RGU40" s="178"/>
      <c r="RGV40" s="181"/>
      <c r="RGW40" s="182"/>
      <c r="RGX40" s="182"/>
      <c r="RGY40" s="179"/>
      <c r="RGZ40" s="183"/>
      <c r="RHA40" s="184"/>
      <c r="RHB40" s="185"/>
      <c r="RHC40" s="186"/>
      <c r="RHD40" s="186"/>
      <c r="RHE40" s="186"/>
      <c r="RHF40" s="186"/>
      <c r="RHG40" s="187"/>
      <c r="RHH40" s="251"/>
      <c r="RHI40" s="252"/>
      <c r="RHJ40" s="175"/>
      <c r="RHK40" s="176"/>
      <c r="RHL40" s="177"/>
      <c r="RHM40" s="176"/>
      <c r="RHN40" s="176"/>
      <c r="RHO40" s="178"/>
      <c r="RHP40" s="178"/>
      <c r="RHQ40" s="179"/>
      <c r="RHR40" s="180"/>
      <c r="RHS40" s="180"/>
      <c r="RHT40" s="180"/>
      <c r="RHU40" s="180"/>
      <c r="RHV40" s="180"/>
      <c r="RHW40" s="180"/>
      <c r="RHX40" s="178"/>
      <c r="RHY40" s="181"/>
      <c r="RHZ40" s="182"/>
      <c r="RIA40" s="182"/>
      <c r="RIB40" s="179"/>
      <c r="RIC40" s="183"/>
      <c r="RID40" s="184"/>
      <c r="RIE40" s="185"/>
      <c r="RIF40" s="186"/>
      <c r="RIG40" s="186"/>
      <c r="RIH40" s="186"/>
      <c r="RII40" s="186"/>
      <c r="RIJ40" s="187"/>
      <c r="RIK40" s="251"/>
      <c r="RIL40" s="252"/>
      <c r="RIM40" s="175"/>
      <c r="RIN40" s="176"/>
      <c r="RIO40" s="177"/>
      <c r="RIP40" s="176"/>
      <c r="RIQ40" s="176"/>
      <c r="RIR40" s="178"/>
      <c r="RIS40" s="178"/>
      <c r="RIT40" s="179"/>
      <c r="RIU40" s="180"/>
      <c r="RIV40" s="180"/>
      <c r="RIW40" s="180"/>
      <c r="RIX40" s="180"/>
      <c r="RIY40" s="180"/>
      <c r="RIZ40" s="180"/>
      <c r="RJA40" s="178"/>
      <c r="RJB40" s="181"/>
      <c r="RJC40" s="182"/>
      <c r="RJD40" s="182"/>
      <c r="RJE40" s="179"/>
      <c r="RJF40" s="183"/>
      <c r="RJG40" s="184"/>
      <c r="RJH40" s="185"/>
      <c r="RJI40" s="186"/>
      <c r="RJJ40" s="186"/>
      <c r="RJK40" s="186"/>
      <c r="RJL40" s="186"/>
      <c r="RJM40" s="187"/>
      <c r="RJN40" s="251"/>
      <c r="RJO40" s="252"/>
      <c r="RJP40" s="175"/>
      <c r="RJQ40" s="176"/>
      <c r="RJR40" s="177"/>
      <c r="RJS40" s="176"/>
      <c r="RJT40" s="176"/>
      <c r="RJU40" s="178"/>
      <c r="RJV40" s="178"/>
      <c r="RJW40" s="179"/>
      <c r="RJX40" s="180"/>
      <c r="RJY40" s="180"/>
      <c r="RJZ40" s="180"/>
      <c r="RKA40" s="180"/>
      <c r="RKB40" s="180"/>
      <c r="RKC40" s="180"/>
      <c r="RKD40" s="178"/>
      <c r="RKE40" s="181"/>
      <c r="RKF40" s="182"/>
      <c r="RKG40" s="182"/>
      <c r="RKH40" s="179"/>
      <c r="RKI40" s="183"/>
      <c r="RKJ40" s="184"/>
      <c r="RKK40" s="185"/>
      <c r="RKL40" s="186"/>
      <c r="RKM40" s="186"/>
      <c r="RKN40" s="186"/>
      <c r="RKO40" s="186"/>
      <c r="RKP40" s="187"/>
      <c r="RKQ40" s="251"/>
      <c r="RKR40" s="252"/>
      <c r="RKS40" s="175"/>
      <c r="RKT40" s="176"/>
      <c r="RKU40" s="177"/>
      <c r="RKV40" s="176"/>
      <c r="RKW40" s="176"/>
      <c r="RKX40" s="178"/>
      <c r="RKY40" s="178"/>
      <c r="RKZ40" s="179"/>
      <c r="RLA40" s="180"/>
      <c r="RLB40" s="180"/>
      <c r="RLC40" s="180"/>
      <c r="RLD40" s="180"/>
      <c r="RLE40" s="180"/>
      <c r="RLF40" s="180"/>
      <c r="RLG40" s="178"/>
      <c r="RLH40" s="181"/>
      <c r="RLI40" s="182"/>
      <c r="RLJ40" s="182"/>
      <c r="RLK40" s="179"/>
      <c r="RLL40" s="183"/>
      <c r="RLM40" s="184"/>
      <c r="RLN40" s="185"/>
      <c r="RLO40" s="186"/>
      <c r="RLP40" s="186"/>
      <c r="RLQ40" s="186"/>
      <c r="RLR40" s="186"/>
      <c r="RLS40" s="187"/>
      <c r="RLT40" s="251"/>
      <c r="RLU40" s="252"/>
      <c r="RLV40" s="175"/>
      <c r="RLW40" s="176"/>
      <c r="RLX40" s="177"/>
      <c r="RLY40" s="176"/>
      <c r="RLZ40" s="176"/>
      <c r="RMA40" s="178"/>
      <c r="RMB40" s="178"/>
      <c r="RMC40" s="179"/>
      <c r="RMD40" s="180"/>
      <c r="RME40" s="180"/>
      <c r="RMF40" s="180"/>
      <c r="RMG40" s="180"/>
      <c r="RMH40" s="180"/>
      <c r="RMI40" s="180"/>
      <c r="RMJ40" s="178"/>
      <c r="RMK40" s="181"/>
      <c r="RML40" s="182"/>
      <c r="RMM40" s="182"/>
      <c r="RMN40" s="179"/>
      <c r="RMO40" s="183"/>
      <c r="RMP40" s="184"/>
      <c r="RMQ40" s="185"/>
      <c r="RMR40" s="186"/>
      <c r="RMS40" s="186"/>
      <c r="RMT40" s="186"/>
      <c r="RMU40" s="186"/>
      <c r="RMV40" s="187"/>
      <c r="RMW40" s="251"/>
      <c r="RMX40" s="252"/>
      <c r="RMY40" s="175"/>
      <c r="RMZ40" s="176"/>
      <c r="RNA40" s="177"/>
      <c r="RNB40" s="176"/>
      <c r="RNC40" s="176"/>
      <c r="RND40" s="178"/>
      <c r="RNE40" s="178"/>
      <c r="RNF40" s="179"/>
      <c r="RNG40" s="180"/>
      <c r="RNH40" s="180"/>
      <c r="RNI40" s="180"/>
      <c r="RNJ40" s="180"/>
      <c r="RNK40" s="180"/>
      <c r="RNL40" s="180"/>
      <c r="RNM40" s="178"/>
      <c r="RNN40" s="181"/>
      <c r="RNO40" s="182"/>
      <c r="RNP40" s="182"/>
      <c r="RNQ40" s="179"/>
      <c r="RNR40" s="183"/>
      <c r="RNS40" s="184"/>
      <c r="RNT40" s="185"/>
      <c r="RNU40" s="186"/>
      <c r="RNV40" s="186"/>
      <c r="RNW40" s="186"/>
      <c r="RNX40" s="186"/>
      <c r="RNY40" s="187"/>
      <c r="RNZ40" s="251"/>
      <c r="ROA40" s="252"/>
      <c r="ROB40" s="175"/>
      <c r="ROC40" s="176"/>
      <c r="ROD40" s="177"/>
      <c r="ROE40" s="176"/>
      <c r="ROF40" s="176"/>
      <c r="ROG40" s="178"/>
      <c r="ROH40" s="178"/>
      <c r="ROI40" s="179"/>
      <c r="ROJ40" s="180"/>
      <c r="ROK40" s="180"/>
      <c r="ROL40" s="180"/>
      <c r="ROM40" s="180"/>
      <c r="RON40" s="180"/>
      <c r="ROO40" s="180"/>
      <c r="ROP40" s="178"/>
      <c r="ROQ40" s="181"/>
      <c r="ROR40" s="182"/>
      <c r="ROS40" s="182"/>
      <c r="ROT40" s="179"/>
      <c r="ROU40" s="183"/>
      <c r="ROV40" s="184"/>
      <c r="ROW40" s="185"/>
      <c r="ROX40" s="186"/>
      <c r="ROY40" s="186"/>
      <c r="ROZ40" s="186"/>
      <c r="RPA40" s="186"/>
      <c r="RPB40" s="187"/>
      <c r="RPC40" s="251"/>
      <c r="RPD40" s="252"/>
      <c r="RPE40" s="175"/>
      <c r="RPF40" s="176"/>
      <c r="RPG40" s="177"/>
      <c r="RPH40" s="176"/>
      <c r="RPI40" s="176"/>
      <c r="RPJ40" s="178"/>
      <c r="RPK40" s="178"/>
      <c r="RPL40" s="179"/>
      <c r="RPM40" s="180"/>
      <c r="RPN40" s="180"/>
      <c r="RPO40" s="180"/>
      <c r="RPP40" s="180"/>
      <c r="RPQ40" s="180"/>
      <c r="RPR40" s="180"/>
      <c r="RPS40" s="178"/>
      <c r="RPT40" s="181"/>
      <c r="RPU40" s="182"/>
      <c r="RPV40" s="182"/>
      <c r="RPW40" s="179"/>
      <c r="RPX40" s="183"/>
      <c r="RPY40" s="184"/>
      <c r="RPZ40" s="185"/>
      <c r="RQA40" s="186"/>
      <c r="RQB40" s="186"/>
      <c r="RQC40" s="186"/>
      <c r="RQD40" s="186"/>
      <c r="RQE40" s="187"/>
      <c r="RQF40" s="251"/>
      <c r="RQG40" s="252"/>
      <c r="RQH40" s="175"/>
      <c r="RQI40" s="176"/>
      <c r="RQJ40" s="177"/>
      <c r="RQK40" s="176"/>
      <c r="RQL40" s="176"/>
      <c r="RQM40" s="178"/>
      <c r="RQN40" s="178"/>
      <c r="RQO40" s="179"/>
      <c r="RQP40" s="180"/>
      <c r="RQQ40" s="180"/>
      <c r="RQR40" s="180"/>
      <c r="RQS40" s="180"/>
      <c r="RQT40" s="180"/>
      <c r="RQU40" s="180"/>
      <c r="RQV40" s="178"/>
      <c r="RQW40" s="181"/>
      <c r="RQX40" s="182"/>
      <c r="RQY40" s="182"/>
      <c r="RQZ40" s="179"/>
      <c r="RRA40" s="183"/>
      <c r="RRB40" s="184"/>
      <c r="RRC40" s="185"/>
      <c r="RRD40" s="186"/>
      <c r="RRE40" s="186"/>
      <c r="RRF40" s="186"/>
      <c r="RRG40" s="186"/>
      <c r="RRH40" s="187"/>
      <c r="RRI40" s="251"/>
      <c r="RRJ40" s="252"/>
      <c r="RRK40" s="175"/>
      <c r="RRL40" s="176"/>
      <c r="RRM40" s="177"/>
      <c r="RRN40" s="176"/>
      <c r="RRO40" s="176"/>
      <c r="RRP40" s="178"/>
      <c r="RRQ40" s="178"/>
      <c r="RRR40" s="179"/>
      <c r="RRS40" s="180"/>
      <c r="RRT40" s="180"/>
      <c r="RRU40" s="180"/>
      <c r="RRV40" s="180"/>
      <c r="RRW40" s="180"/>
      <c r="RRX40" s="180"/>
      <c r="RRY40" s="178"/>
      <c r="RRZ40" s="181"/>
      <c r="RSA40" s="182"/>
      <c r="RSB40" s="182"/>
      <c r="RSC40" s="179"/>
      <c r="RSD40" s="183"/>
      <c r="RSE40" s="184"/>
      <c r="RSF40" s="185"/>
      <c r="RSG40" s="186"/>
      <c r="RSH40" s="186"/>
      <c r="RSI40" s="186"/>
      <c r="RSJ40" s="186"/>
      <c r="RSK40" s="187"/>
      <c r="RSL40" s="251"/>
      <c r="RSM40" s="252"/>
      <c r="RSN40" s="175"/>
      <c r="RSO40" s="176"/>
      <c r="RSP40" s="177"/>
      <c r="RSQ40" s="176"/>
      <c r="RSR40" s="176"/>
      <c r="RSS40" s="178"/>
      <c r="RST40" s="178"/>
      <c r="RSU40" s="179"/>
      <c r="RSV40" s="180"/>
      <c r="RSW40" s="180"/>
      <c r="RSX40" s="180"/>
      <c r="RSY40" s="180"/>
      <c r="RSZ40" s="180"/>
      <c r="RTA40" s="180"/>
      <c r="RTB40" s="178"/>
      <c r="RTC40" s="181"/>
      <c r="RTD40" s="182"/>
      <c r="RTE40" s="182"/>
      <c r="RTF40" s="179"/>
      <c r="RTG40" s="183"/>
      <c r="RTH40" s="184"/>
      <c r="RTI40" s="185"/>
      <c r="RTJ40" s="186"/>
      <c r="RTK40" s="186"/>
      <c r="RTL40" s="186"/>
      <c r="RTM40" s="186"/>
      <c r="RTN40" s="187"/>
      <c r="RTO40" s="251"/>
      <c r="RTP40" s="252"/>
      <c r="RTQ40" s="175"/>
      <c r="RTR40" s="176"/>
      <c r="RTS40" s="177"/>
      <c r="RTT40" s="176"/>
      <c r="RTU40" s="176"/>
      <c r="RTV40" s="178"/>
      <c r="RTW40" s="178"/>
      <c r="RTX40" s="179"/>
      <c r="RTY40" s="180"/>
      <c r="RTZ40" s="180"/>
      <c r="RUA40" s="180"/>
      <c r="RUB40" s="180"/>
      <c r="RUC40" s="180"/>
      <c r="RUD40" s="180"/>
      <c r="RUE40" s="178"/>
      <c r="RUF40" s="181"/>
      <c r="RUG40" s="182"/>
      <c r="RUH40" s="182"/>
      <c r="RUI40" s="179"/>
      <c r="RUJ40" s="183"/>
      <c r="RUK40" s="184"/>
      <c r="RUL40" s="185"/>
      <c r="RUM40" s="186"/>
      <c r="RUN40" s="186"/>
      <c r="RUO40" s="186"/>
      <c r="RUP40" s="186"/>
      <c r="RUQ40" s="187"/>
      <c r="RUR40" s="251"/>
      <c r="RUS40" s="252"/>
      <c r="RUT40" s="175"/>
      <c r="RUU40" s="176"/>
      <c r="RUV40" s="177"/>
      <c r="RUW40" s="176"/>
      <c r="RUX40" s="176"/>
      <c r="RUY40" s="178"/>
      <c r="RUZ40" s="178"/>
      <c r="RVA40" s="179"/>
      <c r="RVB40" s="180"/>
      <c r="RVC40" s="180"/>
      <c r="RVD40" s="180"/>
      <c r="RVE40" s="180"/>
      <c r="RVF40" s="180"/>
      <c r="RVG40" s="180"/>
      <c r="RVH40" s="178"/>
      <c r="RVI40" s="181"/>
      <c r="RVJ40" s="182"/>
      <c r="RVK40" s="182"/>
      <c r="RVL40" s="179"/>
      <c r="RVM40" s="183"/>
      <c r="RVN40" s="184"/>
      <c r="RVO40" s="185"/>
      <c r="RVP40" s="186"/>
      <c r="RVQ40" s="186"/>
      <c r="RVR40" s="186"/>
      <c r="RVS40" s="186"/>
      <c r="RVT40" s="187"/>
      <c r="RVU40" s="251"/>
      <c r="RVV40" s="252"/>
      <c r="RVW40" s="175"/>
      <c r="RVX40" s="176"/>
      <c r="RVY40" s="177"/>
      <c r="RVZ40" s="176"/>
      <c r="RWA40" s="176"/>
      <c r="RWB40" s="178"/>
      <c r="RWC40" s="178"/>
      <c r="RWD40" s="179"/>
      <c r="RWE40" s="180"/>
      <c r="RWF40" s="180"/>
      <c r="RWG40" s="180"/>
      <c r="RWH40" s="180"/>
      <c r="RWI40" s="180"/>
      <c r="RWJ40" s="180"/>
      <c r="RWK40" s="178"/>
      <c r="RWL40" s="181"/>
      <c r="RWM40" s="182"/>
      <c r="RWN40" s="182"/>
      <c r="RWO40" s="179"/>
      <c r="RWP40" s="183"/>
      <c r="RWQ40" s="184"/>
      <c r="RWR40" s="185"/>
      <c r="RWS40" s="186"/>
      <c r="RWT40" s="186"/>
      <c r="RWU40" s="186"/>
      <c r="RWV40" s="186"/>
      <c r="RWW40" s="187"/>
      <c r="RWX40" s="251"/>
      <c r="RWY40" s="252"/>
      <c r="RWZ40" s="175"/>
      <c r="RXA40" s="176"/>
      <c r="RXB40" s="177"/>
      <c r="RXC40" s="176"/>
      <c r="RXD40" s="176"/>
      <c r="RXE40" s="178"/>
      <c r="RXF40" s="178"/>
      <c r="RXG40" s="179"/>
      <c r="RXH40" s="180"/>
      <c r="RXI40" s="180"/>
      <c r="RXJ40" s="180"/>
      <c r="RXK40" s="180"/>
      <c r="RXL40" s="180"/>
      <c r="RXM40" s="180"/>
      <c r="RXN40" s="178"/>
      <c r="RXO40" s="181"/>
      <c r="RXP40" s="182"/>
      <c r="RXQ40" s="182"/>
      <c r="RXR40" s="179"/>
      <c r="RXS40" s="183"/>
      <c r="RXT40" s="184"/>
      <c r="RXU40" s="185"/>
      <c r="RXV40" s="186"/>
      <c r="RXW40" s="186"/>
      <c r="RXX40" s="186"/>
      <c r="RXY40" s="186"/>
      <c r="RXZ40" s="187"/>
      <c r="RYA40" s="251"/>
      <c r="RYB40" s="252"/>
      <c r="RYC40" s="175"/>
      <c r="RYD40" s="176"/>
      <c r="RYE40" s="177"/>
      <c r="RYF40" s="176"/>
      <c r="RYG40" s="176"/>
      <c r="RYH40" s="178"/>
      <c r="RYI40" s="178"/>
      <c r="RYJ40" s="179"/>
      <c r="RYK40" s="180"/>
      <c r="RYL40" s="180"/>
      <c r="RYM40" s="180"/>
      <c r="RYN40" s="180"/>
      <c r="RYO40" s="180"/>
      <c r="RYP40" s="180"/>
      <c r="RYQ40" s="178"/>
      <c r="RYR40" s="181"/>
      <c r="RYS40" s="182"/>
      <c r="RYT40" s="182"/>
      <c r="RYU40" s="179"/>
      <c r="RYV40" s="183"/>
      <c r="RYW40" s="184"/>
      <c r="RYX40" s="185"/>
      <c r="RYY40" s="186"/>
      <c r="RYZ40" s="186"/>
      <c r="RZA40" s="186"/>
      <c r="RZB40" s="186"/>
      <c r="RZC40" s="187"/>
      <c r="RZD40" s="251"/>
      <c r="RZE40" s="252"/>
      <c r="RZF40" s="175"/>
      <c r="RZG40" s="176"/>
      <c r="RZH40" s="177"/>
      <c r="RZI40" s="176"/>
      <c r="RZJ40" s="176"/>
      <c r="RZK40" s="178"/>
      <c r="RZL40" s="178"/>
      <c r="RZM40" s="179"/>
      <c r="RZN40" s="180"/>
      <c r="RZO40" s="180"/>
      <c r="RZP40" s="180"/>
      <c r="RZQ40" s="180"/>
      <c r="RZR40" s="180"/>
      <c r="RZS40" s="180"/>
      <c r="RZT40" s="178"/>
      <c r="RZU40" s="181"/>
      <c r="RZV40" s="182"/>
      <c r="RZW40" s="182"/>
      <c r="RZX40" s="179"/>
      <c r="RZY40" s="183"/>
      <c r="RZZ40" s="184"/>
      <c r="SAA40" s="185"/>
      <c r="SAB40" s="186"/>
      <c r="SAC40" s="186"/>
      <c r="SAD40" s="186"/>
      <c r="SAE40" s="186"/>
      <c r="SAF40" s="187"/>
      <c r="SAG40" s="251"/>
      <c r="SAH40" s="252"/>
      <c r="SAI40" s="175"/>
      <c r="SAJ40" s="176"/>
      <c r="SAK40" s="177"/>
      <c r="SAL40" s="176"/>
      <c r="SAM40" s="176"/>
      <c r="SAN40" s="178"/>
      <c r="SAO40" s="178"/>
      <c r="SAP40" s="179"/>
      <c r="SAQ40" s="180"/>
      <c r="SAR40" s="180"/>
      <c r="SAS40" s="180"/>
      <c r="SAT40" s="180"/>
      <c r="SAU40" s="180"/>
      <c r="SAV40" s="180"/>
      <c r="SAW40" s="178"/>
      <c r="SAX40" s="181"/>
      <c r="SAY40" s="182"/>
      <c r="SAZ40" s="182"/>
      <c r="SBA40" s="179"/>
      <c r="SBB40" s="183"/>
      <c r="SBC40" s="184"/>
      <c r="SBD40" s="185"/>
      <c r="SBE40" s="186"/>
      <c r="SBF40" s="186"/>
      <c r="SBG40" s="186"/>
      <c r="SBH40" s="186"/>
      <c r="SBI40" s="187"/>
      <c r="SBJ40" s="251"/>
      <c r="SBK40" s="252"/>
      <c r="SBL40" s="175"/>
      <c r="SBM40" s="176"/>
      <c r="SBN40" s="177"/>
      <c r="SBO40" s="176"/>
      <c r="SBP40" s="176"/>
      <c r="SBQ40" s="178"/>
      <c r="SBR40" s="178"/>
      <c r="SBS40" s="179"/>
      <c r="SBT40" s="180"/>
      <c r="SBU40" s="180"/>
      <c r="SBV40" s="180"/>
      <c r="SBW40" s="180"/>
      <c r="SBX40" s="180"/>
      <c r="SBY40" s="180"/>
      <c r="SBZ40" s="178"/>
      <c r="SCA40" s="181"/>
      <c r="SCB40" s="182"/>
      <c r="SCC40" s="182"/>
      <c r="SCD40" s="179"/>
      <c r="SCE40" s="183"/>
      <c r="SCF40" s="184"/>
      <c r="SCG40" s="185"/>
      <c r="SCH40" s="186"/>
      <c r="SCI40" s="186"/>
      <c r="SCJ40" s="186"/>
      <c r="SCK40" s="186"/>
      <c r="SCL40" s="187"/>
      <c r="SCM40" s="251"/>
      <c r="SCN40" s="252"/>
      <c r="SCO40" s="175"/>
      <c r="SCP40" s="176"/>
      <c r="SCQ40" s="177"/>
      <c r="SCR40" s="176"/>
      <c r="SCS40" s="176"/>
      <c r="SCT40" s="178"/>
      <c r="SCU40" s="178"/>
      <c r="SCV40" s="179"/>
      <c r="SCW40" s="180"/>
      <c r="SCX40" s="180"/>
      <c r="SCY40" s="180"/>
      <c r="SCZ40" s="180"/>
      <c r="SDA40" s="180"/>
      <c r="SDB40" s="180"/>
      <c r="SDC40" s="178"/>
      <c r="SDD40" s="181"/>
      <c r="SDE40" s="182"/>
      <c r="SDF40" s="182"/>
      <c r="SDG40" s="179"/>
      <c r="SDH40" s="183"/>
      <c r="SDI40" s="184"/>
      <c r="SDJ40" s="185"/>
      <c r="SDK40" s="186"/>
      <c r="SDL40" s="186"/>
      <c r="SDM40" s="186"/>
      <c r="SDN40" s="186"/>
      <c r="SDO40" s="187"/>
      <c r="SDP40" s="251"/>
      <c r="SDQ40" s="252"/>
      <c r="SDR40" s="175"/>
      <c r="SDS40" s="176"/>
      <c r="SDT40" s="177"/>
      <c r="SDU40" s="176"/>
      <c r="SDV40" s="176"/>
      <c r="SDW40" s="178"/>
      <c r="SDX40" s="178"/>
      <c r="SDY40" s="179"/>
      <c r="SDZ40" s="180"/>
      <c r="SEA40" s="180"/>
      <c r="SEB40" s="180"/>
      <c r="SEC40" s="180"/>
      <c r="SED40" s="180"/>
      <c r="SEE40" s="180"/>
      <c r="SEF40" s="178"/>
      <c r="SEG40" s="181"/>
      <c r="SEH40" s="182"/>
      <c r="SEI40" s="182"/>
      <c r="SEJ40" s="179"/>
      <c r="SEK40" s="183"/>
      <c r="SEL40" s="184"/>
      <c r="SEM40" s="185"/>
      <c r="SEN40" s="186"/>
      <c r="SEO40" s="186"/>
      <c r="SEP40" s="186"/>
      <c r="SEQ40" s="186"/>
      <c r="SER40" s="187"/>
      <c r="SES40" s="251"/>
      <c r="SET40" s="252"/>
      <c r="SEU40" s="175"/>
      <c r="SEV40" s="176"/>
      <c r="SEW40" s="177"/>
      <c r="SEX40" s="176"/>
      <c r="SEY40" s="176"/>
      <c r="SEZ40" s="178"/>
      <c r="SFA40" s="178"/>
      <c r="SFB40" s="179"/>
      <c r="SFC40" s="180"/>
      <c r="SFD40" s="180"/>
      <c r="SFE40" s="180"/>
      <c r="SFF40" s="180"/>
      <c r="SFG40" s="180"/>
      <c r="SFH40" s="180"/>
      <c r="SFI40" s="178"/>
      <c r="SFJ40" s="181"/>
      <c r="SFK40" s="182"/>
      <c r="SFL40" s="182"/>
      <c r="SFM40" s="179"/>
      <c r="SFN40" s="183"/>
      <c r="SFO40" s="184"/>
      <c r="SFP40" s="185"/>
      <c r="SFQ40" s="186"/>
      <c r="SFR40" s="186"/>
      <c r="SFS40" s="186"/>
      <c r="SFT40" s="186"/>
      <c r="SFU40" s="187"/>
      <c r="SFV40" s="251"/>
      <c r="SFW40" s="252"/>
      <c r="SFX40" s="175"/>
      <c r="SFY40" s="176"/>
      <c r="SFZ40" s="177"/>
      <c r="SGA40" s="176"/>
      <c r="SGB40" s="176"/>
      <c r="SGC40" s="178"/>
      <c r="SGD40" s="178"/>
      <c r="SGE40" s="179"/>
      <c r="SGF40" s="180"/>
      <c r="SGG40" s="180"/>
      <c r="SGH40" s="180"/>
      <c r="SGI40" s="180"/>
      <c r="SGJ40" s="180"/>
      <c r="SGK40" s="180"/>
      <c r="SGL40" s="178"/>
      <c r="SGM40" s="181"/>
      <c r="SGN40" s="182"/>
      <c r="SGO40" s="182"/>
      <c r="SGP40" s="179"/>
      <c r="SGQ40" s="183"/>
      <c r="SGR40" s="184"/>
      <c r="SGS40" s="185"/>
      <c r="SGT40" s="186"/>
      <c r="SGU40" s="186"/>
      <c r="SGV40" s="186"/>
      <c r="SGW40" s="186"/>
      <c r="SGX40" s="187"/>
      <c r="SGY40" s="251"/>
      <c r="SGZ40" s="252"/>
      <c r="SHA40" s="175"/>
      <c r="SHB40" s="176"/>
      <c r="SHC40" s="177"/>
      <c r="SHD40" s="176"/>
      <c r="SHE40" s="176"/>
      <c r="SHF40" s="178"/>
      <c r="SHG40" s="178"/>
      <c r="SHH40" s="179"/>
      <c r="SHI40" s="180"/>
      <c r="SHJ40" s="180"/>
      <c r="SHK40" s="180"/>
      <c r="SHL40" s="180"/>
      <c r="SHM40" s="180"/>
      <c r="SHN40" s="180"/>
      <c r="SHO40" s="178"/>
      <c r="SHP40" s="181"/>
      <c r="SHQ40" s="182"/>
      <c r="SHR40" s="182"/>
      <c r="SHS40" s="179"/>
      <c r="SHT40" s="183"/>
      <c r="SHU40" s="184"/>
      <c r="SHV40" s="185"/>
      <c r="SHW40" s="186"/>
      <c r="SHX40" s="186"/>
      <c r="SHY40" s="186"/>
      <c r="SHZ40" s="186"/>
      <c r="SIA40" s="187"/>
      <c r="SIB40" s="251"/>
      <c r="SIC40" s="252"/>
      <c r="SID40" s="175"/>
      <c r="SIE40" s="176"/>
      <c r="SIF40" s="177"/>
      <c r="SIG40" s="176"/>
      <c r="SIH40" s="176"/>
      <c r="SII40" s="178"/>
      <c r="SIJ40" s="178"/>
      <c r="SIK40" s="179"/>
      <c r="SIL40" s="180"/>
      <c r="SIM40" s="180"/>
      <c r="SIN40" s="180"/>
      <c r="SIO40" s="180"/>
      <c r="SIP40" s="180"/>
      <c r="SIQ40" s="180"/>
      <c r="SIR40" s="178"/>
      <c r="SIS40" s="181"/>
      <c r="SIT40" s="182"/>
      <c r="SIU40" s="182"/>
      <c r="SIV40" s="179"/>
      <c r="SIW40" s="183"/>
      <c r="SIX40" s="184"/>
      <c r="SIY40" s="185"/>
      <c r="SIZ40" s="186"/>
      <c r="SJA40" s="186"/>
      <c r="SJB40" s="186"/>
      <c r="SJC40" s="186"/>
      <c r="SJD40" s="187"/>
      <c r="SJE40" s="251"/>
      <c r="SJF40" s="252"/>
      <c r="SJG40" s="175"/>
      <c r="SJH40" s="176"/>
      <c r="SJI40" s="177"/>
      <c r="SJJ40" s="176"/>
      <c r="SJK40" s="176"/>
      <c r="SJL40" s="178"/>
      <c r="SJM40" s="178"/>
      <c r="SJN40" s="179"/>
      <c r="SJO40" s="180"/>
      <c r="SJP40" s="180"/>
      <c r="SJQ40" s="180"/>
      <c r="SJR40" s="180"/>
      <c r="SJS40" s="180"/>
      <c r="SJT40" s="180"/>
      <c r="SJU40" s="178"/>
      <c r="SJV40" s="181"/>
      <c r="SJW40" s="182"/>
      <c r="SJX40" s="182"/>
      <c r="SJY40" s="179"/>
      <c r="SJZ40" s="183"/>
      <c r="SKA40" s="184"/>
      <c r="SKB40" s="185"/>
      <c r="SKC40" s="186"/>
      <c r="SKD40" s="186"/>
      <c r="SKE40" s="186"/>
      <c r="SKF40" s="186"/>
      <c r="SKG40" s="187"/>
      <c r="SKH40" s="251"/>
      <c r="SKI40" s="252"/>
      <c r="SKJ40" s="175"/>
      <c r="SKK40" s="176"/>
      <c r="SKL40" s="177"/>
      <c r="SKM40" s="176"/>
      <c r="SKN40" s="176"/>
      <c r="SKO40" s="178"/>
      <c r="SKP40" s="178"/>
      <c r="SKQ40" s="179"/>
      <c r="SKR40" s="180"/>
      <c r="SKS40" s="180"/>
      <c r="SKT40" s="180"/>
      <c r="SKU40" s="180"/>
      <c r="SKV40" s="180"/>
      <c r="SKW40" s="180"/>
      <c r="SKX40" s="178"/>
      <c r="SKY40" s="181"/>
      <c r="SKZ40" s="182"/>
      <c r="SLA40" s="182"/>
      <c r="SLB40" s="179"/>
      <c r="SLC40" s="183"/>
      <c r="SLD40" s="184"/>
      <c r="SLE40" s="185"/>
      <c r="SLF40" s="186"/>
      <c r="SLG40" s="186"/>
      <c r="SLH40" s="186"/>
      <c r="SLI40" s="186"/>
      <c r="SLJ40" s="187"/>
      <c r="SLK40" s="251"/>
      <c r="SLL40" s="252"/>
      <c r="SLM40" s="175"/>
      <c r="SLN40" s="176"/>
      <c r="SLO40" s="177"/>
      <c r="SLP40" s="176"/>
      <c r="SLQ40" s="176"/>
      <c r="SLR40" s="178"/>
      <c r="SLS40" s="178"/>
      <c r="SLT40" s="179"/>
      <c r="SLU40" s="180"/>
      <c r="SLV40" s="180"/>
      <c r="SLW40" s="180"/>
      <c r="SLX40" s="180"/>
      <c r="SLY40" s="180"/>
      <c r="SLZ40" s="180"/>
      <c r="SMA40" s="178"/>
      <c r="SMB40" s="181"/>
      <c r="SMC40" s="182"/>
      <c r="SMD40" s="182"/>
      <c r="SME40" s="179"/>
      <c r="SMF40" s="183"/>
      <c r="SMG40" s="184"/>
      <c r="SMH40" s="185"/>
      <c r="SMI40" s="186"/>
      <c r="SMJ40" s="186"/>
      <c r="SMK40" s="186"/>
      <c r="SML40" s="186"/>
      <c r="SMM40" s="187"/>
      <c r="SMN40" s="251"/>
      <c r="SMO40" s="252"/>
      <c r="SMP40" s="175"/>
      <c r="SMQ40" s="176"/>
      <c r="SMR40" s="177"/>
      <c r="SMS40" s="176"/>
      <c r="SMT40" s="176"/>
      <c r="SMU40" s="178"/>
      <c r="SMV40" s="178"/>
      <c r="SMW40" s="179"/>
      <c r="SMX40" s="180"/>
      <c r="SMY40" s="180"/>
      <c r="SMZ40" s="180"/>
      <c r="SNA40" s="180"/>
      <c r="SNB40" s="180"/>
      <c r="SNC40" s="180"/>
      <c r="SND40" s="178"/>
      <c r="SNE40" s="181"/>
      <c r="SNF40" s="182"/>
      <c r="SNG40" s="182"/>
      <c r="SNH40" s="179"/>
      <c r="SNI40" s="183"/>
      <c r="SNJ40" s="184"/>
      <c r="SNK40" s="185"/>
      <c r="SNL40" s="186"/>
      <c r="SNM40" s="186"/>
      <c r="SNN40" s="186"/>
      <c r="SNO40" s="186"/>
      <c r="SNP40" s="187"/>
      <c r="SNQ40" s="251"/>
      <c r="SNR40" s="252"/>
      <c r="SNS40" s="175"/>
      <c r="SNT40" s="176"/>
      <c r="SNU40" s="177"/>
      <c r="SNV40" s="176"/>
      <c r="SNW40" s="176"/>
      <c r="SNX40" s="178"/>
      <c r="SNY40" s="178"/>
      <c r="SNZ40" s="179"/>
      <c r="SOA40" s="180"/>
      <c r="SOB40" s="180"/>
      <c r="SOC40" s="180"/>
      <c r="SOD40" s="180"/>
      <c r="SOE40" s="180"/>
      <c r="SOF40" s="180"/>
      <c r="SOG40" s="178"/>
      <c r="SOH40" s="181"/>
      <c r="SOI40" s="182"/>
      <c r="SOJ40" s="182"/>
      <c r="SOK40" s="179"/>
      <c r="SOL40" s="183"/>
      <c r="SOM40" s="184"/>
      <c r="SON40" s="185"/>
      <c r="SOO40" s="186"/>
      <c r="SOP40" s="186"/>
      <c r="SOQ40" s="186"/>
      <c r="SOR40" s="186"/>
      <c r="SOS40" s="187"/>
      <c r="SOT40" s="251"/>
      <c r="SOU40" s="252"/>
      <c r="SOV40" s="175"/>
      <c r="SOW40" s="176"/>
      <c r="SOX40" s="177"/>
      <c r="SOY40" s="176"/>
      <c r="SOZ40" s="176"/>
      <c r="SPA40" s="178"/>
      <c r="SPB40" s="178"/>
      <c r="SPC40" s="179"/>
      <c r="SPD40" s="180"/>
      <c r="SPE40" s="180"/>
      <c r="SPF40" s="180"/>
      <c r="SPG40" s="180"/>
      <c r="SPH40" s="180"/>
      <c r="SPI40" s="180"/>
      <c r="SPJ40" s="178"/>
      <c r="SPK40" s="181"/>
      <c r="SPL40" s="182"/>
      <c r="SPM40" s="182"/>
      <c r="SPN40" s="179"/>
      <c r="SPO40" s="183"/>
      <c r="SPP40" s="184"/>
      <c r="SPQ40" s="185"/>
      <c r="SPR40" s="186"/>
      <c r="SPS40" s="186"/>
      <c r="SPT40" s="186"/>
      <c r="SPU40" s="186"/>
      <c r="SPV40" s="187"/>
      <c r="SPW40" s="251"/>
      <c r="SPX40" s="252"/>
      <c r="SPY40" s="175"/>
      <c r="SPZ40" s="176"/>
      <c r="SQA40" s="177"/>
      <c r="SQB40" s="176"/>
      <c r="SQC40" s="176"/>
      <c r="SQD40" s="178"/>
      <c r="SQE40" s="178"/>
      <c r="SQF40" s="179"/>
      <c r="SQG40" s="180"/>
      <c r="SQH40" s="180"/>
      <c r="SQI40" s="180"/>
      <c r="SQJ40" s="180"/>
      <c r="SQK40" s="180"/>
      <c r="SQL40" s="180"/>
      <c r="SQM40" s="178"/>
      <c r="SQN40" s="181"/>
      <c r="SQO40" s="182"/>
      <c r="SQP40" s="182"/>
      <c r="SQQ40" s="179"/>
      <c r="SQR40" s="183"/>
      <c r="SQS40" s="184"/>
      <c r="SQT40" s="185"/>
      <c r="SQU40" s="186"/>
      <c r="SQV40" s="186"/>
      <c r="SQW40" s="186"/>
      <c r="SQX40" s="186"/>
      <c r="SQY40" s="187"/>
      <c r="SQZ40" s="251"/>
      <c r="SRA40" s="252"/>
      <c r="SRB40" s="175"/>
      <c r="SRC40" s="176"/>
      <c r="SRD40" s="177"/>
      <c r="SRE40" s="176"/>
      <c r="SRF40" s="176"/>
      <c r="SRG40" s="178"/>
      <c r="SRH40" s="178"/>
      <c r="SRI40" s="179"/>
      <c r="SRJ40" s="180"/>
      <c r="SRK40" s="180"/>
      <c r="SRL40" s="180"/>
      <c r="SRM40" s="180"/>
      <c r="SRN40" s="180"/>
      <c r="SRO40" s="180"/>
      <c r="SRP40" s="178"/>
      <c r="SRQ40" s="181"/>
      <c r="SRR40" s="182"/>
      <c r="SRS40" s="182"/>
      <c r="SRT40" s="179"/>
      <c r="SRU40" s="183"/>
      <c r="SRV40" s="184"/>
      <c r="SRW40" s="185"/>
      <c r="SRX40" s="186"/>
      <c r="SRY40" s="186"/>
      <c r="SRZ40" s="186"/>
      <c r="SSA40" s="186"/>
      <c r="SSB40" s="187"/>
      <c r="SSC40" s="251"/>
      <c r="SSD40" s="252"/>
      <c r="SSE40" s="175"/>
      <c r="SSF40" s="176"/>
      <c r="SSG40" s="177"/>
      <c r="SSH40" s="176"/>
      <c r="SSI40" s="176"/>
      <c r="SSJ40" s="178"/>
      <c r="SSK40" s="178"/>
      <c r="SSL40" s="179"/>
      <c r="SSM40" s="180"/>
      <c r="SSN40" s="180"/>
      <c r="SSO40" s="180"/>
      <c r="SSP40" s="180"/>
      <c r="SSQ40" s="180"/>
      <c r="SSR40" s="180"/>
      <c r="SSS40" s="178"/>
      <c r="SST40" s="181"/>
      <c r="SSU40" s="182"/>
      <c r="SSV40" s="182"/>
      <c r="SSW40" s="179"/>
      <c r="SSX40" s="183"/>
      <c r="SSY40" s="184"/>
      <c r="SSZ40" s="185"/>
      <c r="STA40" s="186"/>
      <c r="STB40" s="186"/>
      <c r="STC40" s="186"/>
      <c r="STD40" s="186"/>
      <c r="STE40" s="187"/>
      <c r="STF40" s="251"/>
      <c r="STG40" s="252"/>
      <c r="STH40" s="175"/>
      <c r="STI40" s="176"/>
      <c r="STJ40" s="177"/>
      <c r="STK40" s="176"/>
      <c r="STL40" s="176"/>
      <c r="STM40" s="178"/>
      <c r="STN40" s="178"/>
      <c r="STO40" s="179"/>
      <c r="STP40" s="180"/>
      <c r="STQ40" s="180"/>
      <c r="STR40" s="180"/>
      <c r="STS40" s="180"/>
      <c r="STT40" s="180"/>
      <c r="STU40" s="180"/>
      <c r="STV40" s="178"/>
      <c r="STW40" s="181"/>
      <c r="STX40" s="182"/>
      <c r="STY40" s="182"/>
      <c r="STZ40" s="179"/>
      <c r="SUA40" s="183"/>
      <c r="SUB40" s="184"/>
      <c r="SUC40" s="185"/>
      <c r="SUD40" s="186"/>
      <c r="SUE40" s="186"/>
      <c r="SUF40" s="186"/>
      <c r="SUG40" s="186"/>
      <c r="SUH40" s="187"/>
      <c r="SUI40" s="251"/>
      <c r="SUJ40" s="252"/>
      <c r="SUK40" s="175"/>
      <c r="SUL40" s="176"/>
      <c r="SUM40" s="177"/>
      <c r="SUN40" s="176"/>
      <c r="SUO40" s="176"/>
      <c r="SUP40" s="178"/>
      <c r="SUQ40" s="178"/>
      <c r="SUR40" s="179"/>
      <c r="SUS40" s="180"/>
      <c r="SUT40" s="180"/>
      <c r="SUU40" s="180"/>
      <c r="SUV40" s="180"/>
      <c r="SUW40" s="180"/>
      <c r="SUX40" s="180"/>
      <c r="SUY40" s="178"/>
      <c r="SUZ40" s="181"/>
      <c r="SVA40" s="182"/>
      <c r="SVB40" s="182"/>
      <c r="SVC40" s="179"/>
      <c r="SVD40" s="183"/>
      <c r="SVE40" s="184"/>
      <c r="SVF40" s="185"/>
      <c r="SVG40" s="186"/>
      <c r="SVH40" s="186"/>
      <c r="SVI40" s="186"/>
      <c r="SVJ40" s="186"/>
      <c r="SVK40" s="187"/>
      <c r="SVL40" s="251"/>
      <c r="SVM40" s="252"/>
      <c r="SVN40" s="175"/>
      <c r="SVO40" s="176"/>
      <c r="SVP40" s="177"/>
      <c r="SVQ40" s="176"/>
      <c r="SVR40" s="176"/>
      <c r="SVS40" s="178"/>
      <c r="SVT40" s="178"/>
      <c r="SVU40" s="179"/>
      <c r="SVV40" s="180"/>
      <c r="SVW40" s="180"/>
      <c r="SVX40" s="180"/>
      <c r="SVY40" s="180"/>
      <c r="SVZ40" s="180"/>
      <c r="SWA40" s="180"/>
      <c r="SWB40" s="178"/>
      <c r="SWC40" s="181"/>
      <c r="SWD40" s="182"/>
      <c r="SWE40" s="182"/>
      <c r="SWF40" s="179"/>
      <c r="SWG40" s="183"/>
      <c r="SWH40" s="184"/>
      <c r="SWI40" s="185"/>
      <c r="SWJ40" s="186"/>
      <c r="SWK40" s="186"/>
      <c r="SWL40" s="186"/>
      <c r="SWM40" s="186"/>
      <c r="SWN40" s="187"/>
      <c r="SWO40" s="251"/>
      <c r="SWP40" s="252"/>
      <c r="SWQ40" s="175"/>
      <c r="SWR40" s="176"/>
      <c r="SWS40" s="177"/>
      <c r="SWT40" s="176"/>
      <c r="SWU40" s="176"/>
      <c r="SWV40" s="178"/>
      <c r="SWW40" s="178"/>
      <c r="SWX40" s="179"/>
      <c r="SWY40" s="180"/>
      <c r="SWZ40" s="180"/>
      <c r="SXA40" s="180"/>
      <c r="SXB40" s="180"/>
      <c r="SXC40" s="180"/>
      <c r="SXD40" s="180"/>
      <c r="SXE40" s="178"/>
      <c r="SXF40" s="181"/>
      <c r="SXG40" s="182"/>
      <c r="SXH40" s="182"/>
      <c r="SXI40" s="179"/>
      <c r="SXJ40" s="183"/>
      <c r="SXK40" s="184"/>
      <c r="SXL40" s="185"/>
      <c r="SXM40" s="186"/>
      <c r="SXN40" s="186"/>
      <c r="SXO40" s="186"/>
      <c r="SXP40" s="186"/>
      <c r="SXQ40" s="187"/>
      <c r="SXR40" s="251"/>
      <c r="SXS40" s="252"/>
      <c r="SXT40" s="175"/>
      <c r="SXU40" s="176"/>
      <c r="SXV40" s="177"/>
      <c r="SXW40" s="176"/>
      <c r="SXX40" s="176"/>
      <c r="SXY40" s="178"/>
      <c r="SXZ40" s="178"/>
      <c r="SYA40" s="179"/>
      <c r="SYB40" s="180"/>
      <c r="SYC40" s="180"/>
      <c r="SYD40" s="180"/>
      <c r="SYE40" s="180"/>
      <c r="SYF40" s="180"/>
      <c r="SYG40" s="180"/>
      <c r="SYH40" s="178"/>
      <c r="SYI40" s="181"/>
      <c r="SYJ40" s="182"/>
      <c r="SYK40" s="182"/>
      <c r="SYL40" s="179"/>
      <c r="SYM40" s="183"/>
      <c r="SYN40" s="184"/>
      <c r="SYO40" s="185"/>
      <c r="SYP40" s="186"/>
      <c r="SYQ40" s="186"/>
      <c r="SYR40" s="186"/>
      <c r="SYS40" s="186"/>
      <c r="SYT40" s="187"/>
      <c r="SYU40" s="251"/>
      <c r="SYV40" s="252"/>
      <c r="SYW40" s="175"/>
      <c r="SYX40" s="176"/>
      <c r="SYY40" s="177"/>
      <c r="SYZ40" s="176"/>
      <c r="SZA40" s="176"/>
      <c r="SZB40" s="178"/>
      <c r="SZC40" s="178"/>
      <c r="SZD40" s="179"/>
      <c r="SZE40" s="180"/>
      <c r="SZF40" s="180"/>
      <c r="SZG40" s="180"/>
      <c r="SZH40" s="180"/>
      <c r="SZI40" s="180"/>
      <c r="SZJ40" s="180"/>
      <c r="SZK40" s="178"/>
      <c r="SZL40" s="181"/>
      <c r="SZM40" s="182"/>
      <c r="SZN40" s="182"/>
      <c r="SZO40" s="179"/>
      <c r="SZP40" s="183"/>
      <c r="SZQ40" s="184"/>
      <c r="SZR40" s="185"/>
      <c r="SZS40" s="186"/>
      <c r="SZT40" s="186"/>
      <c r="SZU40" s="186"/>
      <c r="SZV40" s="186"/>
      <c r="SZW40" s="187"/>
      <c r="SZX40" s="251"/>
      <c r="SZY40" s="252"/>
      <c r="SZZ40" s="175"/>
      <c r="TAA40" s="176"/>
      <c r="TAB40" s="177"/>
      <c r="TAC40" s="176"/>
      <c r="TAD40" s="176"/>
      <c r="TAE40" s="178"/>
      <c r="TAF40" s="178"/>
      <c r="TAG40" s="179"/>
      <c r="TAH40" s="180"/>
      <c r="TAI40" s="180"/>
      <c r="TAJ40" s="180"/>
      <c r="TAK40" s="180"/>
      <c r="TAL40" s="180"/>
      <c r="TAM40" s="180"/>
      <c r="TAN40" s="178"/>
      <c r="TAO40" s="181"/>
      <c r="TAP40" s="182"/>
      <c r="TAQ40" s="182"/>
      <c r="TAR40" s="179"/>
      <c r="TAS40" s="183"/>
      <c r="TAT40" s="184"/>
      <c r="TAU40" s="185"/>
      <c r="TAV40" s="186"/>
      <c r="TAW40" s="186"/>
      <c r="TAX40" s="186"/>
      <c r="TAY40" s="186"/>
      <c r="TAZ40" s="187"/>
      <c r="TBA40" s="251"/>
      <c r="TBB40" s="252"/>
      <c r="TBC40" s="175"/>
      <c r="TBD40" s="176"/>
      <c r="TBE40" s="177"/>
      <c r="TBF40" s="176"/>
      <c r="TBG40" s="176"/>
      <c r="TBH40" s="178"/>
      <c r="TBI40" s="178"/>
      <c r="TBJ40" s="179"/>
      <c r="TBK40" s="180"/>
      <c r="TBL40" s="180"/>
      <c r="TBM40" s="180"/>
      <c r="TBN40" s="180"/>
      <c r="TBO40" s="180"/>
      <c r="TBP40" s="180"/>
      <c r="TBQ40" s="178"/>
      <c r="TBR40" s="181"/>
      <c r="TBS40" s="182"/>
      <c r="TBT40" s="182"/>
      <c r="TBU40" s="179"/>
      <c r="TBV40" s="183"/>
      <c r="TBW40" s="184"/>
      <c r="TBX40" s="185"/>
      <c r="TBY40" s="186"/>
      <c r="TBZ40" s="186"/>
      <c r="TCA40" s="186"/>
      <c r="TCB40" s="186"/>
      <c r="TCC40" s="187"/>
      <c r="TCD40" s="251"/>
      <c r="TCE40" s="252"/>
      <c r="TCF40" s="175"/>
      <c r="TCG40" s="176"/>
      <c r="TCH40" s="177"/>
      <c r="TCI40" s="176"/>
      <c r="TCJ40" s="176"/>
      <c r="TCK40" s="178"/>
      <c r="TCL40" s="178"/>
      <c r="TCM40" s="179"/>
      <c r="TCN40" s="180"/>
      <c r="TCO40" s="180"/>
      <c r="TCP40" s="180"/>
      <c r="TCQ40" s="180"/>
      <c r="TCR40" s="180"/>
      <c r="TCS40" s="180"/>
      <c r="TCT40" s="178"/>
      <c r="TCU40" s="181"/>
      <c r="TCV40" s="182"/>
      <c r="TCW40" s="182"/>
      <c r="TCX40" s="179"/>
      <c r="TCY40" s="183"/>
      <c r="TCZ40" s="184"/>
      <c r="TDA40" s="185"/>
      <c r="TDB40" s="186"/>
      <c r="TDC40" s="186"/>
      <c r="TDD40" s="186"/>
      <c r="TDE40" s="186"/>
      <c r="TDF40" s="187"/>
      <c r="TDG40" s="251"/>
      <c r="TDH40" s="252"/>
      <c r="TDI40" s="175"/>
      <c r="TDJ40" s="176"/>
      <c r="TDK40" s="177"/>
      <c r="TDL40" s="176"/>
      <c r="TDM40" s="176"/>
      <c r="TDN40" s="178"/>
      <c r="TDO40" s="178"/>
      <c r="TDP40" s="179"/>
      <c r="TDQ40" s="180"/>
      <c r="TDR40" s="180"/>
      <c r="TDS40" s="180"/>
      <c r="TDT40" s="180"/>
      <c r="TDU40" s="180"/>
      <c r="TDV40" s="180"/>
      <c r="TDW40" s="178"/>
      <c r="TDX40" s="181"/>
      <c r="TDY40" s="182"/>
      <c r="TDZ40" s="182"/>
      <c r="TEA40" s="179"/>
      <c r="TEB40" s="183"/>
      <c r="TEC40" s="184"/>
      <c r="TED40" s="185"/>
      <c r="TEE40" s="186"/>
      <c r="TEF40" s="186"/>
      <c r="TEG40" s="186"/>
      <c r="TEH40" s="186"/>
      <c r="TEI40" s="187"/>
      <c r="TEJ40" s="251"/>
      <c r="TEK40" s="252"/>
      <c r="TEL40" s="175"/>
      <c r="TEM40" s="176"/>
      <c r="TEN40" s="177"/>
      <c r="TEO40" s="176"/>
      <c r="TEP40" s="176"/>
      <c r="TEQ40" s="178"/>
      <c r="TER40" s="178"/>
      <c r="TES40" s="179"/>
      <c r="TET40" s="180"/>
      <c r="TEU40" s="180"/>
      <c r="TEV40" s="180"/>
      <c r="TEW40" s="180"/>
      <c r="TEX40" s="180"/>
      <c r="TEY40" s="180"/>
      <c r="TEZ40" s="178"/>
      <c r="TFA40" s="181"/>
      <c r="TFB40" s="182"/>
      <c r="TFC40" s="182"/>
      <c r="TFD40" s="179"/>
      <c r="TFE40" s="183"/>
      <c r="TFF40" s="184"/>
      <c r="TFG40" s="185"/>
      <c r="TFH40" s="186"/>
      <c r="TFI40" s="186"/>
      <c r="TFJ40" s="186"/>
      <c r="TFK40" s="186"/>
      <c r="TFL40" s="187"/>
      <c r="TFM40" s="251"/>
      <c r="TFN40" s="252"/>
      <c r="TFO40" s="175"/>
      <c r="TFP40" s="176"/>
      <c r="TFQ40" s="177"/>
      <c r="TFR40" s="176"/>
      <c r="TFS40" s="176"/>
      <c r="TFT40" s="178"/>
      <c r="TFU40" s="178"/>
      <c r="TFV40" s="179"/>
      <c r="TFW40" s="180"/>
      <c r="TFX40" s="180"/>
      <c r="TFY40" s="180"/>
      <c r="TFZ40" s="180"/>
      <c r="TGA40" s="180"/>
      <c r="TGB40" s="180"/>
      <c r="TGC40" s="178"/>
      <c r="TGD40" s="181"/>
      <c r="TGE40" s="182"/>
      <c r="TGF40" s="182"/>
      <c r="TGG40" s="179"/>
      <c r="TGH40" s="183"/>
      <c r="TGI40" s="184"/>
      <c r="TGJ40" s="185"/>
      <c r="TGK40" s="186"/>
      <c r="TGL40" s="186"/>
      <c r="TGM40" s="186"/>
      <c r="TGN40" s="186"/>
      <c r="TGO40" s="187"/>
      <c r="TGP40" s="251"/>
      <c r="TGQ40" s="252"/>
      <c r="TGR40" s="175"/>
      <c r="TGS40" s="176"/>
      <c r="TGT40" s="177"/>
      <c r="TGU40" s="176"/>
      <c r="TGV40" s="176"/>
      <c r="TGW40" s="178"/>
      <c r="TGX40" s="178"/>
      <c r="TGY40" s="179"/>
      <c r="TGZ40" s="180"/>
      <c r="THA40" s="180"/>
      <c r="THB40" s="180"/>
      <c r="THC40" s="180"/>
      <c r="THD40" s="180"/>
      <c r="THE40" s="180"/>
      <c r="THF40" s="178"/>
      <c r="THG40" s="181"/>
      <c r="THH40" s="182"/>
      <c r="THI40" s="182"/>
      <c r="THJ40" s="179"/>
      <c r="THK40" s="183"/>
      <c r="THL40" s="184"/>
      <c r="THM40" s="185"/>
      <c r="THN40" s="186"/>
      <c r="THO40" s="186"/>
      <c r="THP40" s="186"/>
      <c r="THQ40" s="186"/>
      <c r="THR40" s="187"/>
      <c r="THS40" s="251"/>
      <c r="THT40" s="252"/>
      <c r="THU40" s="175"/>
      <c r="THV40" s="176"/>
      <c r="THW40" s="177"/>
      <c r="THX40" s="176"/>
      <c r="THY40" s="176"/>
      <c r="THZ40" s="178"/>
      <c r="TIA40" s="178"/>
      <c r="TIB40" s="179"/>
      <c r="TIC40" s="180"/>
      <c r="TID40" s="180"/>
      <c r="TIE40" s="180"/>
      <c r="TIF40" s="180"/>
      <c r="TIG40" s="180"/>
      <c r="TIH40" s="180"/>
      <c r="TII40" s="178"/>
      <c r="TIJ40" s="181"/>
      <c r="TIK40" s="182"/>
      <c r="TIL40" s="182"/>
      <c r="TIM40" s="179"/>
      <c r="TIN40" s="183"/>
      <c r="TIO40" s="184"/>
      <c r="TIP40" s="185"/>
      <c r="TIQ40" s="186"/>
      <c r="TIR40" s="186"/>
      <c r="TIS40" s="186"/>
      <c r="TIT40" s="186"/>
      <c r="TIU40" s="187"/>
      <c r="TIV40" s="251"/>
      <c r="TIW40" s="252"/>
      <c r="TIX40" s="175"/>
      <c r="TIY40" s="176"/>
      <c r="TIZ40" s="177"/>
      <c r="TJA40" s="176"/>
      <c r="TJB40" s="176"/>
      <c r="TJC40" s="178"/>
      <c r="TJD40" s="178"/>
      <c r="TJE40" s="179"/>
      <c r="TJF40" s="180"/>
      <c r="TJG40" s="180"/>
      <c r="TJH40" s="180"/>
      <c r="TJI40" s="180"/>
      <c r="TJJ40" s="180"/>
      <c r="TJK40" s="180"/>
      <c r="TJL40" s="178"/>
      <c r="TJM40" s="181"/>
      <c r="TJN40" s="182"/>
      <c r="TJO40" s="182"/>
      <c r="TJP40" s="179"/>
      <c r="TJQ40" s="183"/>
      <c r="TJR40" s="184"/>
      <c r="TJS40" s="185"/>
      <c r="TJT40" s="186"/>
      <c r="TJU40" s="186"/>
      <c r="TJV40" s="186"/>
      <c r="TJW40" s="186"/>
      <c r="TJX40" s="187"/>
      <c r="TJY40" s="251"/>
      <c r="TJZ40" s="252"/>
      <c r="TKA40" s="175"/>
      <c r="TKB40" s="176"/>
      <c r="TKC40" s="177"/>
      <c r="TKD40" s="176"/>
      <c r="TKE40" s="176"/>
      <c r="TKF40" s="178"/>
      <c r="TKG40" s="178"/>
      <c r="TKH40" s="179"/>
      <c r="TKI40" s="180"/>
      <c r="TKJ40" s="180"/>
      <c r="TKK40" s="180"/>
      <c r="TKL40" s="180"/>
      <c r="TKM40" s="180"/>
      <c r="TKN40" s="180"/>
      <c r="TKO40" s="178"/>
      <c r="TKP40" s="181"/>
      <c r="TKQ40" s="182"/>
      <c r="TKR40" s="182"/>
      <c r="TKS40" s="179"/>
      <c r="TKT40" s="183"/>
      <c r="TKU40" s="184"/>
      <c r="TKV40" s="185"/>
      <c r="TKW40" s="186"/>
      <c r="TKX40" s="186"/>
      <c r="TKY40" s="186"/>
      <c r="TKZ40" s="186"/>
      <c r="TLA40" s="187"/>
      <c r="TLB40" s="251"/>
      <c r="TLC40" s="252"/>
      <c r="TLD40" s="175"/>
      <c r="TLE40" s="176"/>
      <c r="TLF40" s="177"/>
      <c r="TLG40" s="176"/>
      <c r="TLH40" s="176"/>
      <c r="TLI40" s="178"/>
      <c r="TLJ40" s="178"/>
      <c r="TLK40" s="179"/>
      <c r="TLL40" s="180"/>
      <c r="TLM40" s="180"/>
      <c r="TLN40" s="180"/>
      <c r="TLO40" s="180"/>
      <c r="TLP40" s="180"/>
      <c r="TLQ40" s="180"/>
      <c r="TLR40" s="178"/>
      <c r="TLS40" s="181"/>
      <c r="TLT40" s="182"/>
      <c r="TLU40" s="182"/>
      <c r="TLV40" s="179"/>
      <c r="TLW40" s="183"/>
      <c r="TLX40" s="184"/>
      <c r="TLY40" s="185"/>
      <c r="TLZ40" s="186"/>
      <c r="TMA40" s="186"/>
      <c r="TMB40" s="186"/>
      <c r="TMC40" s="186"/>
      <c r="TMD40" s="187"/>
      <c r="TME40" s="251"/>
      <c r="TMF40" s="252"/>
      <c r="TMG40" s="175"/>
      <c r="TMH40" s="176"/>
      <c r="TMI40" s="177"/>
      <c r="TMJ40" s="176"/>
      <c r="TMK40" s="176"/>
      <c r="TML40" s="178"/>
      <c r="TMM40" s="178"/>
      <c r="TMN40" s="179"/>
      <c r="TMO40" s="180"/>
      <c r="TMP40" s="180"/>
      <c r="TMQ40" s="180"/>
      <c r="TMR40" s="180"/>
      <c r="TMS40" s="180"/>
      <c r="TMT40" s="180"/>
      <c r="TMU40" s="178"/>
      <c r="TMV40" s="181"/>
      <c r="TMW40" s="182"/>
      <c r="TMX40" s="182"/>
      <c r="TMY40" s="179"/>
      <c r="TMZ40" s="183"/>
      <c r="TNA40" s="184"/>
      <c r="TNB40" s="185"/>
      <c r="TNC40" s="186"/>
      <c r="TND40" s="186"/>
      <c r="TNE40" s="186"/>
      <c r="TNF40" s="186"/>
      <c r="TNG40" s="187"/>
      <c r="TNH40" s="251"/>
      <c r="TNI40" s="252"/>
      <c r="TNJ40" s="175"/>
      <c r="TNK40" s="176"/>
      <c r="TNL40" s="177"/>
      <c r="TNM40" s="176"/>
      <c r="TNN40" s="176"/>
      <c r="TNO40" s="178"/>
      <c r="TNP40" s="178"/>
      <c r="TNQ40" s="179"/>
      <c r="TNR40" s="180"/>
      <c r="TNS40" s="180"/>
      <c r="TNT40" s="180"/>
      <c r="TNU40" s="180"/>
      <c r="TNV40" s="180"/>
      <c r="TNW40" s="180"/>
      <c r="TNX40" s="178"/>
      <c r="TNY40" s="181"/>
      <c r="TNZ40" s="182"/>
      <c r="TOA40" s="182"/>
      <c r="TOB40" s="179"/>
      <c r="TOC40" s="183"/>
      <c r="TOD40" s="184"/>
      <c r="TOE40" s="185"/>
      <c r="TOF40" s="186"/>
      <c r="TOG40" s="186"/>
      <c r="TOH40" s="186"/>
      <c r="TOI40" s="186"/>
      <c r="TOJ40" s="187"/>
      <c r="TOK40" s="251"/>
      <c r="TOL40" s="252"/>
      <c r="TOM40" s="175"/>
      <c r="TON40" s="176"/>
      <c r="TOO40" s="177"/>
      <c r="TOP40" s="176"/>
      <c r="TOQ40" s="176"/>
      <c r="TOR40" s="178"/>
      <c r="TOS40" s="178"/>
      <c r="TOT40" s="179"/>
      <c r="TOU40" s="180"/>
      <c r="TOV40" s="180"/>
      <c r="TOW40" s="180"/>
      <c r="TOX40" s="180"/>
      <c r="TOY40" s="180"/>
      <c r="TOZ40" s="180"/>
      <c r="TPA40" s="178"/>
      <c r="TPB40" s="181"/>
      <c r="TPC40" s="182"/>
      <c r="TPD40" s="182"/>
      <c r="TPE40" s="179"/>
      <c r="TPF40" s="183"/>
      <c r="TPG40" s="184"/>
      <c r="TPH40" s="185"/>
      <c r="TPI40" s="186"/>
      <c r="TPJ40" s="186"/>
      <c r="TPK40" s="186"/>
      <c r="TPL40" s="186"/>
      <c r="TPM40" s="187"/>
      <c r="TPN40" s="251"/>
      <c r="TPO40" s="252"/>
      <c r="TPP40" s="175"/>
      <c r="TPQ40" s="176"/>
      <c r="TPR40" s="177"/>
      <c r="TPS40" s="176"/>
      <c r="TPT40" s="176"/>
      <c r="TPU40" s="178"/>
      <c r="TPV40" s="178"/>
      <c r="TPW40" s="179"/>
      <c r="TPX40" s="180"/>
      <c r="TPY40" s="180"/>
      <c r="TPZ40" s="180"/>
      <c r="TQA40" s="180"/>
      <c r="TQB40" s="180"/>
      <c r="TQC40" s="180"/>
      <c r="TQD40" s="178"/>
      <c r="TQE40" s="181"/>
      <c r="TQF40" s="182"/>
      <c r="TQG40" s="182"/>
      <c r="TQH40" s="179"/>
      <c r="TQI40" s="183"/>
      <c r="TQJ40" s="184"/>
      <c r="TQK40" s="185"/>
      <c r="TQL40" s="186"/>
      <c r="TQM40" s="186"/>
      <c r="TQN40" s="186"/>
      <c r="TQO40" s="186"/>
      <c r="TQP40" s="187"/>
      <c r="TQQ40" s="251"/>
      <c r="TQR40" s="252"/>
      <c r="TQS40" s="175"/>
      <c r="TQT40" s="176"/>
      <c r="TQU40" s="177"/>
      <c r="TQV40" s="176"/>
      <c r="TQW40" s="176"/>
      <c r="TQX40" s="178"/>
      <c r="TQY40" s="178"/>
      <c r="TQZ40" s="179"/>
      <c r="TRA40" s="180"/>
      <c r="TRB40" s="180"/>
      <c r="TRC40" s="180"/>
      <c r="TRD40" s="180"/>
      <c r="TRE40" s="180"/>
      <c r="TRF40" s="180"/>
      <c r="TRG40" s="178"/>
      <c r="TRH40" s="181"/>
      <c r="TRI40" s="182"/>
      <c r="TRJ40" s="182"/>
      <c r="TRK40" s="179"/>
      <c r="TRL40" s="183"/>
      <c r="TRM40" s="184"/>
      <c r="TRN40" s="185"/>
      <c r="TRO40" s="186"/>
      <c r="TRP40" s="186"/>
      <c r="TRQ40" s="186"/>
      <c r="TRR40" s="186"/>
      <c r="TRS40" s="187"/>
      <c r="TRT40" s="251"/>
      <c r="TRU40" s="252"/>
      <c r="TRV40" s="175"/>
      <c r="TRW40" s="176"/>
      <c r="TRX40" s="177"/>
      <c r="TRY40" s="176"/>
      <c r="TRZ40" s="176"/>
      <c r="TSA40" s="178"/>
      <c r="TSB40" s="178"/>
      <c r="TSC40" s="179"/>
      <c r="TSD40" s="180"/>
      <c r="TSE40" s="180"/>
      <c r="TSF40" s="180"/>
      <c r="TSG40" s="180"/>
      <c r="TSH40" s="180"/>
      <c r="TSI40" s="180"/>
      <c r="TSJ40" s="178"/>
      <c r="TSK40" s="181"/>
      <c r="TSL40" s="182"/>
      <c r="TSM40" s="182"/>
      <c r="TSN40" s="179"/>
      <c r="TSO40" s="183"/>
      <c r="TSP40" s="184"/>
      <c r="TSQ40" s="185"/>
      <c r="TSR40" s="186"/>
      <c r="TSS40" s="186"/>
      <c r="TST40" s="186"/>
      <c r="TSU40" s="186"/>
      <c r="TSV40" s="187"/>
      <c r="TSW40" s="251"/>
      <c r="TSX40" s="252"/>
      <c r="TSY40" s="175"/>
      <c r="TSZ40" s="176"/>
      <c r="TTA40" s="177"/>
      <c r="TTB40" s="176"/>
      <c r="TTC40" s="176"/>
      <c r="TTD40" s="178"/>
      <c r="TTE40" s="178"/>
      <c r="TTF40" s="179"/>
      <c r="TTG40" s="180"/>
      <c r="TTH40" s="180"/>
      <c r="TTI40" s="180"/>
      <c r="TTJ40" s="180"/>
      <c r="TTK40" s="180"/>
      <c r="TTL40" s="180"/>
      <c r="TTM40" s="178"/>
      <c r="TTN40" s="181"/>
      <c r="TTO40" s="182"/>
      <c r="TTP40" s="182"/>
      <c r="TTQ40" s="179"/>
      <c r="TTR40" s="183"/>
      <c r="TTS40" s="184"/>
      <c r="TTT40" s="185"/>
      <c r="TTU40" s="186"/>
      <c r="TTV40" s="186"/>
      <c r="TTW40" s="186"/>
      <c r="TTX40" s="186"/>
      <c r="TTY40" s="187"/>
      <c r="TTZ40" s="251"/>
      <c r="TUA40" s="252"/>
      <c r="TUB40" s="175"/>
      <c r="TUC40" s="176"/>
      <c r="TUD40" s="177"/>
      <c r="TUE40" s="176"/>
      <c r="TUF40" s="176"/>
      <c r="TUG40" s="178"/>
      <c r="TUH40" s="178"/>
      <c r="TUI40" s="179"/>
      <c r="TUJ40" s="180"/>
      <c r="TUK40" s="180"/>
      <c r="TUL40" s="180"/>
      <c r="TUM40" s="180"/>
      <c r="TUN40" s="180"/>
      <c r="TUO40" s="180"/>
      <c r="TUP40" s="178"/>
      <c r="TUQ40" s="181"/>
      <c r="TUR40" s="182"/>
      <c r="TUS40" s="182"/>
      <c r="TUT40" s="179"/>
      <c r="TUU40" s="183"/>
      <c r="TUV40" s="184"/>
      <c r="TUW40" s="185"/>
      <c r="TUX40" s="186"/>
      <c r="TUY40" s="186"/>
      <c r="TUZ40" s="186"/>
      <c r="TVA40" s="186"/>
      <c r="TVB40" s="187"/>
      <c r="TVC40" s="251"/>
      <c r="TVD40" s="252"/>
      <c r="TVE40" s="175"/>
      <c r="TVF40" s="176"/>
      <c r="TVG40" s="177"/>
      <c r="TVH40" s="176"/>
      <c r="TVI40" s="176"/>
      <c r="TVJ40" s="178"/>
      <c r="TVK40" s="178"/>
      <c r="TVL40" s="179"/>
      <c r="TVM40" s="180"/>
      <c r="TVN40" s="180"/>
      <c r="TVO40" s="180"/>
      <c r="TVP40" s="180"/>
      <c r="TVQ40" s="180"/>
      <c r="TVR40" s="180"/>
      <c r="TVS40" s="178"/>
      <c r="TVT40" s="181"/>
      <c r="TVU40" s="182"/>
      <c r="TVV40" s="182"/>
      <c r="TVW40" s="179"/>
      <c r="TVX40" s="183"/>
      <c r="TVY40" s="184"/>
      <c r="TVZ40" s="185"/>
      <c r="TWA40" s="186"/>
      <c r="TWB40" s="186"/>
      <c r="TWC40" s="186"/>
      <c r="TWD40" s="186"/>
      <c r="TWE40" s="187"/>
      <c r="TWF40" s="251"/>
      <c r="TWG40" s="252"/>
      <c r="TWH40" s="175"/>
      <c r="TWI40" s="176"/>
      <c r="TWJ40" s="177"/>
      <c r="TWK40" s="176"/>
      <c r="TWL40" s="176"/>
      <c r="TWM40" s="178"/>
      <c r="TWN40" s="178"/>
      <c r="TWO40" s="179"/>
      <c r="TWP40" s="180"/>
      <c r="TWQ40" s="180"/>
      <c r="TWR40" s="180"/>
      <c r="TWS40" s="180"/>
      <c r="TWT40" s="180"/>
      <c r="TWU40" s="180"/>
      <c r="TWV40" s="178"/>
      <c r="TWW40" s="181"/>
      <c r="TWX40" s="182"/>
      <c r="TWY40" s="182"/>
      <c r="TWZ40" s="179"/>
      <c r="TXA40" s="183"/>
      <c r="TXB40" s="184"/>
      <c r="TXC40" s="185"/>
      <c r="TXD40" s="186"/>
      <c r="TXE40" s="186"/>
      <c r="TXF40" s="186"/>
      <c r="TXG40" s="186"/>
      <c r="TXH40" s="187"/>
      <c r="TXI40" s="251"/>
      <c r="TXJ40" s="252"/>
      <c r="TXK40" s="175"/>
      <c r="TXL40" s="176"/>
      <c r="TXM40" s="177"/>
      <c r="TXN40" s="176"/>
      <c r="TXO40" s="176"/>
      <c r="TXP40" s="178"/>
      <c r="TXQ40" s="178"/>
      <c r="TXR40" s="179"/>
      <c r="TXS40" s="180"/>
      <c r="TXT40" s="180"/>
      <c r="TXU40" s="180"/>
      <c r="TXV40" s="180"/>
      <c r="TXW40" s="180"/>
      <c r="TXX40" s="180"/>
      <c r="TXY40" s="178"/>
      <c r="TXZ40" s="181"/>
      <c r="TYA40" s="182"/>
      <c r="TYB40" s="182"/>
      <c r="TYC40" s="179"/>
      <c r="TYD40" s="183"/>
      <c r="TYE40" s="184"/>
      <c r="TYF40" s="185"/>
      <c r="TYG40" s="186"/>
      <c r="TYH40" s="186"/>
      <c r="TYI40" s="186"/>
      <c r="TYJ40" s="186"/>
      <c r="TYK40" s="187"/>
      <c r="TYL40" s="251"/>
      <c r="TYM40" s="252"/>
      <c r="TYN40" s="175"/>
      <c r="TYO40" s="176"/>
      <c r="TYP40" s="177"/>
      <c r="TYQ40" s="176"/>
      <c r="TYR40" s="176"/>
      <c r="TYS40" s="178"/>
      <c r="TYT40" s="178"/>
      <c r="TYU40" s="179"/>
      <c r="TYV40" s="180"/>
      <c r="TYW40" s="180"/>
      <c r="TYX40" s="180"/>
      <c r="TYY40" s="180"/>
      <c r="TYZ40" s="180"/>
      <c r="TZA40" s="180"/>
      <c r="TZB40" s="178"/>
      <c r="TZC40" s="181"/>
      <c r="TZD40" s="182"/>
      <c r="TZE40" s="182"/>
      <c r="TZF40" s="179"/>
      <c r="TZG40" s="183"/>
      <c r="TZH40" s="184"/>
      <c r="TZI40" s="185"/>
      <c r="TZJ40" s="186"/>
      <c r="TZK40" s="186"/>
      <c r="TZL40" s="186"/>
      <c r="TZM40" s="186"/>
      <c r="TZN40" s="187"/>
      <c r="TZO40" s="251"/>
      <c r="TZP40" s="252"/>
      <c r="TZQ40" s="175"/>
      <c r="TZR40" s="176"/>
      <c r="TZS40" s="177"/>
      <c r="TZT40" s="176"/>
      <c r="TZU40" s="176"/>
      <c r="TZV40" s="178"/>
      <c r="TZW40" s="178"/>
      <c r="TZX40" s="179"/>
      <c r="TZY40" s="180"/>
      <c r="TZZ40" s="180"/>
      <c r="UAA40" s="180"/>
      <c r="UAB40" s="180"/>
      <c r="UAC40" s="180"/>
      <c r="UAD40" s="180"/>
      <c r="UAE40" s="178"/>
      <c r="UAF40" s="181"/>
      <c r="UAG40" s="182"/>
      <c r="UAH40" s="182"/>
      <c r="UAI40" s="179"/>
      <c r="UAJ40" s="183"/>
      <c r="UAK40" s="184"/>
      <c r="UAL40" s="185"/>
      <c r="UAM40" s="186"/>
      <c r="UAN40" s="186"/>
      <c r="UAO40" s="186"/>
      <c r="UAP40" s="186"/>
      <c r="UAQ40" s="187"/>
      <c r="UAR40" s="251"/>
      <c r="UAS40" s="252"/>
      <c r="UAT40" s="175"/>
      <c r="UAU40" s="176"/>
      <c r="UAV40" s="177"/>
      <c r="UAW40" s="176"/>
      <c r="UAX40" s="176"/>
      <c r="UAY40" s="178"/>
      <c r="UAZ40" s="178"/>
      <c r="UBA40" s="179"/>
      <c r="UBB40" s="180"/>
      <c r="UBC40" s="180"/>
      <c r="UBD40" s="180"/>
      <c r="UBE40" s="180"/>
      <c r="UBF40" s="180"/>
      <c r="UBG40" s="180"/>
      <c r="UBH40" s="178"/>
      <c r="UBI40" s="181"/>
      <c r="UBJ40" s="182"/>
      <c r="UBK40" s="182"/>
      <c r="UBL40" s="179"/>
      <c r="UBM40" s="183"/>
      <c r="UBN40" s="184"/>
      <c r="UBO40" s="185"/>
      <c r="UBP40" s="186"/>
      <c r="UBQ40" s="186"/>
      <c r="UBR40" s="186"/>
      <c r="UBS40" s="186"/>
      <c r="UBT40" s="187"/>
      <c r="UBU40" s="251"/>
      <c r="UBV40" s="252"/>
      <c r="UBW40" s="175"/>
      <c r="UBX40" s="176"/>
      <c r="UBY40" s="177"/>
      <c r="UBZ40" s="176"/>
      <c r="UCA40" s="176"/>
      <c r="UCB40" s="178"/>
      <c r="UCC40" s="178"/>
      <c r="UCD40" s="179"/>
      <c r="UCE40" s="180"/>
      <c r="UCF40" s="180"/>
      <c r="UCG40" s="180"/>
      <c r="UCH40" s="180"/>
      <c r="UCI40" s="180"/>
      <c r="UCJ40" s="180"/>
      <c r="UCK40" s="178"/>
      <c r="UCL40" s="181"/>
      <c r="UCM40" s="182"/>
      <c r="UCN40" s="182"/>
      <c r="UCO40" s="179"/>
      <c r="UCP40" s="183"/>
      <c r="UCQ40" s="184"/>
      <c r="UCR40" s="185"/>
      <c r="UCS40" s="186"/>
      <c r="UCT40" s="186"/>
      <c r="UCU40" s="186"/>
      <c r="UCV40" s="186"/>
      <c r="UCW40" s="187"/>
      <c r="UCX40" s="251"/>
      <c r="UCY40" s="252"/>
      <c r="UCZ40" s="175"/>
      <c r="UDA40" s="176"/>
      <c r="UDB40" s="177"/>
      <c r="UDC40" s="176"/>
      <c r="UDD40" s="176"/>
      <c r="UDE40" s="178"/>
      <c r="UDF40" s="178"/>
      <c r="UDG40" s="179"/>
      <c r="UDH40" s="180"/>
      <c r="UDI40" s="180"/>
      <c r="UDJ40" s="180"/>
      <c r="UDK40" s="180"/>
      <c r="UDL40" s="180"/>
      <c r="UDM40" s="180"/>
      <c r="UDN40" s="178"/>
      <c r="UDO40" s="181"/>
      <c r="UDP40" s="182"/>
      <c r="UDQ40" s="182"/>
      <c r="UDR40" s="179"/>
      <c r="UDS40" s="183"/>
      <c r="UDT40" s="184"/>
      <c r="UDU40" s="185"/>
      <c r="UDV40" s="186"/>
      <c r="UDW40" s="186"/>
      <c r="UDX40" s="186"/>
      <c r="UDY40" s="186"/>
      <c r="UDZ40" s="187"/>
      <c r="UEA40" s="251"/>
      <c r="UEB40" s="252"/>
      <c r="UEC40" s="175"/>
      <c r="UED40" s="176"/>
      <c r="UEE40" s="177"/>
      <c r="UEF40" s="176"/>
      <c r="UEG40" s="176"/>
      <c r="UEH40" s="178"/>
      <c r="UEI40" s="178"/>
      <c r="UEJ40" s="179"/>
      <c r="UEK40" s="180"/>
      <c r="UEL40" s="180"/>
      <c r="UEM40" s="180"/>
      <c r="UEN40" s="180"/>
      <c r="UEO40" s="180"/>
      <c r="UEP40" s="180"/>
      <c r="UEQ40" s="178"/>
      <c r="UER40" s="181"/>
      <c r="UES40" s="182"/>
      <c r="UET40" s="182"/>
      <c r="UEU40" s="179"/>
      <c r="UEV40" s="183"/>
      <c r="UEW40" s="184"/>
      <c r="UEX40" s="185"/>
      <c r="UEY40" s="186"/>
      <c r="UEZ40" s="186"/>
      <c r="UFA40" s="186"/>
      <c r="UFB40" s="186"/>
      <c r="UFC40" s="187"/>
      <c r="UFD40" s="251"/>
      <c r="UFE40" s="252"/>
      <c r="UFF40" s="175"/>
      <c r="UFG40" s="176"/>
      <c r="UFH40" s="177"/>
      <c r="UFI40" s="176"/>
      <c r="UFJ40" s="176"/>
      <c r="UFK40" s="178"/>
      <c r="UFL40" s="178"/>
      <c r="UFM40" s="179"/>
      <c r="UFN40" s="180"/>
      <c r="UFO40" s="180"/>
      <c r="UFP40" s="180"/>
      <c r="UFQ40" s="180"/>
      <c r="UFR40" s="180"/>
      <c r="UFS40" s="180"/>
      <c r="UFT40" s="178"/>
      <c r="UFU40" s="181"/>
      <c r="UFV40" s="182"/>
      <c r="UFW40" s="182"/>
      <c r="UFX40" s="179"/>
      <c r="UFY40" s="183"/>
      <c r="UFZ40" s="184"/>
      <c r="UGA40" s="185"/>
      <c r="UGB40" s="186"/>
      <c r="UGC40" s="186"/>
      <c r="UGD40" s="186"/>
      <c r="UGE40" s="186"/>
      <c r="UGF40" s="187"/>
      <c r="UGG40" s="251"/>
      <c r="UGH40" s="252"/>
      <c r="UGI40" s="175"/>
      <c r="UGJ40" s="176"/>
      <c r="UGK40" s="177"/>
      <c r="UGL40" s="176"/>
      <c r="UGM40" s="176"/>
      <c r="UGN40" s="178"/>
      <c r="UGO40" s="178"/>
      <c r="UGP40" s="179"/>
      <c r="UGQ40" s="180"/>
      <c r="UGR40" s="180"/>
      <c r="UGS40" s="180"/>
      <c r="UGT40" s="180"/>
      <c r="UGU40" s="180"/>
      <c r="UGV40" s="180"/>
      <c r="UGW40" s="178"/>
      <c r="UGX40" s="181"/>
      <c r="UGY40" s="182"/>
      <c r="UGZ40" s="182"/>
      <c r="UHA40" s="179"/>
      <c r="UHB40" s="183"/>
      <c r="UHC40" s="184"/>
      <c r="UHD40" s="185"/>
      <c r="UHE40" s="186"/>
      <c r="UHF40" s="186"/>
      <c r="UHG40" s="186"/>
      <c r="UHH40" s="186"/>
      <c r="UHI40" s="187"/>
      <c r="UHJ40" s="251"/>
      <c r="UHK40" s="252"/>
      <c r="UHL40" s="175"/>
      <c r="UHM40" s="176"/>
      <c r="UHN40" s="177"/>
      <c r="UHO40" s="176"/>
      <c r="UHP40" s="176"/>
      <c r="UHQ40" s="178"/>
      <c r="UHR40" s="178"/>
      <c r="UHS40" s="179"/>
      <c r="UHT40" s="180"/>
      <c r="UHU40" s="180"/>
      <c r="UHV40" s="180"/>
      <c r="UHW40" s="180"/>
      <c r="UHX40" s="180"/>
      <c r="UHY40" s="180"/>
      <c r="UHZ40" s="178"/>
      <c r="UIA40" s="181"/>
      <c r="UIB40" s="182"/>
      <c r="UIC40" s="182"/>
      <c r="UID40" s="179"/>
      <c r="UIE40" s="183"/>
      <c r="UIF40" s="184"/>
      <c r="UIG40" s="185"/>
      <c r="UIH40" s="186"/>
      <c r="UII40" s="186"/>
      <c r="UIJ40" s="186"/>
      <c r="UIK40" s="186"/>
      <c r="UIL40" s="187"/>
      <c r="UIM40" s="251"/>
      <c r="UIN40" s="252"/>
      <c r="UIO40" s="175"/>
      <c r="UIP40" s="176"/>
      <c r="UIQ40" s="177"/>
      <c r="UIR40" s="176"/>
      <c r="UIS40" s="176"/>
      <c r="UIT40" s="178"/>
      <c r="UIU40" s="178"/>
      <c r="UIV40" s="179"/>
      <c r="UIW40" s="180"/>
      <c r="UIX40" s="180"/>
      <c r="UIY40" s="180"/>
      <c r="UIZ40" s="180"/>
      <c r="UJA40" s="180"/>
      <c r="UJB40" s="180"/>
      <c r="UJC40" s="178"/>
      <c r="UJD40" s="181"/>
      <c r="UJE40" s="182"/>
      <c r="UJF40" s="182"/>
      <c r="UJG40" s="179"/>
      <c r="UJH40" s="183"/>
      <c r="UJI40" s="184"/>
      <c r="UJJ40" s="185"/>
      <c r="UJK40" s="186"/>
      <c r="UJL40" s="186"/>
      <c r="UJM40" s="186"/>
      <c r="UJN40" s="186"/>
      <c r="UJO40" s="187"/>
      <c r="UJP40" s="251"/>
      <c r="UJQ40" s="252"/>
      <c r="UJR40" s="175"/>
      <c r="UJS40" s="176"/>
      <c r="UJT40" s="177"/>
      <c r="UJU40" s="176"/>
      <c r="UJV40" s="176"/>
      <c r="UJW40" s="178"/>
      <c r="UJX40" s="178"/>
      <c r="UJY40" s="179"/>
      <c r="UJZ40" s="180"/>
      <c r="UKA40" s="180"/>
      <c r="UKB40" s="180"/>
      <c r="UKC40" s="180"/>
      <c r="UKD40" s="180"/>
      <c r="UKE40" s="180"/>
      <c r="UKF40" s="178"/>
      <c r="UKG40" s="181"/>
      <c r="UKH40" s="182"/>
      <c r="UKI40" s="182"/>
      <c r="UKJ40" s="179"/>
      <c r="UKK40" s="183"/>
      <c r="UKL40" s="184"/>
      <c r="UKM40" s="185"/>
      <c r="UKN40" s="186"/>
      <c r="UKO40" s="186"/>
      <c r="UKP40" s="186"/>
      <c r="UKQ40" s="186"/>
      <c r="UKR40" s="187"/>
      <c r="UKS40" s="251"/>
      <c r="UKT40" s="252"/>
      <c r="UKU40" s="175"/>
      <c r="UKV40" s="176"/>
      <c r="UKW40" s="177"/>
      <c r="UKX40" s="176"/>
      <c r="UKY40" s="176"/>
      <c r="UKZ40" s="178"/>
      <c r="ULA40" s="178"/>
      <c r="ULB40" s="179"/>
      <c r="ULC40" s="180"/>
      <c r="ULD40" s="180"/>
      <c r="ULE40" s="180"/>
      <c r="ULF40" s="180"/>
      <c r="ULG40" s="180"/>
      <c r="ULH40" s="180"/>
      <c r="ULI40" s="178"/>
      <c r="ULJ40" s="181"/>
      <c r="ULK40" s="182"/>
      <c r="ULL40" s="182"/>
      <c r="ULM40" s="179"/>
      <c r="ULN40" s="183"/>
      <c r="ULO40" s="184"/>
      <c r="ULP40" s="185"/>
      <c r="ULQ40" s="186"/>
      <c r="ULR40" s="186"/>
      <c r="ULS40" s="186"/>
      <c r="ULT40" s="186"/>
      <c r="ULU40" s="187"/>
      <c r="ULV40" s="251"/>
      <c r="ULW40" s="252"/>
      <c r="ULX40" s="175"/>
      <c r="ULY40" s="176"/>
      <c r="ULZ40" s="177"/>
      <c r="UMA40" s="176"/>
      <c r="UMB40" s="176"/>
      <c r="UMC40" s="178"/>
      <c r="UMD40" s="178"/>
      <c r="UME40" s="179"/>
      <c r="UMF40" s="180"/>
      <c r="UMG40" s="180"/>
      <c r="UMH40" s="180"/>
      <c r="UMI40" s="180"/>
      <c r="UMJ40" s="180"/>
      <c r="UMK40" s="180"/>
      <c r="UML40" s="178"/>
      <c r="UMM40" s="181"/>
      <c r="UMN40" s="182"/>
      <c r="UMO40" s="182"/>
      <c r="UMP40" s="179"/>
      <c r="UMQ40" s="183"/>
      <c r="UMR40" s="184"/>
      <c r="UMS40" s="185"/>
      <c r="UMT40" s="186"/>
      <c r="UMU40" s="186"/>
      <c r="UMV40" s="186"/>
      <c r="UMW40" s="186"/>
      <c r="UMX40" s="187"/>
      <c r="UMY40" s="251"/>
      <c r="UMZ40" s="252"/>
      <c r="UNA40" s="175"/>
      <c r="UNB40" s="176"/>
      <c r="UNC40" s="177"/>
      <c r="UND40" s="176"/>
      <c r="UNE40" s="176"/>
      <c r="UNF40" s="178"/>
      <c r="UNG40" s="178"/>
      <c r="UNH40" s="179"/>
      <c r="UNI40" s="180"/>
      <c r="UNJ40" s="180"/>
      <c r="UNK40" s="180"/>
      <c r="UNL40" s="180"/>
      <c r="UNM40" s="180"/>
      <c r="UNN40" s="180"/>
      <c r="UNO40" s="178"/>
      <c r="UNP40" s="181"/>
      <c r="UNQ40" s="182"/>
      <c r="UNR40" s="182"/>
      <c r="UNS40" s="179"/>
      <c r="UNT40" s="183"/>
      <c r="UNU40" s="184"/>
      <c r="UNV40" s="185"/>
      <c r="UNW40" s="186"/>
      <c r="UNX40" s="186"/>
      <c r="UNY40" s="186"/>
      <c r="UNZ40" s="186"/>
      <c r="UOA40" s="187"/>
      <c r="UOB40" s="251"/>
      <c r="UOC40" s="252"/>
      <c r="UOD40" s="175"/>
      <c r="UOE40" s="176"/>
      <c r="UOF40" s="177"/>
      <c r="UOG40" s="176"/>
      <c r="UOH40" s="176"/>
      <c r="UOI40" s="178"/>
      <c r="UOJ40" s="178"/>
      <c r="UOK40" s="179"/>
      <c r="UOL40" s="180"/>
      <c r="UOM40" s="180"/>
      <c r="UON40" s="180"/>
      <c r="UOO40" s="180"/>
      <c r="UOP40" s="180"/>
      <c r="UOQ40" s="180"/>
      <c r="UOR40" s="178"/>
      <c r="UOS40" s="181"/>
      <c r="UOT40" s="182"/>
      <c r="UOU40" s="182"/>
      <c r="UOV40" s="179"/>
      <c r="UOW40" s="183"/>
      <c r="UOX40" s="184"/>
      <c r="UOY40" s="185"/>
      <c r="UOZ40" s="186"/>
      <c r="UPA40" s="186"/>
      <c r="UPB40" s="186"/>
      <c r="UPC40" s="186"/>
      <c r="UPD40" s="187"/>
      <c r="UPE40" s="251"/>
      <c r="UPF40" s="252"/>
      <c r="UPG40" s="175"/>
      <c r="UPH40" s="176"/>
      <c r="UPI40" s="177"/>
      <c r="UPJ40" s="176"/>
      <c r="UPK40" s="176"/>
      <c r="UPL40" s="178"/>
      <c r="UPM40" s="178"/>
      <c r="UPN40" s="179"/>
      <c r="UPO40" s="180"/>
      <c r="UPP40" s="180"/>
      <c r="UPQ40" s="180"/>
      <c r="UPR40" s="180"/>
      <c r="UPS40" s="180"/>
      <c r="UPT40" s="180"/>
      <c r="UPU40" s="178"/>
      <c r="UPV40" s="181"/>
      <c r="UPW40" s="182"/>
      <c r="UPX40" s="182"/>
      <c r="UPY40" s="179"/>
      <c r="UPZ40" s="183"/>
      <c r="UQA40" s="184"/>
      <c r="UQB40" s="185"/>
      <c r="UQC40" s="186"/>
      <c r="UQD40" s="186"/>
      <c r="UQE40" s="186"/>
      <c r="UQF40" s="186"/>
      <c r="UQG40" s="187"/>
      <c r="UQH40" s="251"/>
      <c r="UQI40" s="252"/>
      <c r="UQJ40" s="175"/>
      <c r="UQK40" s="176"/>
      <c r="UQL40" s="177"/>
      <c r="UQM40" s="176"/>
      <c r="UQN40" s="176"/>
      <c r="UQO40" s="178"/>
      <c r="UQP40" s="178"/>
      <c r="UQQ40" s="179"/>
      <c r="UQR40" s="180"/>
      <c r="UQS40" s="180"/>
      <c r="UQT40" s="180"/>
      <c r="UQU40" s="180"/>
      <c r="UQV40" s="180"/>
      <c r="UQW40" s="180"/>
      <c r="UQX40" s="178"/>
      <c r="UQY40" s="181"/>
      <c r="UQZ40" s="182"/>
      <c r="URA40" s="182"/>
      <c r="URB40" s="179"/>
      <c r="URC40" s="183"/>
      <c r="URD40" s="184"/>
      <c r="URE40" s="185"/>
      <c r="URF40" s="186"/>
      <c r="URG40" s="186"/>
      <c r="URH40" s="186"/>
      <c r="URI40" s="186"/>
      <c r="URJ40" s="187"/>
      <c r="URK40" s="251"/>
      <c r="URL40" s="252"/>
      <c r="URM40" s="175"/>
      <c r="URN40" s="176"/>
      <c r="URO40" s="177"/>
      <c r="URP40" s="176"/>
      <c r="URQ40" s="176"/>
      <c r="URR40" s="178"/>
      <c r="URS40" s="178"/>
      <c r="URT40" s="179"/>
      <c r="URU40" s="180"/>
      <c r="URV40" s="180"/>
      <c r="URW40" s="180"/>
      <c r="URX40" s="180"/>
      <c r="URY40" s="180"/>
      <c r="URZ40" s="180"/>
      <c r="USA40" s="178"/>
      <c r="USB40" s="181"/>
      <c r="USC40" s="182"/>
      <c r="USD40" s="182"/>
      <c r="USE40" s="179"/>
      <c r="USF40" s="183"/>
      <c r="USG40" s="184"/>
      <c r="USH40" s="185"/>
      <c r="USI40" s="186"/>
      <c r="USJ40" s="186"/>
      <c r="USK40" s="186"/>
      <c r="USL40" s="186"/>
      <c r="USM40" s="187"/>
      <c r="USN40" s="251"/>
      <c r="USO40" s="252"/>
      <c r="USP40" s="175"/>
      <c r="USQ40" s="176"/>
      <c r="USR40" s="177"/>
      <c r="USS40" s="176"/>
      <c r="UST40" s="176"/>
      <c r="USU40" s="178"/>
      <c r="USV40" s="178"/>
      <c r="USW40" s="179"/>
      <c r="USX40" s="180"/>
      <c r="USY40" s="180"/>
      <c r="USZ40" s="180"/>
      <c r="UTA40" s="180"/>
      <c r="UTB40" s="180"/>
      <c r="UTC40" s="180"/>
      <c r="UTD40" s="178"/>
      <c r="UTE40" s="181"/>
      <c r="UTF40" s="182"/>
      <c r="UTG40" s="182"/>
      <c r="UTH40" s="179"/>
      <c r="UTI40" s="183"/>
      <c r="UTJ40" s="184"/>
      <c r="UTK40" s="185"/>
      <c r="UTL40" s="186"/>
      <c r="UTM40" s="186"/>
      <c r="UTN40" s="186"/>
      <c r="UTO40" s="186"/>
      <c r="UTP40" s="187"/>
      <c r="UTQ40" s="251"/>
      <c r="UTR40" s="252"/>
      <c r="UTS40" s="175"/>
      <c r="UTT40" s="176"/>
      <c r="UTU40" s="177"/>
      <c r="UTV40" s="176"/>
      <c r="UTW40" s="176"/>
      <c r="UTX40" s="178"/>
      <c r="UTY40" s="178"/>
      <c r="UTZ40" s="179"/>
      <c r="UUA40" s="180"/>
      <c r="UUB40" s="180"/>
      <c r="UUC40" s="180"/>
      <c r="UUD40" s="180"/>
      <c r="UUE40" s="180"/>
      <c r="UUF40" s="180"/>
      <c r="UUG40" s="178"/>
      <c r="UUH40" s="181"/>
      <c r="UUI40" s="182"/>
      <c r="UUJ40" s="182"/>
      <c r="UUK40" s="179"/>
      <c r="UUL40" s="183"/>
      <c r="UUM40" s="184"/>
      <c r="UUN40" s="185"/>
      <c r="UUO40" s="186"/>
      <c r="UUP40" s="186"/>
      <c r="UUQ40" s="186"/>
      <c r="UUR40" s="186"/>
      <c r="UUS40" s="187"/>
      <c r="UUT40" s="251"/>
      <c r="UUU40" s="252"/>
      <c r="UUV40" s="175"/>
      <c r="UUW40" s="176"/>
      <c r="UUX40" s="177"/>
      <c r="UUY40" s="176"/>
      <c r="UUZ40" s="176"/>
      <c r="UVA40" s="178"/>
      <c r="UVB40" s="178"/>
      <c r="UVC40" s="179"/>
      <c r="UVD40" s="180"/>
      <c r="UVE40" s="180"/>
      <c r="UVF40" s="180"/>
      <c r="UVG40" s="180"/>
      <c r="UVH40" s="180"/>
      <c r="UVI40" s="180"/>
      <c r="UVJ40" s="178"/>
      <c r="UVK40" s="181"/>
      <c r="UVL40" s="182"/>
      <c r="UVM40" s="182"/>
      <c r="UVN40" s="179"/>
      <c r="UVO40" s="183"/>
      <c r="UVP40" s="184"/>
      <c r="UVQ40" s="185"/>
      <c r="UVR40" s="186"/>
      <c r="UVS40" s="186"/>
      <c r="UVT40" s="186"/>
      <c r="UVU40" s="186"/>
      <c r="UVV40" s="187"/>
      <c r="UVW40" s="251"/>
      <c r="UVX40" s="252"/>
      <c r="UVY40" s="175"/>
      <c r="UVZ40" s="176"/>
      <c r="UWA40" s="177"/>
      <c r="UWB40" s="176"/>
      <c r="UWC40" s="176"/>
      <c r="UWD40" s="178"/>
      <c r="UWE40" s="178"/>
      <c r="UWF40" s="179"/>
      <c r="UWG40" s="180"/>
      <c r="UWH40" s="180"/>
      <c r="UWI40" s="180"/>
      <c r="UWJ40" s="180"/>
      <c r="UWK40" s="180"/>
      <c r="UWL40" s="180"/>
      <c r="UWM40" s="178"/>
      <c r="UWN40" s="181"/>
      <c r="UWO40" s="182"/>
      <c r="UWP40" s="182"/>
      <c r="UWQ40" s="179"/>
      <c r="UWR40" s="183"/>
      <c r="UWS40" s="184"/>
      <c r="UWT40" s="185"/>
      <c r="UWU40" s="186"/>
      <c r="UWV40" s="186"/>
      <c r="UWW40" s="186"/>
      <c r="UWX40" s="186"/>
      <c r="UWY40" s="187"/>
      <c r="UWZ40" s="251"/>
      <c r="UXA40" s="252"/>
      <c r="UXB40" s="175"/>
      <c r="UXC40" s="176"/>
      <c r="UXD40" s="177"/>
      <c r="UXE40" s="176"/>
      <c r="UXF40" s="176"/>
      <c r="UXG40" s="178"/>
      <c r="UXH40" s="178"/>
      <c r="UXI40" s="179"/>
      <c r="UXJ40" s="180"/>
      <c r="UXK40" s="180"/>
      <c r="UXL40" s="180"/>
      <c r="UXM40" s="180"/>
      <c r="UXN40" s="180"/>
      <c r="UXO40" s="180"/>
      <c r="UXP40" s="178"/>
      <c r="UXQ40" s="181"/>
      <c r="UXR40" s="182"/>
      <c r="UXS40" s="182"/>
      <c r="UXT40" s="179"/>
      <c r="UXU40" s="183"/>
      <c r="UXV40" s="184"/>
      <c r="UXW40" s="185"/>
      <c r="UXX40" s="186"/>
      <c r="UXY40" s="186"/>
      <c r="UXZ40" s="186"/>
      <c r="UYA40" s="186"/>
      <c r="UYB40" s="187"/>
      <c r="UYC40" s="251"/>
      <c r="UYD40" s="252"/>
      <c r="UYE40" s="175"/>
      <c r="UYF40" s="176"/>
      <c r="UYG40" s="177"/>
      <c r="UYH40" s="176"/>
      <c r="UYI40" s="176"/>
      <c r="UYJ40" s="178"/>
      <c r="UYK40" s="178"/>
      <c r="UYL40" s="179"/>
      <c r="UYM40" s="180"/>
      <c r="UYN40" s="180"/>
      <c r="UYO40" s="180"/>
      <c r="UYP40" s="180"/>
      <c r="UYQ40" s="180"/>
      <c r="UYR40" s="180"/>
      <c r="UYS40" s="178"/>
      <c r="UYT40" s="181"/>
      <c r="UYU40" s="182"/>
      <c r="UYV40" s="182"/>
      <c r="UYW40" s="179"/>
      <c r="UYX40" s="183"/>
      <c r="UYY40" s="184"/>
      <c r="UYZ40" s="185"/>
      <c r="UZA40" s="186"/>
      <c r="UZB40" s="186"/>
      <c r="UZC40" s="186"/>
      <c r="UZD40" s="186"/>
      <c r="UZE40" s="187"/>
      <c r="UZF40" s="251"/>
      <c r="UZG40" s="252"/>
      <c r="UZH40" s="175"/>
      <c r="UZI40" s="176"/>
      <c r="UZJ40" s="177"/>
      <c r="UZK40" s="176"/>
      <c r="UZL40" s="176"/>
      <c r="UZM40" s="178"/>
      <c r="UZN40" s="178"/>
      <c r="UZO40" s="179"/>
      <c r="UZP40" s="180"/>
      <c r="UZQ40" s="180"/>
      <c r="UZR40" s="180"/>
      <c r="UZS40" s="180"/>
      <c r="UZT40" s="180"/>
      <c r="UZU40" s="180"/>
      <c r="UZV40" s="178"/>
      <c r="UZW40" s="181"/>
      <c r="UZX40" s="182"/>
      <c r="UZY40" s="182"/>
      <c r="UZZ40" s="179"/>
      <c r="VAA40" s="183"/>
      <c r="VAB40" s="184"/>
      <c r="VAC40" s="185"/>
      <c r="VAD40" s="186"/>
      <c r="VAE40" s="186"/>
      <c r="VAF40" s="186"/>
      <c r="VAG40" s="186"/>
      <c r="VAH40" s="187"/>
      <c r="VAI40" s="251"/>
      <c r="VAJ40" s="252"/>
      <c r="VAK40" s="175"/>
      <c r="VAL40" s="176"/>
      <c r="VAM40" s="177"/>
      <c r="VAN40" s="176"/>
      <c r="VAO40" s="176"/>
      <c r="VAP40" s="178"/>
      <c r="VAQ40" s="178"/>
      <c r="VAR40" s="179"/>
      <c r="VAS40" s="180"/>
      <c r="VAT40" s="180"/>
      <c r="VAU40" s="180"/>
      <c r="VAV40" s="180"/>
      <c r="VAW40" s="180"/>
      <c r="VAX40" s="180"/>
      <c r="VAY40" s="178"/>
      <c r="VAZ40" s="181"/>
      <c r="VBA40" s="182"/>
      <c r="VBB40" s="182"/>
      <c r="VBC40" s="179"/>
      <c r="VBD40" s="183"/>
      <c r="VBE40" s="184"/>
      <c r="VBF40" s="185"/>
      <c r="VBG40" s="186"/>
      <c r="VBH40" s="186"/>
      <c r="VBI40" s="186"/>
      <c r="VBJ40" s="186"/>
      <c r="VBK40" s="187"/>
      <c r="VBL40" s="251"/>
      <c r="VBM40" s="252"/>
      <c r="VBN40" s="175"/>
      <c r="VBO40" s="176"/>
      <c r="VBP40" s="177"/>
      <c r="VBQ40" s="176"/>
      <c r="VBR40" s="176"/>
      <c r="VBS40" s="178"/>
      <c r="VBT40" s="178"/>
      <c r="VBU40" s="179"/>
      <c r="VBV40" s="180"/>
      <c r="VBW40" s="180"/>
      <c r="VBX40" s="180"/>
      <c r="VBY40" s="180"/>
      <c r="VBZ40" s="180"/>
      <c r="VCA40" s="180"/>
      <c r="VCB40" s="178"/>
      <c r="VCC40" s="181"/>
      <c r="VCD40" s="182"/>
      <c r="VCE40" s="182"/>
      <c r="VCF40" s="179"/>
      <c r="VCG40" s="183"/>
      <c r="VCH40" s="184"/>
      <c r="VCI40" s="185"/>
      <c r="VCJ40" s="186"/>
      <c r="VCK40" s="186"/>
      <c r="VCL40" s="186"/>
      <c r="VCM40" s="186"/>
      <c r="VCN40" s="187"/>
      <c r="VCO40" s="251"/>
      <c r="VCP40" s="252"/>
      <c r="VCQ40" s="175"/>
      <c r="VCR40" s="176"/>
      <c r="VCS40" s="177"/>
      <c r="VCT40" s="176"/>
      <c r="VCU40" s="176"/>
      <c r="VCV40" s="178"/>
      <c r="VCW40" s="178"/>
      <c r="VCX40" s="179"/>
      <c r="VCY40" s="180"/>
      <c r="VCZ40" s="180"/>
      <c r="VDA40" s="180"/>
      <c r="VDB40" s="180"/>
      <c r="VDC40" s="180"/>
      <c r="VDD40" s="180"/>
      <c r="VDE40" s="178"/>
      <c r="VDF40" s="181"/>
      <c r="VDG40" s="182"/>
      <c r="VDH40" s="182"/>
      <c r="VDI40" s="179"/>
      <c r="VDJ40" s="183"/>
      <c r="VDK40" s="184"/>
      <c r="VDL40" s="185"/>
      <c r="VDM40" s="186"/>
      <c r="VDN40" s="186"/>
      <c r="VDO40" s="186"/>
      <c r="VDP40" s="186"/>
      <c r="VDQ40" s="187"/>
      <c r="VDR40" s="251"/>
      <c r="VDS40" s="252"/>
      <c r="VDT40" s="175"/>
      <c r="VDU40" s="176"/>
      <c r="VDV40" s="177"/>
      <c r="VDW40" s="176"/>
      <c r="VDX40" s="176"/>
      <c r="VDY40" s="178"/>
      <c r="VDZ40" s="178"/>
      <c r="VEA40" s="179"/>
      <c r="VEB40" s="180"/>
      <c r="VEC40" s="180"/>
      <c r="VED40" s="180"/>
      <c r="VEE40" s="180"/>
      <c r="VEF40" s="180"/>
      <c r="VEG40" s="180"/>
      <c r="VEH40" s="178"/>
      <c r="VEI40" s="181"/>
      <c r="VEJ40" s="182"/>
      <c r="VEK40" s="182"/>
      <c r="VEL40" s="179"/>
      <c r="VEM40" s="183"/>
      <c r="VEN40" s="184"/>
      <c r="VEO40" s="185"/>
      <c r="VEP40" s="186"/>
      <c r="VEQ40" s="186"/>
      <c r="VER40" s="186"/>
      <c r="VES40" s="186"/>
      <c r="VET40" s="187"/>
      <c r="VEU40" s="251"/>
      <c r="VEV40" s="252"/>
      <c r="VEW40" s="175"/>
      <c r="VEX40" s="176"/>
      <c r="VEY40" s="177"/>
      <c r="VEZ40" s="176"/>
      <c r="VFA40" s="176"/>
      <c r="VFB40" s="178"/>
      <c r="VFC40" s="178"/>
      <c r="VFD40" s="179"/>
      <c r="VFE40" s="180"/>
      <c r="VFF40" s="180"/>
      <c r="VFG40" s="180"/>
      <c r="VFH40" s="180"/>
      <c r="VFI40" s="180"/>
      <c r="VFJ40" s="180"/>
      <c r="VFK40" s="178"/>
      <c r="VFL40" s="181"/>
      <c r="VFM40" s="182"/>
      <c r="VFN40" s="182"/>
      <c r="VFO40" s="179"/>
      <c r="VFP40" s="183"/>
      <c r="VFQ40" s="184"/>
      <c r="VFR40" s="185"/>
      <c r="VFS40" s="186"/>
      <c r="VFT40" s="186"/>
      <c r="VFU40" s="186"/>
      <c r="VFV40" s="186"/>
      <c r="VFW40" s="187"/>
      <c r="VFX40" s="251"/>
      <c r="VFY40" s="252"/>
      <c r="VFZ40" s="175"/>
      <c r="VGA40" s="176"/>
      <c r="VGB40" s="177"/>
      <c r="VGC40" s="176"/>
      <c r="VGD40" s="176"/>
      <c r="VGE40" s="178"/>
      <c r="VGF40" s="178"/>
      <c r="VGG40" s="179"/>
      <c r="VGH40" s="180"/>
      <c r="VGI40" s="180"/>
      <c r="VGJ40" s="180"/>
      <c r="VGK40" s="180"/>
      <c r="VGL40" s="180"/>
      <c r="VGM40" s="180"/>
      <c r="VGN40" s="178"/>
      <c r="VGO40" s="181"/>
      <c r="VGP40" s="182"/>
      <c r="VGQ40" s="182"/>
      <c r="VGR40" s="179"/>
      <c r="VGS40" s="183"/>
      <c r="VGT40" s="184"/>
      <c r="VGU40" s="185"/>
      <c r="VGV40" s="186"/>
      <c r="VGW40" s="186"/>
      <c r="VGX40" s="186"/>
      <c r="VGY40" s="186"/>
      <c r="VGZ40" s="187"/>
      <c r="VHA40" s="251"/>
      <c r="VHB40" s="252"/>
      <c r="VHC40" s="175"/>
      <c r="VHD40" s="176"/>
      <c r="VHE40" s="177"/>
      <c r="VHF40" s="176"/>
      <c r="VHG40" s="176"/>
      <c r="VHH40" s="178"/>
      <c r="VHI40" s="178"/>
      <c r="VHJ40" s="179"/>
      <c r="VHK40" s="180"/>
      <c r="VHL40" s="180"/>
      <c r="VHM40" s="180"/>
      <c r="VHN40" s="180"/>
      <c r="VHO40" s="180"/>
      <c r="VHP40" s="180"/>
      <c r="VHQ40" s="178"/>
      <c r="VHR40" s="181"/>
      <c r="VHS40" s="182"/>
      <c r="VHT40" s="182"/>
      <c r="VHU40" s="179"/>
      <c r="VHV40" s="183"/>
      <c r="VHW40" s="184"/>
      <c r="VHX40" s="185"/>
      <c r="VHY40" s="186"/>
      <c r="VHZ40" s="186"/>
      <c r="VIA40" s="186"/>
      <c r="VIB40" s="186"/>
      <c r="VIC40" s="187"/>
      <c r="VID40" s="251"/>
      <c r="VIE40" s="252"/>
      <c r="VIF40" s="175"/>
      <c r="VIG40" s="176"/>
      <c r="VIH40" s="177"/>
      <c r="VII40" s="176"/>
      <c r="VIJ40" s="176"/>
      <c r="VIK40" s="178"/>
      <c r="VIL40" s="178"/>
      <c r="VIM40" s="179"/>
      <c r="VIN40" s="180"/>
      <c r="VIO40" s="180"/>
      <c r="VIP40" s="180"/>
      <c r="VIQ40" s="180"/>
      <c r="VIR40" s="180"/>
      <c r="VIS40" s="180"/>
      <c r="VIT40" s="178"/>
      <c r="VIU40" s="181"/>
      <c r="VIV40" s="182"/>
      <c r="VIW40" s="182"/>
      <c r="VIX40" s="179"/>
      <c r="VIY40" s="183"/>
      <c r="VIZ40" s="184"/>
      <c r="VJA40" s="185"/>
      <c r="VJB40" s="186"/>
      <c r="VJC40" s="186"/>
      <c r="VJD40" s="186"/>
      <c r="VJE40" s="186"/>
      <c r="VJF40" s="187"/>
      <c r="VJG40" s="251"/>
      <c r="VJH40" s="252"/>
      <c r="VJI40" s="175"/>
      <c r="VJJ40" s="176"/>
      <c r="VJK40" s="177"/>
      <c r="VJL40" s="176"/>
      <c r="VJM40" s="176"/>
      <c r="VJN40" s="178"/>
      <c r="VJO40" s="178"/>
      <c r="VJP40" s="179"/>
      <c r="VJQ40" s="180"/>
      <c r="VJR40" s="180"/>
      <c r="VJS40" s="180"/>
      <c r="VJT40" s="180"/>
      <c r="VJU40" s="180"/>
      <c r="VJV40" s="180"/>
      <c r="VJW40" s="178"/>
      <c r="VJX40" s="181"/>
      <c r="VJY40" s="182"/>
      <c r="VJZ40" s="182"/>
      <c r="VKA40" s="179"/>
      <c r="VKB40" s="183"/>
      <c r="VKC40" s="184"/>
      <c r="VKD40" s="185"/>
      <c r="VKE40" s="186"/>
      <c r="VKF40" s="186"/>
      <c r="VKG40" s="186"/>
      <c r="VKH40" s="186"/>
      <c r="VKI40" s="187"/>
      <c r="VKJ40" s="251"/>
      <c r="VKK40" s="252"/>
      <c r="VKL40" s="175"/>
      <c r="VKM40" s="176"/>
      <c r="VKN40" s="177"/>
      <c r="VKO40" s="176"/>
      <c r="VKP40" s="176"/>
      <c r="VKQ40" s="178"/>
      <c r="VKR40" s="178"/>
      <c r="VKS40" s="179"/>
      <c r="VKT40" s="180"/>
      <c r="VKU40" s="180"/>
      <c r="VKV40" s="180"/>
      <c r="VKW40" s="180"/>
      <c r="VKX40" s="180"/>
      <c r="VKY40" s="180"/>
      <c r="VKZ40" s="178"/>
      <c r="VLA40" s="181"/>
      <c r="VLB40" s="182"/>
      <c r="VLC40" s="182"/>
      <c r="VLD40" s="179"/>
      <c r="VLE40" s="183"/>
      <c r="VLF40" s="184"/>
      <c r="VLG40" s="185"/>
      <c r="VLH40" s="186"/>
      <c r="VLI40" s="186"/>
      <c r="VLJ40" s="186"/>
      <c r="VLK40" s="186"/>
      <c r="VLL40" s="187"/>
      <c r="VLM40" s="251"/>
      <c r="VLN40" s="252"/>
      <c r="VLO40" s="175"/>
      <c r="VLP40" s="176"/>
      <c r="VLQ40" s="177"/>
      <c r="VLR40" s="176"/>
      <c r="VLS40" s="176"/>
      <c r="VLT40" s="178"/>
      <c r="VLU40" s="178"/>
      <c r="VLV40" s="179"/>
      <c r="VLW40" s="180"/>
      <c r="VLX40" s="180"/>
      <c r="VLY40" s="180"/>
      <c r="VLZ40" s="180"/>
      <c r="VMA40" s="180"/>
      <c r="VMB40" s="180"/>
      <c r="VMC40" s="178"/>
      <c r="VMD40" s="181"/>
      <c r="VME40" s="182"/>
      <c r="VMF40" s="182"/>
      <c r="VMG40" s="179"/>
      <c r="VMH40" s="183"/>
      <c r="VMI40" s="184"/>
      <c r="VMJ40" s="185"/>
      <c r="VMK40" s="186"/>
      <c r="VML40" s="186"/>
      <c r="VMM40" s="186"/>
      <c r="VMN40" s="186"/>
      <c r="VMO40" s="187"/>
      <c r="VMP40" s="251"/>
      <c r="VMQ40" s="252"/>
      <c r="VMR40" s="175"/>
      <c r="VMS40" s="176"/>
      <c r="VMT40" s="177"/>
      <c r="VMU40" s="176"/>
      <c r="VMV40" s="176"/>
      <c r="VMW40" s="178"/>
      <c r="VMX40" s="178"/>
      <c r="VMY40" s="179"/>
      <c r="VMZ40" s="180"/>
      <c r="VNA40" s="180"/>
      <c r="VNB40" s="180"/>
      <c r="VNC40" s="180"/>
      <c r="VND40" s="180"/>
      <c r="VNE40" s="180"/>
      <c r="VNF40" s="178"/>
      <c r="VNG40" s="181"/>
      <c r="VNH40" s="182"/>
      <c r="VNI40" s="182"/>
      <c r="VNJ40" s="179"/>
      <c r="VNK40" s="183"/>
      <c r="VNL40" s="184"/>
      <c r="VNM40" s="185"/>
      <c r="VNN40" s="186"/>
      <c r="VNO40" s="186"/>
      <c r="VNP40" s="186"/>
      <c r="VNQ40" s="186"/>
      <c r="VNR40" s="187"/>
      <c r="VNS40" s="251"/>
      <c r="VNT40" s="252"/>
      <c r="VNU40" s="175"/>
      <c r="VNV40" s="176"/>
      <c r="VNW40" s="177"/>
      <c r="VNX40" s="176"/>
      <c r="VNY40" s="176"/>
      <c r="VNZ40" s="178"/>
      <c r="VOA40" s="178"/>
      <c r="VOB40" s="179"/>
      <c r="VOC40" s="180"/>
      <c r="VOD40" s="180"/>
      <c r="VOE40" s="180"/>
      <c r="VOF40" s="180"/>
      <c r="VOG40" s="180"/>
      <c r="VOH40" s="180"/>
      <c r="VOI40" s="178"/>
      <c r="VOJ40" s="181"/>
      <c r="VOK40" s="182"/>
      <c r="VOL40" s="182"/>
      <c r="VOM40" s="179"/>
      <c r="VON40" s="183"/>
      <c r="VOO40" s="184"/>
      <c r="VOP40" s="185"/>
      <c r="VOQ40" s="186"/>
      <c r="VOR40" s="186"/>
      <c r="VOS40" s="186"/>
      <c r="VOT40" s="186"/>
      <c r="VOU40" s="187"/>
      <c r="VOV40" s="251"/>
      <c r="VOW40" s="252"/>
      <c r="VOX40" s="175"/>
      <c r="VOY40" s="176"/>
      <c r="VOZ40" s="177"/>
      <c r="VPA40" s="176"/>
      <c r="VPB40" s="176"/>
      <c r="VPC40" s="178"/>
      <c r="VPD40" s="178"/>
      <c r="VPE40" s="179"/>
      <c r="VPF40" s="180"/>
      <c r="VPG40" s="180"/>
      <c r="VPH40" s="180"/>
      <c r="VPI40" s="180"/>
      <c r="VPJ40" s="180"/>
      <c r="VPK40" s="180"/>
      <c r="VPL40" s="178"/>
      <c r="VPM40" s="181"/>
      <c r="VPN40" s="182"/>
      <c r="VPO40" s="182"/>
      <c r="VPP40" s="179"/>
      <c r="VPQ40" s="183"/>
      <c r="VPR40" s="184"/>
      <c r="VPS40" s="185"/>
      <c r="VPT40" s="186"/>
      <c r="VPU40" s="186"/>
      <c r="VPV40" s="186"/>
      <c r="VPW40" s="186"/>
      <c r="VPX40" s="187"/>
      <c r="VPY40" s="251"/>
      <c r="VPZ40" s="252"/>
      <c r="VQA40" s="175"/>
      <c r="VQB40" s="176"/>
      <c r="VQC40" s="177"/>
      <c r="VQD40" s="176"/>
      <c r="VQE40" s="176"/>
      <c r="VQF40" s="178"/>
      <c r="VQG40" s="178"/>
      <c r="VQH40" s="179"/>
      <c r="VQI40" s="180"/>
      <c r="VQJ40" s="180"/>
      <c r="VQK40" s="180"/>
      <c r="VQL40" s="180"/>
      <c r="VQM40" s="180"/>
      <c r="VQN40" s="180"/>
      <c r="VQO40" s="178"/>
      <c r="VQP40" s="181"/>
      <c r="VQQ40" s="182"/>
      <c r="VQR40" s="182"/>
      <c r="VQS40" s="179"/>
      <c r="VQT40" s="183"/>
      <c r="VQU40" s="184"/>
      <c r="VQV40" s="185"/>
      <c r="VQW40" s="186"/>
      <c r="VQX40" s="186"/>
      <c r="VQY40" s="186"/>
      <c r="VQZ40" s="186"/>
      <c r="VRA40" s="187"/>
      <c r="VRB40" s="251"/>
      <c r="VRC40" s="252"/>
      <c r="VRD40" s="175"/>
      <c r="VRE40" s="176"/>
      <c r="VRF40" s="177"/>
      <c r="VRG40" s="176"/>
      <c r="VRH40" s="176"/>
      <c r="VRI40" s="178"/>
      <c r="VRJ40" s="178"/>
      <c r="VRK40" s="179"/>
      <c r="VRL40" s="180"/>
      <c r="VRM40" s="180"/>
      <c r="VRN40" s="180"/>
      <c r="VRO40" s="180"/>
      <c r="VRP40" s="180"/>
      <c r="VRQ40" s="180"/>
      <c r="VRR40" s="178"/>
      <c r="VRS40" s="181"/>
      <c r="VRT40" s="182"/>
      <c r="VRU40" s="182"/>
      <c r="VRV40" s="179"/>
      <c r="VRW40" s="183"/>
      <c r="VRX40" s="184"/>
      <c r="VRY40" s="185"/>
      <c r="VRZ40" s="186"/>
      <c r="VSA40" s="186"/>
      <c r="VSB40" s="186"/>
      <c r="VSC40" s="186"/>
      <c r="VSD40" s="187"/>
      <c r="VSE40" s="251"/>
      <c r="VSF40" s="252"/>
      <c r="VSG40" s="175"/>
      <c r="VSH40" s="176"/>
      <c r="VSI40" s="177"/>
      <c r="VSJ40" s="176"/>
      <c r="VSK40" s="176"/>
      <c r="VSL40" s="178"/>
      <c r="VSM40" s="178"/>
      <c r="VSN40" s="179"/>
      <c r="VSO40" s="180"/>
      <c r="VSP40" s="180"/>
      <c r="VSQ40" s="180"/>
      <c r="VSR40" s="180"/>
      <c r="VSS40" s="180"/>
      <c r="VST40" s="180"/>
      <c r="VSU40" s="178"/>
      <c r="VSV40" s="181"/>
      <c r="VSW40" s="182"/>
      <c r="VSX40" s="182"/>
      <c r="VSY40" s="179"/>
      <c r="VSZ40" s="183"/>
      <c r="VTA40" s="184"/>
      <c r="VTB40" s="185"/>
      <c r="VTC40" s="186"/>
      <c r="VTD40" s="186"/>
      <c r="VTE40" s="186"/>
      <c r="VTF40" s="186"/>
      <c r="VTG40" s="187"/>
      <c r="VTH40" s="251"/>
      <c r="VTI40" s="252"/>
      <c r="VTJ40" s="175"/>
      <c r="VTK40" s="176"/>
      <c r="VTL40" s="177"/>
      <c r="VTM40" s="176"/>
      <c r="VTN40" s="176"/>
      <c r="VTO40" s="178"/>
      <c r="VTP40" s="178"/>
      <c r="VTQ40" s="179"/>
      <c r="VTR40" s="180"/>
      <c r="VTS40" s="180"/>
      <c r="VTT40" s="180"/>
      <c r="VTU40" s="180"/>
      <c r="VTV40" s="180"/>
      <c r="VTW40" s="180"/>
      <c r="VTX40" s="178"/>
      <c r="VTY40" s="181"/>
      <c r="VTZ40" s="182"/>
      <c r="VUA40" s="182"/>
      <c r="VUB40" s="179"/>
      <c r="VUC40" s="183"/>
      <c r="VUD40" s="184"/>
      <c r="VUE40" s="185"/>
      <c r="VUF40" s="186"/>
      <c r="VUG40" s="186"/>
      <c r="VUH40" s="186"/>
      <c r="VUI40" s="186"/>
      <c r="VUJ40" s="187"/>
      <c r="VUK40" s="251"/>
      <c r="VUL40" s="252"/>
      <c r="VUM40" s="175"/>
      <c r="VUN40" s="176"/>
      <c r="VUO40" s="177"/>
      <c r="VUP40" s="176"/>
      <c r="VUQ40" s="176"/>
      <c r="VUR40" s="178"/>
      <c r="VUS40" s="178"/>
      <c r="VUT40" s="179"/>
      <c r="VUU40" s="180"/>
      <c r="VUV40" s="180"/>
      <c r="VUW40" s="180"/>
      <c r="VUX40" s="180"/>
      <c r="VUY40" s="180"/>
      <c r="VUZ40" s="180"/>
      <c r="VVA40" s="178"/>
      <c r="VVB40" s="181"/>
      <c r="VVC40" s="182"/>
      <c r="VVD40" s="182"/>
      <c r="VVE40" s="179"/>
      <c r="VVF40" s="183"/>
      <c r="VVG40" s="184"/>
      <c r="VVH40" s="185"/>
      <c r="VVI40" s="186"/>
      <c r="VVJ40" s="186"/>
      <c r="VVK40" s="186"/>
      <c r="VVL40" s="186"/>
      <c r="VVM40" s="187"/>
      <c r="VVN40" s="251"/>
      <c r="VVO40" s="252"/>
      <c r="VVP40" s="175"/>
      <c r="VVQ40" s="176"/>
      <c r="VVR40" s="177"/>
      <c r="VVS40" s="176"/>
      <c r="VVT40" s="176"/>
      <c r="VVU40" s="178"/>
      <c r="VVV40" s="178"/>
      <c r="VVW40" s="179"/>
      <c r="VVX40" s="180"/>
      <c r="VVY40" s="180"/>
      <c r="VVZ40" s="180"/>
      <c r="VWA40" s="180"/>
      <c r="VWB40" s="180"/>
      <c r="VWC40" s="180"/>
      <c r="VWD40" s="178"/>
      <c r="VWE40" s="181"/>
      <c r="VWF40" s="182"/>
      <c r="VWG40" s="182"/>
      <c r="VWH40" s="179"/>
      <c r="VWI40" s="183"/>
      <c r="VWJ40" s="184"/>
      <c r="VWK40" s="185"/>
      <c r="VWL40" s="186"/>
      <c r="VWM40" s="186"/>
      <c r="VWN40" s="186"/>
      <c r="VWO40" s="186"/>
      <c r="VWP40" s="187"/>
      <c r="VWQ40" s="251"/>
      <c r="VWR40" s="252"/>
      <c r="VWS40" s="175"/>
      <c r="VWT40" s="176"/>
      <c r="VWU40" s="177"/>
      <c r="VWV40" s="176"/>
      <c r="VWW40" s="176"/>
      <c r="VWX40" s="178"/>
      <c r="VWY40" s="178"/>
      <c r="VWZ40" s="179"/>
      <c r="VXA40" s="180"/>
      <c r="VXB40" s="180"/>
      <c r="VXC40" s="180"/>
      <c r="VXD40" s="180"/>
      <c r="VXE40" s="180"/>
      <c r="VXF40" s="180"/>
      <c r="VXG40" s="178"/>
      <c r="VXH40" s="181"/>
      <c r="VXI40" s="182"/>
      <c r="VXJ40" s="182"/>
      <c r="VXK40" s="179"/>
      <c r="VXL40" s="183"/>
      <c r="VXM40" s="184"/>
      <c r="VXN40" s="185"/>
      <c r="VXO40" s="186"/>
      <c r="VXP40" s="186"/>
      <c r="VXQ40" s="186"/>
      <c r="VXR40" s="186"/>
      <c r="VXS40" s="187"/>
      <c r="VXT40" s="251"/>
      <c r="VXU40" s="252"/>
      <c r="VXV40" s="175"/>
      <c r="VXW40" s="176"/>
      <c r="VXX40" s="177"/>
      <c r="VXY40" s="176"/>
      <c r="VXZ40" s="176"/>
      <c r="VYA40" s="178"/>
      <c r="VYB40" s="178"/>
      <c r="VYC40" s="179"/>
      <c r="VYD40" s="180"/>
      <c r="VYE40" s="180"/>
      <c r="VYF40" s="180"/>
      <c r="VYG40" s="180"/>
      <c r="VYH40" s="180"/>
      <c r="VYI40" s="180"/>
      <c r="VYJ40" s="178"/>
      <c r="VYK40" s="181"/>
      <c r="VYL40" s="182"/>
      <c r="VYM40" s="182"/>
      <c r="VYN40" s="179"/>
      <c r="VYO40" s="183"/>
      <c r="VYP40" s="184"/>
      <c r="VYQ40" s="185"/>
      <c r="VYR40" s="186"/>
      <c r="VYS40" s="186"/>
      <c r="VYT40" s="186"/>
      <c r="VYU40" s="186"/>
      <c r="VYV40" s="187"/>
      <c r="VYW40" s="251"/>
      <c r="VYX40" s="252"/>
      <c r="VYY40" s="175"/>
      <c r="VYZ40" s="176"/>
      <c r="VZA40" s="177"/>
      <c r="VZB40" s="176"/>
      <c r="VZC40" s="176"/>
      <c r="VZD40" s="178"/>
      <c r="VZE40" s="178"/>
      <c r="VZF40" s="179"/>
      <c r="VZG40" s="180"/>
      <c r="VZH40" s="180"/>
      <c r="VZI40" s="180"/>
      <c r="VZJ40" s="180"/>
      <c r="VZK40" s="180"/>
      <c r="VZL40" s="180"/>
      <c r="VZM40" s="178"/>
      <c r="VZN40" s="181"/>
      <c r="VZO40" s="182"/>
      <c r="VZP40" s="182"/>
      <c r="VZQ40" s="179"/>
      <c r="VZR40" s="183"/>
      <c r="VZS40" s="184"/>
      <c r="VZT40" s="185"/>
      <c r="VZU40" s="186"/>
      <c r="VZV40" s="186"/>
      <c r="VZW40" s="186"/>
      <c r="VZX40" s="186"/>
      <c r="VZY40" s="187"/>
      <c r="VZZ40" s="251"/>
      <c r="WAA40" s="252"/>
      <c r="WAB40" s="175"/>
      <c r="WAC40" s="176"/>
      <c r="WAD40" s="177"/>
      <c r="WAE40" s="176"/>
      <c r="WAF40" s="176"/>
      <c r="WAG40" s="178"/>
      <c r="WAH40" s="178"/>
      <c r="WAI40" s="179"/>
      <c r="WAJ40" s="180"/>
      <c r="WAK40" s="180"/>
      <c r="WAL40" s="180"/>
      <c r="WAM40" s="180"/>
      <c r="WAN40" s="180"/>
      <c r="WAO40" s="180"/>
      <c r="WAP40" s="178"/>
      <c r="WAQ40" s="181"/>
      <c r="WAR40" s="182"/>
      <c r="WAS40" s="182"/>
      <c r="WAT40" s="179"/>
      <c r="WAU40" s="183"/>
      <c r="WAV40" s="184"/>
      <c r="WAW40" s="185"/>
      <c r="WAX40" s="186"/>
      <c r="WAY40" s="186"/>
      <c r="WAZ40" s="186"/>
      <c r="WBA40" s="186"/>
      <c r="WBB40" s="187"/>
      <c r="WBC40" s="251"/>
      <c r="WBD40" s="252"/>
      <c r="WBE40" s="175"/>
      <c r="WBF40" s="176"/>
      <c r="WBG40" s="177"/>
      <c r="WBH40" s="176"/>
      <c r="WBI40" s="176"/>
      <c r="WBJ40" s="178"/>
      <c r="WBK40" s="178"/>
      <c r="WBL40" s="179"/>
      <c r="WBM40" s="180"/>
      <c r="WBN40" s="180"/>
      <c r="WBO40" s="180"/>
      <c r="WBP40" s="180"/>
      <c r="WBQ40" s="180"/>
      <c r="WBR40" s="180"/>
      <c r="WBS40" s="178"/>
      <c r="WBT40" s="181"/>
      <c r="WBU40" s="182"/>
      <c r="WBV40" s="182"/>
      <c r="WBW40" s="179"/>
      <c r="WBX40" s="183"/>
      <c r="WBY40" s="184"/>
      <c r="WBZ40" s="185"/>
      <c r="WCA40" s="186"/>
      <c r="WCB40" s="186"/>
      <c r="WCC40" s="186"/>
      <c r="WCD40" s="186"/>
      <c r="WCE40" s="187"/>
      <c r="WCF40" s="251"/>
      <c r="WCG40" s="252"/>
      <c r="WCH40" s="175"/>
      <c r="WCI40" s="176"/>
      <c r="WCJ40" s="177"/>
      <c r="WCK40" s="176"/>
      <c r="WCL40" s="176"/>
      <c r="WCM40" s="178"/>
      <c r="WCN40" s="178"/>
      <c r="WCO40" s="179"/>
      <c r="WCP40" s="180"/>
      <c r="WCQ40" s="180"/>
      <c r="WCR40" s="180"/>
      <c r="WCS40" s="180"/>
      <c r="WCT40" s="180"/>
      <c r="WCU40" s="180"/>
      <c r="WCV40" s="178"/>
      <c r="WCW40" s="181"/>
      <c r="WCX40" s="182"/>
      <c r="WCY40" s="182"/>
      <c r="WCZ40" s="179"/>
      <c r="WDA40" s="183"/>
      <c r="WDB40" s="184"/>
      <c r="WDC40" s="185"/>
      <c r="WDD40" s="186"/>
      <c r="WDE40" s="186"/>
      <c r="WDF40" s="186"/>
      <c r="WDG40" s="186"/>
      <c r="WDH40" s="187"/>
      <c r="WDI40" s="251"/>
      <c r="WDJ40" s="252"/>
      <c r="WDK40" s="175"/>
      <c r="WDL40" s="176"/>
      <c r="WDM40" s="177"/>
      <c r="WDN40" s="176"/>
      <c r="WDO40" s="176"/>
      <c r="WDP40" s="178"/>
      <c r="WDQ40" s="178"/>
      <c r="WDR40" s="179"/>
      <c r="WDS40" s="180"/>
      <c r="WDT40" s="180"/>
      <c r="WDU40" s="180"/>
      <c r="WDV40" s="180"/>
      <c r="WDW40" s="180"/>
      <c r="WDX40" s="180"/>
      <c r="WDY40" s="178"/>
      <c r="WDZ40" s="181"/>
      <c r="WEA40" s="182"/>
      <c r="WEB40" s="182"/>
      <c r="WEC40" s="179"/>
      <c r="WED40" s="183"/>
      <c r="WEE40" s="184"/>
      <c r="WEF40" s="185"/>
      <c r="WEG40" s="186"/>
      <c r="WEH40" s="186"/>
      <c r="WEI40" s="186"/>
      <c r="WEJ40" s="186"/>
      <c r="WEK40" s="187"/>
      <c r="WEL40" s="251"/>
      <c r="WEM40" s="252"/>
      <c r="WEN40" s="175"/>
      <c r="WEO40" s="176"/>
      <c r="WEP40" s="177"/>
      <c r="WEQ40" s="176"/>
      <c r="WER40" s="176"/>
      <c r="WES40" s="178"/>
      <c r="WET40" s="178"/>
      <c r="WEU40" s="179"/>
      <c r="WEV40" s="180"/>
      <c r="WEW40" s="180"/>
      <c r="WEX40" s="180"/>
      <c r="WEY40" s="180"/>
      <c r="WEZ40" s="180"/>
      <c r="WFA40" s="180"/>
      <c r="WFB40" s="178"/>
      <c r="WFC40" s="181"/>
      <c r="WFD40" s="182"/>
      <c r="WFE40" s="182"/>
      <c r="WFF40" s="179"/>
      <c r="WFG40" s="183"/>
      <c r="WFH40" s="184"/>
      <c r="WFI40" s="185"/>
      <c r="WFJ40" s="186"/>
      <c r="WFK40" s="186"/>
      <c r="WFL40" s="186"/>
      <c r="WFM40" s="186"/>
      <c r="WFN40" s="187"/>
      <c r="WFO40" s="251"/>
      <c r="WFP40" s="252"/>
      <c r="WFQ40" s="175"/>
      <c r="WFR40" s="176"/>
      <c r="WFS40" s="177"/>
      <c r="WFT40" s="176"/>
      <c r="WFU40" s="176"/>
      <c r="WFV40" s="178"/>
      <c r="WFW40" s="178"/>
      <c r="WFX40" s="179"/>
      <c r="WFY40" s="180"/>
      <c r="WFZ40" s="180"/>
      <c r="WGA40" s="180"/>
      <c r="WGB40" s="180"/>
      <c r="WGC40" s="180"/>
      <c r="WGD40" s="180"/>
      <c r="WGE40" s="178"/>
      <c r="WGF40" s="181"/>
      <c r="WGG40" s="182"/>
      <c r="WGH40" s="182"/>
      <c r="WGI40" s="179"/>
      <c r="WGJ40" s="183"/>
      <c r="WGK40" s="184"/>
      <c r="WGL40" s="185"/>
      <c r="WGM40" s="186"/>
      <c r="WGN40" s="186"/>
      <c r="WGO40" s="186"/>
      <c r="WGP40" s="186"/>
      <c r="WGQ40" s="187"/>
      <c r="WGR40" s="251"/>
      <c r="WGS40" s="252"/>
      <c r="WGT40" s="175"/>
      <c r="WGU40" s="176"/>
      <c r="WGV40" s="177"/>
      <c r="WGW40" s="176"/>
      <c r="WGX40" s="176"/>
      <c r="WGY40" s="178"/>
      <c r="WGZ40" s="178"/>
      <c r="WHA40" s="179"/>
      <c r="WHB40" s="180"/>
      <c r="WHC40" s="180"/>
      <c r="WHD40" s="180"/>
      <c r="WHE40" s="180"/>
      <c r="WHF40" s="180"/>
      <c r="WHG40" s="180"/>
      <c r="WHH40" s="178"/>
      <c r="WHI40" s="181"/>
      <c r="WHJ40" s="182"/>
      <c r="WHK40" s="182"/>
      <c r="WHL40" s="179"/>
      <c r="WHM40" s="183"/>
      <c r="WHN40" s="184"/>
      <c r="WHO40" s="185"/>
      <c r="WHP40" s="186"/>
      <c r="WHQ40" s="186"/>
      <c r="WHR40" s="186"/>
      <c r="WHS40" s="186"/>
      <c r="WHT40" s="187"/>
      <c r="WHU40" s="251"/>
      <c r="WHV40" s="252"/>
      <c r="WHW40" s="175"/>
      <c r="WHX40" s="176"/>
      <c r="WHY40" s="177"/>
      <c r="WHZ40" s="176"/>
      <c r="WIA40" s="176"/>
      <c r="WIB40" s="178"/>
      <c r="WIC40" s="178"/>
      <c r="WID40" s="179"/>
      <c r="WIE40" s="180"/>
      <c r="WIF40" s="180"/>
      <c r="WIG40" s="180"/>
      <c r="WIH40" s="180"/>
      <c r="WII40" s="180"/>
      <c r="WIJ40" s="180"/>
      <c r="WIK40" s="178"/>
      <c r="WIL40" s="181"/>
      <c r="WIM40" s="182"/>
      <c r="WIN40" s="182"/>
      <c r="WIO40" s="179"/>
      <c r="WIP40" s="183"/>
      <c r="WIQ40" s="184"/>
      <c r="WIR40" s="185"/>
      <c r="WIS40" s="186"/>
      <c r="WIT40" s="186"/>
      <c r="WIU40" s="186"/>
      <c r="WIV40" s="186"/>
      <c r="WIW40" s="187"/>
      <c r="WIX40" s="251"/>
      <c r="WIY40" s="252"/>
      <c r="WIZ40" s="175"/>
      <c r="WJA40" s="176"/>
      <c r="WJB40" s="177"/>
      <c r="WJC40" s="176"/>
      <c r="WJD40" s="176"/>
      <c r="WJE40" s="178"/>
      <c r="WJF40" s="178"/>
      <c r="WJG40" s="179"/>
      <c r="WJH40" s="180"/>
      <c r="WJI40" s="180"/>
      <c r="WJJ40" s="180"/>
      <c r="WJK40" s="180"/>
      <c r="WJL40" s="180"/>
      <c r="WJM40" s="180"/>
      <c r="WJN40" s="178"/>
      <c r="WJO40" s="181"/>
      <c r="WJP40" s="182"/>
      <c r="WJQ40" s="182"/>
      <c r="WJR40" s="179"/>
      <c r="WJS40" s="183"/>
      <c r="WJT40" s="184"/>
      <c r="WJU40" s="185"/>
      <c r="WJV40" s="186"/>
      <c r="WJW40" s="186"/>
      <c r="WJX40" s="186"/>
      <c r="WJY40" s="186"/>
      <c r="WJZ40" s="187"/>
      <c r="WKA40" s="251"/>
      <c r="WKB40" s="252"/>
      <c r="WKC40" s="175"/>
      <c r="WKD40" s="176"/>
      <c r="WKE40" s="177"/>
      <c r="WKF40" s="176"/>
      <c r="WKG40" s="176"/>
      <c r="WKH40" s="178"/>
      <c r="WKI40" s="178"/>
      <c r="WKJ40" s="179"/>
      <c r="WKK40" s="180"/>
      <c r="WKL40" s="180"/>
      <c r="WKM40" s="180"/>
      <c r="WKN40" s="180"/>
      <c r="WKO40" s="180"/>
      <c r="WKP40" s="180"/>
      <c r="WKQ40" s="178"/>
      <c r="WKR40" s="181"/>
      <c r="WKS40" s="182"/>
      <c r="WKT40" s="182"/>
      <c r="WKU40" s="179"/>
      <c r="WKV40" s="183"/>
      <c r="WKW40" s="184"/>
      <c r="WKX40" s="185"/>
      <c r="WKY40" s="186"/>
      <c r="WKZ40" s="186"/>
      <c r="WLA40" s="186"/>
      <c r="WLB40" s="186"/>
      <c r="WLC40" s="187"/>
      <c r="WLD40" s="251"/>
      <c r="WLE40" s="252"/>
      <c r="WLF40" s="175"/>
      <c r="WLG40" s="176"/>
      <c r="WLH40" s="177"/>
      <c r="WLI40" s="176"/>
      <c r="WLJ40" s="176"/>
      <c r="WLK40" s="178"/>
      <c r="WLL40" s="178"/>
      <c r="WLM40" s="179"/>
      <c r="WLN40" s="180"/>
      <c r="WLO40" s="180"/>
      <c r="WLP40" s="180"/>
      <c r="WLQ40" s="180"/>
      <c r="WLR40" s="180"/>
      <c r="WLS40" s="180"/>
      <c r="WLT40" s="178"/>
      <c r="WLU40" s="181"/>
      <c r="WLV40" s="182"/>
      <c r="WLW40" s="182"/>
      <c r="WLX40" s="179"/>
      <c r="WLY40" s="183"/>
      <c r="WLZ40" s="184"/>
      <c r="WMA40" s="185"/>
      <c r="WMB40" s="186"/>
      <c r="WMC40" s="186"/>
      <c r="WMD40" s="186"/>
      <c r="WME40" s="186"/>
      <c r="WMF40" s="187"/>
      <c r="WMG40" s="251"/>
      <c r="WMH40" s="252"/>
      <c r="WMI40" s="175"/>
      <c r="WMJ40" s="176"/>
      <c r="WMK40" s="177"/>
      <c r="WML40" s="176"/>
      <c r="WMM40" s="176"/>
      <c r="WMN40" s="178"/>
      <c r="WMO40" s="178"/>
      <c r="WMP40" s="179"/>
      <c r="WMQ40" s="180"/>
      <c r="WMR40" s="180"/>
      <c r="WMS40" s="180"/>
      <c r="WMT40" s="180"/>
      <c r="WMU40" s="180"/>
      <c r="WMV40" s="180"/>
      <c r="WMW40" s="178"/>
      <c r="WMX40" s="181"/>
      <c r="WMY40" s="182"/>
      <c r="WMZ40" s="182"/>
      <c r="WNA40" s="179"/>
      <c r="WNB40" s="183"/>
      <c r="WNC40" s="184"/>
      <c r="WND40" s="185"/>
      <c r="WNE40" s="186"/>
      <c r="WNF40" s="186"/>
      <c r="WNG40" s="186"/>
      <c r="WNH40" s="186"/>
      <c r="WNI40" s="187"/>
      <c r="WNJ40" s="251"/>
      <c r="WNK40" s="252"/>
      <c r="WNL40" s="175"/>
      <c r="WNM40" s="176"/>
      <c r="WNN40" s="177"/>
      <c r="WNO40" s="176"/>
      <c r="WNP40" s="176"/>
      <c r="WNQ40" s="178"/>
      <c r="WNR40" s="178"/>
      <c r="WNS40" s="179"/>
      <c r="WNT40" s="180"/>
      <c r="WNU40" s="180"/>
      <c r="WNV40" s="180"/>
      <c r="WNW40" s="180"/>
      <c r="WNX40" s="180"/>
      <c r="WNY40" s="180"/>
      <c r="WNZ40" s="178"/>
      <c r="WOA40" s="181"/>
      <c r="WOB40" s="182"/>
      <c r="WOC40" s="182"/>
      <c r="WOD40" s="179"/>
      <c r="WOE40" s="183"/>
      <c r="WOF40" s="184"/>
      <c r="WOG40" s="185"/>
      <c r="WOH40" s="186"/>
      <c r="WOI40" s="186"/>
      <c r="WOJ40" s="186"/>
      <c r="WOK40" s="186"/>
      <c r="WOL40" s="187"/>
      <c r="WOM40" s="251"/>
      <c r="WON40" s="252"/>
      <c r="WOO40" s="175"/>
      <c r="WOP40" s="176"/>
      <c r="WOQ40" s="177"/>
      <c r="WOR40" s="176"/>
      <c r="WOS40" s="176"/>
      <c r="WOT40" s="178"/>
      <c r="WOU40" s="178"/>
      <c r="WOV40" s="179"/>
      <c r="WOW40" s="180"/>
      <c r="WOX40" s="180"/>
      <c r="WOY40" s="180"/>
      <c r="WOZ40" s="180"/>
      <c r="WPA40" s="180"/>
      <c r="WPB40" s="180"/>
      <c r="WPC40" s="178"/>
      <c r="WPD40" s="181"/>
      <c r="WPE40" s="182"/>
      <c r="WPF40" s="182"/>
      <c r="WPG40" s="179"/>
      <c r="WPH40" s="183"/>
      <c r="WPI40" s="184"/>
      <c r="WPJ40" s="185"/>
      <c r="WPK40" s="186"/>
      <c r="WPL40" s="186"/>
      <c r="WPM40" s="186"/>
      <c r="WPN40" s="186"/>
      <c r="WPO40" s="187"/>
      <c r="WPP40" s="251"/>
      <c r="WPQ40" s="252"/>
      <c r="WPR40" s="175"/>
      <c r="WPS40" s="176"/>
      <c r="WPT40" s="177"/>
      <c r="WPU40" s="176"/>
      <c r="WPV40" s="176"/>
      <c r="WPW40" s="178"/>
      <c r="WPX40" s="178"/>
      <c r="WPY40" s="179"/>
      <c r="WPZ40" s="180"/>
      <c r="WQA40" s="180"/>
      <c r="WQB40" s="180"/>
      <c r="WQC40" s="180"/>
      <c r="WQD40" s="180"/>
      <c r="WQE40" s="180"/>
      <c r="WQF40" s="178"/>
      <c r="WQG40" s="181"/>
      <c r="WQH40" s="182"/>
      <c r="WQI40" s="182"/>
      <c r="WQJ40" s="179"/>
      <c r="WQK40" s="183"/>
      <c r="WQL40" s="184"/>
      <c r="WQM40" s="185"/>
      <c r="WQN40" s="186"/>
      <c r="WQO40" s="186"/>
      <c r="WQP40" s="186"/>
      <c r="WQQ40" s="186"/>
      <c r="WQR40" s="187"/>
      <c r="WQS40" s="251"/>
      <c r="WQT40" s="252"/>
      <c r="WQU40" s="175"/>
      <c r="WQV40" s="176"/>
      <c r="WQW40" s="177"/>
      <c r="WQX40" s="176"/>
      <c r="WQY40" s="176"/>
      <c r="WQZ40" s="178"/>
      <c r="WRA40" s="178"/>
      <c r="WRB40" s="179"/>
      <c r="WRC40" s="180"/>
      <c r="WRD40" s="180"/>
      <c r="WRE40" s="180"/>
      <c r="WRF40" s="180"/>
      <c r="WRG40" s="180"/>
      <c r="WRH40" s="180"/>
      <c r="WRI40" s="178"/>
      <c r="WRJ40" s="181"/>
      <c r="WRK40" s="182"/>
      <c r="WRL40" s="182"/>
      <c r="WRM40" s="179"/>
      <c r="WRN40" s="183"/>
      <c r="WRO40" s="184"/>
      <c r="WRP40" s="185"/>
      <c r="WRQ40" s="186"/>
      <c r="WRR40" s="186"/>
      <c r="WRS40" s="186"/>
      <c r="WRT40" s="186"/>
      <c r="WRU40" s="187"/>
      <c r="WRV40" s="251"/>
      <c r="WRW40" s="252"/>
      <c r="WRX40" s="175"/>
      <c r="WRY40" s="176"/>
      <c r="WRZ40" s="177"/>
      <c r="WSA40" s="176"/>
      <c r="WSB40" s="176"/>
      <c r="WSC40" s="178"/>
      <c r="WSD40" s="178"/>
      <c r="WSE40" s="179"/>
      <c r="WSF40" s="180"/>
      <c r="WSG40" s="180"/>
      <c r="WSH40" s="180"/>
      <c r="WSI40" s="180"/>
      <c r="WSJ40" s="180"/>
      <c r="WSK40" s="180"/>
      <c r="WSL40" s="178"/>
      <c r="WSM40" s="181"/>
      <c r="WSN40" s="182"/>
      <c r="WSO40" s="182"/>
      <c r="WSP40" s="179"/>
      <c r="WSQ40" s="183"/>
      <c r="WSR40" s="184"/>
      <c r="WSS40" s="185"/>
      <c r="WST40" s="186"/>
      <c r="WSU40" s="186"/>
      <c r="WSV40" s="186"/>
      <c r="WSW40" s="186"/>
      <c r="WSX40" s="187"/>
      <c r="WSY40" s="251"/>
      <c r="WSZ40" s="252"/>
      <c r="WTA40" s="175"/>
      <c r="WTB40" s="176"/>
      <c r="WTC40" s="177"/>
      <c r="WTD40" s="176"/>
      <c r="WTE40" s="176"/>
      <c r="WTF40" s="178"/>
      <c r="WTG40" s="178"/>
      <c r="WTH40" s="179"/>
      <c r="WTI40" s="180"/>
      <c r="WTJ40" s="180"/>
      <c r="WTK40" s="180"/>
      <c r="WTL40" s="180"/>
      <c r="WTM40" s="180"/>
      <c r="WTN40" s="180"/>
      <c r="WTO40" s="178"/>
      <c r="WTP40" s="181"/>
      <c r="WTQ40" s="182"/>
      <c r="WTR40" s="182"/>
      <c r="WTS40" s="179"/>
      <c r="WTT40" s="183"/>
      <c r="WTU40" s="184"/>
      <c r="WTV40" s="185"/>
      <c r="WTW40" s="186"/>
      <c r="WTX40" s="186"/>
      <c r="WTY40" s="186"/>
      <c r="WTZ40" s="186"/>
      <c r="WUA40" s="187"/>
      <c r="WUB40" s="251"/>
      <c r="WUC40" s="252"/>
      <c r="WUD40" s="175"/>
      <c r="WUE40" s="176"/>
      <c r="WUF40" s="177"/>
      <c r="WUG40" s="176"/>
      <c r="WUH40" s="176"/>
      <c r="WUI40" s="178"/>
      <c r="WUJ40" s="178"/>
      <c r="WUK40" s="179"/>
      <c r="WUL40" s="180"/>
      <c r="WUM40" s="180"/>
      <c r="WUN40" s="180"/>
      <c r="WUO40" s="180"/>
      <c r="WUP40" s="180"/>
      <c r="WUQ40" s="180"/>
      <c r="WUR40" s="178"/>
      <c r="WUS40" s="181"/>
      <c r="WUT40" s="182"/>
      <c r="WUU40" s="182"/>
      <c r="WUV40" s="179"/>
      <c r="WUW40" s="183"/>
      <c r="WUX40" s="184"/>
      <c r="WUY40" s="185"/>
      <c r="WUZ40" s="186"/>
      <c r="WVA40" s="186"/>
      <c r="WVB40" s="186"/>
      <c r="WVC40" s="186"/>
      <c r="WVD40" s="187"/>
      <c r="WVE40" s="251"/>
      <c r="WVF40" s="252"/>
      <c r="WVG40" s="175"/>
      <c r="WVH40" s="176"/>
      <c r="WVI40" s="177"/>
      <c r="WVJ40" s="176"/>
      <c r="WVK40" s="176"/>
      <c r="WVL40" s="178"/>
      <c r="WVM40" s="178"/>
      <c r="WVN40" s="179"/>
      <c r="WVO40" s="180"/>
      <c r="WVP40" s="180"/>
      <c r="WVQ40" s="180"/>
      <c r="WVR40" s="180"/>
      <c r="WVS40" s="180"/>
      <c r="WVT40" s="180"/>
      <c r="WVU40" s="178"/>
      <c r="WVV40" s="181"/>
      <c r="WVW40" s="182"/>
      <c r="WVX40" s="182"/>
      <c r="WVY40" s="179"/>
      <c r="WVZ40" s="183"/>
      <c r="WWA40" s="184"/>
      <c r="WWB40" s="185"/>
      <c r="WWC40" s="186"/>
      <c r="WWD40" s="186"/>
      <c r="WWE40" s="186"/>
      <c r="WWF40" s="186"/>
      <c r="WWG40" s="187"/>
      <c r="WWH40" s="251"/>
      <c r="WWI40" s="252"/>
      <c r="WWJ40" s="175"/>
      <c r="WWK40" s="176"/>
      <c r="WWL40" s="177"/>
      <c r="WWM40" s="176"/>
      <c r="WWN40" s="176"/>
      <c r="WWO40" s="178"/>
      <c r="WWP40" s="178"/>
      <c r="WWQ40" s="179"/>
      <c r="WWR40" s="180"/>
      <c r="WWS40" s="180"/>
      <c r="WWT40" s="180"/>
      <c r="WWU40" s="180"/>
      <c r="WWV40" s="180"/>
      <c r="WWW40" s="180"/>
      <c r="WWX40" s="178"/>
      <c r="WWY40" s="181"/>
      <c r="WWZ40" s="182"/>
      <c r="WXA40" s="182"/>
      <c r="WXB40" s="179"/>
      <c r="WXC40" s="183"/>
      <c r="WXD40" s="184"/>
      <c r="WXE40" s="185"/>
      <c r="WXF40" s="186"/>
      <c r="WXG40" s="186"/>
      <c r="WXH40" s="186"/>
      <c r="WXI40" s="186"/>
      <c r="WXJ40" s="187"/>
      <c r="WXK40" s="251"/>
      <c r="WXL40" s="252"/>
      <c r="WXM40" s="175"/>
      <c r="WXN40" s="176"/>
      <c r="WXO40" s="177"/>
      <c r="WXP40" s="176"/>
      <c r="WXQ40" s="176"/>
      <c r="WXR40" s="178"/>
      <c r="WXS40" s="178"/>
      <c r="WXT40" s="179"/>
      <c r="WXU40" s="180"/>
      <c r="WXV40" s="180"/>
      <c r="WXW40" s="180"/>
      <c r="WXX40" s="180"/>
      <c r="WXY40" s="180"/>
      <c r="WXZ40" s="180"/>
      <c r="WYA40" s="178"/>
      <c r="WYB40" s="181"/>
      <c r="WYC40" s="182"/>
      <c r="WYD40" s="182"/>
      <c r="WYE40" s="179"/>
      <c r="WYF40" s="183"/>
      <c r="WYG40" s="184"/>
      <c r="WYH40" s="185"/>
      <c r="WYI40" s="186"/>
      <c r="WYJ40" s="186"/>
      <c r="WYK40" s="186"/>
      <c r="WYL40" s="186"/>
      <c r="WYM40" s="187"/>
      <c r="WYN40" s="251"/>
      <c r="WYO40" s="252"/>
      <c r="WYP40" s="175"/>
      <c r="WYQ40" s="176"/>
      <c r="WYR40" s="177"/>
      <c r="WYS40" s="176"/>
      <c r="WYT40" s="176"/>
      <c r="WYU40" s="178"/>
      <c r="WYV40" s="178"/>
      <c r="WYW40" s="179"/>
      <c r="WYX40" s="180"/>
      <c r="WYY40" s="180"/>
      <c r="WYZ40" s="180"/>
      <c r="WZA40" s="180"/>
      <c r="WZB40" s="180"/>
      <c r="WZC40" s="180"/>
      <c r="WZD40" s="178"/>
      <c r="WZE40" s="181"/>
      <c r="WZF40" s="182"/>
      <c r="WZG40" s="182"/>
      <c r="WZH40" s="179"/>
      <c r="WZI40" s="183"/>
      <c r="WZJ40" s="184"/>
      <c r="WZK40" s="185"/>
      <c r="WZL40" s="186"/>
      <c r="WZM40" s="186"/>
      <c r="WZN40" s="186"/>
      <c r="WZO40" s="186"/>
      <c r="WZP40" s="187"/>
      <c r="WZQ40" s="251"/>
      <c r="WZR40" s="252"/>
      <c r="WZS40" s="175"/>
      <c r="WZT40" s="176"/>
      <c r="WZU40" s="177"/>
      <c r="WZV40" s="176"/>
      <c r="WZW40" s="176"/>
      <c r="WZX40" s="178"/>
      <c r="WZY40" s="178"/>
      <c r="WZZ40" s="179"/>
      <c r="XAA40" s="180"/>
      <c r="XAB40" s="180"/>
      <c r="XAC40" s="180"/>
      <c r="XAD40" s="180"/>
      <c r="XAE40" s="180"/>
      <c r="XAF40" s="180"/>
      <c r="XAG40" s="178"/>
      <c r="XAH40" s="181"/>
      <c r="XAI40" s="182"/>
      <c r="XAJ40" s="182"/>
      <c r="XAK40" s="179"/>
      <c r="XAL40" s="183"/>
      <c r="XAM40" s="184"/>
      <c r="XAN40" s="185"/>
      <c r="XAO40" s="186"/>
      <c r="XAP40" s="186"/>
      <c r="XAQ40" s="186"/>
      <c r="XAR40" s="186"/>
      <c r="XAS40" s="187"/>
      <c r="XAT40" s="251"/>
      <c r="XAU40" s="252"/>
      <c r="XAV40" s="175"/>
      <c r="XAW40" s="176"/>
      <c r="XAX40" s="177"/>
      <c r="XAY40" s="176"/>
      <c r="XAZ40" s="176"/>
      <c r="XBA40" s="178"/>
      <c r="XBB40" s="178"/>
      <c r="XBC40" s="179"/>
      <c r="XBD40" s="180"/>
      <c r="XBE40" s="180"/>
      <c r="XBF40" s="180"/>
      <c r="XBG40" s="180"/>
      <c r="XBH40" s="180"/>
      <c r="XBI40" s="180"/>
      <c r="XBJ40" s="178"/>
      <c r="XBK40" s="181"/>
      <c r="XBL40" s="182"/>
      <c r="XBM40" s="182"/>
      <c r="XBN40" s="179"/>
      <c r="XBO40" s="183"/>
      <c r="XBP40" s="184"/>
      <c r="XBQ40" s="185"/>
      <c r="XBR40" s="186"/>
      <c r="XBS40" s="186"/>
      <c r="XBT40" s="186"/>
      <c r="XBU40" s="186"/>
      <c r="XBV40" s="187"/>
      <c r="XBW40" s="251"/>
      <c r="XBX40" s="252"/>
      <c r="XBY40" s="175"/>
      <c r="XBZ40" s="176"/>
      <c r="XCA40" s="177"/>
      <c r="XCB40" s="176"/>
      <c r="XCC40" s="176"/>
      <c r="XCD40" s="178"/>
      <c r="XCE40" s="178"/>
      <c r="XCF40" s="179"/>
      <c r="XCG40" s="180"/>
      <c r="XCH40" s="180"/>
      <c r="XCI40" s="180"/>
      <c r="XCJ40" s="180"/>
      <c r="XCK40" s="180"/>
      <c r="XCL40" s="180"/>
      <c r="XCM40" s="178"/>
      <c r="XCN40" s="181"/>
      <c r="XCO40" s="182"/>
      <c r="XCP40" s="182"/>
      <c r="XCQ40" s="179"/>
      <c r="XCR40" s="183"/>
      <c r="XCS40" s="184"/>
      <c r="XCT40" s="185"/>
      <c r="XCU40" s="186"/>
      <c r="XCV40" s="186"/>
      <c r="XCW40" s="186"/>
      <c r="XCX40" s="186"/>
      <c r="XCY40" s="187"/>
      <c r="XCZ40" s="251"/>
      <c r="XDA40" s="252"/>
      <c r="XDB40" s="175"/>
      <c r="XDC40" s="176"/>
      <c r="XDD40" s="177"/>
      <c r="XDE40" s="176"/>
      <c r="XDF40" s="176"/>
      <c r="XDG40" s="178"/>
      <c r="XDH40" s="178"/>
      <c r="XDI40" s="179"/>
      <c r="XDJ40" s="180"/>
      <c r="XDK40" s="180"/>
      <c r="XDL40" s="180"/>
      <c r="XDM40" s="180"/>
      <c r="XDN40" s="180"/>
      <c r="XDO40" s="180"/>
      <c r="XDP40" s="178"/>
      <c r="XDQ40" s="181"/>
      <c r="XDR40" s="182"/>
      <c r="XDS40" s="182"/>
      <c r="XDT40" s="179"/>
      <c r="XDU40" s="183"/>
      <c r="XDV40" s="184"/>
      <c r="XDW40" s="185"/>
      <c r="XDX40" s="186"/>
      <c r="XDY40" s="186"/>
      <c r="XDZ40" s="186"/>
      <c r="XEA40" s="186"/>
      <c r="XEB40" s="187"/>
      <c r="XEC40" s="251"/>
      <c r="XED40" s="252"/>
      <c r="XEE40" s="175"/>
      <c r="XEF40" s="176"/>
      <c r="XEG40" s="177"/>
      <c r="XEH40" s="176"/>
      <c r="XEI40" s="176"/>
      <c r="XEJ40" s="178"/>
      <c r="XEK40" s="178"/>
      <c r="XEL40" s="179"/>
      <c r="XEM40" s="180"/>
      <c r="XEN40" s="180"/>
      <c r="XEO40" s="180"/>
      <c r="XEP40" s="180"/>
      <c r="XEQ40" s="180"/>
      <c r="XER40" s="180"/>
      <c r="XES40" s="178"/>
      <c r="XET40" s="181"/>
      <c r="XEU40" s="182"/>
      <c r="XEV40" s="182"/>
      <c r="XEW40" s="179"/>
      <c r="XEX40" s="183"/>
      <c r="XEY40" s="184"/>
      <c r="XEZ40" s="185"/>
      <c r="XFA40" s="186"/>
      <c r="XFB40" s="186"/>
      <c r="XFC40" s="186"/>
      <c r="XFD40" s="186"/>
    </row>
    <row r="41" spans="1:16384" ht="15.95" customHeight="1" thickBot="1">
      <c r="A41" s="189"/>
      <c r="B41" s="190"/>
      <c r="C41" s="253"/>
      <c r="D41" s="253"/>
      <c r="E41" s="254"/>
      <c r="F41" s="253"/>
      <c r="G41" s="253"/>
      <c r="H41" s="254"/>
      <c r="I41" s="254"/>
      <c r="J41" s="254"/>
      <c r="K41" s="193"/>
      <c r="L41" s="193"/>
      <c r="M41" s="193"/>
      <c r="N41" s="193"/>
      <c r="O41" s="193"/>
      <c r="P41" s="193"/>
      <c r="Q41" s="254"/>
      <c r="R41" s="255"/>
      <c r="S41" s="256"/>
      <c r="T41" s="257"/>
      <c r="U41" s="255"/>
      <c r="V41" s="194"/>
      <c r="W41" s="197"/>
      <c r="X41" s="192"/>
      <c r="Y41" s="192"/>
      <c r="Z41" s="192"/>
      <c r="AA41" s="192"/>
      <c r="AB41" s="192"/>
      <c r="AC41" s="198"/>
      <c r="AI41"/>
      <c r="AJ41"/>
      <c r="AK41"/>
      <c r="AL41"/>
      <c r="AM41"/>
      <c r="AN41"/>
      <c r="AO41"/>
    </row>
    <row r="42" spans="1:16384" ht="16.350000000000001" customHeight="1">
      <c r="A42" s="89"/>
      <c r="B42" s="199"/>
      <c r="C42" s="91"/>
      <c r="D42" s="92" t="s">
        <v>92</v>
      </c>
      <c r="E42" s="93"/>
      <c r="F42" s="93"/>
      <c r="G42" s="38"/>
      <c r="H42" s="258"/>
      <c r="I42" s="96"/>
      <c r="J42" s="91"/>
      <c r="K42" s="98"/>
      <c r="L42" s="98"/>
      <c r="M42" s="99" t="s">
        <v>54</v>
      </c>
      <c r="N42" s="98"/>
      <c r="O42" s="98"/>
      <c r="P42" s="200" t="s">
        <v>54</v>
      </c>
      <c r="Q42" s="96"/>
      <c r="R42" s="201"/>
      <c r="S42" s="202"/>
      <c r="T42" s="203"/>
      <c r="U42" s="103"/>
      <c r="V42" s="104"/>
      <c r="W42" s="105"/>
      <c r="X42" s="97"/>
      <c r="Y42" s="97"/>
      <c r="Z42" s="97"/>
      <c r="AA42" s="94"/>
      <c r="AB42" s="94"/>
      <c r="AC42" s="103"/>
      <c r="AI42"/>
      <c r="AJ42"/>
      <c r="AK42"/>
      <c r="AL42"/>
      <c r="AM42"/>
      <c r="AN42"/>
      <c r="AO42"/>
    </row>
    <row r="43" spans="1:16384" ht="16.350000000000001" hidden="1" customHeight="1" outlineLevel="1">
      <c r="A43" s="259" t="s">
        <v>93</v>
      </c>
      <c r="B43" s="260"/>
      <c r="C43" s="261"/>
      <c r="D43" s="262"/>
      <c r="E43" s="263"/>
      <c r="F43" s="264"/>
      <c r="G43" s="265"/>
      <c r="H43" s="266"/>
      <c r="I43" s="267"/>
      <c r="J43" s="268">
        <f>H43+I43</f>
        <v>0</v>
      </c>
      <c r="K43" s="269"/>
      <c r="L43" s="269"/>
      <c r="M43" s="270">
        <f>K43+L43</f>
        <v>0</v>
      </c>
      <c r="N43" s="271"/>
      <c r="O43" s="272"/>
      <c r="P43" s="270">
        <f>N43+O43</f>
        <v>0</v>
      </c>
      <c r="Q43" s="273">
        <f>M43*$Q$10</f>
        <v>0</v>
      </c>
      <c r="R43" s="274">
        <f>J43+Q43</f>
        <v>0</v>
      </c>
      <c r="S43" s="275">
        <f>P43*$S$10</f>
        <v>0</v>
      </c>
      <c r="T43" s="276">
        <v>0</v>
      </c>
      <c r="U43" s="277">
        <f>J43+Q43+S43+T43</f>
        <v>0</v>
      </c>
      <c r="V43" s="278"/>
      <c r="W43" s="279"/>
      <c r="X43" s="280">
        <f>J43*$V43</f>
        <v>0</v>
      </c>
      <c r="Y43" s="280">
        <f t="shared" ref="Y43:AC46" si="36">Q43*$V43</f>
        <v>0</v>
      </c>
      <c r="Z43" s="280">
        <f t="shared" si="36"/>
        <v>0</v>
      </c>
      <c r="AA43" s="280">
        <f t="shared" si="36"/>
        <v>0</v>
      </c>
      <c r="AB43" s="280">
        <f t="shared" si="36"/>
        <v>0</v>
      </c>
      <c r="AC43" s="281">
        <f t="shared" si="36"/>
        <v>0</v>
      </c>
      <c r="AI43"/>
      <c r="AJ43"/>
      <c r="AK43"/>
      <c r="AL43"/>
    </row>
    <row r="44" spans="1:16384" ht="16.350000000000001" hidden="1" customHeight="1" outlineLevel="1">
      <c r="A44" s="259" t="s">
        <v>94</v>
      </c>
      <c r="B44" s="260"/>
      <c r="C44" s="261"/>
      <c r="D44" s="262"/>
      <c r="E44" s="263"/>
      <c r="F44" s="264"/>
      <c r="G44" s="265"/>
      <c r="H44" s="266"/>
      <c r="I44" s="267"/>
      <c r="J44" s="268">
        <f>H44+I44</f>
        <v>0</v>
      </c>
      <c r="K44" s="269"/>
      <c r="L44" s="269"/>
      <c r="M44" s="270">
        <f>K44+L44</f>
        <v>0</v>
      </c>
      <c r="N44" s="271"/>
      <c r="O44" s="272"/>
      <c r="P44" s="270">
        <f>N44+O44</f>
        <v>0</v>
      </c>
      <c r="Q44" s="273">
        <f>M44*$Q$10</f>
        <v>0</v>
      </c>
      <c r="R44" s="274">
        <f>J44+Q44</f>
        <v>0</v>
      </c>
      <c r="S44" s="275">
        <f>P44*$S$10</f>
        <v>0</v>
      </c>
      <c r="T44" s="276">
        <v>0</v>
      </c>
      <c r="U44" s="277">
        <f>J44+Q44+S44+T44</f>
        <v>0</v>
      </c>
      <c r="V44" s="278"/>
      <c r="W44" s="279"/>
      <c r="X44" s="280">
        <f>J44*$V44</f>
        <v>0</v>
      </c>
      <c r="Y44" s="280">
        <f t="shared" si="36"/>
        <v>0</v>
      </c>
      <c r="Z44" s="280">
        <f t="shared" si="36"/>
        <v>0</v>
      </c>
      <c r="AA44" s="280">
        <f t="shared" si="36"/>
        <v>0</v>
      </c>
      <c r="AB44" s="280">
        <f t="shared" si="36"/>
        <v>0</v>
      </c>
      <c r="AC44" s="281">
        <f t="shared" si="36"/>
        <v>0</v>
      </c>
      <c r="AI44"/>
      <c r="AJ44"/>
      <c r="AK44"/>
      <c r="AL44"/>
    </row>
    <row r="45" spans="1:16384" ht="16.350000000000001" hidden="1" customHeight="1" outlineLevel="1">
      <c r="A45" s="259" t="s">
        <v>95</v>
      </c>
      <c r="B45" s="260"/>
      <c r="C45" s="261"/>
      <c r="D45" s="262"/>
      <c r="E45" s="263"/>
      <c r="F45" s="264"/>
      <c r="G45" s="265"/>
      <c r="H45" s="266"/>
      <c r="I45" s="267"/>
      <c r="J45" s="268">
        <f>H45+I45</f>
        <v>0</v>
      </c>
      <c r="K45" s="269"/>
      <c r="L45" s="269"/>
      <c r="M45" s="270">
        <f>K45+L45</f>
        <v>0</v>
      </c>
      <c r="N45" s="271"/>
      <c r="O45" s="272"/>
      <c r="P45" s="270">
        <f>N45+O45</f>
        <v>0</v>
      </c>
      <c r="Q45" s="273">
        <f>M45*$Q$10</f>
        <v>0</v>
      </c>
      <c r="R45" s="274">
        <f>J45+Q45</f>
        <v>0</v>
      </c>
      <c r="S45" s="275">
        <f>P45*$S$10</f>
        <v>0</v>
      </c>
      <c r="T45" s="276">
        <v>0</v>
      </c>
      <c r="U45" s="277">
        <f>J45+Q45+S45+T45</f>
        <v>0</v>
      </c>
      <c r="V45" s="278"/>
      <c r="W45" s="279"/>
      <c r="X45" s="280">
        <f>J45*$V45</f>
        <v>0</v>
      </c>
      <c r="Y45" s="280">
        <f t="shared" si="36"/>
        <v>0</v>
      </c>
      <c r="Z45" s="280">
        <f t="shared" si="36"/>
        <v>0</v>
      </c>
      <c r="AA45" s="280">
        <f t="shared" si="36"/>
        <v>0</v>
      </c>
      <c r="AB45" s="280">
        <f t="shared" si="36"/>
        <v>0</v>
      </c>
      <c r="AC45" s="281">
        <f t="shared" si="36"/>
        <v>0</v>
      </c>
      <c r="AI45"/>
      <c r="AJ45"/>
      <c r="AK45"/>
      <c r="AL45"/>
    </row>
    <row r="46" spans="1:16384" ht="16.350000000000001" hidden="1" customHeight="1" outlineLevel="1">
      <c r="A46" s="259" t="s">
        <v>96</v>
      </c>
      <c r="B46" s="260"/>
      <c r="C46" s="261"/>
      <c r="D46" s="262"/>
      <c r="E46" s="263"/>
      <c r="F46" s="264"/>
      <c r="G46" s="265"/>
      <c r="H46" s="266"/>
      <c r="I46" s="267"/>
      <c r="J46" s="268">
        <f>H46+I46</f>
        <v>0</v>
      </c>
      <c r="K46" s="269"/>
      <c r="L46" s="269"/>
      <c r="M46" s="270">
        <f>K46+L46</f>
        <v>0</v>
      </c>
      <c r="N46" s="271"/>
      <c r="O46" s="272"/>
      <c r="P46" s="270">
        <f>N46+O46</f>
        <v>0</v>
      </c>
      <c r="Q46" s="273">
        <f>M46*$Q$10</f>
        <v>0</v>
      </c>
      <c r="R46" s="274">
        <f>J46+Q46</f>
        <v>0</v>
      </c>
      <c r="S46" s="275">
        <f>P46*$S$10</f>
        <v>0</v>
      </c>
      <c r="T46" s="276">
        <v>0</v>
      </c>
      <c r="U46" s="277">
        <f>J46+Q46+S46+T46</f>
        <v>0</v>
      </c>
      <c r="V46" s="278"/>
      <c r="W46" s="279"/>
      <c r="X46" s="280">
        <f>J46*$V46</f>
        <v>0</v>
      </c>
      <c r="Y46" s="280">
        <f t="shared" si="36"/>
        <v>0</v>
      </c>
      <c r="Z46" s="280">
        <f t="shared" si="36"/>
        <v>0</v>
      </c>
      <c r="AA46" s="280">
        <f t="shared" si="36"/>
        <v>0</v>
      </c>
      <c r="AB46" s="280">
        <f t="shared" si="36"/>
        <v>0</v>
      </c>
      <c r="AC46" s="281">
        <f t="shared" si="36"/>
        <v>0</v>
      </c>
      <c r="AI46"/>
      <c r="AJ46"/>
      <c r="AK46"/>
      <c r="AL46"/>
    </row>
    <row r="47" spans="1:16384" ht="16.350000000000001" customHeight="1" collapsed="1" thickBot="1">
      <c r="A47" s="251" t="s">
        <v>97</v>
      </c>
      <c r="B47" s="252"/>
      <c r="C47" s="175"/>
      <c r="D47" s="176"/>
      <c r="E47" s="177"/>
      <c r="F47" s="176"/>
      <c r="G47" s="176"/>
      <c r="H47" s="178"/>
      <c r="I47" s="178"/>
      <c r="J47" s="179" t="e">
        <f>SH.COMM/NbreCOMM</f>
        <v>#DIV/0!</v>
      </c>
      <c r="K47" s="180"/>
      <c r="L47" s="180"/>
      <c r="M47" s="180"/>
      <c r="N47" s="180"/>
      <c r="O47" s="180"/>
      <c r="P47" s="180"/>
      <c r="Q47" s="178"/>
      <c r="R47" s="181" t="e">
        <f>SU.COMM/NbreCOMM</f>
        <v>#DIV/0!</v>
      </c>
      <c r="S47" s="182"/>
      <c r="T47" s="182"/>
      <c r="U47" s="179" t="e">
        <f>SF.COMM/NbreCOMM</f>
        <v>#DIV/0!</v>
      </c>
      <c r="V47" s="183">
        <f t="shared" ref="V47:AC47" si="37">SUM(V43:V46)</f>
        <v>0</v>
      </c>
      <c r="W47" s="184">
        <f t="shared" si="37"/>
        <v>0</v>
      </c>
      <c r="X47" s="185">
        <f t="shared" si="37"/>
        <v>0</v>
      </c>
      <c r="Y47" s="186">
        <f t="shared" si="37"/>
        <v>0</v>
      </c>
      <c r="Z47" s="186">
        <f t="shared" si="37"/>
        <v>0</v>
      </c>
      <c r="AA47" s="186">
        <f t="shared" si="37"/>
        <v>0</v>
      </c>
      <c r="AB47" s="186">
        <f t="shared" si="37"/>
        <v>0</v>
      </c>
      <c r="AC47" s="187">
        <f t="shared" si="37"/>
        <v>0</v>
      </c>
      <c r="AI47"/>
      <c r="AJ47"/>
      <c r="AK47"/>
      <c r="AL47"/>
    </row>
    <row r="48" spans="1:16384" ht="16.350000000000001" customHeight="1" thickBot="1">
      <c r="A48" s="89"/>
      <c r="B48" s="91"/>
      <c r="C48" s="91"/>
      <c r="D48" s="92"/>
      <c r="E48" s="93"/>
      <c r="F48" s="93"/>
      <c r="G48" s="94"/>
      <c r="H48" s="95"/>
      <c r="I48" s="96"/>
      <c r="J48" s="91"/>
      <c r="K48" s="98"/>
      <c r="L48" s="98"/>
      <c r="M48" s="99"/>
      <c r="N48" s="98"/>
      <c r="O48" s="98"/>
      <c r="P48" s="200"/>
      <c r="Q48" s="96"/>
      <c r="R48" s="201"/>
      <c r="S48" s="202"/>
      <c r="T48" s="203"/>
      <c r="U48" s="103"/>
      <c r="V48" s="104"/>
      <c r="W48" s="105"/>
      <c r="X48" s="97"/>
      <c r="Y48" s="97"/>
      <c r="Z48" s="97"/>
      <c r="AA48" s="94"/>
      <c r="AB48" s="94"/>
      <c r="AC48" s="103"/>
      <c r="AI48"/>
      <c r="AJ48"/>
      <c r="AK48"/>
      <c r="AL48"/>
    </row>
    <row r="49" spans="1:38" ht="16.350000000000001" customHeight="1" thickBot="1">
      <c r="A49" s="282" t="s">
        <v>98</v>
      </c>
      <c r="B49" s="283"/>
      <c r="C49" s="284"/>
      <c r="D49" s="285"/>
      <c r="E49" s="286"/>
      <c r="F49" s="285"/>
      <c r="G49" s="285"/>
      <c r="H49" s="287"/>
      <c r="I49" s="287"/>
      <c r="J49" s="288">
        <f>SH.T/Nbre</f>
        <v>68.024270833333333</v>
      </c>
      <c r="K49" s="289"/>
      <c r="L49" s="289"/>
      <c r="M49" s="289"/>
      <c r="N49" s="289"/>
      <c r="O49" s="289"/>
      <c r="P49" s="289"/>
      <c r="Q49" s="288"/>
      <c r="R49" s="288">
        <f>SU.T/Nbre</f>
        <v>68.455572916666654</v>
      </c>
      <c r="S49" s="288"/>
      <c r="T49" s="288"/>
      <c r="U49" s="290">
        <f>SF.T/Nbre</f>
        <v>79.041510416666668</v>
      </c>
      <c r="V49" s="291">
        <f>V22+V31+V47+NbrePLS</f>
        <v>192</v>
      </c>
      <c r="W49" s="291">
        <f>W22+W31+W47+W40</f>
        <v>192</v>
      </c>
      <c r="X49" s="291">
        <f>X22+X31+SH.PLS+X47</f>
        <v>13060.66</v>
      </c>
      <c r="Y49" s="291">
        <f>Y22+Y31+Y40+Y47</f>
        <v>82.81</v>
      </c>
      <c r="Z49" s="291">
        <f>Z22+Z31+SU.PLS+Z47</f>
        <v>13143.469999999998</v>
      </c>
      <c r="AA49" s="291">
        <f>AA22+AA31+AA40+AA47</f>
        <v>2032.5</v>
      </c>
      <c r="AB49" s="291">
        <f>AB22+AB31+AB40+AB47</f>
        <v>0</v>
      </c>
      <c r="AC49" s="292">
        <f>SF.LLS+SF.LLTS+SF.PLS+SF.COMM</f>
        <v>15175.970000000001</v>
      </c>
      <c r="AI49"/>
      <c r="AJ49"/>
      <c r="AK49"/>
      <c r="AL49"/>
    </row>
    <row r="50" spans="1:38" ht="16.350000000000001" customHeight="1">
      <c r="A50" s="293"/>
      <c r="B50" s="294"/>
      <c r="C50" s="295"/>
      <c r="D50" s="296"/>
      <c r="E50" s="297"/>
      <c r="F50" s="296"/>
      <c r="G50" s="298"/>
      <c r="H50" s="298"/>
      <c r="I50" s="298"/>
      <c r="J50" s="298"/>
      <c r="K50" s="299"/>
      <c r="L50" s="299"/>
      <c r="M50" s="299"/>
      <c r="N50" s="299"/>
      <c r="O50" s="299"/>
      <c r="P50" s="299"/>
      <c r="Q50" s="298"/>
      <c r="R50" s="300"/>
      <c r="T50" s="301"/>
      <c r="U50" s="302" t="s">
        <v>26</v>
      </c>
      <c r="V50" s="296" t="s">
        <v>3</v>
      </c>
      <c r="W50" s="303">
        <f>W22</f>
        <v>103</v>
      </c>
      <c r="X50" s="298"/>
      <c r="Y50" s="304" t="s">
        <v>45</v>
      </c>
      <c r="Z50" s="305" t="s">
        <v>99</v>
      </c>
      <c r="AA50" s="306"/>
      <c r="AB50" s="307" t="s">
        <v>100</v>
      </c>
      <c r="AC50" s="308"/>
      <c r="AI50"/>
    </row>
    <row r="51" spans="1:38" ht="16.350000000000001" customHeight="1">
      <c r="A51" s="293"/>
      <c r="B51" s="294"/>
      <c r="C51" s="295"/>
      <c r="D51" s="296"/>
      <c r="E51" s="297"/>
      <c r="F51" s="297"/>
      <c r="G51" s="298"/>
      <c r="H51" s="298"/>
      <c r="I51" s="298"/>
      <c r="J51" s="298"/>
      <c r="K51" s="299"/>
      <c r="L51" s="299"/>
      <c r="M51" s="299"/>
      <c r="N51" s="299"/>
      <c r="O51" s="299"/>
      <c r="P51" s="299"/>
      <c r="Q51" s="298"/>
      <c r="R51" s="297"/>
      <c r="T51" s="301"/>
      <c r="U51" s="309"/>
      <c r="V51" s="296" t="s">
        <v>4</v>
      </c>
      <c r="W51" s="310">
        <f>W31</f>
        <v>60</v>
      </c>
      <c r="X51" s="298"/>
      <c r="Y51" s="311"/>
      <c r="Z51" s="312" t="s">
        <v>101</v>
      </c>
      <c r="AA51" s="313">
        <f>AA50-AB49*2</f>
        <v>0</v>
      </c>
      <c r="AB51" s="314" t="s">
        <v>102</v>
      </c>
      <c r="AC51" s="315"/>
      <c r="AI51"/>
    </row>
    <row r="52" spans="1:38" ht="16.350000000000001" customHeight="1">
      <c r="A52" s="61" t="s">
        <v>103</v>
      </c>
      <c r="B52" s="62" t="s">
        <v>104</v>
      </c>
      <c r="C52" s="62" t="s">
        <v>105</v>
      </c>
      <c r="D52" s="62">
        <v>2020</v>
      </c>
      <c r="E52"/>
      <c r="F52"/>
      <c r="G52"/>
      <c r="H52"/>
      <c r="I52"/>
      <c r="J52"/>
      <c r="K52" s="299"/>
      <c r="L52" s="299"/>
      <c r="M52" s="299"/>
      <c r="N52" s="299"/>
      <c r="O52" s="299"/>
      <c r="P52" s="299"/>
      <c r="Q52" s="63"/>
      <c r="R52" s="316"/>
      <c r="S52" s="316"/>
      <c r="T52" s="316"/>
      <c r="U52" s="63"/>
      <c r="V52" s="316" t="s">
        <v>106</v>
      </c>
      <c r="W52" s="317"/>
      <c r="X52" s="316"/>
      <c r="Y52" s="316"/>
      <c r="Z52" s="316"/>
      <c r="AA52" s="316"/>
      <c r="AB52" s="63"/>
      <c r="AC52" s="318"/>
      <c r="AI52"/>
    </row>
    <row r="53" spans="1:38" ht="16.350000000000001" customHeight="1">
      <c r="A53" s="319" t="s">
        <v>107</v>
      </c>
      <c r="B53" s="320" t="s">
        <v>108</v>
      </c>
      <c r="C53" s="320"/>
      <c r="E53"/>
      <c r="F53"/>
      <c r="G53"/>
      <c r="H53"/>
      <c r="I53"/>
      <c r="J53"/>
      <c r="K53" s="299"/>
      <c r="L53" s="299"/>
      <c r="M53" s="299"/>
      <c r="N53" s="299"/>
      <c r="O53" s="299"/>
      <c r="P53" s="299"/>
      <c r="Q53" s="322" t="s">
        <v>109</v>
      </c>
      <c r="R53" s="323" t="s">
        <v>110</v>
      </c>
      <c r="S53" s="324" t="s">
        <v>24</v>
      </c>
      <c r="T53" s="322" t="s">
        <v>26</v>
      </c>
      <c r="U53" s="325" t="s">
        <v>110</v>
      </c>
      <c r="V53" s="38"/>
      <c r="X53" s="327" t="s">
        <v>3</v>
      </c>
      <c r="Y53" s="327" t="s">
        <v>4</v>
      </c>
      <c r="Z53" s="327" t="s">
        <v>92</v>
      </c>
      <c r="AA53" s="328" t="s">
        <v>111</v>
      </c>
      <c r="AB53" s="38"/>
      <c r="AC53" s="329"/>
      <c r="AI53"/>
      <c r="AJ53"/>
    </row>
    <row r="54" spans="1:38" ht="16.350000000000001" customHeight="1">
      <c r="A54" s="330">
        <v>43101</v>
      </c>
      <c r="B54" s="331" t="s">
        <v>112</v>
      </c>
      <c r="C54" s="332">
        <v>1650.5</v>
      </c>
      <c r="D54" s="333">
        <v>2018</v>
      </c>
      <c r="E54"/>
      <c r="F54"/>
      <c r="G54"/>
      <c r="H54"/>
      <c r="I54"/>
      <c r="J54"/>
      <c r="K54" s="334"/>
      <c r="L54" s="334"/>
      <c r="M54" s="334"/>
      <c r="N54" s="334"/>
      <c r="O54" s="334"/>
      <c r="P54" s="334"/>
      <c r="Q54" s="335"/>
      <c r="R54" s="336">
        <v>33250</v>
      </c>
      <c r="S54" s="336">
        <v>1058</v>
      </c>
      <c r="T54" s="335"/>
      <c r="U54" s="336">
        <v>2744</v>
      </c>
      <c r="V54" s="337"/>
      <c r="W54" s="337" t="s">
        <v>109</v>
      </c>
      <c r="X54" s="338">
        <f>($R$55*NbreLLS)+($S$55*SF.LLS)</f>
        <v>13441843.58</v>
      </c>
      <c r="Y54" s="338">
        <f>($R$55*NbreLLTS)+($S$55*SF.LLTS)</f>
        <v>5612460.8399999999</v>
      </c>
      <c r="Z54" s="338"/>
      <c r="AA54" s="338">
        <f>X54+Y54+Z54</f>
        <v>19054304.420000002</v>
      </c>
      <c r="AB54" s="339"/>
      <c r="AC54" s="340"/>
      <c r="AI54"/>
      <c r="AJ54"/>
    </row>
    <row r="55" spans="1:38" ht="16.350000000000001" customHeight="1">
      <c r="A55" s="330">
        <v>43466</v>
      </c>
      <c r="B55" s="331" t="s">
        <v>113</v>
      </c>
      <c r="C55" s="332">
        <v>1676.75</v>
      </c>
      <c r="D55" s="333">
        <v>2019</v>
      </c>
      <c r="E55"/>
      <c r="F55"/>
      <c r="G55"/>
      <c r="H55"/>
      <c r="I55"/>
      <c r="J55"/>
      <c r="K55" s="334"/>
      <c r="L55" s="334"/>
      <c r="M55" s="334"/>
      <c r="N55" s="334"/>
      <c r="O55" s="334"/>
      <c r="P55" s="334"/>
      <c r="Q55" s="335"/>
      <c r="R55" s="341">
        <v>33779</v>
      </c>
      <c r="S55" s="341">
        <v>1074</v>
      </c>
      <c r="T55" s="342"/>
      <c r="U55" s="341">
        <v>2788</v>
      </c>
      <c r="V55" s="343"/>
      <c r="W55" s="343" t="s">
        <v>26</v>
      </c>
      <c r="X55" s="338">
        <f>($W$50*$U$55)</f>
        <v>287164</v>
      </c>
      <c r="Y55" s="338">
        <f>($W$51*$U$55)</f>
        <v>167280</v>
      </c>
      <c r="Z55" s="338"/>
      <c r="AA55" s="338">
        <f>X55+Y55+Z55</f>
        <v>454444</v>
      </c>
      <c r="AB55" s="339"/>
      <c r="AC55" s="344"/>
      <c r="AI55"/>
      <c r="AJ55"/>
    </row>
    <row r="56" spans="1:38" ht="16.350000000000001" customHeight="1">
      <c r="B56" s="346" t="s">
        <v>114</v>
      </c>
      <c r="C56" s="347">
        <f>C55/C54</f>
        <v>1.0159042714328992</v>
      </c>
      <c r="E56"/>
      <c r="F56"/>
      <c r="G56"/>
      <c r="H56"/>
      <c r="I56"/>
      <c r="J56"/>
      <c r="K56" s="334"/>
      <c r="L56" s="334"/>
      <c r="M56" s="334"/>
      <c r="N56" s="334"/>
      <c r="O56" s="334"/>
      <c r="P56" s="334"/>
      <c r="Q56" s="342"/>
      <c r="T56" s="348" t="s">
        <v>115</v>
      </c>
      <c r="U56" s="349"/>
      <c r="V56" s="350" t="s">
        <v>116</v>
      </c>
      <c r="W56" s="351" t="s">
        <v>115</v>
      </c>
      <c r="X56" s="338">
        <f>$U$56*F69</f>
        <v>0</v>
      </c>
      <c r="Y56" s="338">
        <f>$U$56*G69</f>
        <v>0</v>
      </c>
      <c r="Z56" s="338"/>
      <c r="AA56" s="338">
        <f>X56+Y56+Z56</f>
        <v>0</v>
      </c>
      <c r="AC56" s="329"/>
      <c r="AI56"/>
      <c r="AJ56"/>
    </row>
    <row r="57" spans="1:38" ht="16.350000000000001" customHeight="1">
      <c r="A57" s="11"/>
      <c r="B57" s="320" t="s">
        <v>117</v>
      </c>
      <c r="C57" s="320"/>
      <c r="D57" s="319" t="s">
        <v>118</v>
      </c>
      <c r="E57"/>
      <c r="F57"/>
      <c r="G57"/>
      <c r="H57"/>
      <c r="I57"/>
      <c r="J57"/>
      <c r="K57" s="334"/>
      <c r="L57" s="334"/>
      <c r="M57" s="334"/>
      <c r="N57" s="334"/>
      <c r="O57" s="334"/>
      <c r="P57" s="334"/>
      <c r="Q57" s="352"/>
      <c r="R57" s="352"/>
      <c r="U57" s="11"/>
      <c r="V57" s="353"/>
      <c r="W57" s="353" t="s">
        <v>119</v>
      </c>
      <c r="X57" s="354"/>
      <c r="Y57" s="354"/>
      <c r="Z57" s="354"/>
      <c r="AA57" s="354">
        <f>X57+Y57</f>
        <v>0</v>
      </c>
      <c r="AC57" s="329"/>
      <c r="AI57"/>
      <c r="AJ57"/>
    </row>
    <row r="58" spans="1:38" ht="16.350000000000001" customHeight="1">
      <c r="A58" s="355">
        <v>43101</v>
      </c>
      <c r="B58" s="331" t="s">
        <v>112</v>
      </c>
      <c r="C58" s="356">
        <v>126.19</v>
      </c>
      <c r="D58" s="357">
        <v>6.97</v>
      </c>
      <c r="E58"/>
      <c r="F58"/>
      <c r="G58"/>
      <c r="H58"/>
      <c r="I58"/>
      <c r="J58"/>
      <c r="K58" s="334"/>
      <c r="L58" s="334"/>
      <c r="M58" s="334"/>
      <c r="N58" s="334"/>
      <c r="O58" s="334"/>
      <c r="P58" s="334"/>
      <c r="Q58" s="326"/>
      <c r="R58" s="352"/>
      <c r="T58" s="322" t="s">
        <v>120</v>
      </c>
      <c r="U58" s="336">
        <v>8954</v>
      </c>
      <c r="V58" s="358" t="s">
        <v>121</v>
      </c>
      <c r="W58" s="359"/>
      <c r="X58" s="360">
        <f>SUM(X54:X56)</f>
        <v>13729007.58</v>
      </c>
      <c r="Y58" s="360">
        <f>SUM(Y54:Y57)</f>
        <v>5779740.8399999999</v>
      </c>
      <c r="Z58" s="360"/>
      <c r="AA58" s="360">
        <f>X58+Y58</f>
        <v>19508748.420000002</v>
      </c>
      <c r="AC58" s="329"/>
      <c r="AI58"/>
      <c r="AJ58"/>
    </row>
    <row r="59" spans="1:38" ht="16.350000000000001" customHeight="1">
      <c r="A59" s="355">
        <v>43466</v>
      </c>
      <c r="B59" s="331" t="s">
        <v>113</v>
      </c>
      <c r="C59" s="356">
        <v>127.77</v>
      </c>
      <c r="D59" s="357">
        <v>7.06</v>
      </c>
      <c r="E59"/>
      <c r="F59"/>
      <c r="G59"/>
      <c r="H59"/>
      <c r="I59"/>
      <c r="J59"/>
      <c r="K59" s="361"/>
      <c r="L59" s="361"/>
      <c r="M59" s="361"/>
      <c r="N59" s="361"/>
      <c r="O59" s="361"/>
      <c r="P59" s="361"/>
      <c r="Q59" s="326"/>
      <c r="R59" s="362"/>
      <c r="T59" s="342"/>
      <c r="U59" s="341">
        <v>9096</v>
      </c>
      <c r="V59" s="363" t="s">
        <v>122</v>
      </c>
      <c r="W59" s="364"/>
      <c r="X59" s="365">
        <v>0.27</v>
      </c>
      <c r="Y59" s="366">
        <v>0.32500000000000001</v>
      </c>
      <c r="Z59" s="367"/>
      <c r="AA59"/>
      <c r="AC59" s="368"/>
      <c r="AI59"/>
      <c r="AJ59"/>
    </row>
    <row r="60" spans="1:38" ht="15" customHeight="1">
      <c r="A60" s="369"/>
      <c r="B60" s="346" t="s">
        <v>114</v>
      </c>
      <c r="C60" s="370">
        <f>C59/C58</f>
        <v>1.0125208019652905</v>
      </c>
      <c r="E60"/>
      <c r="F60"/>
      <c r="G60"/>
      <c r="H60"/>
      <c r="I60"/>
      <c r="J60"/>
      <c r="K60" s="371"/>
      <c r="L60" s="371"/>
      <c r="M60" s="371"/>
      <c r="N60" s="371"/>
      <c r="O60" s="371"/>
      <c r="P60" s="371"/>
      <c r="Q60" s="326"/>
      <c r="R60" s="362"/>
      <c r="U60" s="372"/>
      <c r="V60" s="373" t="s">
        <v>123</v>
      </c>
      <c r="W60" s="373"/>
      <c r="X60" s="374">
        <f>X58*X59</f>
        <v>3706832.0466000005</v>
      </c>
      <c r="Y60" s="374">
        <f>Y58*Y59</f>
        <v>1878415.773</v>
      </c>
      <c r="Z60" s="374"/>
      <c r="AA60" s="375">
        <f>X60+Y60</f>
        <v>5585247.819600001</v>
      </c>
      <c r="AC60" s="329"/>
      <c r="AI60"/>
      <c r="AJ60"/>
    </row>
    <row r="61" spans="1:38" ht="15" customHeight="1">
      <c r="A61" s="352"/>
      <c r="B61" s="346"/>
      <c r="C61" s="376" t="s">
        <v>124</v>
      </c>
      <c r="D61" s="377">
        <v>5.65</v>
      </c>
      <c r="E61"/>
      <c r="F61"/>
      <c r="G61"/>
      <c r="H61"/>
      <c r="I61"/>
      <c r="J61"/>
      <c r="K61" s="371"/>
      <c r="L61" s="371"/>
      <c r="M61" s="371"/>
      <c r="N61" s="371"/>
      <c r="O61" s="371"/>
      <c r="P61" s="371"/>
      <c r="Q61" s="326"/>
      <c r="R61" s="362"/>
      <c r="U61" s="372"/>
      <c r="V61" s="373"/>
      <c r="W61" s="373"/>
      <c r="X61" s="378"/>
      <c r="Y61" s="379"/>
      <c r="Z61" s="379"/>
      <c r="AA61" s="380"/>
      <c r="AC61" s="329"/>
      <c r="AI61"/>
      <c r="AJ61"/>
    </row>
    <row r="62" spans="1:38" ht="16.350000000000001" customHeight="1">
      <c r="A62" s="17"/>
      <c r="B62" s="381"/>
      <c r="C62" s="376" t="s">
        <v>125</v>
      </c>
      <c r="D62" s="377">
        <v>10.59</v>
      </c>
      <c r="E62"/>
      <c r="F62"/>
      <c r="G62"/>
      <c r="H62"/>
      <c r="I62"/>
      <c r="J62"/>
      <c r="K62" s="382"/>
      <c r="L62" s="382"/>
      <c r="M62" s="382"/>
      <c r="N62" s="382"/>
      <c r="O62" s="382"/>
      <c r="P62" s="382"/>
      <c r="Q62" s="326"/>
      <c r="R62" s="352"/>
      <c r="S62" s="352"/>
      <c r="T62" s="352"/>
      <c r="U62" s="352"/>
      <c r="X62" s="383"/>
      <c r="Y62" s="384"/>
      <c r="Z62" s="384"/>
      <c r="AA62" s="385"/>
      <c r="AB62" s="326"/>
      <c r="AC62" s="386"/>
      <c r="AI62"/>
      <c r="AJ62"/>
    </row>
    <row r="63" spans="1:38" ht="16.350000000000001" customHeight="1">
      <c r="A63" s="387" t="s">
        <v>126</v>
      </c>
      <c r="B63" s="62" t="s">
        <v>127</v>
      </c>
      <c r="C63" s="388">
        <f ca="1">TODAY()</f>
        <v>43801</v>
      </c>
      <c r="D63" s="389" t="s">
        <v>128</v>
      </c>
      <c r="E63" s="390" t="s">
        <v>129</v>
      </c>
      <c r="F63" s="316" t="s">
        <v>3</v>
      </c>
      <c r="G63" s="62" t="s">
        <v>4</v>
      </c>
      <c r="H63" s="62" t="s">
        <v>5</v>
      </c>
      <c r="I63" s="316" t="s">
        <v>130</v>
      </c>
      <c r="J63" s="62" t="s">
        <v>111</v>
      </c>
      <c r="K63" s="391" t="s">
        <v>3</v>
      </c>
      <c r="L63" s="391" t="s">
        <v>4</v>
      </c>
      <c r="M63" s="391" t="s">
        <v>5</v>
      </c>
      <c r="N63" s="392" t="s">
        <v>130</v>
      </c>
      <c r="O63" s="393"/>
      <c r="P63" s="393"/>
      <c r="Q63" s="394" t="s">
        <v>131</v>
      </c>
      <c r="R63" s="394" t="s">
        <v>132</v>
      </c>
      <c r="S63" s="394"/>
      <c r="T63" s="394"/>
      <c r="U63" s="63"/>
      <c r="V63" s="316" t="s">
        <v>106</v>
      </c>
      <c r="W63" s="316"/>
      <c r="X63" s="395" t="s">
        <v>3</v>
      </c>
      <c r="Y63" s="396" t="s">
        <v>4</v>
      </c>
      <c r="Z63" s="62" t="s">
        <v>5</v>
      </c>
      <c r="AA63" s="316" t="s">
        <v>130</v>
      </c>
      <c r="AB63" s="396" t="s">
        <v>111</v>
      </c>
      <c r="AC63" s="326"/>
      <c r="AD63" s="397"/>
      <c r="AE63" s="17"/>
      <c r="AI63"/>
      <c r="AJ63"/>
      <c r="AK63"/>
    </row>
    <row r="64" spans="1:38" ht="10.5" customHeight="1">
      <c r="A64" s="37"/>
      <c r="B64" s="38"/>
      <c r="C64" s="38"/>
      <c r="D64" s="39"/>
      <c r="E64" s="39"/>
      <c r="F64" s="398"/>
      <c r="G64" s="398"/>
      <c r="I64" s="398"/>
      <c r="J64" s="398"/>
      <c r="K64" s="399" t="s">
        <v>133</v>
      </c>
      <c r="L64" s="399" t="s">
        <v>133</v>
      </c>
      <c r="M64" s="399" t="s">
        <v>133</v>
      </c>
      <c r="N64" s="399" t="s">
        <v>133</v>
      </c>
      <c r="O64" s="393"/>
      <c r="P64" s="393"/>
      <c r="Q64" s="400"/>
      <c r="R64" s="400"/>
      <c r="S64" s="401"/>
      <c r="T64" s="352"/>
      <c r="U64" s="39"/>
      <c r="X64" s="383"/>
      <c r="Y64" s="384"/>
      <c r="Z64" s="402"/>
      <c r="AA64" s="403"/>
      <c r="AB64" s="385"/>
      <c r="AC64" s="326"/>
      <c r="AD64" s="404"/>
      <c r="AE64" s="17"/>
      <c r="AI64"/>
      <c r="AJ64"/>
      <c r="AK64"/>
    </row>
    <row r="65" spans="1:39" ht="16.350000000000001" customHeight="1">
      <c r="A65" s="405" t="s">
        <v>134</v>
      </c>
      <c r="B65" s="406"/>
      <c r="C65" s="406" t="s">
        <v>135</v>
      </c>
      <c r="D65" s="406"/>
      <c r="E65" s="39" t="s">
        <v>134</v>
      </c>
      <c r="F65" s="407">
        <f>'[1]FFD LLS'!D9</f>
        <v>0</v>
      </c>
      <c r="G65" s="407">
        <f>'[1]FFD LLTS'!D9</f>
        <v>0</v>
      </c>
      <c r="H65" s="408">
        <f>'[1]FFD PLS'!D9</f>
        <v>0</v>
      </c>
      <c r="I65" s="407">
        <f>[1]Bdgt!AD183</f>
        <v>0</v>
      </c>
      <c r="J65" s="409">
        <f>F65+G65+H65+I65</f>
        <v>0</v>
      </c>
      <c r="K65" s="410">
        <f>F65/SF.LLS</f>
        <v>0</v>
      </c>
      <c r="L65" s="410">
        <f>G65/SF.LLTS</f>
        <v>0</v>
      </c>
      <c r="M65" s="410">
        <f>H65/SF.PLS</f>
        <v>0</v>
      </c>
      <c r="N65" s="410" t="e">
        <f>I65/SF.COMM</f>
        <v>#DIV/0!</v>
      </c>
      <c r="O65" s="393"/>
      <c r="P65" s="393"/>
      <c r="Q65" s="411">
        <f>J65/SF.T</f>
        <v>0</v>
      </c>
      <c r="R65" s="412">
        <f>J65/Nbre</f>
        <v>0</v>
      </c>
      <c r="S65" s="413" t="s">
        <v>136</v>
      </c>
      <c r="T65" s="414"/>
      <c r="U65" s="415"/>
      <c r="V65" s="416" t="s">
        <v>137</v>
      </c>
      <c r="W65" s="417"/>
      <c r="X65" s="418">
        <f>SUM(X66:X71)</f>
        <v>1545000</v>
      </c>
      <c r="Y65" s="418">
        <f>SUM(Y66:Y71)</f>
        <v>1200000</v>
      </c>
      <c r="Z65" s="418">
        <f>SUM(Z66:Z71)</f>
        <v>0</v>
      </c>
      <c r="AA65" s="418">
        <f>SUM(AA66:AA71)</f>
        <v>0</v>
      </c>
      <c r="AB65" s="418">
        <f>SUM(AB66:AB71)</f>
        <v>2745000</v>
      </c>
      <c r="AC65" s="326"/>
      <c r="AD65" s="419"/>
      <c r="AE65" s="17"/>
      <c r="AI65"/>
      <c r="AJ65"/>
      <c r="AK65"/>
    </row>
    <row r="66" spans="1:39" ht="16.350000000000001" customHeight="1">
      <c r="A66" s="420"/>
      <c r="B66" s="296"/>
      <c r="C66" s="296"/>
      <c r="D66" s="297"/>
      <c r="E66" s="39" t="s">
        <v>138</v>
      </c>
      <c r="F66" s="407">
        <f>'[1]FFD LLS'!D18+'[1]FFD LLS'!D32</f>
        <v>0</v>
      </c>
      <c r="G66" s="407">
        <f>('[1]FFD LLTS'!D18+'[1]FFD LLTS'!D32)</f>
        <v>0</v>
      </c>
      <c r="H66" s="407">
        <f>('[1]FFD PLS'!D18+'[1]FFD PLS'!D32)</f>
        <v>0</v>
      </c>
      <c r="I66" s="407">
        <f>[1]Bdgt!AD184</f>
        <v>0</v>
      </c>
      <c r="J66" s="409">
        <f>F66+G66+H66+I66</f>
        <v>0</v>
      </c>
      <c r="K66" s="410">
        <f>F66/SF.LLS</f>
        <v>0</v>
      </c>
      <c r="L66" s="410">
        <f>G66/SF.LLTS</f>
        <v>0</v>
      </c>
      <c r="M66" s="410">
        <f>H66/SF.PLS</f>
        <v>0</v>
      </c>
      <c r="N66" s="410" t="e">
        <f>I66/SF.COMM</f>
        <v>#DIV/0!</v>
      </c>
      <c r="O66" s="421"/>
      <c r="P66" s="421"/>
      <c r="Q66" s="411">
        <f>J66/SF.T</f>
        <v>0</v>
      </c>
      <c r="R66" s="412">
        <f>J66/Nbre</f>
        <v>0</v>
      </c>
      <c r="S66" s="413" t="s">
        <v>139</v>
      </c>
      <c r="T66" s="414"/>
      <c r="U66" s="415"/>
      <c r="V66" s="422" t="s">
        <v>109</v>
      </c>
      <c r="W66" s="423"/>
      <c r="X66" s="424">
        <f>[1]Bdgt!R166</f>
        <v>1545000</v>
      </c>
      <c r="Y66" s="424">
        <f>[1]Bdgt!V166</f>
        <v>1200000</v>
      </c>
      <c r="Z66" s="424">
        <f>[1]Bdgt!Z166</f>
        <v>0</v>
      </c>
      <c r="AA66" s="424"/>
      <c r="AB66" s="424">
        <f>X66+Y66+Z66+AA66</f>
        <v>2745000</v>
      </c>
      <c r="AC66" s="326"/>
      <c r="AD66" s="425"/>
      <c r="AE66" s="17"/>
      <c r="AI66"/>
      <c r="AJ66"/>
      <c r="AK66"/>
    </row>
    <row r="67" spans="1:39" ht="16.350000000000001" customHeight="1">
      <c r="A67" s="420"/>
      <c r="B67" s="296"/>
      <c r="D67" s="427"/>
      <c r="E67" s="428">
        <f>J68/J79</f>
        <v>0</v>
      </c>
      <c r="F67" s="429"/>
      <c r="G67" s="429"/>
      <c r="H67" s="429"/>
      <c r="I67" s="429"/>
      <c r="J67" s="409">
        <f>F67+G67+I67</f>
        <v>0</v>
      </c>
      <c r="K67" s="430"/>
      <c r="L67" s="430"/>
      <c r="M67" s="430"/>
      <c r="N67" s="430"/>
      <c r="O67" s="421"/>
      <c r="P67" s="421"/>
      <c r="Q67" s="431"/>
      <c r="R67" s="431"/>
      <c r="T67" s="432"/>
      <c r="U67" s="433"/>
      <c r="V67" s="17" t="s">
        <v>140</v>
      </c>
      <c r="W67" s="17"/>
      <c r="X67" s="424"/>
      <c r="Y67" s="424"/>
      <c r="Z67" s="424"/>
      <c r="AA67" s="424"/>
      <c r="AB67" s="424">
        <f t="shared" ref="AB67:AB77" si="38">X67+Y67+Z67+AA67</f>
        <v>0</v>
      </c>
      <c r="AC67" s="326"/>
      <c r="AD67" s="419"/>
      <c r="AE67" s="17"/>
      <c r="AI67"/>
      <c r="AJ67"/>
      <c r="AK67"/>
      <c r="AL67"/>
      <c r="AM67"/>
    </row>
    <row r="68" spans="1:39" ht="16.350000000000001" customHeight="1">
      <c r="A68" s="420"/>
      <c r="B68" s="296"/>
      <c r="C68" s="39"/>
      <c r="D68" s="427"/>
      <c r="E68" s="422" t="s">
        <v>141</v>
      </c>
      <c r="F68" s="418">
        <f>SUM(F65:F67)</f>
        <v>0</v>
      </c>
      <c r="G68" s="418">
        <f>SUM(G65:G67)</f>
        <v>0</v>
      </c>
      <c r="H68" s="418">
        <f>SUM(H65:H67)</f>
        <v>0</v>
      </c>
      <c r="I68" s="418">
        <f>SUM(I65:I67)</f>
        <v>0</v>
      </c>
      <c r="J68" s="434">
        <f>SUM(J65:J67)</f>
        <v>0</v>
      </c>
      <c r="K68" s="410">
        <f t="shared" ref="K68:K73" si="39">F68/SF.LLS</f>
        <v>0</v>
      </c>
      <c r="L68" s="410">
        <f t="shared" ref="L68:L73" si="40">G68/SF.LLTS</f>
        <v>0</v>
      </c>
      <c r="M68" s="410">
        <f t="shared" ref="M68:M73" si="41">H68/SF.PLS</f>
        <v>0</v>
      </c>
      <c r="N68" s="435" t="e">
        <f>I70/SF.COMM</f>
        <v>#DIV/0!</v>
      </c>
      <c r="O68" s="421"/>
      <c r="P68" s="421"/>
      <c r="Q68" s="436">
        <f t="shared" ref="Q68:Q78" si="42">J68/SF.T</f>
        <v>0</v>
      </c>
      <c r="R68" s="436">
        <f t="shared" ref="R68:R78" si="43">J68/Nbre</f>
        <v>0</v>
      </c>
      <c r="T68" s="432"/>
      <c r="U68" s="437">
        <f>U59</f>
        <v>9096</v>
      </c>
      <c r="V68" s="39" t="s">
        <v>142</v>
      </c>
      <c r="X68" s="407"/>
      <c r="Y68" s="424"/>
      <c r="Z68" s="424"/>
      <c r="AA68" s="424"/>
      <c r="AB68" s="424">
        <f t="shared" si="38"/>
        <v>0</v>
      </c>
      <c r="AC68" s="326"/>
      <c r="AD68" s="419"/>
      <c r="AE68" s="17"/>
      <c r="AI68"/>
      <c r="AJ68"/>
      <c r="AK68"/>
      <c r="AL68"/>
      <c r="AM68"/>
    </row>
    <row r="69" spans="1:39" ht="16.350000000000001" customHeight="1">
      <c r="A69" s="420"/>
      <c r="B69" s="296"/>
      <c r="C69" s="39" t="s">
        <v>143</v>
      </c>
      <c r="D69" s="438"/>
      <c r="E69" s="39" t="s">
        <v>144</v>
      </c>
      <c r="F69" s="407">
        <f>'[1]FFD LLS'!D39</f>
        <v>0</v>
      </c>
      <c r="G69" s="407">
        <f>'[1]FFD LLTS'!D39</f>
        <v>0</v>
      </c>
      <c r="H69" s="407">
        <f>'[1]FFD PLS'!D39</f>
        <v>0</v>
      </c>
      <c r="I69" s="407">
        <f>[1]Bdgt!AD187</f>
        <v>0</v>
      </c>
      <c r="J69" s="409">
        <f t="shared" ref="J69:J72" si="44">F69+G69+H69+I69</f>
        <v>0</v>
      </c>
      <c r="K69" s="410">
        <f t="shared" si="39"/>
        <v>0</v>
      </c>
      <c r="L69" s="410">
        <f t="shared" si="40"/>
        <v>0</v>
      </c>
      <c r="M69" s="410">
        <f t="shared" si="41"/>
        <v>0</v>
      </c>
      <c r="N69" s="435" t="e">
        <f>I72/SF.COMM</f>
        <v>#DIV/0!</v>
      </c>
      <c r="O69" s="421"/>
      <c r="P69" s="421"/>
      <c r="Q69" s="411">
        <f t="shared" si="42"/>
        <v>0</v>
      </c>
      <c r="R69" s="411">
        <f t="shared" si="43"/>
        <v>0</v>
      </c>
      <c r="T69" s="432"/>
      <c r="U69" s="437">
        <f>4000</f>
        <v>4000</v>
      </c>
      <c r="V69" s="439" t="s">
        <v>145</v>
      </c>
      <c r="X69" s="407"/>
      <c r="Y69" s="424"/>
      <c r="Z69" s="424"/>
      <c r="AA69" s="424"/>
      <c r="AB69" s="424">
        <f t="shared" si="38"/>
        <v>0</v>
      </c>
      <c r="AC69" s="326"/>
      <c r="AD69" s="419"/>
      <c r="AE69" s="17"/>
      <c r="AG69" s="440"/>
      <c r="AI69"/>
      <c r="AJ69"/>
      <c r="AK69"/>
      <c r="AL69"/>
      <c r="AM69"/>
    </row>
    <row r="70" spans="1:39" ht="16.350000000000001" customHeight="1">
      <c r="A70" s="37" t="s">
        <v>146</v>
      </c>
      <c r="B70" s="441"/>
      <c r="C70" s="442" t="s">
        <v>147</v>
      </c>
      <c r="D70" s="441"/>
      <c r="E70" s="39" t="s">
        <v>148</v>
      </c>
      <c r="F70" s="407">
        <f>'[1]FFD LLS'!D61-'[1]FFD LLS'!D64</f>
        <v>0</v>
      </c>
      <c r="G70" s="407">
        <f>('[1]FFD LLTS'!D61-'[1]FFD LLTS'!D64)</f>
        <v>0</v>
      </c>
      <c r="H70" s="407">
        <f>('[1]FFD PLS'!D61-'[1]FFD PLS'!D64)</f>
        <v>0</v>
      </c>
      <c r="I70" s="407">
        <f>[1]Bdgt!AD188</f>
        <v>0</v>
      </c>
      <c r="J70" s="409">
        <f t="shared" si="44"/>
        <v>0</v>
      </c>
      <c r="K70" s="410">
        <f t="shared" si="39"/>
        <v>0</v>
      </c>
      <c r="L70" s="410">
        <f t="shared" si="40"/>
        <v>0</v>
      </c>
      <c r="M70" s="410">
        <f t="shared" si="41"/>
        <v>0</v>
      </c>
      <c r="N70" s="435" t="e">
        <f>I73/SF.COMM</f>
        <v>#DIV/0!</v>
      </c>
      <c r="O70" s="421"/>
      <c r="P70" s="421"/>
      <c r="Q70" s="411">
        <f t="shared" si="42"/>
        <v>0</v>
      </c>
      <c r="R70" s="411">
        <f t="shared" si="43"/>
        <v>0</v>
      </c>
      <c r="T70" s="443"/>
      <c r="U70" s="444">
        <v>3200</v>
      </c>
      <c r="V70" s="439" t="s">
        <v>149</v>
      </c>
      <c r="W70" s="445" t="s">
        <v>26</v>
      </c>
      <c r="X70" s="407"/>
      <c r="Y70" s="424"/>
      <c r="Z70" s="424"/>
      <c r="AA70" s="424"/>
      <c r="AB70" s="424">
        <f t="shared" si="38"/>
        <v>0</v>
      </c>
      <c r="AC70" s="326"/>
      <c r="AD70" s="404"/>
      <c r="AE70" s="17"/>
      <c r="AG70" s="297"/>
      <c r="AI70"/>
      <c r="AJ70"/>
      <c r="AK70"/>
      <c r="AL70"/>
      <c r="AM70"/>
    </row>
    <row r="71" spans="1:39" ht="16.350000000000001" customHeight="1">
      <c r="A71" s="37" t="s">
        <v>150</v>
      </c>
      <c r="B71" s="446"/>
      <c r="C71" s="40" t="s">
        <v>151</v>
      </c>
      <c r="D71" s="447">
        <v>44166</v>
      </c>
      <c r="E71" s="39" t="s">
        <v>152</v>
      </c>
      <c r="F71" s="407">
        <f>'[1]FFD LLS'!D64</f>
        <v>0</v>
      </c>
      <c r="G71" s="407">
        <f>'[1]FFD LLTS'!D64</f>
        <v>0</v>
      </c>
      <c r="H71" s="407">
        <f>'[1]FFD PLS'!D64</f>
        <v>0</v>
      </c>
      <c r="I71" s="407">
        <f>[1]Bdgt!AD189</f>
        <v>0</v>
      </c>
      <c r="J71" s="409">
        <f t="shared" si="44"/>
        <v>0</v>
      </c>
      <c r="K71" s="410">
        <f t="shared" si="39"/>
        <v>0</v>
      </c>
      <c r="L71" s="410">
        <f t="shared" si="40"/>
        <v>0</v>
      </c>
      <c r="M71" s="410">
        <f t="shared" si="41"/>
        <v>0</v>
      </c>
      <c r="N71" s="435" t="e">
        <f>I74/SF.COMM</f>
        <v>#DIV/0!</v>
      </c>
      <c r="O71" s="421"/>
      <c r="P71" s="421"/>
      <c r="Q71" s="411">
        <f t="shared" si="42"/>
        <v>0</v>
      </c>
      <c r="R71" s="411">
        <f t="shared" si="43"/>
        <v>0</v>
      </c>
      <c r="T71" s="432"/>
      <c r="U71" s="433"/>
      <c r="V71" s="439" t="s">
        <v>149</v>
      </c>
      <c r="W71" s="445" t="s">
        <v>153</v>
      </c>
      <c r="X71" s="407"/>
      <c r="Y71" s="424"/>
      <c r="Z71" s="424"/>
      <c r="AA71" s="424"/>
      <c r="AB71" s="424">
        <f t="shared" si="38"/>
        <v>0</v>
      </c>
      <c r="AC71" s="326"/>
      <c r="AD71" s="448"/>
      <c r="AE71" s="17"/>
      <c r="AI71"/>
      <c r="AJ71"/>
      <c r="AK71"/>
      <c r="AL71"/>
      <c r="AM71"/>
    </row>
    <row r="72" spans="1:39" ht="16.350000000000001" customHeight="1">
      <c r="A72" s="37" t="s">
        <v>154</v>
      </c>
      <c r="B72" s="449">
        <f>'[1]DPR LLS'!E13+'[1]DPR LLTS'!E13+'[1]DPR PLS'!E13</f>
        <v>0</v>
      </c>
      <c r="C72" s="40" t="s">
        <v>155</v>
      </c>
      <c r="D72" s="441">
        <v>44275</v>
      </c>
      <c r="E72" s="11" t="s">
        <v>156</v>
      </c>
      <c r="F72" s="407">
        <f>'[1]FFD LLS'!D67</f>
        <v>0</v>
      </c>
      <c r="G72" s="407">
        <f>'[1]FFD LLTS'!D67</f>
        <v>0</v>
      </c>
      <c r="H72" s="407">
        <f>'[1]FFD PLS'!D67</f>
        <v>0</v>
      </c>
      <c r="I72" s="407">
        <f>[1]Bdgt!AD190</f>
        <v>0</v>
      </c>
      <c r="J72" s="409">
        <f t="shared" si="44"/>
        <v>0</v>
      </c>
      <c r="K72" s="410">
        <f t="shared" si="39"/>
        <v>0</v>
      </c>
      <c r="L72" s="410">
        <f t="shared" si="40"/>
        <v>0</v>
      </c>
      <c r="M72" s="410">
        <f t="shared" si="41"/>
        <v>0</v>
      </c>
      <c r="N72" s="435" t="e">
        <f>I75/SF.COMM</f>
        <v>#DIV/0!</v>
      </c>
      <c r="O72" s="421"/>
      <c r="P72" s="421"/>
      <c r="Q72" s="411">
        <f t="shared" si="42"/>
        <v>0</v>
      </c>
      <c r="R72" s="411">
        <f t="shared" si="43"/>
        <v>0</v>
      </c>
      <c r="S72" s="17"/>
      <c r="T72" s="17"/>
      <c r="U72" s="17"/>
      <c r="V72" s="416" t="s">
        <v>157</v>
      </c>
      <c r="W72" s="417"/>
      <c r="X72" s="418">
        <f>SUM(X73:X74)</f>
        <v>-1452180.2318365634</v>
      </c>
      <c r="Y72" s="450">
        <f>SUM(Y73:Y74)</f>
        <v>-1149085.3258729284</v>
      </c>
      <c r="Z72" s="450">
        <f>SUM(Z73:Z74)</f>
        <v>40125.004689693524</v>
      </c>
      <c r="AA72" s="450">
        <f>SUM(AA73:AA74)</f>
        <v>0</v>
      </c>
      <c r="AB72" s="450">
        <f>SUM(AB73:AB74)</f>
        <v>-2561140.5530197984</v>
      </c>
      <c r="AC72" s="326"/>
      <c r="AD72" s="451"/>
      <c r="AE72" s="17"/>
      <c r="AI72"/>
      <c r="AJ72"/>
      <c r="AK72"/>
      <c r="AL72"/>
      <c r="AM72"/>
    </row>
    <row r="73" spans="1:39" ht="16.350000000000001" customHeight="1">
      <c r="A73" s="37" t="s">
        <v>158</v>
      </c>
      <c r="B73" s="295" t="e">
        <f>B72/B71</f>
        <v>#DIV/0!</v>
      </c>
      <c r="C73" s="40" t="s">
        <v>159</v>
      </c>
      <c r="D73" s="452">
        <v>18</v>
      </c>
      <c r="E73" s="422" t="s">
        <v>160</v>
      </c>
      <c r="F73" s="418">
        <f>SUM(F69:F72)</f>
        <v>0</v>
      </c>
      <c r="G73" s="418">
        <f>SUM(G69:G72)</f>
        <v>0</v>
      </c>
      <c r="H73" s="418">
        <f>SUM(H69:H72)</f>
        <v>0</v>
      </c>
      <c r="I73" s="418">
        <f>SUM(I69:I72)</f>
        <v>0</v>
      </c>
      <c r="J73" s="434">
        <f>SUM(J69:J72)</f>
        <v>0</v>
      </c>
      <c r="K73" s="410">
        <f t="shared" si="39"/>
        <v>0</v>
      </c>
      <c r="L73" s="410">
        <f t="shared" si="40"/>
        <v>0</v>
      </c>
      <c r="M73" s="410">
        <f t="shared" si="41"/>
        <v>0</v>
      </c>
      <c r="N73" s="435" t="e">
        <f>I76/SF.COMM</f>
        <v>#DIV/0!</v>
      </c>
      <c r="O73" s="421"/>
      <c r="P73" s="421"/>
      <c r="Q73" s="436">
        <f t="shared" si="42"/>
        <v>0</v>
      </c>
      <c r="R73" s="436">
        <f t="shared" si="43"/>
        <v>0</v>
      </c>
      <c r="S73" s="17"/>
      <c r="T73" s="17"/>
      <c r="U73" s="17"/>
      <c r="V73" s="39" t="s">
        <v>161</v>
      </c>
      <c r="W73" s="453"/>
      <c r="X73" s="407">
        <f>[1]Bdgt!R159</f>
        <v>-1452180.2318365634</v>
      </c>
      <c r="Y73" s="407">
        <f>[1]Bdgt!V159</f>
        <v>-1149085.3258729284</v>
      </c>
      <c r="Z73" s="407">
        <f>[1]Bdgt!Z159+[1]Bdgt!Z161</f>
        <v>40125.004689693524</v>
      </c>
      <c r="AA73" s="407"/>
      <c r="AB73" s="407">
        <f t="shared" si="38"/>
        <v>-2561140.5530197984</v>
      </c>
      <c r="AC73" s="326"/>
      <c r="AD73" s="425"/>
      <c r="AE73" s="17"/>
      <c r="AI73"/>
      <c r="AJ73"/>
      <c r="AK73"/>
      <c r="AL73"/>
      <c r="AM73"/>
    </row>
    <row r="74" spans="1:39" ht="16.350000000000001" customHeight="1">
      <c r="A74" s="37" t="s">
        <v>162</v>
      </c>
      <c r="B74" s="295" t="e">
        <f>B72/SHON</f>
        <v>#DIV/0!</v>
      </c>
      <c r="C74" s="40" t="s">
        <v>163</v>
      </c>
      <c r="D74" s="454">
        <f>DATE(YEAR($D$72),MONTH($D$72)+$D$73,DAY($D$72))</f>
        <v>44824</v>
      </c>
      <c r="E74" s="11" t="s">
        <v>164</v>
      </c>
      <c r="F74" s="407">
        <f>'[1]FFD LLS'!D76+'[1]FFD LLS'!D79</f>
        <v>0</v>
      </c>
      <c r="G74" s="407">
        <f>'[1]FFD LLTS'!D79+'[1]FFD LLTS'!D76</f>
        <v>0</v>
      </c>
      <c r="H74" s="407">
        <f>'[1]FFD PLS'!D79+'[1]FFD PLS'!D76</f>
        <v>0</v>
      </c>
      <c r="I74" s="407">
        <f>[1]Bdgt!AD193</f>
        <v>0</v>
      </c>
      <c r="J74" s="409">
        <f t="shared" ref="J74:J76" si="45">F74+G74+H74+I74</f>
        <v>0</v>
      </c>
      <c r="K74" s="410"/>
      <c r="L74" s="410"/>
      <c r="M74" s="410"/>
      <c r="N74" s="435"/>
      <c r="O74" s="421"/>
      <c r="P74" s="421"/>
      <c r="Q74" s="411">
        <f t="shared" si="42"/>
        <v>0</v>
      </c>
      <c r="R74" s="411">
        <f t="shared" si="43"/>
        <v>0</v>
      </c>
      <c r="T74" s="412"/>
      <c r="U74" s="433"/>
      <c r="V74" s="39" t="s">
        <v>165</v>
      </c>
      <c r="W74" s="297"/>
      <c r="X74" s="407">
        <f>(((F79-X65-Credit_Impot_LLS)/F79))*F68</f>
        <v>0</v>
      </c>
      <c r="Y74" s="407">
        <f>(((G79-Y65-Credit_Impot_LLTS)/G79))*G68</f>
        <v>0</v>
      </c>
      <c r="Z74" s="407">
        <f>(((H79-Z65-Credit_Impot_PLS)/H79))*H68</f>
        <v>0</v>
      </c>
      <c r="AA74" s="407"/>
      <c r="AB74" s="407">
        <f t="shared" si="38"/>
        <v>0</v>
      </c>
      <c r="AC74" s="326"/>
      <c r="AD74" s="455"/>
      <c r="AE74" s="17"/>
      <c r="AI74"/>
      <c r="AJ74"/>
      <c r="AK74"/>
    </row>
    <row r="75" spans="1:39" ht="16.350000000000001" customHeight="1">
      <c r="A75" s="37" t="s">
        <v>166</v>
      </c>
      <c r="B75" s="295" t="s">
        <v>167</v>
      </c>
      <c r="C75" s="40" t="s">
        <v>168</v>
      </c>
      <c r="D75" s="454">
        <f>DATE(YEAR($D$72),MONTH($D$72)+$D$73+1,DAY($D$72))</f>
        <v>44854</v>
      </c>
      <c r="E75" s="11" t="s">
        <v>169</v>
      </c>
      <c r="F75" s="407"/>
      <c r="G75" s="407"/>
      <c r="H75" s="407"/>
      <c r="I75" s="407"/>
      <c r="J75" s="409">
        <f t="shared" si="45"/>
        <v>0</v>
      </c>
      <c r="K75" s="410"/>
      <c r="L75" s="410"/>
      <c r="M75" s="410"/>
      <c r="N75" s="435"/>
      <c r="O75" s="421"/>
      <c r="P75" s="421"/>
      <c r="Q75" s="411">
        <f t="shared" si="42"/>
        <v>0</v>
      </c>
      <c r="R75" s="411">
        <f t="shared" si="43"/>
        <v>0</v>
      </c>
      <c r="T75" s="412"/>
      <c r="U75" s="433"/>
      <c r="V75" s="416" t="s">
        <v>170</v>
      </c>
      <c r="W75" s="417"/>
      <c r="X75" s="418">
        <f>SUM(X76:X77)</f>
        <v>0</v>
      </c>
      <c r="Y75" s="418">
        <f>SUM(Y76:Y77)</f>
        <v>0</v>
      </c>
      <c r="Z75" s="418">
        <f>SUM(Z76:Z77)</f>
        <v>0</v>
      </c>
      <c r="AA75" s="418">
        <f>SUM(AA76:AA77)</f>
        <v>0</v>
      </c>
      <c r="AB75" s="418">
        <f>SUM(AB76:AB77)</f>
        <v>0</v>
      </c>
      <c r="AC75" s="326"/>
      <c r="AD75" s="456"/>
      <c r="AE75" s="17"/>
      <c r="AI75"/>
      <c r="AJ75"/>
      <c r="AK75"/>
    </row>
    <row r="76" spans="1:39" ht="16.350000000000001" customHeight="1">
      <c r="A76" s="420"/>
      <c r="B76" s="295"/>
      <c r="C76" s="40" t="s">
        <v>171</v>
      </c>
      <c r="D76" s="454">
        <f>DATE(YEAR($D$72),MONTH($D$72)+$D$73+2,DAY($D$72))</f>
        <v>44885</v>
      </c>
      <c r="E76" s="11" t="s">
        <v>172</v>
      </c>
      <c r="F76" s="407">
        <f>'[1]FFD LLS'!D80+'[1]FFD LLS'!D81</f>
        <v>64920.383596567466</v>
      </c>
      <c r="G76" s="407">
        <f>'[1]FFD LLTS'!D80+'[1]FFD LLTS'!D81</f>
        <v>37123.082036930755</v>
      </c>
      <c r="H76" s="407">
        <f>'[1]FFD PLS'!D80+'[1]FFD PLS'!D81</f>
        <v>18261.534366501779</v>
      </c>
      <c r="I76" s="407"/>
      <c r="J76" s="409">
        <f t="shared" si="45"/>
        <v>120305</v>
      </c>
      <c r="K76" s="410"/>
      <c r="L76" s="410"/>
      <c r="M76" s="410"/>
      <c r="N76" s="435"/>
      <c r="O76" s="421"/>
      <c r="P76" s="421"/>
      <c r="Q76" s="411">
        <f t="shared" si="42"/>
        <v>7.9273351225654762</v>
      </c>
      <c r="R76" s="411">
        <f t="shared" si="43"/>
        <v>626.58854166666663</v>
      </c>
      <c r="T76" s="443"/>
      <c r="U76" s="433"/>
      <c r="V76" s="457" t="s">
        <v>173</v>
      </c>
      <c r="W76" s="297"/>
      <c r="X76" s="407"/>
      <c r="Y76" s="407"/>
      <c r="Z76" s="407"/>
      <c r="AA76" s="407"/>
      <c r="AB76" s="407">
        <f t="shared" si="38"/>
        <v>0</v>
      </c>
      <c r="AC76" s="326"/>
      <c r="AD76" s="456"/>
      <c r="AE76" s="17"/>
      <c r="AI76"/>
      <c r="AJ76"/>
      <c r="AK76"/>
    </row>
    <row r="77" spans="1:39" ht="16.350000000000001" customHeight="1">
      <c r="A77" s="420"/>
      <c r="B77" s="295"/>
      <c r="C77" s="40" t="s">
        <v>174</v>
      </c>
      <c r="D77" s="441"/>
      <c r="E77" s="422" t="s">
        <v>175</v>
      </c>
      <c r="F77" s="418">
        <f>SUM(F74:F76)</f>
        <v>64920.383596567466</v>
      </c>
      <c r="G77" s="418">
        <f>SUM(G74:G76)</f>
        <v>37123.082036930755</v>
      </c>
      <c r="H77" s="418">
        <f>SUM(H74:H76)</f>
        <v>18261.534366501779</v>
      </c>
      <c r="I77" s="418">
        <f>SUM(I74:I76)</f>
        <v>0</v>
      </c>
      <c r="J77" s="434">
        <f>F77+G77+H77+I77</f>
        <v>120305</v>
      </c>
      <c r="K77" s="410">
        <f>F77/SF.LLS</f>
        <v>6.9986194298473903</v>
      </c>
      <c r="L77" s="410">
        <f>G77/SF.LLTS</f>
        <v>11.119156199472471</v>
      </c>
      <c r="M77" s="410">
        <f>H77/SF.PLS</f>
        <v>7.1302366783939091</v>
      </c>
      <c r="N77" s="435" t="e">
        <f>I77/SF.COMM</f>
        <v>#DIV/0!</v>
      </c>
      <c r="O77" s="421"/>
      <c r="P77" s="421"/>
      <c r="Q77" s="436">
        <f>J77/SF.T</f>
        <v>7.9273351225654762</v>
      </c>
      <c r="R77" s="436">
        <f t="shared" si="43"/>
        <v>626.58854166666663</v>
      </c>
      <c r="T77" s="412"/>
      <c r="U77" s="458"/>
      <c r="V77" s="406" t="s">
        <v>176</v>
      </c>
      <c r="W77" s="459"/>
      <c r="X77" s="460">
        <f>[1]Bdgt!R176</f>
        <v>0</v>
      </c>
      <c r="Y77" s="460">
        <f>[1]Bdgt!V176</f>
        <v>0</v>
      </c>
      <c r="Z77" s="460">
        <f>[1]Bdgt!W176</f>
        <v>0</v>
      </c>
      <c r="AA77" s="460"/>
      <c r="AB77" s="460">
        <f t="shared" si="38"/>
        <v>0</v>
      </c>
      <c r="AC77" s="326"/>
      <c r="AD77" s="451"/>
      <c r="AE77" s="17"/>
      <c r="AI77"/>
      <c r="AJ77"/>
      <c r="AK77"/>
    </row>
    <row r="78" spans="1:39" ht="16.350000000000001" customHeight="1">
      <c r="A78" s="420"/>
      <c r="B78" s="295"/>
      <c r="C78" s="40"/>
      <c r="D78" s="461"/>
      <c r="E78" s="422" t="s">
        <v>177</v>
      </c>
      <c r="F78" s="434">
        <f>'[1]FFD LLS'!D78</f>
        <v>0</v>
      </c>
      <c r="G78" s="434">
        <f>'[1]FFD LLTS'!D78</f>
        <v>0</v>
      </c>
      <c r="H78" s="434">
        <f>'[1]FFD PLS'!D78</f>
        <v>0</v>
      </c>
      <c r="I78" s="434"/>
      <c r="J78" s="434">
        <f>F78+G78+H78+I78</f>
        <v>0</v>
      </c>
      <c r="K78" s="410"/>
      <c r="L78" s="410"/>
      <c r="M78" s="410"/>
      <c r="N78" s="435"/>
      <c r="O78" s="421"/>
      <c r="P78" s="421"/>
      <c r="Q78" s="436">
        <f t="shared" si="42"/>
        <v>0</v>
      </c>
      <c r="R78" s="436">
        <f t="shared" si="43"/>
        <v>0</v>
      </c>
      <c r="T78" s="412"/>
      <c r="U78" s="458"/>
      <c r="V78" s="416" t="s">
        <v>178</v>
      </c>
      <c r="W78" s="417"/>
      <c r="X78" s="460">
        <f>[1]Bdgt!R175</f>
        <v>-27899.384566869077</v>
      </c>
      <c r="Y78" s="460">
        <f>[1]Bdgt!V175</f>
        <v>-13791.59209014089</v>
      </c>
      <c r="Z78" s="460">
        <f>[1]Bdgt!Z175</f>
        <v>-21863.470323191748</v>
      </c>
      <c r="AA78" s="460"/>
      <c r="AB78" s="460">
        <f>X78+Y78+Z78+AA78</f>
        <v>-63554.446980201712</v>
      </c>
      <c r="AC78" s="326"/>
      <c r="AD78" s="451"/>
      <c r="AE78" s="17"/>
      <c r="AI78"/>
      <c r="AJ78"/>
      <c r="AK78"/>
    </row>
    <row r="79" spans="1:39" ht="16.350000000000001" customHeight="1">
      <c r="A79" s="420"/>
      <c r="B79" s="296"/>
      <c r="C79" s="296"/>
      <c r="D79" s="297"/>
      <c r="E79" s="328" t="s">
        <v>179</v>
      </c>
      <c r="F79" s="462">
        <f>F68+F73+F77+F78</f>
        <v>64920.383596567466</v>
      </c>
      <c r="G79" s="462">
        <f>G68+G73+G77+G78</f>
        <v>37123.082036930755</v>
      </c>
      <c r="H79" s="462">
        <f>H68+H73+H77+H78</f>
        <v>18261.534366501779</v>
      </c>
      <c r="I79" s="462">
        <f>I68+I73+I77+I78</f>
        <v>0</v>
      </c>
      <c r="J79" s="462">
        <f>J68+J73+J77+J78</f>
        <v>120305</v>
      </c>
      <c r="K79" s="410">
        <f>F79/SF.LLS</f>
        <v>6.9986194298473903</v>
      </c>
      <c r="L79" s="410">
        <f>G79/SF.LLTS</f>
        <v>11.119156199472471</v>
      </c>
      <c r="M79" s="410">
        <f>H79/SF.PLS</f>
        <v>7.1302366783939091</v>
      </c>
      <c r="N79" s="435" t="e">
        <f>I79/SF.COMM</f>
        <v>#DIV/0!</v>
      </c>
      <c r="O79" s="421"/>
      <c r="P79" s="421"/>
      <c r="Q79" s="463">
        <f>Q68+Q73+Q77+Q78</f>
        <v>7.9273351225654762</v>
      </c>
      <c r="R79" s="463">
        <f>R68+R73+R77+R78</f>
        <v>626.58854166666663</v>
      </c>
      <c r="T79" s="464"/>
      <c r="U79" s="39"/>
      <c r="V79" s="416" t="s">
        <v>180</v>
      </c>
      <c r="W79" s="417"/>
      <c r="X79" s="462">
        <f>X65+X72+X75+X77+X78</f>
        <v>64920.383596567481</v>
      </c>
      <c r="Y79" s="462">
        <f>Y65+Y72+Y75+Y77+Y78</f>
        <v>37123.08203693074</v>
      </c>
      <c r="Z79" s="462">
        <f>Z65+Z72+Z75+Z77+Credit_Impot_PLS</f>
        <v>18261.534366501775</v>
      </c>
      <c r="AA79" s="462">
        <f>AA65+AA72+AA75+AA77+AA78</f>
        <v>0</v>
      </c>
      <c r="AB79" s="462">
        <f>X79+Y79+Z79+AA79</f>
        <v>120304.99999999999</v>
      </c>
      <c r="AC79" s="465">
        <f>AB79-(AB72+AB75+AB65+AB78)</f>
        <v>0</v>
      </c>
      <c r="AD79" s="329"/>
      <c r="AE79" s="17"/>
      <c r="AI79"/>
      <c r="AJ79"/>
      <c r="AK79"/>
    </row>
    <row r="80" spans="1:39" ht="16.350000000000001" customHeight="1">
      <c r="A80" s="37"/>
      <c r="B80" s="38"/>
      <c r="C80" s="38"/>
      <c r="D80" s="39"/>
      <c r="E80" s="39"/>
      <c r="F80" s="466">
        <f>F79-'[1]FFD LLS'!D82</f>
        <v>0</v>
      </c>
      <c r="G80" s="466">
        <f>G79-'[1]FFD LLTS'!D82</f>
        <v>0</v>
      </c>
      <c r="H80" s="466">
        <f>H79-'[1]FFD PLS'!D82</f>
        <v>0</v>
      </c>
      <c r="J80" s="412">
        <f>(F79+G79+H79+I79-J79)</f>
        <v>0</v>
      </c>
      <c r="K80" s="467"/>
      <c r="L80" s="468"/>
      <c r="M80" s="468"/>
      <c r="N80" s="469"/>
      <c r="O80" s="468"/>
      <c r="P80" s="468"/>
      <c r="Q80" s="326"/>
      <c r="R80" s="470"/>
      <c r="S80" s="471"/>
      <c r="T80" s="471"/>
      <c r="U80" s="11"/>
      <c r="V80" s="416"/>
      <c r="W80" s="417"/>
      <c r="X80" s="472">
        <f>X79-F79</f>
        <v>0</v>
      </c>
      <c r="Y80" s="472">
        <f>Y79-G79</f>
        <v>0</v>
      </c>
      <c r="Z80" s="472">
        <f>Z79-H79</f>
        <v>0</v>
      </c>
      <c r="AA80" s="472">
        <f>AA79-I79</f>
        <v>0</v>
      </c>
      <c r="AB80" s="473">
        <f>AB79-J79</f>
        <v>0</v>
      </c>
      <c r="AC80" s="11"/>
      <c r="AD80" s="329"/>
      <c r="AI80"/>
      <c r="AJ80"/>
      <c r="AK80"/>
    </row>
    <row r="81" spans="1:40" ht="16.350000000000001" customHeight="1">
      <c r="A81" s="37"/>
      <c r="B81" s="38"/>
      <c r="C81" s="38"/>
      <c r="D81" s="39"/>
      <c r="E81" s="39"/>
      <c r="F81" s="474"/>
      <c r="G81" s="474"/>
      <c r="I81" s="474"/>
      <c r="J81" s="474"/>
      <c r="K81" s="475"/>
      <c r="L81" s="475"/>
      <c r="M81" s="475"/>
      <c r="N81" s="475"/>
      <c r="O81" s="475"/>
      <c r="P81" s="475"/>
      <c r="Q81" s="476"/>
      <c r="R81" s="476"/>
      <c r="S81" s="476"/>
      <c r="T81" s="476"/>
      <c r="U81" s="39"/>
      <c r="V81" s="39"/>
      <c r="W81" s="39"/>
      <c r="X81" s="39"/>
      <c r="Y81" s="39"/>
      <c r="Z81" s="39"/>
      <c r="AA81" s="39"/>
      <c r="AB81" s="39"/>
      <c r="AC81" s="329"/>
      <c r="AI81"/>
      <c r="AJ81"/>
    </row>
    <row r="82" spans="1:40" s="489" customFormat="1" ht="21.2" customHeight="1">
      <c r="A82" s="477" t="s">
        <v>181</v>
      </c>
      <c r="B82" s="478"/>
      <c r="C82" s="479"/>
      <c r="D82" s="480"/>
      <c r="E82" s="481" t="s">
        <v>182</v>
      </c>
      <c r="F82" s="482"/>
      <c r="G82" s="482"/>
      <c r="H82" s="482"/>
      <c r="I82" s="483"/>
      <c r="J82" s="479"/>
      <c r="K82" s="484"/>
      <c r="L82" s="484"/>
      <c r="M82" s="484"/>
      <c r="N82" s="484"/>
      <c r="O82" s="484"/>
      <c r="P82" s="484"/>
      <c r="Q82" s="485" t="s">
        <v>183</v>
      </c>
      <c r="R82" s="484"/>
      <c r="S82" s="484"/>
      <c r="T82" s="486"/>
      <c r="U82" s="487"/>
      <c r="V82" s="481" t="s">
        <v>184</v>
      </c>
      <c r="W82" s="482"/>
      <c r="X82" s="482"/>
      <c r="Y82" s="482"/>
      <c r="Z82" s="482"/>
      <c r="AA82" s="483"/>
      <c r="AB82" s="481" t="s">
        <v>185</v>
      </c>
      <c r="AC82" s="488"/>
      <c r="AD82" s="129"/>
      <c r="AE82" s="129"/>
      <c r="AF82" s="129"/>
      <c r="AG82" s="129"/>
      <c r="AH82" s="129"/>
      <c r="AI82" s="129"/>
    </row>
    <row r="83" spans="1:40" s="188" customFormat="1" ht="20.25" customHeight="1" thickBot="1">
      <c r="A83" s="490"/>
      <c r="B83" s="328"/>
      <c r="C83"/>
      <c r="E83" s="491" t="s">
        <v>117</v>
      </c>
      <c r="F83" s="492">
        <f>C59</f>
        <v>127.77</v>
      </c>
      <c r="G83" s="493" t="str">
        <f>B59</f>
        <v>2 TR 2018</v>
      </c>
      <c r="H83" s="494" t="s">
        <v>186</v>
      </c>
      <c r="I83" s="495">
        <f>A59</f>
        <v>43466</v>
      </c>
      <c r="J83" s="495"/>
      <c r="K83" s="361"/>
      <c r="L83" s="361"/>
      <c r="M83" s="361"/>
      <c r="N83" s="496" t="s">
        <v>187</v>
      </c>
      <c r="O83" s="496"/>
      <c r="P83" s="496"/>
      <c r="Q83" s="497">
        <f>1.015^2</f>
        <v>1.0302249999999997</v>
      </c>
      <c r="R83" s="492">
        <f>F83*Q83</f>
        <v>131.63184824999996</v>
      </c>
      <c r="S83" s="493" t="s">
        <v>188</v>
      </c>
      <c r="T83" s="498">
        <v>43282</v>
      </c>
      <c r="U83" s="499"/>
      <c r="V83" s="491" t="s">
        <v>117</v>
      </c>
      <c r="W83" s="500">
        <f>R83</f>
        <v>131.63184824999996</v>
      </c>
      <c r="X83" s="493" t="s">
        <v>189</v>
      </c>
      <c r="Y83" s="498" t="s">
        <v>190</v>
      </c>
      <c r="Z83" s="501"/>
      <c r="AA83" s="502"/>
      <c r="AB83" s="298"/>
      <c r="AC83" s="451"/>
      <c r="AD83"/>
      <c r="AE83"/>
      <c r="AF83"/>
      <c r="AG83"/>
      <c r="AH83"/>
      <c r="AI83"/>
    </row>
    <row r="84" spans="1:40" s="21" customFormat="1" ht="38.25" customHeight="1">
      <c r="A84" s="503" t="str">
        <f>$A9</f>
        <v>Type</v>
      </c>
      <c r="B84" s="504" t="s">
        <v>110</v>
      </c>
      <c r="C84" s="505" t="s">
        <v>51</v>
      </c>
      <c r="D84" s="506" t="s">
        <v>191</v>
      </c>
      <c r="E84" s="507" t="s">
        <v>192</v>
      </c>
      <c r="F84" s="508"/>
      <c r="G84" s="508"/>
      <c r="H84" s="509"/>
      <c r="I84" s="510" t="s">
        <v>193</v>
      </c>
      <c r="J84" s="511"/>
      <c r="K84" s="512" t="s">
        <v>194</v>
      </c>
      <c r="L84" s="513"/>
      <c r="M84" s="514"/>
      <c r="N84" s="515" t="s">
        <v>195</v>
      </c>
      <c r="O84" s="516" t="s">
        <v>196</v>
      </c>
      <c r="P84" s="517" t="s">
        <v>54</v>
      </c>
      <c r="Q84" s="518" t="s">
        <v>192</v>
      </c>
      <c r="R84" s="508"/>
      <c r="S84" s="508"/>
      <c r="T84" s="519"/>
      <c r="U84" s="520"/>
      <c r="V84" s="507" t="s">
        <v>197</v>
      </c>
      <c r="W84" s="508"/>
      <c r="X84" s="508"/>
      <c r="Y84" s="508"/>
      <c r="Z84" s="521" t="s">
        <v>198</v>
      </c>
      <c r="AA84" s="522" t="s">
        <v>54</v>
      </c>
      <c r="AB84" s="523" t="s">
        <v>199</v>
      </c>
      <c r="AC84" s="524" t="s">
        <v>199</v>
      </c>
      <c r="AD84" s="523" t="s">
        <v>200</v>
      </c>
      <c r="AE84" s="525" t="s">
        <v>201</v>
      </c>
      <c r="AF84" s="526" t="s">
        <v>202</v>
      </c>
      <c r="AG84" s="527" t="s">
        <v>203</v>
      </c>
      <c r="AH84" s="528" t="s">
        <v>204</v>
      </c>
      <c r="AI84" s="529" t="s">
        <v>205</v>
      </c>
      <c r="AJ84" s="530" t="s">
        <v>206</v>
      </c>
      <c r="AK84" s="520"/>
      <c r="AL84" s="520"/>
      <c r="AM84" s="520"/>
      <c r="AN84" s="520"/>
    </row>
    <row r="85" spans="1:40" s="21" customFormat="1" ht="16.350000000000001" customHeight="1" thickBot="1">
      <c r="A85" s="531"/>
      <c r="B85" s="532"/>
      <c r="C85" s="533"/>
      <c r="D85" s="534"/>
      <c r="E85" s="535" t="s">
        <v>207</v>
      </c>
      <c r="F85" s="536" t="s">
        <v>208</v>
      </c>
      <c r="G85" s="537" t="s">
        <v>209</v>
      </c>
      <c r="H85" s="536" t="s">
        <v>210</v>
      </c>
      <c r="I85" s="538"/>
      <c r="J85" s="539"/>
      <c r="K85" s="540" t="s">
        <v>17</v>
      </c>
      <c r="L85" s="541" t="s">
        <v>21</v>
      </c>
      <c r="M85" s="541" t="s">
        <v>24</v>
      </c>
      <c r="N85" s="542" t="s">
        <v>211</v>
      </c>
      <c r="O85" s="543"/>
      <c r="P85" s="544" t="s">
        <v>212</v>
      </c>
      <c r="Q85" s="545" t="s">
        <v>207</v>
      </c>
      <c r="R85" s="536" t="s">
        <v>208</v>
      </c>
      <c r="S85" s="537" t="s">
        <v>209</v>
      </c>
      <c r="T85" s="546" t="s">
        <v>210</v>
      </c>
      <c r="U85" s="520"/>
      <c r="V85" s="547" t="s">
        <v>207</v>
      </c>
      <c r="W85" s="536" t="s">
        <v>213</v>
      </c>
      <c r="X85" s="537" t="s">
        <v>214</v>
      </c>
      <c r="Y85" s="548" t="s">
        <v>210</v>
      </c>
      <c r="Z85" s="549" t="s">
        <v>215</v>
      </c>
      <c r="AA85" s="550" t="s">
        <v>216</v>
      </c>
      <c r="AB85" s="551" t="s">
        <v>217</v>
      </c>
      <c r="AC85" s="552" t="s">
        <v>218</v>
      </c>
      <c r="AD85" s="551" t="s">
        <v>219</v>
      </c>
      <c r="AE85" s="552"/>
      <c r="AF85" s="553" t="s">
        <v>220</v>
      </c>
      <c r="AG85" s="554"/>
      <c r="AH85" s="555"/>
      <c r="AI85" s="520"/>
      <c r="AJ85" s="520"/>
      <c r="AK85" s="520"/>
      <c r="AL85" s="520"/>
      <c r="AM85" s="520"/>
      <c r="AN85" s="520"/>
    </row>
    <row r="86" spans="1:40" s="172" customFormat="1" ht="16.350000000000001" customHeight="1">
      <c r="A86" s="556" t="s">
        <v>3</v>
      </c>
      <c r="B86" s="557"/>
      <c r="C86" s="558"/>
      <c r="D86" s="559"/>
      <c r="E86" s="560"/>
      <c r="F86" s="561">
        <f>D59</f>
        <v>7.06</v>
      </c>
      <c r="G86" s="562"/>
      <c r="H86" s="563"/>
      <c r="I86" s="564"/>
      <c r="J86" s="565"/>
      <c r="K86" s="566"/>
      <c r="L86" s="567"/>
      <c r="M86" s="567"/>
      <c r="N86" s="568"/>
      <c r="O86" s="569"/>
      <c r="P86" s="570"/>
      <c r="Q86" s="571"/>
      <c r="R86" s="561">
        <f>LMDom/$F$83*$R$83</f>
        <v>7.2733884999999976</v>
      </c>
      <c r="S86" s="562"/>
      <c r="T86" s="572"/>
      <c r="U86" s="573"/>
      <c r="V86" s="574"/>
      <c r="W86" s="575"/>
      <c r="X86" s="562"/>
      <c r="Y86" s="572"/>
      <c r="Z86" s="576">
        <v>1.25</v>
      </c>
      <c r="AA86" s="577"/>
      <c r="AB86" s="578"/>
      <c r="AC86" s="578"/>
      <c r="AD86" s="578"/>
      <c r="AE86" s="578"/>
      <c r="AF86" s="579"/>
      <c r="AG86" s="580"/>
      <c r="AH86" s="581"/>
      <c r="AI86" s="582" t="str">
        <f>TYPE1</f>
        <v>LLS</v>
      </c>
      <c r="AJ86" s="582"/>
      <c r="AK86" s="582"/>
      <c r="AL86" s="582"/>
      <c r="AM86" s="582"/>
      <c r="AN86" s="582"/>
    </row>
    <row r="87" spans="1:40" ht="16.350000000000001" customHeight="1" outlineLevel="1">
      <c r="A87" s="490" t="str">
        <f>$A11</f>
        <v>T III +V a</v>
      </c>
      <c r="B87" s="583">
        <f>$V11</f>
        <v>6</v>
      </c>
      <c r="C87" s="584">
        <f>$AC11</f>
        <v>494.64</v>
      </c>
      <c r="D87" s="585">
        <f>0.685*(31*B87+C87)/C87</f>
        <v>0.94258127122755953</v>
      </c>
      <c r="E87" s="586">
        <f t="shared" ref="E87:E91" si="46">LMDom*D87*M87</f>
        <v>548.60718399999996</v>
      </c>
      <c r="F87" s="587">
        <f t="shared" ref="F87" si="47">LMDom*D87</f>
        <v>6.65462377486657</v>
      </c>
      <c r="G87" s="588">
        <f>$E87/L87</f>
        <v>7.8439688876179581</v>
      </c>
      <c r="H87" s="589">
        <f>$E87/K87</f>
        <v>7.8439688876179581</v>
      </c>
      <c r="I87" s="590">
        <f>E87*B87*12</f>
        <v>39499.717248000001</v>
      </c>
      <c r="J87" s="591"/>
      <c r="K87" s="592">
        <f>$J11</f>
        <v>69.94</v>
      </c>
      <c r="L87" s="593">
        <f>$R11</f>
        <v>69.94</v>
      </c>
      <c r="M87" s="593">
        <f>$U11</f>
        <v>82.44</v>
      </c>
      <c r="N87" s="594">
        <f>V87*B87*12</f>
        <v>40693.596201820779</v>
      </c>
      <c r="O87" s="595">
        <f>Z87*B87*12</f>
        <v>6294.5999999999995</v>
      </c>
      <c r="P87" s="596">
        <f>N87+O87</f>
        <v>46988.196201820778</v>
      </c>
      <c r="Q87" s="597">
        <f>E87/$F$83*$R$83</f>
        <v>565.1888361363998</v>
      </c>
      <c r="R87" s="587">
        <f>$Q87/M87</f>
        <v>6.8557597784619091</v>
      </c>
      <c r="S87" s="587">
        <f>$Q87/L87</f>
        <v>8.0810528472462089</v>
      </c>
      <c r="T87" s="598">
        <f>$Q87/K87</f>
        <v>8.0810528472462089</v>
      </c>
      <c r="U87" s="599"/>
      <c r="V87" s="600">
        <f>Q87</f>
        <v>565.1888361363998</v>
      </c>
      <c r="W87" s="587">
        <f>$Q87/M87</f>
        <v>6.8557597784619091</v>
      </c>
      <c r="X87" s="587">
        <f>$Q87/L87</f>
        <v>8.0810528472462089</v>
      </c>
      <c r="Y87" s="598">
        <f>$Q87/K87</f>
        <v>8.0810528472462089</v>
      </c>
      <c r="Z87" s="601">
        <f>$Z$86*K87</f>
        <v>87.424999999999997</v>
      </c>
      <c r="AA87" s="602">
        <f>V87+Z87</f>
        <v>652.61383613639975</v>
      </c>
      <c r="AB87" s="603">
        <f>AC87-Z87</f>
        <v>565.1888361363998</v>
      </c>
      <c r="AC87" s="603">
        <f>AA87*(1-AG87)</f>
        <v>652.61383613639975</v>
      </c>
      <c r="AD87" s="603">
        <f>IF((V87&gt;AB87),(AB87*B87),(V87*B87))</f>
        <v>3391.1330168183986</v>
      </c>
      <c r="AE87" s="604">
        <f>IF((AB87-V87)&gt;0,0,(AB87-V87))</f>
        <v>0</v>
      </c>
      <c r="AF87" s="605">
        <f>IF(TYPE1="LLS",VLOOKUP(A87,BASELOYERMAX,2),"")</f>
        <v>590</v>
      </c>
      <c r="AG87" s="606"/>
      <c r="AH87" s="607">
        <f>AC87-AF87</f>
        <v>62.613836136399755</v>
      </c>
      <c r="AI87" s="608" t="str">
        <f>A87</f>
        <v>T III +V a</v>
      </c>
      <c r="AJ87" s="609">
        <f>IF(AA87&gt;AF87,(AA87-AF87)/AA87,0)</f>
        <v>9.5943163735365752E-2</v>
      </c>
      <c r="AK87"/>
      <c r="AL87"/>
      <c r="AM87"/>
      <c r="AN87"/>
    </row>
    <row r="88" spans="1:40" ht="16.350000000000001" customHeight="1" outlineLevel="1">
      <c r="A88" s="490" t="str">
        <f>$A12</f>
        <v>T III +V a</v>
      </c>
      <c r="B88" s="583">
        <f>$V12</f>
        <v>3</v>
      </c>
      <c r="C88" s="584">
        <f>$AC12</f>
        <v>262.40999999999997</v>
      </c>
      <c r="D88" s="585">
        <f t="shared" ref="D88:D90" si="48">0.685*(31*B88+C88)/C88</f>
        <v>0.9277689493540644</v>
      </c>
      <c r="E88" s="586">
        <f t="shared" ref="E88:E90" si="49">LMDom*D88*M88</f>
        <v>572.93276700000013</v>
      </c>
      <c r="F88" s="587">
        <f t="shared" ref="F88:F90" si="50">LMDom*D88</f>
        <v>6.5500487824396947</v>
      </c>
      <c r="G88" s="588">
        <f t="shared" ref="G88:G90" si="51">$E88/L88</f>
        <v>7.6421604241696697</v>
      </c>
      <c r="H88" s="589">
        <f t="shared" ref="H88:H90" si="52">$E88/K88</f>
        <v>7.6421604241696697</v>
      </c>
      <c r="I88" s="590">
        <f t="shared" ref="I88:I90" si="53">E88*B88*12</f>
        <v>20625.579612000001</v>
      </c>
      <c r="J88" s="591"/>
      <c r="K88" s="592">
        <f>$J12</f>
        <v>74.97</v>
      </c>
      <c r="L88" s="593">
        <f>$R12</f>
        <v>74.97</v>
      </c>
      <c r="M88" s="593">
        <f>$U12</f>
        <v>87.47</v>
      </c>
      <c r="N88" s="594">
        <f t="shared" ref="N88:N90" si="54">V88*B88*12</f>
        <v>21248.987755772698</v>
      </c>
      <c r="O88" s="595">
        <f t="shared" ref="O88:O90" si="55">Z88*B88*12</f>
        <v>3373.6500000000005</v>
      </c>
      <c r="P88" s="596">
        <f t="shared" ref="P88:P90" si="56">N88+O88</f>
        <v>24622.637755772699</v>
      </c>
      <c r="Q88" s="597">
        <f>E88/$F$83*$R$83</f>
        <v>590.24965988257497</v>
      </c>
      <c r="R88" s="587">
        <f t="shared" ref="R88:R90" si="57">$Q88/M88</f>
        <v>6.748024006888933</v>
      </c>
      <c r="S88" s="587">
        <f t="shared" ref="S88:S90" si="58">$Q88/L88</f>
        <v>7.8731447229901956</v>
      </c>
      <c r="T88" s="598">
        <f t="shared" ref="T88:T90" si="59">$Q88/K88</f>
        <v>7.8731447229901956</v>
      </c>
      <c r="U88" s="599"/>
      <c r="V88" s="600">
        <f t="shared" ref="V88:V90" si="60">Q88</f>
        <v>590.24965988257497</v>
      </c>
      <c r="W88" s="587">
        <f t="shared" ref="W88:W90" si="61">$Q88/M88</f>
        <v>6.748024006888933</v>
      </c>
      <c r="X88" s="587">
        <f t="shared" ref="X88:X90" si="62">$Q88/L88</f>
        <v>7.8731447229901956</v>
      </c>
      <c r="Y88" s="598">
        <f t="shared" ref="Y88:Y90" si="63">$Q88/K88</f>
        <v>7.8731447229901956</v>
      </c>
      <c r="Z88" s="601">
        <f>$Z$86*K88</f>
        <v>93.712500000000006</v>
      </c>
      <c r="AA88" s="602">
        <f t="shared" ref="AA88:AA90" si="64">V88+Z88</f>
        <v>683.96215988257495</v>
      </c>
      <c r="AB88" s="603">
        <f t="shared" ref="AB88:AB90" si="65">AC88-Z88</f>
        <v>590.24965988257497</v>
      </c>
      <c r="AC88" s="603">
        <f t="shared" ref="AC88:AC90" si="66">AA88*(1-AG88)</f>
        <v>683.96215988257495</v>
      </c>
      <c r="AD88" s="603">
        <f t="shared" ref="AD88:AD90" si="67">IF((V88&gt;AB88),(AB88*B88),(V88*B88))</f>
        <v>1770.7489796477248</v>
      </c>
      <c r="AE88" s="604">
        <f t="shared" ref="AE88:AE90" si="68">IF((AB88-V88)&gt;0,0,(AB88-V88))</f>
        <v>0</v>
      </c>
      <c r="AF88" s="605">
        <f>IF(TYPE1="LLS",VLOOKUP(A88,BASELOYERMAX,2),"")</f>
        <v>590</v>
      </c>
      <c r="AG88" s="606"/>
      <c r="AH88" s="607">
        <f t="shared" ref="AH88:AH90" si="69">AC88-AF88</f>
        <v>93.962159882574952</v>
      </c>
      <c r="AI88" s="608" t="str">
        <f t="shared" ref="AI88:AI108" si="70">A88</f>
        <v>T III +V a</v>
      </c>
      <c r="AJ88" s="609">
        <f t="shared" ref="AJ88:AJ108" si="71">IF(AA88&gt;AF88,(AA88-AF88)/AA88,0)</f>
        <v>0.13737917884040063</v>
      </c>
      <c r="AK88"/>
      <c r="AL88"/>
      <c r="AM88"/>
      <c r="AN88"/>
    </row>
    <row r="89" spans="1:40" ht="16.350000000000001" customHeight="1" outlineLevel="1">
      <c r="A89" s="490" t="str">
        <f>$A17</f>
        <v>T IV + V a</v>
      </c>
      <c r="B89" s="583">
        <f>$V17</f>
        <v>18</v>
      </c>
      <c r="C89" s="584">
        <f>$AC17</f>
        <v>1774.98</v>
      </c>
      <c r="D89" s="585">
        <f t="shared" si="48"/>
        <v>0.90034327147348137</v>
      </c>
      <c r="E89" s="586">
        <f t="shared" si="49"/>
        <v>626.80692099999987</v>
      </c>
      <c r="F89" s="587">
        <f t="shared" si="50"/>
        <v>6.3564234966027779</v>
      </c>
      <c r="G89" s="588">
        <f t="shared" si="51"/>
        <v>7.2791420392521182</v>
      </c>
      <c r="H89" s="589">
        <f t="shared" si="52"/>
        <v>7.6758133847661023</v>
      </c>
      <c r="I89" s="590">
        <f t="shared" si="53"/>
        <v>135390.29493599996</v>
      </c>
      <c r="J89" s="591"/>
      <c r="K89" s="592">
        <f>$J17</f>
        <v>81.66</v>
      </c>
      <c r="L89" s="593">
        <f>$R17</f>
        <v>86.11</v>
      </c>
      <c r="M89" s="593">
        <f>$U17</f>
        <v>98.61</v>
      </c>
      <c r="N89" s="594">
        <f t="shared" si="54"/>
        <v>139482.46660044053</v>
      </c>
      <c r="O89" s="595">
        <f t="shared" si="55"/>
        <v>22048.199999999997</v>
      </c>
      <c r="P89" s="596">
        <f t="shared" si="56"/>
        <v>161530.66660044051</v>
      </c>
      <c r="Q89" s="597">
        <f>E89/$F$83*$R$83</f>
        <v>645.7521601872246</v>
      </c>
      <c r="R89" s="587">
        <f t="shared" si="57"/>
        <v>6.5485463967875939</v>
      </c>
      <c r="S89" s="587">
        <f t="shared" si="58"/>
        <v>7.4991541073885104</v>
      </c>
      <c r="T89" s="598">
        <f t="shared" si="59"/>
        <v>7.9078148443206544</v>
      </c>
      <c r="U89" s="599"/>
      <c r="V89" s="600">
        <f t="shared" si="60"/>
        <v>645.7521601872246</v>
      </c>
      <c r="W89" s="587">
        <f t="shared" si="61"/>
        <v>6.5485463967875939</v>
      </c>
      <c r="X89" s="587">
        <f t="shared" si="62"/>
        <v>7.4991541073885104</v>
      </c>
      <c r="Y89" s="598">
        <f t="shared" si="63"/>
        <v>7.9078148443206544</v>
      </c>
      <c r="Z89" s="601">
        <f>$Z$86*K89</f>
        <v>102.07499999999999</v>
      </c>
      <c r="AA89" s="602">
        <f t="shared" si="64"/>
        <v>747.82716018722454</v>
      </c>
      <c r="AB89" s="603">
        <f t="shared" si="65"/>
        <v>645.75216018722449</v>
      </c>
      <c r="AC89" s="603">
        <f t="shared" si="66"/>
        <v>747.82716018722454</v>
      </c>
      <c r="AD89" s="603">
        <f t="shared" si="67"/>
        <v>11623.538883370042</v>
      </c>
      <c r="AE89" s="604">
        <f t="shared" si="68"/>
        <v>-1.1368683772161603E-13</v>
      </c>
      <c r="AF89" s="605">
        <f>IF(TYPE1="LLS",VLOOKUP(A89,BASELOYERMAX,2),"")</f>
        <v>700</v>
      </c>
      <c r="AG89" s="606"/>
      <c r="AH89" s="607">
        <f t="shared" si="69"/>
        <v>47.827160187224536</v>
      </c>
      <c r="AI89" s="608" t="str">
        <f t="shared" si="70"/>
        <v>T IV + V a</v>
      </c>
      <c r="AJ89" s="609">
        <f t="shared" si="71"/>
        <v>6.3954831722413799E-2</v>
      </c>
      <c r="AK89"/>
      <c r="AL89"/>
      <c r="AM89"/>
      <c r="AN89"/>
    </row>
    <row r="90" spans="1:40" ht="16.350000000000001" customHeight="1" outlineLevel="1">
      <c r="A90" s="490" t="str">
        <f>$A21</f>
        <v>T V +V a</v>
      </c>
      <c r="B90" s="583">
        <f>$V21</f>
        <v>1</v>
      </c>
      <c r="C90" s="584">
        <f>$AC21</f>
        <v>106.78</v>
      </c>
      <c r="D90" s="585">
        <f t="shared" si="48"/>
        <v>0.88386682899419378</v>
      </c>
      <c r="E90" s="586">
        <f t="shared" si="49"/>
        <v>666.317858</v>
      </c>
      <c r="F90" s="587">
        <f t="shared" si="50"/>
        <v>6.2400998126990075</v>
      </c>
      <c r="G90" s="588">
        <f t="shared" si="51"/>
        <v>7.0674359142978362</v>
      </c>
      <c r="H90" s="589">
        <f t="shared" si="52"/>
        <v>7.0674359142978362</v>
      </c>
      <c r="I90" s="590">
        <f t="shared" si="53"/>
        <v>7995.8142960000005</v>
      </c>
      <c r="J90" s="591"/>
      <c r="K90" s="592">
        <f>$J21</f>
        <v>94.28</v>
      </c>
      <c r="L90" s="593">
        <f>$R21</f>
        <v>94.28</v>
      </c>
      <c r="M90" s="593">
        <f>$U21</f>
        <v>106.78</v>
      </c>
      <c r="N90" s="594">
        <f t="shared" si="54"/>
        <v>8237.4877830965997</v>
      </c>
      <c r="O90" s="595">
        <f t="shared" si="55"/>
        <v>1414.1999999999998</v>
      </c>
      <c r="P90" s="596">
        <f t="shared" si="56"/>
        <v>9651.6877830966005</v>
      </c>
      <c r="Q90" s="597">
        <f>E90/$F$83*$R$83</f>
        <v>686.4573152580499</v>
      </c>
      <c r="R90" s="587">
        <f t="shared" si="57"/>
        <v>6.428706829537834</v>
      </c>
      <c r="S90" s="587">
        <f t="shared" si="58"/>
        <v>7.2810491648074871</v>
      </c>
      <c r="T90" s="598">
        <f t="shared" si="59"/>
        <v>7.2810491648074871</v>
      </c>
      <c r="U90" s="599"/>
      <c r="V90" s="600">
        <f t="shared" si="60"/>
        <v>686.4573152580499</v>
      </c>
      <c r="W90" s="587">
        <f t="shared" si="61"/>
        <v>6.428706829537834</v>
      </c>
      <c r="X90" s="587">
        <f t="shared" si="62"/>
        <v>7.2810491648074871</v>
      </c>
      <c r="Y90" s="598">
        <f t="shared" si="63"/>
        <v>7.2810491648074871</v>
      </c>
      <c r="Z90" s="601">
        <f>$Z$86*K90</f>
        <v>117.85</v>
      </c>
      <c r="AA90" s="602">
        <f t="shared" si="64"/>
        <v>804.30731525804993</v>
      </c>
      <c r="AB90" s="603">
        <f t="shared" si="65"/>
        <v>686.4573152580499</v>
      </c>
      <c r="AC90" s="603">
        <f t="shared" si="66"/>
        <v>804.30731525804993</v>
      </c>
      <c r="AD90" s="603">
        <f t="shared" si="67"/>
        <v>686.4573152580499</v>
      </c>
      <c r="AE90" s="604">
        <f t="shared" si="68"/>
        <v>0</v>
      </c>
      <c r="AF90" s="605">
        <f>IF(TYPE1="LLS",VLOOKUP(A90,BASELOYERMAX,2),"")</f>
        <v>800</v>
      </c>
      <c r="AG90" s="606"/>
      <c r="AH90" s="607">
        <f t="shared" si="69"/>
        <v>4.3073152580499254</v>
      </c>
      <c r="AI90" s="608" t="str">
        <f t="shared" si="70"/>
        <v>T V +V a</v>
      </c>
      <c r="AJ90" s="609">
        <f t="shared" si="71"/>
        <v>5.3553103102984808E-3</v>
      </c>
      <c r="AK90"/>
      <c r="AL90"/>
      <c r="AM90"/>
      <c r="AN90"/>
    </row>
    <row r="91" spans="1:40" ht="16.350000000000001" customHeight="1">
      <c r="A91" s="610" t="s">
        <v>221</v>
      </c>
      <c r="B91" s="611">
        <f>SUM(B87:B90)</f>
        <v>28</v>
      </c>
      <c r="C91" s="612">
        <f>SUM(C87:C90)</f>
        <v>2638.81</v>
      </c>
      <c r="D91" s="613">
        <f>0.685*(31*B91+C91)/C91</f>
        <v>0.91032126223562904</v>
      </c>
      <c r="E91" s="614">
        <f t="shared" si="46"/>
        <v>2129.1686131704519</v>
      </c>
      <c r="F91" s="615">
        <f>IFERROR(LMDom*D91,0)</f>
        <v>6.4268681113835404</v>
      </c>
      <c r="G91" s="616">
        <f>$E91/L91</f>
        <v>7.4626591370994992</v>
      </c>
      <c r="H91" s="617">
        <f>$E91/K91</f>
        <v>7.5382428389421401</v>
      </c>
      <c r="I91" s="618">
        <f>SUM(I87:I90)</f>
        <v>203511.40609199996</v>
      </c>
      <c r="J91" s="619"/>
      <c r="K91" s="620">
        <f>SH.LLS/$B$91</f>
        <v>282.44892857142861</v>
      </c>
      <c r="L91" s="621">
        <f>SU.LLS/$B$91</f>
        <v>285.30964285714282</v>
      </c>
      <c r="M91" s="622">
        <f>SF.LLS/$B$91</f>
        <v>331.29178571428571</v>
      </c>
      <c r="N91" s="623">
        <f>SUM(N87:N90)</f>
        <v>209662.5383411306</v>
      </c>
      <c r="O91" s="624">
        <f>SUM(O87:O90)</f>
        <v>33130.649999999994</v>
      </c>
      <c r="P91" s="625">
        <f>SUM(P87:P90)</f>
        <v>242793.18834113059</v>
      </c>
      <c r="Q91" s="626">
        <f>E91/$F$83*$R$83</f>
        <v>2193.5227345035282</v>
      </c>
      <c r="R91" s="627">
        <f>$Q91/M91</f>
        <v>6.6211202000501057</v>
      </c>
      <c r="S91" s="616">
        <f>$Q91/L91</f>
        <v>7.6882180095183301</v>
      </c>
      <c r="T91" s="628">
        <f>$Q91/K91</f>
        <v>7.766086228749165</v>
      </c>
      <c r="U91" s="599"/>
      <c r="V91" s="629">
        <f>Y92/12/B91</f>
        <v>623.99564982479353</v>
      </c>
      <c r="W91" s="627">
        <f>$Q91/M91</f>
        <v>6.6211202000501057</v>
      </c>
      <c r="X91" s="616">
        <f>$Q91/L91</f>
        <v>7.6882180095183301</v>
      </c>
      <c r="Y91" s="617">
        <f>$Q91/K91</f>
        <v>7.766086228749165</v>
      </c>
      <c r="Z91" s="630">
        <f>$Z$86*L91</f>
        <v>356.63705357142851</v>
      </c>
      <c r="AA91" s="631">
        <f>P91/12/B91</f>
        <v>722.5987748247934</v>
      </c>
      <c r="AB91" s="632"/>
      <c r="AC91" s="632"/>
      <c r="AD91" s="632"/>
      <c r="AE91" s="632"/>
      <c r="AF91" s="633"/>
      <c r="AG91" s="634"/>
      <c r="AH91" s="635"/>
      <c r="AI91" s="608"/>
      <c r="AJ91" s="609"/>
      <c r="AK91"/>
      <c r="AL91"/>
      <c r="AM91"/>
      <c r="AN91"/>
    </row>
    <row r="92" spans="1:40" ht="16.350000000000001" customHeight="1" thickBot="1">
      <c r="A92" s="636"/>
      <c r="B92" s="190"/>
      <c r="C92" s="637">
        <f>SF.LLS-C91</f>
        <v>6637.3600000000006</v>
      </c>
      <c r="D92" s="638"/>
      <c r="E92" s="639" t="s">
        <v>222</v>
      </c>
      <c r="F92" s="640">
        <f>IFERROR(LP_LLS*(1+AE92),0)</f>
        <v>6.4268681113835395</v>
      </c>
      <c r="G92" s="641"/>
      <c r="H92" s="642" t="s">
        <v>223</v>
      </c>
      <c r="I92" s="642">
        <f>IFERROR((F91*SF.LLS*12),0)</f>
        <v>715400.65402527188</v>
      </c>
      <c r="J92" s="642"/>
      <c r="K92" s="643"/>
      <c r="L92" s="643"/>
      <c r="M92" s="643"/>
      <c r="N92" s="644" t="s">
        <v>224</v>
      </c>
      <c r="O92" s="645">
        <f>LP_LLS*Q83</f>
        <v>6.6211202000501066</v>
      </c>
      <c r="P92" s="646"/>
      <c r="Q92" s="642"/>
      <c r="R92" s="638"/>
      <c r="S92" s="642" t="s">
        <v>223</v>
      </c>
      <c r="T92" s="642">
        <f>IFERROR(I91/$F$83*$R$83,0)</f>
        <v>209662.5383411306</v>
      </c>
      <c r="U92" s="647"/>
      <c r="V92" s="642"/>
      <c r="W92" s="638"/>
      <c r="X92" s="642" t="s">
        <v>223</v>
      </c>
      <c r="Y92" s="642">
        <f>IFERROR(N91,0)</f>
        <v>209662.5383411306</v>
      </c>
      <c r="Z92" s="648"/>
      <c r="AA92" s="647"/>
      <c r="AB92" s="649"/>
      <c r="AC92" s="650" t="s">
        <v>225</v>
      </c>
      <c r="AD92" s="651">
        <f>IFERROR(SUM(AD87:AD90)*12,0)</f>
        <v>209662.53834113057</v>
      </c>
      <c r="AE92" s="652">
        <f>(AD92-T92)/Y92</f>
        <v>-1.3881273539377087E-16</v>
      </c>
      <c r="AF92" s="653"/>
      <c r="AG92" s="654" t="s">
        <v>226</v>
      </c>
      <c r="AH92" s="655">
        <f>AD92/12/SF.LLS</f>
        <v>1.8835228542700504</v>
      </c>
      <c r="AI92" s="608"/>
      <c r="AJ92" s="609"/>
      <c r="AK92"/>
      <c r="AL92"/>
      <c r="AM92"/>
      <c r="AN92"/>
    </row>
    <row r="93" spans="1:40" s="172" customFormat="1" ht="16.350000000000001" customHeight="1">
      <c r="A93" s="656" t="s">
        <v>4</v>
      </c>
      <c r="B93" s="657"/>
      <c r="C93" s="658"/>
      <c r="D93" s="659"/>
      <c r="E93" s="660"/>
      <c r="F93" s="561">
        <f>LMDom*0.8</f>
        <v>5.6479999999999997</v>
      </c>
      <c r="G93" s="562"/>
      <c r="H93" s="563"/>
      <c r="I93" s="564"/>
      <c r="J93" s="661"/>
      <c r="K93" s="662"/>
      <c r="L93" s="663"/>
      <c r="M93" s="663"/>
      <c r="N93" s="568"/>
      <c r="O93" s="569"/>
      <c r="P93" s="570"/>
      <c r="Q93" s="664"/>
      <c r="R93" s="561">
        <f>R86*0.8</f>
        <v>5.8187107999999981</v>
      </c>
      <c r="S93" s="562"/>
      <c r="T93" s="665"/>
      <c r="U93" s="582"/>
      <c r="V93" s="666"/>
      <c r="W93" s="575"/>
      <c r="X93" s="562"/>
      <c r="Y93" s="572"/>
      <c r="Z93" s="667">
        <v>1.25</v>
      </c>
      <c r="AA93" s="668"/>
      <c r="AB93" s="669"/>
      <c r="AC93" s="670"/>
      <c r="AD93" s="670"/>
      <c r="AE93" s="671"/>
      <c r="AF93" s="672"/>
      <c r="AG93" s="580"/>
      <c r="AH93" s="581"/>
      <c r="AI93" s="673" t="str">
        <f t="shared" si="70"/>
        <v>LLTS</v>
      </c>
      <c r="AJ93" s="674"/>
    </row>
    <row r="94" spans="1:40" ht="16.350000000000001" customHeight="1" outlineLevel="1">
      <c r="A94" s="490" t="str">
        <f>$A25</f>
        <v>T I Bis a + V</v>
      </c>
      <c r="B94" s="583">
        <f>$V25</f>
        <v>2</v>
      </c>
      <c r="C94" s="675">
        <f>$AC25</f>
        <v>98.05</v>
      </c>
      <c r="D94" s="676">
        <f>0.685*(31*B94+C94)/C94</f>
        <v>1.1181463539010712</v>
      </c>
      <c r="E94" s="586">
        <f t="shared" ref="E94" si="72">LMDomTS*D94*M94</f>
        <v>309.60712200000006</v>
      </c>
      <c r="F94" s="587">
        <f t="shared" ref="F94" si="73">LMDomTS*D94</f>
        <v>6.3152906068332495</v>
      </c>
      <c r="G94" s="588">
        <f>$E94/L94</f>
        <v>8.4765810266940473</v>
      </c>
      <c r="H94" s="589">
        <f>$E94/K94</f>
        <v>8.8031595678134789</v>
      </c>
      <c r="I94" s="590">
        <f>E94*B94*12</f>
        <v>7430.570928000001</v>
      </c>
      <c r="J94" s="591"/>
      <c r="K94" s="677">
        <f>$J25</f>
        <v>35.17</v>
      </c>
      <c r="L94" s="678">
        <f>$R25</f>
        <v>36.524999999999999</v>
      </c>
      <c r="M94" s="678">
        <f>$U25</f>
        <v>49.024999999999999</v>
      </c>
      <c r="N94" s="594">
        <f>V94*B94*12</f>
        <v>7655.1599342987993</v>
      </c>
      <c r="O94" s="595">
        <f>Z94*B94*12</f>
        <v>1055.1000000000001</v>
      </c>
      <c r="P94" s="596">
        <f>N94+O94</f>
        <v>8710.2599342987996</v>
      </c>
      <c r="Q94" s="597">
        <f>E94/$F$83*$R$83</f>
        <v>318.96499726244997</v>
      </c>
      <c r="R94" s="587">
        <f>$Q94/M94</f>
        <v>6.5061702654247826</v>
      </c>
      <c r="S94" s="679">
        <f>$Q94/L94</f>
        <v>8.7327856882258725</v>
      </c>
      <c r="T94" s="680">
        <f>$Q94/K94</f>
        <v>9.0692350657506378</v>
      </c>
      <c r="U94"/>
      <c r="V94" s="600">
        <f>Q94</f>
        <v>318.96499726244997</v>
      </c>
      <c r="W94" s="587">
        <f>$Q94/M94</f>
        <v>6.5061702654247826</v>
      </c>
      <c r="X94" s="587">
        <f>$Q94/L94</f>
        <v>8.7327856882258725</v>
      </c>
      <c r="Y94" s="598">
        <f>$Q94/K94</f>
        <v>9.0692350657506378</v>
      </c>
      <c r="Z94" s="601">
        <f>$Z$86*K94</f>
        <v>43.962500000000006</v>
      </c>
      <c r="AA94" s="602">
        <f>V94+Z94</f>
        <v>362.92749726244995</v>
      </c>
      <c r="AB94" s="603">
        <f>AC94-Z94</f>
        <v>318.96499726244997</v>
      </c>
      <c r="AC94" s="603">
        <f t="shared" ref="AC94:AC99" si="74">AA94*(1-AG94)</f>
        <v>362.92749726244995</v>
      </c>
      <c r="AD94" s="603">
        <f>IF((V94&gt;AB94),(AB94*B94),(V94*B94))</f>
        <v>637.92999452489994</v>
      </c>
      <c r="AE94" s="604">
        <f t="shared" ref="AE94:AE99" si="75">IF((AB94-V94)&gt;0,0,(AB94-V94))</f>
        <v>0</v>
      </c>
      <c r="AF94" s="605">
        <f>IF(TYPE2="LLTS",VLOOKUP(A94,BASELOYERMAX,3),"")</f>
        <v>370</v>
      </c>
      <c r="AG94" s="606"/>
      <c r="AH94" s="607">
        <f t="shared" ref="AH94:AH99" si="76">AC94-AF94</f>
        <v>-7.0725027375500531</v>
      </c>
      <c r="AI94" s="608" t="str">
        <f t="shared" si="70"/>
        <v>T I Bis a + V</v>
      </c>
      <c r="AJ94" s="609">
        <f t="shared" si="71"/>
        <v>0</v>
      </c>
    </row>
    <row r="95" spans="1:40" ht="16.350000000000001" customHeight="1" outlineLevel="1">
      <c r="A95" s="490" t="str">
        <f t="shared" ref="A95:A99" si="77">$A26</f>
        <v>T I Bis a + V</v>
      </c>
      <c r="B95" s="583">
        <f t="shared" ref="B95:B99" si="78">$V26</f>
        <v>4</v>
      </c>
      <c r="C95" s="675">
        <f t="shared" ref="C95:C99" si="79">$AC26</f>
        <v>165.05500000000001</v>
      </c>
      <c r="D95" s="676">
        <f t="shared" ref="D95:D99" si="80">0.685*(31*B95+C95)/C95</f>
        <v>1.1996163400078761</v>
      </c>
      <c r="E95" s="586">
        <f t="shared" ref="E95:E99" si="81">LMDomTS*D95*M95</f>
        <v>279.5797771</v>
      </c>
      <c r="F95" s="587">
        <f t="shared" ref="F95:F99" si="82">LMDomTS*D95</f>
        <v>6.7754330883644842</v>
      </c>
      <c r="G95" s="588">
        <f t="shared" ref="G95:G99" si="83">$E95/L95</f>
        <v>7.676545225151016</v>
      </c>
      <c r="H95" s="589">
        <f t="shared" ref="H95:H99" si="84">$E95/K95</f>
        <v>7.676545225151016</v>
      </c>
      <c r="I95" s="590">
        <f t="shared" ref="I95:I99" si="85">E95*B95*12</f>
        <v>13419.8293008</v>
      </c>
      <c r="J95" s="591"/>
      <c r="K95" s="677">
        <f t="shared" ref="K95:K99" si="86">$J26</f>
        <v>36.42</v>
      </c>
      <c r="L95" s="678">
        <f t="shared" ref="L95:L99" si="87">$R26</f>
        <v>36.42</v>
      </c>
      <c r="M95" s="678">
        <f t="shared" ref="M95:M99" si="88">$U26</f>
        <v>41.263750000000002</v>
      </c>
      <c r="N95" s="594">
        <f t="shared" ref="N95:N99" si="89">V95*B95*12</f>
        <v>13825.443641416676</v>
      </c>
      <c r="O95" s="595">
        <f t="shared" ref="O95:O99" si="90">Z95*B95*12</f>
        <v>2185.2000000000003</v>
      </c>
      <c r="P95" s="596">
        <f t="shared" ref="P95:P99" si="91">N95+O95</f>
        <v>16010.643641416676</v>
      </c>
      <c r="Q95" s="597">
        <f t="shared" ref="Q95:Q99" si="92">E95/$F$83*$R$83</f>
        <v>288.03007586284741</v>
      </c>
      <c r="R95" s="587">
        <f t="shared" ref="R95:R99" si="93">$Q95/M95</f>
        <v>6.980220553460299</v>
      </c>
      <c r="S95" s="679">
        <f t="shared" ref="S95:S99" si="94">$Q95/L95</f>
        <v>7.9085688045812024</v>
      </c>
      <c r="T95" s="680">
        <f t="shared" ref="T95:T99" si="95">$Q95/K95</f>
        <v>7.9085688045812024</v>
      </c>
      <c r="U95"/>
      <c r="V95" s="600">
        <f t="shared" ref="V95:V99" si="96">Q95</f>
        <v>288.03007586284741</v>
      </c>
      <c r="W95" s="587">
        <f t="shared" ref="W95:W99" si="97">$Q95/M95</f>
        <v>6.980220553460299</v>
      </c>
      <c r="X95" s="587">
        <f t="shared" ref="X95:X99" si="98">$Q95/L95</f>
        <v>7.9085688045812024</v>
      </c>
      <c r="Y95" s="598">
        <f t="shared" ref="Y95:Y99" si="99">$Q95/K95</f>
        <v>7.9085688045812024</v>
      </c>
      <c r="Z95" s="601">
        <f t="shared" ref="Z95:Z99" si="100">$Z$86*K95</f>
        <v>45.525000000000006</v>
      </c>
      <c r="AA95" s="602">
        <f t="shared" ref="AA95:AA99" si="101">V95+Z95</f>
        <v>333.55507586284739</v>
      </c>
      <c r="AB95" s="603">
        <f t="shared" ref="AB95:AB99" si="102">AC95-Z95</f>
        <v>288.03007586284741</v>
      </c>
      <c r="AC95" s="603">
        <f t="shared" si="74"/>
        <v>333.55507586284739</v>
      </c>
      <c r="AD95" s="603">
        <f t="shared" ref="AD95:AD99" si="103">IF((V95&gt;AB95),(AB95*B95),(V95*B95))</f>
        <v>1152.1203034513896</v>
      </c>
      <c r="AE95" s="604">
        <f t="shared" si="75"/>
        <v>0</v>
      </c>
      <c r="AF95" s="605">
        <f>IF(TYPE2="LLTS",VLOOKUP(A95,BASELOYERMAX,3),"")</f>
        <v>370</v>
      </c>
      <c r="AG95" s="606"/>
      <c r="AH95" s="607">
        <f t="shared" si="76"/>
        <v>-36.444924137152611</v>
      </c>
      <c r="AI95" s="608" t="str">
        <f t="shared" si="70"/>
        <v>T I Bis a + V</v>
      </c>
      <c r="AJ95" s="609">
        <f t="shared" si="71"/>
        <v>0</v>
      </c>
    </row>
    <row r="96" spans="1:40" ht="16.350000000000001" customHeight="1" outlineLevel="1">
      <c r="A96" s="490" t="str">
        <f t="shared" si="77"/>
        <v>T II +V a</v>
      </c>
      <c r="B96" s="583">
        <f t="shared" si="78"/>
        <v>4</v>
      </c>
      <c r="C96" s="675">
        <f t="shared" si="79"/>
        <v>276.36</v>
      </c>
      <c r="D96" s="676">
        <f t="shared" si="80"/>
        <v>0.99235272832537291</v>
      </c>
      <c r="E96" s="586">
        <f t="shared" si="81"/>
        <v>387.2361992000001</v>
      </c>
      <c r="F96" s="587">
        <f t="shared" si="82"/>
        <v>5.604808209581706</v>
      </c>
      <c r="G96" s="588">
        <f t="shared" si="83"/>
        <v>6.8428379430994895</v>
      </c>
      <c r="H96" s="589">
        <f t="shared" si="84"/>
        <v>6.8428379430994895</v>
      </c>
      <c r="I96" s="590">
        <f t="shared" si="85"/>
        <v>18587.337561600005</v>
      </c>
      <c r="J96" s="591"/>
      <c r="K96" s="677">
        <f t="shared" si="86"/>
        <v>56.589999999999996</v>
      </c>
      <c r="L96" s="678">
        <f t="shared" si="87"/>
        <v>56.589999999999996</v>
      </c>
      <c r="M96" s="678">
        <f t="shared" si="88"/>
        <v>69.09</v>
      </c>
      <c r="N96" s="594">
        <f t="shared" si="89"/>
        <v>19149.139839399359</v>
      </c>
      <c r="O96" s="595">
        <f t="shared" si="90"/>
        <v>3395.3999999999996</v>
      </c>
      <c r="P96" s="596">
        <f t="shared" si="91"/>
        <v>22544.53983939936</v>
      </c>
      <c r="Q96" s="597">
        <f t="shared" si="92"/>
        <v>398.94041332081997</v>
      </c>
      <c r="R96" s="587">
        <f t="shared" si="93"/>
        <v>5.7742135377163111</v>
      </c>
      <c r="S96" s="679">
        <f t="shared" si="94"/>
        <v>7.0496627199296693</v>
      </c>
      <c r="T96" s="680">
        <f t="shared" si="95"/>
        <v>7.0496627199296693</v>
      </c>
      <c r="U96"/>
      <c r="V96" s="600">
        <f t="shared" si="96"/>
        <v>398.94041332081997</v>
      </c>
      <c r="W96" s="587">
        <f t="shared" si="97"/>
        <v>5.7742135377163111</v>
      </c>
      <c r="X96" s="587">
        <f t="shared" si="98"/>
        <v>7.0496627199296693</v>
      </c>
      <c r="Y96" s="598">
        <f t="shared" si="99"/>
        <v>7.0496627199296693</v>
      </c>
      <c r="Z96" s="601">
        <f t="shared" si="100"/>
        <v>70.737499999999997</v>
      </c>
      <c r="AA96" s="602">
        <f t="shared" si="101"/>
        <v>469.67791332081998</v>
      </c>
      <c r="AB96" s="603">
        <f t="shared" si="102"/>
        <v>328.48872632269695</v>
      </c>
      <c r="AC96" s="603">
        <f t="shared" si="74"/>
        <v>399.22622632269696</v>
      </c>
      <c r="AD96" s="603">
        <f t="shared" si="103"/>
        <v>1313.9549052907878</v>
      </c>
      <c r="AE96" s="604">
        <f t="shared" si="75"/>
        <v>-70.451686998123023</v>
      </c>
      <c r="AF96" s="605">
        <f>IF(TYPE2="LLTS",VLOOKUP(A96,BASELOYERMAX,3),"")</f>
        <v>370</v>
      </c>
      <c r="AG96" s="606">
        <v>0.15</v>
      </c>
      <c r="AH96" s="607">
        <f t="shared" si="76"/>
        <v>29.226226322696959</v>
      </c>
      <c r="AI96" s="608" t="str">
        <f t="shared" si="70"/>
        <v>T II +V a</v>
      </c>
      <c r="AJ96" s="609">
        <f t="shared" si="71"/>
        <v>0.21222610323754698</v>
      </c>
    </row>
    <row r="97" spans="1:36" ht="16.350000000000001" customHeight="1" outlineLevel="1">
      <c r="A97" s="490" t="str">
        <f t="shared" si="77"/>
        <v>T II +V a</v>
      </c>
      <c r="B97" s="583">
        <f t="shared" si="78"/>
        <v>6</v>
      </c>
      <c r="C97" s="675">
        <f t="shared" si="79"/>
        <v>429.96</v>
      </c>
      <c r="D97" s="676">
        <f t="shared" si="80"/>
        <v>0.98132989115266545</v>
      </c>
      <c r="E97" s="586">
        <f t="shared" si="81"/>
        <v>397.1792208</v>
      </c>
      <c r="F97" s="587">
        <f t="shared" si="82"/>
        <v>5.5425512252302545</v>
      </c>
      <c r="G97" s="588">
        <f t="shared" si="83"/>
        <v>6.713644705882353</v>
      </c>
      <c r="H97" s="589">
        <f t="shared" si="84"/>
        <v>6.713644705882353</v>
      </c>
      <c r="I97" s="590">
        <f t="shared" si="85"/>
        <v>28596.903897600001</v>
      </c>
      <c r="J97" s="591"/>
      <c r="K97" s="677">
        <f t="shared" si="86"/>
        <v>59.16</v>
      </c>
      <c r="L97" s="678">
        <f t="shared" si="87"/>
        <v>59.16</v>
      </c>
      <c r="M97" s="678">
        <f t="shared" si="88"/>
        <v>71.66</v>
      </c>
      <c r="N97" s="594">
        <f t="shared" si="89"/>
        <v>29461.245317904952</v>
      </c>
      <c r="O97" s="595">
        <f t="shared" si="90"/>
        <v>5324.4</v>
      </c>
      <c r="P97" s="596">
        <f t="shared" si="91"/>
        <v>34785.645317904949</v>
      </c>
      <c r="Q97" s="597">
        <f t="shared" si="92"/>
        <v>409.1839627486799</v>
      </c>
      <c r="R97" s="587">
        <f t="shared" si="93"/>
        <v>5.7100748360128373</v>
      </c>
      <c r="S97" s="679">
        <f t="shared" si="94"/>
        <v>6.916564617117646</v>
      </c>
      <c r="T97" s="680">
        <f t="shared" si="95"/>
        <v>6.916564617117646</v>
      </c>
      <c r="U97"/>
      <c r="V97" s="600">
        <f t="shared" si="96"/>
        <v>409.1839627486799</v>
      </c>
      <c r="W97" s="587">
        <f t="shared" si="97"/>
        <v>5.7100748360128373</v>
      </c>
      <c r="X97" s="587">
        <f t="shared" si="98"/>
        <v>6.916564617117646</v>
      </c>
      <c r="Y97" s="598">
        <f t="shared" si="99"/>
        <v>6.916564617117646</v>
      </c>
      <c r="Z97" s="601">
        <f t="shared" si="100"/>
        <v>73.949999999999989</v>
      </c>
      <c r="AA97" s="602">
        <f t="shared" si="101"/>
        <v>483.13396274867989</v>
      </c>
      <c r="AB97" s="603">
        <f t="shared" si="102"/>
        <v>336.71386833637791</v>
      </c>
      <c r="AC97" s="603">
        <f t="shared" si="74"/>
        <v>410.6638683363779</v>
      </c>
      <c r="AD97" s="603">
        <f t="shared" si="103"/>
        <v>2020.2832100182675</v>
      </c>
      <c r="AE97" s="604">
        <f t="shared" si="75"/>
        <v>-72.470094412301989</v>
      </c>
      <c r="AF97" s="605">
        <f>IF(TYPE2="LLTS",VLOOKUP(A97,BASELOYERMAX,3),"")</f>
        <v>370</v>
      </c>
      <c r="AG97" s="606">
        <v>0.15</v>
      </c>
      <c r="AH97" s="607">
        <f t="shared" si="76"/>
        <v>40.663868336377902</v>
      </c>
      <c r="AI97" s="608" t="str">
        <f t="shared" si="70"/>
        <v>T II +V a</v>
      </c>
      <c r="AJ97" s="609">
        <f t="shared" si="71"/>
        <v>0.23416685944624996</v>
      </c>
    </row>
    <row r="98" spans="1:36" ht="16.350000000000001" customHeight="1" outlineLevel="1">
      <c r="A98" s="490" t="str">
        <f t="shared" si="77"/>
        <v>T II +V a</v>
      </c>
      <c r="B98" s="583">
        <f t="shared" si="78"/>
        <v>33</v>
      </c>
      <c r="C98" s="675">
        <f t="shared" si="79"/>
        <v>1783.7737500000001</v>
      </c>
      <c r="D98" s="676">
        <f t="shared" si="80"/>
        <v>1.0778497097796176</v>
      </c>
      <c r="E98" s="586">
        <f t="shared" si="81"/>
        <v>329.0627523</v>
      </c>
      <c r="F98" s="587">
        <f t="shared" si="82"/>
        <v>6.0876951608352794</v>
      </c>
      <c r="G98" s="588">
        <f t="shared" si="83"/>
        <v>6.686908195488722</v>
      </c>
      <c r="H98" s="589">
        <f t="shared" si="84"/>
        <v>6.686908195488722</v>
      </c>
      <c r="I98" s="590">
        <f t="shared" si="85"/>
        <v>130308.8499108</v>
      </c>
      <c r="J98" s="591"/>
      <c r="K98" s="677">
        <f t="shared" si="86"/>
        <v>49.21</v>
      </c>
      <c r="L98" s="678">
        <f t="shared" si="87"/>
        <v>49.21</v>
      </c>
      <c r="M98" s="678">
        <f t="shared" si="88"/>
        <v>54.053750000000001</v>
      </c>
      <c r="N98" s="594">
        <f t="shared" si="89"/>
        <v>134247.43489935392</v>
      </c>
      <c r="O98" s="595">
        <f t="shared" si="90"/>
        <v>24358.95</v>
      </c>
      <c r="P98" s="596">
        <f t="shared" si="91"/>
        <v>158606.38489935393</v>
      </c>
      <c r="Q98" s="597">
        <f t="shared" si="92"/>
        <v>339.00867398826745</v>
      </c>
      <c r="R98" s="587">
        <f t="shared" si="93"/>
        <v>6.2716957470715249</v>
      </c>
      <c r="S98" s="679">
        <f t="shared" si="94"/>
        <v>6.8890199956973674</v>
      </c>
      <c r="T98" s="680">
        <f t="shared" si="95"/>
        <v>6.8890199956973674</v>
      </c>
      <c r="U98"/>
      <c r="V98" s="600">
        <f t="shared" si="96"/>
        <v>339.00867398826745</v>
      </c>
      <c r="W98" s="587">
        <f t="shared" si="97"/>
        <v>6.2716957470715249</v>
      </c>
      <c r="X98" s="587">
        <f t="shared" si="98"/>
        <v>6.8890199956973674</v>
      </c>
      <c r="Y98" s="598">
        <f t="shared" si="99"/>
        <v>6.8890199956973674</v>
      </c>
      <c r="Z98" s="601">
        <f t="shared" si="100"/>
        <v>61.512500000000003</v>
      </c>
      <c r="AA98" s="602">
        <f t="shared" si="101"/>
        <v>400.52117398826744</v>
      </c>
      <c r="AB98" s="603">
        <f t="shared" si="102"/>
        <v>306.96698006920604</v>
      </c>
      <c r="AC98" s="603">
        <f t="shared" si="74"/>
        <v>368.47948006920603</v>
      </c>
      <c r="AD98" s="603">
        <f t="shared" si="103"/>
        <v>10129.9103422838</v>
      </c>
      <c r="AE98" s="604">
        <f t="shared" si="75"/>
        <v>-32.041693919061402</v>
      </c>
      <c r="AF98" s="605">
        <f>IF(TYPE2="LLTS",VLOOKUP(A98,BASELOYERMAX,3),"")</f>
        <v>370</v>
      </c>
      <c r="AG98" s="606">
        <v>0.08</v>
      </c>
      <c r="AH98" s="607">
        <f t="shared" si="76"/>
        <v>-1.5205199307939665</v>
      </c>
      <c r="AI98" s="608" t="str">
        <f t="shared" si="70"/>
        <v>T II +V a</v>
      </c>
      <c r="AJ98" s="609">
        <f t="shared" si="71"/>
        <v>7.6203646574654005E-2</v>
      </c>
    </row>
    <row r="99" spans="1:36" ht="16.350000000000001" customHeight="1" outlineLevel="1">
      <c r="A99" s="490" t="str">
        <f t="shared" si="77"/>
        <v>T II +V a</v>
      </c>
      <c r="B99" s="583">
        <f t="shared" si="78"/>
        <v>11</v>
      </c>
      <c r="C99" s="675">
        <f t="shared" si="79"/>
        <v>585.46125000000006</v>
      </c>
      <c r="D99" s="676">
        <f t="shared" si="80"/>
        <v>1.0839760210432372</v>
      </c>
      <c r="E99" s="586">
        <f t="shared" si="81"/>
        <v>325.85158189999999</v>
      </c>
      <c r="F99" s="587">
        <f t="shared" si="82"/>
        <v>6.1222965668522038</v>
      </c>
      <c r="G99" s="588">
        <f t="shared" si="83"/>
        <v>6.735253863166597</v>
      </c>
      <c r="H99" s="589">
        <f t="shared" si="84"/>
        <v>6.735253863166597</v>
      </c>
      <c r="I99" s="590">
        <f t="shared" si="85"/>
        <v>43012.4088108</v>
      </c>
      <c r="J99" s="591"/>
      <c r="K99" s="677">
        <f t="shared" si="86"/>
        <v>48.38</v>
      </c>
      <c r="L99" s="678">
        <f t="shared" si="87"/>
        <v>48.38</v>
      </c>
      <c r="M99" s="678">
        <f t="shared" si="88"/>
        <v>53.223750000000003</v>
      </c>
      <c r="N99" s="594">
        <f t="shared" si="89"/>
        <v>44312.458867106419</v>
      </c>
      <c r="O99" s="595">
        <f t="shared" si="90"/>
        <v>7982.7000000000007</v>
      </c>
      <c r="P99" s="596">
        <f t="shared" si="91"/>
        <v>52295.158867106424</v>
      </c>
      <c r="Q99" s="597">
        <f t="shared" si="92"/>
        <v>335.7004459629274</v>
      </c>
      <c r="R99" s="587">
        <f t="shared" si="93"/>
        <v>6.3073429805853101</v>
      </c>
      <c r="S99" s="679">
        <f t="shared" si="94"/>
        <v>6.9388269111808061</v>
      </c>
      <c r="T99" s="680">
        <f t="shared" si="95"/>
        <v>6.9388269111808061</v>
      </c>
      <c r="U99"/>
      <c r="V99" s="600">
        <f t="shared" si="96"/>
        <v>335.7004459629274</v>
      </c>
      <c r="W99" s="587">
        <f t="shared" si="97"/>
        <v>6.3073429805853101</v>
      </c>
      <c r="X99" s="587">
        <f t="shared" si="98"/>
        <v>6.9388269111808061</v>
      </c>
      <c r="Y99" s="598">
        <f t="shared" si="99"/>
        <v>6.9388269111808061</v>
      </c>
      <c r="Z99" s="601">
        <f t="shared" si="100"/>
        <v>60.475000000000001</v>
      </c>
      <c r="AA99" s="602">
        <f t="shared" si="101"/>
        <v>396.17544596292743</v>
      </c>
      <c r="AB99" s="603">
        <f t="shared" si="102"/>
        <v>304.00641028589325</v>
      </c>
      <c r="AC99" s="603">
        <f t="shared" si="74"/>
        <v>364.48141028589328</v>
      </c>
      <c r="AD99" s="603">
        <f t="shared" si="103"/>
        <v>3344.0705131448258</v>
      </c>
      <c r="AE99" s="604">
        <f t="shared" si="75"/>
        <v>-31.694035677034151</v>
      </c>
      <c r="AF99" s="605">
        <f>IF(TYPE2="LLTS",VLOOKUP(A99,BASELOYERMAX,3),"")</f>
        <v>370</v>
      </c>
      <c r="AG99" s="606">
        <v>0.08</v>
      </c>
      <c r="AH99" s="607">
        <f t="shared" si="76"/>
        <v>-5.5185897141067244</v>
      </c>
      <c r="AI99" s="608" t="str">
        <f t="shared" si="70"/>
        <v>T II +V a</v>
      </c>
      <c r="AJ99" s="609">
        <f t="shared" si="71"/>
        <v>6.6070338860366479E-2</v>
      </c>
    </row>
    <row r="100" spans="1:36" ht="16.350000000000001" customHeight="1">
      <c r="A100" s="610" t="s">
        <v>221</v>
      </c>
      <c r="B100" s="611">
        <f>SUM(B94:B99)</f>
        <v>60</v>
      </c>
      <c r="C100" s="681">
        <f>SUM(C94:C99)</f>
        <v>3338.66</v>
      </c>
      <c r="D100" s="613">
        <f>0.685*(31*B100+C100)/C100</f>
        <v>1.0666201709667951</v>
      </c>
      <c r="E100" s="614">
        <f>LMDomTS*D100*M100</f>
        <v>335.21652834666662</v>
      </c>
      <c r="F100" s="615">
        <f>IFERROR(LMDomTS*D100,0)</f>
        <v>6.0242707256204584</v>
      </c>
      <c r="G100" s="616">
        <f>$E100/L100</f>
        <v>6.8037561230785881</v>
      </c>
      <c r="H100" s="617">
        <f>$E100/K100</f>
        <v>6.8099990522270559</v>
      </c>
      <c r="I100" s="618">
        <f>SUM(I94:I99)</f>
        <v>241355.9004096</v>
      </c>
      <c r="J100" s="619"/>
      <c r="K100" s="682">
        <f>SH.LLTS/B100</f>
        <v>49.224166666666662</v>
      </c>
      <c r="L100" s="683">
        <f>SU.LLTS/B100</f>
        <v>49.269333333333329</v>
      </c>
      <c r="M100" s="684">
        <f>SF.LLTS/B100</f>
        <v>55.644333333333329</v>
      </c>
      <c r="N100" s="623">
        <f>SUM(N94:N99)</f>
        <v>248650.8824994801</v>
      </c>
      <c r="O100" s="624">
        <f>SUM(O94:O99)</f>
        <v>44301.75</v>
      </c>
      <c r="P100" s="625">
        <f>SUM(P94:P99)</f>
        <v>292952.63249948015</v>
      </c>
      <c r="Q100" s="626">
        <f>E100/$F$83*$R$83</f>
        <v>345.34844791594452</v>
      </c>
      <c r="R100" s="627">
        <f>$Q100/M100</f>
        <v>6.2063543083023349</v>
      </c>
      <c r="S100" s="616">
        <f>$Q100/L100</f>
        <v>7.0093996518986366</v>
      </c>
      <c r="T100" s="628">
        <f>$Q100/K100</f>
        <v>7.0158312735806172</v>
      </c>
      <c r="U100" s="685"/>
      <c r="V100" s="629">
        <f>Y101/12/B100</f>
        <v>345.34844791594458</v>
      </c>
      <c r="W100" s="627">
        <f>$Q100/M100</f>
        <v>6.2063543083023349</v>
      </c>
      <c r="X100" s="616">
        <f>$Q100/L100</f>
        <v>7.0093996518986366</v>
      </c>
      <c r="Y100" s="617">
        <f>$Q100/K100</f>
        <v>7.0158312735806172</v>
      </c>
      <c r="Z100" s="630">
        <f>$Z$93*L100</f>
        <v>61.586666666666659</v>
      </c>
      <c r="AA100" s="631">
        <f>V100+Z100</f>
        <v>406.93511458261122</v>
      </c>
      <c r="AB100" s="632"/>
      <c r="AC100" s="632"/>
      <c r="AD100" s="632"/>
      <c r="AE100" s="632"/>
      <c r="AF100" s="633"/>
      <c r="AG100" s="634"/>
      <c r="AH100" s="635"/>
      <c r="AI100" s="608"/>
      <c r="AJ100" s="609"/>
    </row>
    <row r="101" spans="1:36" ht="16.350000000000001" customHeight="1" thickBot="1">
      <c r="A101" s="636"/>
      <c r="B101" s="190"/>
      <c r="C101" s="637">
        <f>SF.LLTS-C100</f>
        <v>0</v>
      </c>
      <c r="D101" s="190"/>
      <c r="E101" s="639" t="s">
        <v>222</v>
      </c>
      <c r="F101" s="640">
        <f>IFERROR(LP_LLTS*(1+AE101),0)</f>
        <v>5.4071479486321685</v>
      </c>
      <c r="G101" s="190"/>
      <c r="H101" s="642" t="s">
        <v>223</v>
      </c>
      <c r="I101" s="686">
        <f>IFERROR((F100*SF.LLTS*12),0)</f>
        <v>241355.90040959997</v>
      </c>
      <c r="J101" s="686"/>
      <c r="K101" s="687"/>
      <c r="L101" s="687"/>
      <c r="M101" s="643"/>
      <c r="N101" s="644" t="s">
        <v>224</v>
      </c>
      <c r="O101" s="645">
        <f>LP_LLTS*Q83</f>
        <v>6.2063543083023349</v>
      </c>
      <c r="P101" s="646"/>
      <c r="Q101" s="686"/>
      <c r="R101" s="190"/>
      <c r="S101" s="642" t="s">
        <v>223</v>
      </c>
      <c r="T101" s="686">
        <f>IFERROR(I100/$F$83*$R$83,0)</f>
        <v>248650.8824994801</v>
      </c>
      <c r="U101" s="647"/>
      <c r="V101" s="686"/>
      <c r="W101" s="190"/>
      <c r="X101" s="642" t="s">
        <v>223</v>
      </c>
      <c r="Y101" s="686">
        <f>IFERROR(N100,0)</f>
        <v>248650.8824994801</v>
      </c>
      <c r="Z101" s="686"/>
      <c r="AA101" s="686"/>
      <c r="AB101" s="632"/>
      <c r="AC101" s="688" t="s">
        <v>225</v>
      </c>
      <c r="AD101" s="689">
        <f>IFERROR(SUM(AD94:AD99)*12,0)</f>
        <v>223179.23122456766</v>
      </c>
      <c r="AE101" s="690">
        <f>(AD101-T101)/Y101</f>
        <v>-0.1024394163369426</v>
      </c>
      <c r="AF101" s="653"/>
      <c r="AG101" s="654" t="s">
        <v>226</v>
      </c>
      <c r="AH101" s="655">
        <f>AD101/12/SF.LLTS</f>
        <v>5.5705789953795755</v>
      </c>
      <c r="AI101" s="608"/>
      <c r="AJ101" s="609"/>
    </row>
    <row r="102" spans="1:36" s="172" customFormat="1" ht="16.350000000000001" customHeight="1">
      <c r="A102" s="656" t="s">
        <v>5</v>
      </c>
      <c r="B102" s="657"/>
      <c r="C102" s="658"/>
      <c r="D102" s="659"/>
      <c r="E102" s="660"/>
      <c r="F102" s="561">
        <f>D62</f>
        <v>10.59</v>
      </c>
      <c r="G102" s="562"/>
      <c r="H102" s="563"/>
      <c r="I102" s="564"/>
      <c r="J102" s="661"/>
      <c r="K102" s="662"/>
      <c r="L102" s="663"/>
      <c r="M102" s="663"/>
      <c r="N102" s="568"/>
      <c r="O102" s="569"/>
      <c r="P102" s="570"/>
      <c r="Q102" s="664"/>
      <c r="R102" s="561">
        <f>LMDOMPLS/$F$83*$R$83</f>
        <v>10.910082749999997</v>
      </c>
      <c r="S102" s="562"/>
      <c r="T102" s="665"/>
      <c r="U102" s="582"/>
      <c r="V102" s="666"/>
      <c r="W102" s="575"/>
      <c r="X102" s="562"/>
      <c r="Y102" s="572"/>
      <c r="Z102" s="667">
        <v>1.25</v>
      </c>
      <c r="AA102" s="668"/>
      <c r="AB102" s="669"/>
      <c r="AC102" s="670"/>
      <c r="AD102" s="670"/>
      <c r="AE102" s="671"/>
      <c r="AF102" s="672"/>
      <c r="AG102" s="580"/>
      <c r="AH102" s="581"/>
      <c r="AI102" s="673" t="str">
        <f t="shared" si="70"/>
        <v>PLS</v>
      </c>
      <c r="AJ102" s="674"/>
    </row>
    <row r="103" spans="1:36" ht="16.350000000000001" customHeight="1" outlineLevel="1">
      <c r="A103" s="490" t="str">
        <f>$A34</f>
        <v>T II +V a</v>
      </c>
      <c r="B103" s="583">
        <f>$V34</f>
        <v>8</v>
      </c>
      <c r="C103" s="675">
        <f>$AC34</f>
        <v>557.36</v>
      </c>
      <c r="D103" s="676">
        <f>0.685*(31*B103+C103)/C103</f>
        <v>0.98979402899382807</v>
      </c>
      <c r="E103" s="586">
        <f t="shared" ref="E103:E109" si="104">LMDOMPLS*D103*M103</f>
        <v>730.27528050000001</v>
      </c>
      <c r="F103" s="587">
        <f t="shared" ref="F103" si="105">LMDOMPLS*D103</f>
        <v>10.48191876704464</v>
      </c>
      <c r="G103" s="588">
        <f>$E103/L103</f>
        <v>12.77374987755816</v>
      </c>
      <c r="H103" s="589">
        <f>$E103/K103</f>
        <v>12.77374987755816</v>
      </c>
      <c r="I103" s="590">
        <f>E103*B103*12</f>
        <v>70106.426928000001</v>
      </c>
      <c r="J103" s="591"/>
      <c r="K103" s="677">
        <f>$J34</f>
        <v>57.17</v>
      </c>
      <c r="L103" s="678">
        <f>$R34</f>
        <v>57.17</v>
      </c>
      <c r="M103" s="678">
        <f>$U34</f>
        <v>69.67</v>
      </c>
      <c r="N103" s="594">
        <f>V103*B103*12</f>
        <v>72225.393681898771</v>
      </c>
      <c r="O103" s="595">
        <f>Z103*B103*12</f>
        <v>6860.4000000000005</v>
      </c>
      <c r="P103" s="596">
        <f>N103+O103</f>
        <v>79085.793681898765</v>
      </c>
      <c r="Q103" s="597">
        <f>E103/$F$83*$R$83</f>
        <v>752.34785085311228</v>
      </c>
      <c r="R103" s="587">
        <f>$Q103/M103</f>
        <v>10.79873476177856</v>
      </c>
      <c r="S103" s="679">
        <f>$Q103/L103</f>
        <v>13.15983646760735</v>
      </c>
      <c r="T103" s="680">
        <f>$Q103/K103</f>
        <v>13.15983646760735</v>
      </c>
      <c r="U103"/>
      <c r="V103" s="600">
        <f>Q103</f>
        <v>752.34785085311228</v>
      </c>
      <c r="W103" s="587">
        <f>$Q103/M103</f>
        <v>10.79873476177856</v>
      </c>
      <c r="X103" s="587">
        <f>$Q103/L103</f>
        <v>13.15983646760735</v>
      </c>
      <c r="Y103" s="598">
        <f>$Q103/K103</f>
        <v>13.15983646760735</v>
      </c>
      <c r="Z103" s="601">
        <f>$Z$102*K103</f>
        <v>71.462500000000006</v>
      </c>
      <c r="AA103" s="602">
        <f>V103+Z103</f>
        <v>823.81035085311225</v>
      </c>
      <c r="AB103" s="603">
        <f>AC103-Z103</f>
        <v>587.58578068248983</v>
      </c>
      <c r="AC103" s="603">
        <f t="shared" ref="AC103:AC108" si="106">AA103*(1-AG103)</f>
        <v>659.0482806824898</v>
      </c>
      <c r="AD103" s="603">
        <f>IF((V103&gt;AB103),(AB103*B103),(V103*B103))</f>
        <v>4700.6862454599186</v>
      </c>
      <c r="AE103" s="604">
        <f t="shared" ref="AE103:AE108" si="107">IF((AB103-V103)&gt;0,0,(AB103-V103))</f>
        <v>-164.76207017062245</v>
      </c>
      <c r="AF103" s="605">
        <v>530</v>
      </c>
      <c r="AG103" s="606">
        <v>0.2</v>
      </c>
      <c r="AH103" s="607">
        <f t="shared" ref="AH103:AH108" si="108">AC103-AF103</f>
        <v>129.0482806824898</v>
      </c>
      <c r="AI103" s="608" t="str">
        <f t="shared" si="70"/>
        <v>T II +V a</v>
      </c>
      <c r="AJ103" s="609">
        <f t="shared" si="71"/>
        <v>0.35664804472152045</v>
      </c>
    </row>
    <row r="104" spans="1:36" ht="16.350000000000001" customHeight="1" outlineLevel="1">
      <c r="A104" s="490" t="str">
        <f>$A35</f>
        <v>T III +V a</v>
      </c>
      <c r="B104" s="583">
        <f>$V35</f>
        <v>3</v>
      </c>
      <c r="C104" s="675">
        <f>$AC35</f>
        <v>247.92000000000002</v>
      </c>
      <c r="D104" s="676">
        <f t="shared" ref="D104:D108" si="109">0.685*(31*B104+C104)/C104</f>
        <v>0.94195788964182003</v>
      </c>
      <c r="E104" s="586">
        <f t="shared" ref="E104:E108" si="110">LMDOMPLS*D104*M104</f>
        <v>824.36160600000005</v>
      </c>
      <c r="F104" s="587">
        <f t="shared" ref="F104:F108" si="111">LMDOMPLS*D104</f>
        <v>9.9753340513068736</v>
      </c>
      <c r="G104" s="588">
        <f t="shared" ref="G104:G108" si="112">$E104/L104</f>
        <v>11.753088195038496</v>
      </c>
      <c r="H104" s="589">
        <f t="shared" ref="H104:H108" si="113">$E104/K104</f>
        <v>11.753088195038496</v>
      </c>
      <c r="I104" s="590">
        <f t="shared" ref="I104:I108" si="114">E104*B104*12</f>
        <v>29677.017816000003</v>
      </c>
      <c r="J104" s="591"/>
      <c r="K104" s="677">
        <f>$J35</f>
        <v>70.14</v>
      </c>
      <c r="L104" s="678">
        <f>$R35</f>
        <v>70.14</v>
      </c>
      <c r="M104" s="678">
        <f>$U35</f>
        <v>82.64</v>
      </c>
      <c r="N104" s="594">
        <f t="shared" ref="N104:N108" si="115">V104*B104*12</f>
        <v>30574.005679488593</v>
      </c>
      <c r="O104" s="595">
        <f t="shared" ref="O104:O108" si="116">Z104*B104*12</f>
        <v>3156.2999999999997</v>
      </c>
      <c r="P104" s="596">
        <f t="shared" ref="P104:P108" si="117">N104+O104</f>
        <v>33730.305679488592</v>
      </c>
      <c r="Q104" s="597">
        <f t="shared" ref="Q104:Q108" si="118">E104/$F$83*$R$83</f>
        <v>849.27793554134973</v>
      </c>
      <c r="R104" s="587">
        <f t="shared" ref="R104:R108" si="119">$Q104/M104</f>
        <v>10.276838523007621</v>
      </c>
      <c r="S104" s="679">
        <f t="shared" ref="S104:S108" si="120">$Q104/L104</f>
        <v>12.108325285733528</v>
      </c>
      <c r="T104" s="680">
        <f t="shared" ref="T104:T108" si="121">$Q104/K104</f>
        <v>12.108325285733528</v>
      </c>
      <c r="U104"/>
      <c r="V104" s="600">
        <f t="shared" ref="V104:V108" si="122">Q104</f>
        <v>849.27793554134973</v>
      </c>
      <c r="W104" s="587">
        <f t="shared" ref="W104:W108" si="123">$Q104/M104</f>
        <v>10.276838523007621</v>
      </c>
      <c r="X104" s="587">
        <f t="shared" ref="X104:X108" si="124">$Q104/L104</f>
        <v>12.108325285733528</v>
      </c>
      <c r="Y104" s="598">
        <f t="shared" ref="Y104:Y108" si="125">$Q104/K104</f>
        <v>12.108325285733528</v>
      </c>
      <c r="Z104" s="601">
        <f t="shared" ref="Z104:Z108" si="126">$Z$102*K104</f>
        <v>87.674999999999997</v>
      </c>
      <c r="AA104" s="602">
        <f t="shared" ref="AA104:AA108" si="127">V104+Z104</f>
        <v>936.95293554134969</v>
      </c>
      <c r="AB104" s="603">
        <f t="shared" ref="AB104:AB108" si="128">AC104-Z104</f>
        <v>661.88734843307986</v>
      </c>
      <c r="AC104" s="603">
        <f t="shared" si="106"/>
        <v>749.56234843307982</v>
      </c>
      <c r="AD104" s="603">
        <f t="shared" ref="AD104:AD108" si="129">IF((V104&gt;AB104),(AB104*B104),(V104*B104))</f>
        <v>1985.6620452992397</v>
      </c>
      <c r="AE104" s="604">
        <f t="shared" si="107"/>
        <v>-187.39058710826987</v>
      </c>
      <c r="AF104" s="605">
        <f>IF(TYPE3="PLS",VLOOKUP(A104,BASELOYERMAX,4),"")</f>
        <v>730</v>
      </c>
      <c r="AG104" s="606">
        <v>0.2</v>
      </c>
      <c r="AH104" s="607">
        <f t="shared" si="108"/>
        <v>19.562348433079819</v>
      </c>
      <c r="AI104" s="608" t="str">
        <f t="shared" si="70"/>
        <v>T III +V a</v>
      </c>
      <c r="AJ104" s="609">
        <f t="shared" si="71"/>
        <v>0.22087868844957198</v>
      </c>
    </row>
    <row r="105" spans="1:36" ht="16.350000000000001" customHeight="1" outlineLevel="1">
      <c r="A105" s="490" t="str">
        <f>$A36</f>
        <v>T III +V a</v>
      </c>
      <c r="B105" s="583">
        <f>$V36</f>
        <v>2</v>
      </c>
      <c r="C105" s="675">
        <f>$AC36</f>
        <v>165.7</v>
      </c>
      <c r="D105" s="676">
        <f t="shared" si="109"/>
        <v>0.94130657815328922</v>
      </c>
      <c r="E105" s="586">
        <f t="shared" si="110"/>
        <v>825.8849775000001</v>
      </c>
      <c r="F105" s="587">
        <f t="shared" si="111"/>
        <v>9.9684366626433327</v>
      </c>
      <c r="G105" s="588">
        <f t="shared" si="112"/>
        <v>11.73965852878465</v>
      </c>
      <c r="H105" s="589">
        <f t="shared" si="113"/>
        <v>11.73965852878465</v>
      </c>
      <c r="I105" s="590">
        <f t="shared" si="114"/>
        <v>19821.239460000004</v>
      </c>
      <c r="J105" s="591"/>
      <c r="K105" s="677">
        <f>$J36</f>
        <v>70.349999999999994</v>
      </c>
      <c r="L105" s="678">
        <f>$R36</f>
        <v>70.349999999999994</v>
      </c>
      <c r="M105" s="678">
        <f>$U36</f>
        <v>82.85</v>
      </c>
      <c r="N105" s="594">
        <f t="shared" si="115"/>
        <v>20420.336422678498</v>
      </c>
      <c r="O105" s="595">
        <f t="shared" si="116"/>
        <v>2110.5</v>
      </c>
      <c r="P105" s="596">
        <f t="shared" si="117"/>
        <v>22530.836422678498</v>
      </c>
      <c r="Q105" s="597">
        <f t="shared" si="118"/>
        <v>850.84735094493738</v>
      </c>
      <c r="R105" s="587">
        <f t="shared" si="119"/>
        <v>10.269732660771725</v>
      </c>
      <c r="S105" s="679">
        <f t="shared" si="120"/>
        <v>12.094489707817164</v>
      </c>
      <c r="T105" s="680">
        <f t="shared" si="121"/>
        <v>12.094489707817164</v>
      </c>
      <c r="U105"/>
      <c r="V105" s="600">
        <f t="shared" si="122"/>
        <v>850.84735094493738</v>
      </c>
      <c r="W105" s="587">
        <f t="shared" si="123"/>
        <v>10.269732660771725</v>
      </c>
      <c r="X105" s="587">
        <f t="shared" si="124"/>
        <v>12.094489707817164</v>
      </c>
      <c r="Y105" s="598">
        <f t="shared" si="125"/>
        <v>12.094489707817164</v>
      </c>
      <c r="Z105" s="601">
        <f t="shared" si="126"/>
        <v>87.9375</v>
      </c>
      <c r="AA105" s="602">
        <f t="shared" si="127"/>
        <v>938.78485094493738</v>
      </c>
      <c r="AB105" s="603">
        <f t="shared" si="128"/>
        <v>663.09038075594992</v>
      </c>
      <c r="AC105" s="603">
        <f t="shared" si="106"/>
        <v>751.02788075594992</v>
      </c>
      <c r="AD105" s="603">
        <f t="shared" si="129"/>
        <v>1326.1807615118998</v>
      </c>
      <c r="AE105" s="604">
        <f t="shared" si="107"/>
        <v>-187.75697018898745</v>
      </c>
      <c r="AF105" s="605">
        <f>IF(TYPE3="PLS",VLOOKUP(A105,BASELOYERMAX,4),"")</f>
        <v>730</v>
      </c>
      <c r="AG105" s="606">
        <v>0.2</v>
      </c>
      <c r="AH105" s="607">
        <f t="shared" si="108"/>
        <v>21.027880755949923</v>
      </c>
      <c r="AI105" s="608" t="str">
        <f t="shared" si="70"/>
        <v>T III +V a</v>
      </c>
      <c r="AJ105" s="609">
        <f t="shared" si="71"/>
        <v>0.22239904141485051</v>
      </c>
    </row>
    <row r="106" spans="1:36" ht="16.350000000000001" customHeight="1" outlineLevel="1">
      <c r="A106" s="490" t="str">
        <f>$A37</f>
        <v>T III +V a</v>
      </c>
      <c r="B106" s="583">
        <f>$V37</f>
        <v>2</v>
      </c>
      <c r="C106" s="675">
        <f>$AC37</f>
        <v>169.18</v>
      </c>
      <c r="D106" s="676">
        <f t="shared" si="109"/>
        <v>0.9360344012294598</v>
      </c>
      <c r="E106" s="586">
        <f t="shared" si="110"/>
        <v>838.50719850000007</v>
      </c>
      <c r="F106" s="587">
        <f t="shared" si="111"/>
        <v>9.9126043090199794</v>
      </c>
      <c r="G106" s="588">
        <f t="shared" si="112"/>
        <v>11.631394069912609</v>
      </c>
      <c r="H106" s="589">
        <f t="shared" si="113"/>
        <v>11.631394069912609</v>
      </c>
      <c r="I106" s="590">
        <f t="shared" si="114"/>
        <v>20124.172764000003</v>
      </c>
      <c r="J106" s="591"/>
      <c r="K106" s="677">
        <f>$J37</f>
        <v>72.09</v>
      </c>
      <c r="L106" s="678">
        <f>$R37</f>
        <v>72.09</v>
      </c>
      <c r="M106" s="678">
        <f>$U37</f>
        <v>84.59</v>
      </c>
      <c r="N106" s="594">
        <f t="shared" si="115"/>
        <v>20732.425885791898</v>
      </c>
      <c r="O106" s="595">
        <f t="shared" si="116"/>
        <v>2162.7000000000003</v>
      </c>
      <c r="P106" s="596">
        <f t="shared" si="117"/>
        <v>22895.125885791898</v>
      </c>
      <c r="Q106" s="597">
        <f t="shared" si="118"/>
        <v>863.85107857466232</v>
      </c>
      <c r="R106" s="587">
        <f t="shared" si="119"/>
        <v>10.212212774260106</v>
      </c>
      <c r="S106" s="679">
        <f t="shared" si="120"/>
        <v>11.982952955675716</v>
      </c>
      <c r="T106" s="680">
        <f t="shared" si="121"/>
        <v>11.982952955675716</v>
      </c>
      <c r="U106"/>
      <c r="V106" s="600">
        <f t="shared" si="122"/>
        <v>863.85107857466232</v>
      </c>
      <c r="W106" s="587">
        <f t="shared" si="123"/>
        <v>10.212212774260106</v>
      </c>
      <c r="X106" s="587">
        <f t="shared" si="124"/>
        <v>11.982952955675716</v>
      </c>
      <c r="Y106" s="598">
        <f t="shared" si="125"/>
        <v>11.982952955675716</v>
      </c>
      <c r="Z106" s="601">
        <f t="shared" si="126"/>
        <v>90.112500000000011</v>
      </c>
      <c r="AA106" s="602">
        <f t="shared" si="127"/>
        <v>953.96357857466228</v>
      </c>
      <c r="AB106" s="603">
        <f t="shared" si="128"/>
        <v>673.05836285972987</v>
      </c>
      <c r="AC106" s="603">
        <f t="shared" si="106"/>
        <v>763.17086285972982</v>
      </c>
      <c r="AD106" s="603">
        <f t="shared" si="129"/>
        <v>1346.1167257194597</v>
      </c>
      <c r="AE106" s="604">
        <f t="shared" si="107"/>
        <v>-190.79271571493246</v>
      </c>
      <c r="AF106" s="605">
        <f>IF(TYPE3="PLS",VLOOKUP(A106,BASELOYERMAX,4),"")</f>
        <v>730</v>
      </c>
      <c r="AG106" s="606">
        <v>0.2</v>
      </c>
      <c r="AH106" s="607">
        <f t="shared" si="108"/>
        <v>33.170862859729823</v>
      </c>
      <c r="AI106" s="608" t="str">
        <f t="shared" si="70"/>
        <v>T III +V a</v>
      </c>
      <c r="AJ106" s="609">
        <f t="shared" si="71"/>
        <v>0.23477162399563634</v>
      </c>
    </row>
    <row r="107" spans="1:36" ht="16.350000000000001" customHeight="1" outlineLevel="1">
      <c r="A107" s="490" t="str">
        <f>$A38</f>
        <v>T IV + V a</v>
      </c>
      <c r="B107" s="583">
        <f>$V38</f>
        <v>8</v>
      </c>
      <c r="C107" s="675">
        <f>$AC38</f>
        <v>808.08</v>
      </c>
      <c r="D107" s="676">
        <f t="shared" si="109"/>
        <v>0.89522671022671019</v>
      </c>
      <c r="E107" s="586">
        <f t="shared" si="110"/>
        <v>957.62034149999999</v>
      </c>
      <c r="F107" s="587">
        <f t="shared" si="111"/>
        <v>9.4804508613008611</v>
      </c>
      <c r="G107" s="588">
        <f t="shared" si="112"/>
        <v>10.819346305502203</v>
      </c>
      <c r="H107" s="589">
        <f t="shared" si="113"/>
        <v>10.819346305502203</v>
      </c>
      <c r="I107" s="590">
        <f t="shared" si="114"/>
        <v>91931.552784</v>
      </c>
      <c r="J107" s="591"/>
      <c r="K107" s="677">
        <f>$J38</f>
        <v>88.51</v>
      </c>
      <c r="L107" s="678">
        <f>$R38</f>
        <v>88.51</v>
      </c>
      <c r="M107" s="678">
        <f>$U38</f>
        <v>101.01</v>
      </c>
      <c r="N107" s="594">
        <f t="shared" si="115"/>
        <v>94710.183966896366</v>
      </c>
      <c r="O107" s="595">
        <f t="shared" si="116"/>
        <v>10621.2</v>
      </c>
      <c r="P107" s="596">
        <f t="shared" si="117"/>
        <v>105331.38396689636</v>
      </c>
      <c r="Q107" s="597">
        <f t="shared" si="118"/>
        <v>986.56441632183714</v>
      </c>
      <c r="R107" s="587">
        <f t="shared" si="119"/>
        <v>9.7669974885836766</v>
      </c>
      <c r="S107" s="679">
        <f t="shared" si="120"/>
        <v>11.146361047586003</v>
      </c>
      <c r="T107" s="680">
        <f t="shared" si="121"/>
        <v>11.146361047586003</v>
      </c>
      <c r="U107"/>
      <c r="V107" s="600">
        <f t="shared" si="122"/>
        <v>986.56441632183714</v>
      </c>
      <c r="W107" s="587">
        <f t="shared" si="123"/>
        <v>9.7669974885836766</v>
      </c>
      <c r="X107" s="587">
        <f t="shared" si="124"/>
        <v>11.146361047586003</v>
      </c>
      <c r="Y107" s="598">
        <f t="shared" si="125"/>
        <v>11.146361047586003</v>
      </c>
      <c r="Z107" s="601">
        <f t="shared" si="126"/>
        <v>110.6375</v>
      </c>
      <c r="AA107" s="602">
        <f t="shared" si="127"/>
        <v>1097.2019163218372</v>
      </c>
      <c r="AB107" s="603">
        <f t="shared" si="128"/>
        <v>767.12403305746977</v>
      </c>
      <c r="AC107" s="603">
        <f t="shared" si="106"/>
        <v>877.76153305746982</v>
      </c>
      <c r="AD107" s="603">
        <f t="shared" si="129"/>
        <v>6136.9922644597582</v>
      </c>
      <c r="AE107" s="604">
        <f t="shared" si="107"/>
        <v>-219.44038326436737</v>
      </c>
      <c r="AF107" s="605">
        <f>IF(TYPE3="PLS",VLOOKUP(A107,BASELOYERMAX,4),"")</f>
        <v>830</v>
      </c>
      <c r="AG107" s="606">
        <v>0.2</v>
      </c>
      <c r="AH107" s="607">
        <f t="shared" si="108"/>
        <v>47.761533057469819</v>
      </c>
      <c r="AI107" s="608" t="str">
        <f t="shared" si="70"/>
        <v>T IV + V a</v>
      </c>
      <c r="AJ107" s="609">
        <f t="shared" si="71"/>
        <v>0.24353030408257151</v>
      </c>
    </row>
    <row r="108" spans="1:36" ht="16.350000000000001" customHeight="1" outlineLevel="1">
      <c r="A108" s="490" t="str">
        <f>$A39</f>
        <v>T IV + V a</v>
      </c>
      <c r="B108" s="583">
        <f>$V39</f>
        <v>6</v>
      </c>
      <c r="C108" s="675">
        <f>$AC39</f>
        <v>612.90000000000009</v>
      </c>
      <c r="D108" s="676">
        <f t="shared" si="109"/>
        <v>0.89288056779246205</v>
      </c>
      <c r="E108" s="586">
        <f t="shared" si="110"/>
        <v>965.89007249999997</v>
      </c>
      <c r="F108" s="587">
        <f t="shared" si="111"/>
        <v>9.4556052129221726</v>
      </c>
      <c r="G108" s="588">
        <f t="shared" si="112"/>
        <v>10.774010847741215</v>
      </c>
      <c r="H108" s="589">
        <f t="shared" si="113"/>
        <v>10.774010847741215</v>
      </c>
      <c r="I108" s="590">
        <f t="shared" si="114"/>
        <v>69544.085220000008</v>
      </c>
      <c r="J108" s="591"/>
      <c r="K108" s="677">
        <f>$J39</f>
        <v>89.65</v>
      </c>
      <c r="L108" s="678">
        <f>$R39</f>
        <v>89.65</v>
      </c>
      <c r="M108" s="678">
        <f>$U39</f>
        <v>102.15</v>
      </c>
      <c r="N108" s="594">
        <f t="shared" si="115"/>
        <v>71646.05519577449</v>
      </c>
      <c r="O108" s="595">
        <f t="shared" si="116"/>
        <v>8068.5</v>
      </c>
      <c r="P108" s="596">
        <f t="shared" si="117"/>
        <v>79714.55519577449</v>
      </c>
      <c r="Q108" s="597">
        <f t="shared" si="118"/>
        <v>995.08409994131227</v>
      </c>
      <c r="R108" s="587">
        <f t="shared" si="119"/>
        <v>9.7414008804827432</v>
      </c>
      <c r="S108" s="679">
        <f t="shared" si="120"/>
        <v>11.09965532561419</v>
      </c>
      <c r="T108" s="680">
        <f t="shared" si="121"/>
        <v>11.09965532561419</v>
      </c>
      <c r="U108"/>
      <c r="V108" s="600">
        <f t="shared" si="122"/>
        <v>995.08409994131227</v>
      </c>
      <c r="W108" s="587">
        <f t="shared" si="123"/>
        <v>9.7414008804827432</v>
      </c>
      <c r="X108" s="587">
        <f t="shared" si="124"/>
        <v>11.09965532561419</v>
      </c>
      <c r="Y108" s="598">
        <f t="shared" si="125"/>
        <v>11.09965532561419</v>
      </c>
      <c r="Z108" s="601">
        <f t="shared" si="126"/>
        <v>112.0625</v>
      </c>
      <c r="AA108" s="602">
        <f t="shared" si="127"/>
        <v>1107.1465999413122</v>
      </c>
      <c r="AB108" s="603">
        <f t="shared" si="128"/>
        <v>773.6547799530498</v>
      </c>
      <c r="AC108" s="603">
        <f t="shared" si="106"/>
        <v>885.7172799530498</v>
      </c>
      <c r="AD108" s="603">
        <f t="shared" si="129"/>
        <v>4641.9286797182986</v>
      </c>
      <c r="AE108" s="604">
        <f t="shared" si="107"/>
        <v>-221.42931998826248</v>
      </c>
      <c r="AF108" s="605">
        <f>IF(TYPE3="PLS",VLOOKUP(A108,BASELOYERMAX,4),"")</f>
        <v>830</v>
      </c>
      <c r="AG108" s="606">
        <v>0.2</v>
      </c>
      <c r="AH108" s="607">
        <f t="shared" si="108"/>
        <v>55.717279953049797</v>
      </c>
      <c r="AI108" s="608" t="str">
        <f t="shared" si="70"/>
        <v>T IV + V a</v>
      </c>
      <c r="AJ108" s="609">
        <f t="shared" si="71"/>
        <v>0.25032511499019477</v>
      </c>
    </row>
    <row r="109" spans="1:36" ht="16.350000000000001" customHeight="1">
      <c r="A109" s="610" t="s">
        <v>221</v>
      </c>
      <c r="B109" s="611">
        <f>SUM(B103:B108)</f>
        <v>29</v>
      </c>
      <c r="C109" s="681">
        <f>SUM(C103:C108)</f>
        <v>2561.1400000000003</v>
      </c>
      <c r="D109" s="613">
        <f>0.685*(31*B109+C109)/C109</f>
        <v>0.92544566091662317</v>
      </c>
      <c r="E109" s="614">
        <f t="shared" si="104"/>
        <v>865.53015796551745</v>
      </c>
      <c r="F109" s="615">
        <f>IFERROR(LMDOMPLS*D109,0)</f>
        <v>9.8004695491070386</v>
      </c>
      <c r="G109" s="616">
        <f>$E109/L109</f>
        <v>11.416318533729942</v>
      </c>
      <c r="H109" s="617">
        <f>$E109/K109</f>
        <v>11.416318533729942</v>
      </c>
      <c r="I109" s="618">
        <f>SUM(I103:I108)</f>
        <v>301204.49497200001</v>
      </c>
      <c r="J109" s="619"/>
      <c r="K109" s="682">
        <f>SH.PLS/B109</f>
        <v>75.815172413793121</v>
      </c>
      <c r="L109" s="683">
        <f>SU.PLS/B109</f>
        <v>75.815172413793121</v>
      </c>
      <c r="M109" s="684">
        <f>SF.PLS/B109</f>
        <v>88.315172413793121</v>
      </c>
      <c r="N109" s="623">
        <f>SUM(N103:N108)</f>
        <v>310308.4008325286</v>
      </c>
      <c r="O109" s="624">
        <f>SUM(O103:O108)</f>
        <v>32979.600000000006</v>
      </c>
      <c r="P109" s="625">
        <f>SUM(P103:P108)</f>
        <v>343288.00083252863</v>
      </c>
      <c r="Q109" s="626">
        <f>E109/$F$83*$R$83</f>
        <v>891.69080699002495</v>
      </c>
      <c r="R109" s="627">
        <f>$Q109/M109</f>
        <v>10.096688741228796</v>
      </c>
      <c r="S109" s="616">
        <f>$Q109/L109</f>
        <v>11.761376761411926</v>
      </c>
      <c r="T109" s="628">
        <f>$Q109/K109</f>
        <v>11.761376761411926</v>
      </c>
      <c r="U109" s="685"/>
      <c r="V109" s="629">
        <f>Y110/12/B109</f>
        <v>891.69080699002473</v>
      </c>
      <c r="W109" s="627">
        <f>$Q109/M109</f>
        <v>10.096688741228796</v>
      </c>
      <c r="X109" s="616">
        <f>$Q109/L109</f>
        <v>11.761376761411926</v>
      </c>
      <c r="Y109" s="617">
        <f>$Q109/K109</f>
        <v>11.761376761411926</v>
      </c>
      <c r="Z109" s="630">
        <f>$Z$93*L109</f>
        <v>94.768965517241398</v>
      </c>
      <c r="AA109" s="631">
        <f>V109+Z109</f>
        <v>986.45977250726617</v>
      </c>
      <c r="AB109" s="632"/>
      <c r="AC109" s="632"/>
      <c r="AD109" s="632"/>
      <c r="AE109" s="632"/>
      <c r="AF109" s="633"/>
      <c r="AG109" s="634"/>
      <c r="AH109" s="635"/>
      <c r="AI109"/>
      <c r="AJ109"/>
    </row>
    <row r="110" spans="1:36" ht="16.350000000000001" customHeight="1" thickBot="1">
      <c r="A110" s="636"/>
      <c r="B110" s="190"/>
      <c r="C110" s="637">
        <f>SF.PLS-C109</f>
        <v>0</v>
      </c>
      <c r="D110" s="190"/>
      <c r="E110" s="639" t="s">
        <v>222</v>
      </c>
      <c r="F110" s="640">
        <f>IFERROR(LP_PLS*(1+AE110),0)</f>
        <v>7.6320567122604031</v>
      </c>
      <c r="G110" s="190"/>
      <c r="H110" s="642" t="s">
        <v>223</v>
      </c>
      <c r="I110" s="686">
        <f>(F109*SF.PLS*12)</f>
        <v>301204.49497200001</v>
      </c>
      <c r="J110" s="686"/>
      <c r="K110" s="687"/>
      <c r="L110" s="687"/>
      <c r="M110" s="643"/>
      <c r="N110" s="644" t="s">
        <v>224</v>
      </c>
      <c r="O110" s="645">
        <f>LP_PLS*Q83</f>
        <v>10.096688741228796</v>
      </c>
      <c r="P110" s="646"/>
      <c r="Q110" s="686"/>
      <c r="R110" s="190"/>
      <c r="S110" s="642" t="s">
        <v>223</v>
      </c>
      <c r="T110" s="686">
        <f>I109/$F$83*$R$83</f>
        <v>310308.40083252866</v>
      </c>
      <c r="U110" s="647"/>
      <c r="V110" s="686"/>
      <c r="W110" s="190"/>
      <c r="X110" s="642" t="s">
        <v>223</v>
      </c>
      <c r="Y110" s="686">
        <f>N109</f>
        <v>310308.4008325286</v>
      </c>
      <c r="Z110" s="686"/>
      <c r="AA110" s="686"/>
      <c r="AB110" s="632"/>
      <c r="AC110" s="688" t="s">
        <v>225</v>
      </c>
      <c r="AD110" s="689">
        <f>SUM(AD103:AD108)*12</f>
        <v>241650.80066602287</v>
      </c>
      <c r="AE110" s="690">
        <f>(AD110-T110)/Y110</f>
        <v>-0.22125601492677552</v>
      </c>
      <c r="AF110" s="653"/>
      <c r="AG110" s="654" t="s">
        <v>226</v>
      </c>
      <c r="AH110" s="655">
        <f>AD110/12/SF.PLS</f>
        <v>7.8627356263884716</v>
      </c>
      <c r="AI110"/>
      <c r="AJ110"/>
    </row>
    <row r="111" spans="1:36" ht="16.350000000000001" customHeight="1">
      <c r="A111" s="656" t="s">
        <v>92</v>
      </c>
      <c r="B111" s="657"/>
      <c r="C111" s="691"/>
      <c r="D111" s="659"/>
      <c r="E111" s="692"/>
      <c r="F111" s="561"/>
      <c r="G111" s="693"/>
      <c r="H111" s="694"/>
      <c r="I111" s="564"/>
      <c r="J111" s="661"/>
      <c r="K111" s="662"/>
      <c r="L111" s="663"/>
      <c r="M111" s="663"/>
      <c r="N111" s="695"/>
      <c r="O111" s="696"/>
      <c r="P111" s="697"/>
      <c r="Q111" s="698"/>
      <c r="R111" s="561"/>
      <c r="S111" s="693"/>
      <c r="T111" s="699"/>
      <c r="U111"/>
      <c r="V111" s="700"/>
      <c r="W111" s="575"/>
      <c r="X111" s="693"/>
      <c r="Y111" s="10"/>
      <c r="Z111" s="667"/>
      <c r="AA111" s="701"/>
      <c r="AB111" s="702"/>
      <c r="AC111" s="703"/>
      <c r="AI111"/>
    </row>
    <row r="112" spans="1:36" ht="16.350000000000001" hidden="1" customHeight="1" outlineLevel="1">
      <c r="A112" s="490" t="str">
        <f>+A43</f>
        <v>COMMERCE 1</v>
      </c>
      <c r="B112" s="583">
        <f>+V43</f>
        <v>0</v>
      </c>
      <c r="C112" s="675">
        <f>+AC43</f>
        <v>0</v>
      </c>
      <c r="D112" s="585"/>
      <c r="E112" s="586"/>
      <c r="F112" s="587"/>
      <c r="G112" s="588"/>
      <c r="H112" s="589"/>
      <c r="I112" s="590"/>
      <c r="J112" s="591"/>
      <c r="K112" s="592"/>
      <c r="L112" s="593"/>
      <c r="M112" s="593"/>
      <c r="N112" s="594"/>
      <c r="O112" s="595"/>
      <c r="P112" s="596"/>
      <c r="Q112" s="597"/>
      <c r="R112" s="587"/>
      <c r="S112" s="587"/>
      <c r="T112" s="680"/>
      <c r="U112"/>
      <c r="V112" s="600"/>
      <c r="W112" s="587"/>
      <c r="X112" s="587"/>
      <c r="Y112" s="598"/>
      <c r="Z112" s="601"/>
      <c r="AA112" s="602"/>
      <c r="AB112" s="704"/>
      <c r="AC112" s="705"/>
      <c r="AI112"/>
    </row>
    <row r="113" spans="1:35" ht="16.350000000000001" hidden="1" customHeight="1" outlineLevel="1">
      <c r="A113" s="490" t="str">
        <f>+A44</f>
        <v>COMMERCE 2</v>
      </c>
      <c r="B113" s="583">
        <f>+V44</f>
        <v>0</v>
      </c>
      <c r="C113" s="675">
        <f>+AC44</f>
        <v>0</v>
      </c>
      <c r="D113" s="585"/>
      <c r="E113" s="586"/>
      <c r="F113" s="587"/>
      <c r="G113" s="588"/>
      <c r="H113" s="589"/>
      <c r="I113" s="590"/>
      <c r="J113" s="591"/>
      <c r="K113" s="592"/>
      <c r="L113" s="593"/>
      <c r="M113" s="593"/>
      <c r="N113" s="594"/>
      <c r="O113" s="595"/>
      <c r="P113" s="596"/>
      <c r="Q113" s="597"/>
      <c r="R113" s="587"/>
      <c r="S113" s="587"/>
      <c r="T113" s="680"/>
      <c r="U113"/>
      <c r="V113" s="600"/>
      <c r="W113" s="587"/>
      <c r="X113" s="587"/>
      <c r="Y113" s="598"/>
      <c r="Z113" s="601"/>
      <c r="AA113" s="602"/>
      <c r="AB113" s="704"/>
      <c r="AC113" s="705"/>
      <c r="AI113"/>
    </row>
    <row r="114" spans="1:35" ht="16.350000000000001" hidden="1" customHeight="1" outlineLevel="1">
      <c r="A114" s="490" t="str">
        <f>+A45</f>
        <v>COMMERCE 3</v>
      </c>
      <c r="B114" s="583">
        <f>+V45</f>
        <v>0</v>
      </c>
      <c r="C114" s="675">
        <f>+AC45</f>
        <v>0</v>
      </c>
      <c r="D114" s="585"/>
      <c r="E114" s="586"/>
      <c r="F114" s="587"/>
      <c r="G114" s="588"/>
      <c r="H114" s="589"/>
      <c r="I114" s="590"/>
      <c r="J114" s="591"/>
      <c r="K114" s="592"/>
      <c r="L114" s="593"/>
      <c r="M114" s="593"/>
      <c r="N114" s="594"/>
      <c r="O114" s="595"/>
      <c r="P114" s="596"/>
      <c r="Q114" s="597"/>
      <c r="R114" s="587"/>
      <c r="S114" s="587"/>
      <c r="T114" s="680"/>
      <c r="U114"/>
      <c r="V114" s="600"/>
      <c r="W114" s="587"/>
      <c r="X114" s="587"/>
      <c r="Y114" s="598"/>
      <c r="Z114" s="601"/>
      <c r="AA114" s="602"/>
      <c r="AB114" s="704"/>
      <c r="AC114" s="705"/>
      <c r="AI114"/>
    </row>
    <row r="115" spans="1:35" ht="16.350000000000001" hidden="1" customHeight="1" outlineLevel="1">
      <c r="A115" s="490" t="str">
        <f>+A46</f>
        <v>COMMERCE 4</v>
      </c>
      <c r="B115" s="583">
        <f>+V46</f>
        <v>0</v>
      </c>
      <c r="C115" s="675">
        <f>+AC46</f>
        <v>0</v>
      </c>
      <c r="D115" s="585"/>
      <c r="E115" s="586"/>
      <c r="F115" s="587"/>
      <c r="G115" s="588"/>
      <c r="H115" s="589"/>
      <c r="I115" s="590"/>
      <c r="J115" s="591"/>
      <c r="K115" s="592"/>
      <c r="L115" s="593"/>
      <c r="M115" s="593"/>
      <c r="N115" s="594"/>
      <c r="O115" s="595"/>
      <c r="P115" s="596"/>
      <c r="Q115" s="597"/>
      <c r="R115" s="587"/>
      <c r="S115" s="587"/>
      <c r="T115" s="706"/>
      <c r="U115"/>
      <c r="V115" s="600"/>
      <c r="W115" s="587"/>
      <c r="X115" s="587"/>
      <c r="Y115" s="598"/>
      <c r="Z115" s="601"/>
      <c r="AA115" s="602"/>
      <c r="AB115" s="704"/>
      <c r="AC115" s="705"/>
      <c r="AI115"/>
    </row>
    <row r="116" spans="1:35" ht="16.350000000000001" customHeight="1" collapsed="1">
      <c r="A116" s="610"/>
      <c r="B116" s="611">
        <f>SUM(B112:B115)</f>
        <v>0</v>
      </c>
      <c r="C116" s="681">
        <f>SUM(C112:C115)</f>
        <v>0</v>
      </c>
      <c r="D116" s="707"/>
      <c r="E116" s="614"/>
      <c r="F116" s="627"/>
      <c r="G116" s="616"/>
      <c r="H116" s="617"/>
      <c r="I116" s="618"/>
      <c r="J116" s="619"/>
      <c r="K116" s="620"/>
      <c r="L116" s="621"/>
      <c r="M116" s="622"/>
      <c r="N116" s="623"/>
      <c r="O116" s="624"/>
      <c r="P116" s="625"/>
      <c r="Q116" s="626"/>
      <c r="R116" s="627"/>
      <c r="S116" s="616"/>
      <c r="T116" s="628"/>
      <c r="U116" s="685"/>
      <c r="V116" s="629"/>
      <c r="W116" s="627"/>
      <c r="X116" s="616"/>
      <c r="Y116" s="617"/>
      <c r="Z116" s="630"/>
      <c r="AA116" s="631"/>
      <c r="AB116" s="634"/>
      <c r="AC116" s="635"/>
      <c r="AI116"/>
    </row>
    <row r="117" spans="1:35" ht="16.350000000000001" customHeight="1" thickBot="1">
      <c r="A117" s="708"/>
      <c r="B117" s="709"/>
      <c r="C117" s="637"/>
      <c r="D117" s="709"/>
      <c r="E117" s="710"/>
      <c r="F117" s="709"/>
      <c r="G117" s="709"/>
      <c r="H117" s="711"/>
      <c r="I117" s="710"/>
      <c r="J117" s="710"/>
      <c r="K117" s="712"/>
      <c r="L117" s="712"/>
      <c r="M117" s="713"/>
      <c r="N117" s="714"/>
      <c r="O117" s="714"/>
      <c r="P117" s="714"/>
      <c r="Q117" s="710"/>
      <c r="R117" s="709"/>
      <c r="S117" s="711"/>
      <c r="T117" s="710"/>
      <c r="U117" s="647"/>
      <c r="V117" s="710"/>
      <c r="W117" s="709"/>
      <c r="X117" s="711"/>
      <c r="Y117" s="710"/>
      <c r="Z117" s="710"/>
      <c r="AA117" s="710"/>
      <c r="AB117" s="710"/>
      <c r="AC117" s="715"/>
      <c r="AI117"/>
    </row>
    <row r="118" spans="1:35" ht="16.350000000000001" customHeight="1" thickBot="1">
      <c r="A118" s="716" t="s">
        <v>0</v>
      </c>
      <c r="B118" s="717">
        <f>B91+B100+B116+B109</f>
        <v>117</v>
      </c>
      <c r="C118" s="718">
        <f>C91+C100+C116+C109</f>
        <v>8538.61</v>
      </c>
      <c r="D118" s="719">
        <f>0.685*(31*B118+C118)/C118</f>
        <v>0.97597183265191889</v>
      </c>
      <c r="E118" s="720">
        <f>I118/12/B118</f>
        <v>531.39017198974352</v>
      </c>
      <c r="F118" s="721">
        <f>I118/12/SF.T</f>
        <v>4.0967826190220453</v>
      </c>
      <c r="G118" s="722">
        <f>E118/L118</f>
        <v>4.7303071504557019</v>
      </c>
      <c r="H118" s="723">
        <f>E118/K118</f>
        <v>4.7602992592104831</v>
      </c>
      <c r="I118" s="724">
        <f>I91+I100+I116+I110</f>
        <v>746071.80147359997</v>
      </c>
      <c r="J118" s="725"/>
      <c r="K118" s="726">
        <f>SH.T/B118</f>
        <v>111.62957264957265</v>
      </c>
      <c r="L118" s="727">
        <f>SU.T/B118</f>
        <v>112.3373504273504</v>
      </c>
      <c r="M118" s="727">
        <f>SF.T/B118</f>
        <v>129.70914529914532</v>
      </c>
      <c r="N118" s="728">
        <f>N91+N100+N116+N109</f>
        <v>768621.82167313923</v>
      </c>
      <c r="O118" s="729">
        <f>O91+O100+O116+O109</f>
        <v>110412</v>
      </c>
      <c r="P118" s="730">
        <f>P91+P100+P116+P109</f>
        <v>879033.82167313946</v>
      </c>
      <c r="Q118" s="731">
        <f>E118/$F$83*$R$83</f>
        <v>547.45143993813338</v>
      </c>
      <c r="R118" s="721">
        <f>$Q118/M118</f>
        <v>4.2206078736819848</v>
      </c>
      <c r="S118" s="732">
        <f>$Q118/L118</f>
        <v>4.8732806840782246</v>
      </c>
      <c r="T118" s="733">
        <f>$Q118/K118</f>
        <v>4.9041793043201185</v>
      </c>
      <c r="U118"/>
      <c r="V118" s="734">
        <f>Y119/12/B118</f>
        <v>547.45143993813338</v>
      </c>
      <c r="W118" s="735">
        <f>$Q118/M118</f>
        <v>4.2206078736819848</v>
      </c>
      <c r="X118" s="722">
        <f>$Q118/L118</f>
        <v>4.8732806840782246</v>
      </c>
      <c r="Y118" s="736">
        <f>$Q118/K118</f>
        <v>4.9041793043201185</v>
      </c>
      <c r="Z118" s="737">
        <f>O118/12/B118</f>
        <v>78.641025641025635</v>
      </c>
      <c r="AA118" s="733">
        <f>P118/12/B118</f>
        <v>626.09246557915912</v>
      </c>
      <c r="AB118" s="738"/>
      <c r="AC118" s="739"/>
      <c r="AI118"/>
    </row>
    <row r="119" spans="1:35" ht="16.350000000000001" customHeight="1">
      <c r="A119" s="740" t="s">
        <v>227</v>
      </c>
      <c r="B119" s="741">
        <f>Nbre-B118</f>
        <v>75</v>
      </c>
      <c r="C119" s="742">
        <f>SF.T-C118</f>
        <v>6637.3600000000006</v>
      </c>
      <c r="D119" s="741"/>
      <c r="E119" s="743"/>
      <c r="G119" s="744"/>
      <c r="H119" s="745" t="s">
        <v>223</v>
      </c>
      <c r="I119" s="746">
        <f>F118*SF.T*12</f>
        <v>746071.80147359986</v>
      </c>
      <c r="J119" s="746"/>
      <c r="K119" s="747"/>
      <c r="L119" s="747"/>
      <c r="M119" s="747"/>
      <c r="N119" s="371"/>
      <c r="O119" s="371"/>
      <c r="P119" s="371"/>
      <c r="Q119" s="748"/>
      <c r="R119" s="591"/>
      <c r="S119" s="745" t="s">
        <v>223</v>
      </c>
      <c r="T119" s="746">
        <f>T92+T101+T110</f>
        <v>768621.82167313935</v>
      </c>
      <c r="U119" s="474"/>
      <c r="V119" s="748"/>
      <c r="W119" s="591"/>
      <c r="X119" s="745" t="s">
        <v>223</v>
      </c>
      <c r="Y119" s="746">
        <f>Y92+Y101+Y110</f>
        <v>768621.82167313923</v>
      </c>
      <c r="AA119"/>
      <c r="AB119"/>
      <c r="AC119" s="368"/>
      <c r="AI119"/>
    </row>
    <row r="120" spans="1:35" ht="16.350000000000001" customHeight="1">
      <c r="A120" s="293"/>
      <c r="B120" s="296"/>
      <c r="C120" s="297"/>
      <c r="D120" s="297"/>
      <c r="E120" s="298"/>
      <c r="F120" s="749"/>
      <c r="G120" s="749"/>
      <c r="H120" s="750"/>
      <c r="I120" s="749"/>
      <c r="J120" s="749"/>
      <c r="K120" s="747"/>
      <c r="L120" s="747"/>
      <c r="M120" s="747"/>
      <c r="N120" s="430"/>
      <c r="O120" s="430"/>
      <c r="P120" s="430"/>
      <c r="Q120" s="751"/>
      <c r="R120" s="749"/>
      <c r="S120" s="752"/>
      <c r="T120" s="753">
        <f>(I119/$F$83*$R$83)-T119</f>
        <v>0</v>
      </c>
      <c r="U120" s="754"/>
      <c r="V120" s="755"/>
      <c r="W120" s="756"/>
      <c r="X120" s="756"/>
      <c r="Y120" s="754"/>
      <c r="Z120" s="756"/>
      <c r="AA120" s="754"/>
      <c r="AB120" s="756"/>
      <c r="AC120" s="757"/>
      <c r="AI120"/>
    </row>
    <row r="121" spans="1:35" ht="16.350000000000001" customHeight="1" thickBot="1">
      <c r="A121" s="758"/>
      <c r="B121" s="759"/>
      <c r="C121" s="760"/>
      <c r="D121" s="760"/>
      <c r="E121" s="761"/>
      <c r="F121" s="761"/>
      <c r="G121" s="761"/>
      <c r="H121" s="761"/>
      <c r="I121" s="760"/>
      <c r="J121" s="760"/>
      <c r="K121" s="760"/>
      <c r="L121" s="760"/>
      <c r="M121" s="760"/>
      <c r="N121" s="760"/>
      <c r="O121" s="760"/>
      <c r="P121" s="760"/>
      <c r="Q121" s="760"/>
      <c r="R121" s="760"/>
      <c r="S121" s="760"/>
      <c r="T121" s="760"/>
      <c r="U121" s="761"/>
      <c r="V121" s="761"/>
      <c r="W121" s="761"/>
      <c r="X121" s="761"/>
      <c r="Y121" s="761"/>
      <c r="Z121" s="761"/>
      <c r="AA121" s="761"/>
      <c r="AB121" s="761"/>
      <c r="AC121" s="762"/>
      <c r="AI121"/>
    </row>
    <row r="122" spans="1:35">
      <c r="A122" s="11"/>
      <c r="B122" s="321"/>
      <c r="D122" s="11"/>
      <c r="G122" s="11"/>
      <c r="H122" s="11"/>
      <c r="I122" s="11"/>
      <c r="P122" s="11"/>
      <c r="U122" s="11"/>
      <c r="V122" s="11"/>
      <c r="W122" s="11"/>
      <c r="X122" s="11"/>
    </row>
    <row r="123" spans="1:35" ht="11.25" customHeight="1">
      <c r="A123" s="11"/>
      <c r="B123" s="321"/>
      <c r="D123" s="11" t="s">
        <v>228</v>
      </c>
      <c r="E123" s="11" t="s">
        <v>228</v>
      </c>
      <c r="G123" s="11"/>
      <c r="H123" s="11" t="s">
        <v>228</v>
      </c>
      <c r="I123" s="11"/>
      <c r="P123" s="11"/>
      <c r="U123" s="11"/>
      <c r="V123" s="11"/>
      <c r="W123" s="11"/>
      <c r="X123" s="11"/>
    </row>
    <row r="124" spans="1:35" ht="12">
      <c r="A124" s="11"/>
      <c r="B124" s="321"/>
      <c r="D124" s="11"/>
      <c r="G124" s="11"/>
      <c r="H124" s="11"/>
      <c r="I124" s="11"/>
      <c r="P124" s="11"/>
      <c r="U124" s="11"/>
      <c r="V124" s="11"/>
      <c r="W124" s="11"/>
      <c r="X124" s="11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</row>
    <row r="125" spans="1:35" ht="12">
      <c r="A125" s="11"/>
      <c r="B125" s="321"/>
      <c r="D125" s="11"/>
      <c r="G125" s="11"/>
      <c r="H125" s="11"/>
      <c r="I125" s="11"/>
      <c r="P125" s="11"/>
      <c r="U125" s="11"/>
      <c r="V125" s="11"/>
      <c r="W125" s="11"/>
      <c r="X125" s="11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</row>
    <row r="126" spans="1:35" ht="12">
      <c r="A126" s="11"/>
      <c r="B126" s="321"/>
      <c r="D126" s="11"/>
      <c r="G126" s="11"/>
      <c r="H126" s="11"/>
      <c r="I126" s="11"/>
      <c r="P126" s="11"/>
      <c r="U126" s="11"/>
      <c r="V126" s="11"/>
      <c r="W126" s="11"/>
      <c r="X126" s="11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</row>
    <row r="127" spans="1:35" ht="12">
      <c r="A127" s="11"/>
      <c r="B127" s="321"/>
      <c r="D127" s="11"/>
      <c r="G127" s="11"/>
      <c r="H127" s="11"/>
      <c r="I127" s="11"/>
      <c r="P127" s="11"/>
      <c r="U127" s="11"/>
      <c r="V127" s="11"/>
      <c r="W127" s="11"/>
      <c r="X127" s="11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</row>
    <row r="128" spans="1:35" ht="12">
      <c r="A128" s="11"/>
      <c r="B128" s="321"/>
      <c r="D128" s="11"/>
      <c r="G128" s="11"/>
      <c r="H128" s="11"/>
      <c r="I128" s="11"/>
      <c r="P128" s="11"/>
      <c r="U128" s="11"/>
      <c r="V128" s="11"/>
      <c r="W128" s="11"/>
      <c r="X128" s="11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</row>
    <row r="129" spans="1:34" ht="12">
      <c r="A129" s="11"/>
      <c r="B129" s="321"/>
      <c r="D129" s="11"/>
      <c r="G129" s="11"/>
      <c r="H129" s="11"/>
      <c r="I129" s="11"/>
      <c r="P129" s="11"/>
      <c r="U129" s="11"/>
      <c r="V129" s="11"/>
      <c r="W129" s="11"/>
      <c r="X129" s="11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</row>
    <row r="130" spans="1:34" ht="12">
      <c r="A130" s="11"/>
      <c r="B130" s="321"/>
      <c r="D130" s="11"/>
      <c r="G130" s="11"/>
      <c r="H130" s="11"/>
      <c r="I130" s="11"/>
      <c r="P130" s="11"/>
      <c r="U130" s="11"/>
      <c r="V130" s="11"/>
      <c r="W130" s="11"/>
      <c r="X130" s="11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</row>
    <row r="131" spans="1:34" ht="12">
      <c r="A131" s="11"/>
      <c r="B131" s="321"/>
      <c r="D131" s="11"/>
      <c r="G131" s="11"/>
      <c r="H131" s="11"/>
      <c r="I131" s="11"/>
      <c r="P131" s="11"/>
      <c r="U131" s="11"/>
      <c r="V131" s="11"/>
      <c r="W131" s="11"/>
      <c r="X131" s="11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</row>
    <row r="132" spans="1:34" ht="12">
      <c r="A132" s="11"/>
      <c r="B132" s="321"/>
      <c r="D132" s="11"/>
      <c r="G132" s="11"/>
      <c r="H132" s="11"/>
      <c r="I132" s="11"/>
      <c r="P132" s="11"/>
      <c r="U132" s="11"/>
      <c r="V132" s="11"/>
      <c r="W132" s="11"/>
      <c r="X132" s="11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</row>
    <row r="133" spans="1:34" ht="12">
      <c r="A133" s="11"/>
      <c r="B133" s="321"/>
      <c r="D133" s="11"/>
      <c r="G133" s="11"/>
      <c r="H133" s="11"/>
      <c r="I133" s="11"/>
      <c r="P133" s="11"/>
      <c r="U133" s="11"/>
      <c r="V133" s="11"/>
      <c r="W133" s="11"/>
      <c r="X133" s="11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</row>
    <row r="134" spans="1:34" ht="12">
      <c r="A134" s="11"/>
      <c r="B134" s="321"/>
      <c r="D134" s="11"/>
      <c r="G134" s="11"/>
      <c r="H134" s="11"/>
      <c r="I134" s="11"/>
      <c r="P134" s="11"/>
      <c r="U134" s="11"/>
      <c r="V134" s="11"/>
      <c r="W134" s="11"/>
      <c r="X134" s="11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</row>
    <row r="135" spans="1:34" ht="12">
      <c r="A135" s="11"/>
      <c r="B135" s="321"/>
      <c r="D135" s="11"/>
      <c r="G135" s="11"/>
      <c r="H135" s="11"/>
      <c r="I135" s="11"/>
      <c r="P135" s="11"/>
      <c r="U135" s="11"/>
      <c r="V135" s="11"/>
      <c r="W135" s="11"/>
      <c r="X135" s="11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</row>
    <row r="136" spans="1:34" ht="12">
      <c r="A136" s="11"/>
      <c r="B136" s="321"/>
      <c r="D136" s="11"/>
      <c r="G136" s="11"/>
      <c r="H136" s="11"/>
      <c r="I136" s="11"/>
      <c r="P136" s="11"/>
      <c r="U136" s="11"/>
      <c r="V136" s="11"/>
      <c r="W136" s="11"/>
      <c r="X136" s="11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</row>
    <row r="137" spans="1:34" ht="12">
      <c r="A137" s="11"/>
      <c r="B137" s="321"/>
      <c r="D137" s="11"/>
      <c r="G137" s="11"/>
      <c r="H137" s="11"/>
      <c r="I137" s="11"/>
      <c r="P137" s="11"/>
      <c r="U137" s="11"/>
      <c r="V137" s="11"/>
      <c r="W137" s="11"/>
      <c r="X137" s="11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</row>
  </sheetData>
  <mergeCells count="594">
    <mergeCell ref="AG84:AG85"/>
    <mergeCell ref="AH84:AH85"/>
    <mergeCell ref="AB82:AC82"/>
    <mergeCell ref="N83:P83"/>
    <mergeCell ref="C84:C85"/>
    <mergeCell ref="D84:D85"/>
    <mergeCell ref="E84:H84"/>
    <mergeCell ref="K84:M84"/>
    <mergeCell ref="Q84:T84"/>
    <mergeCell ref="V84:Y84"/>
    <mergeCell ref="V58:W58"/>
    <mergeCell ref="V59:W59"/>
    <mergeCell ref="A65:B65"/>
    <mergeCell ref="C65:D65"/>
    <mergeCell ref="V77:W77"/>
    <mergeCell ref="E82:I82"/>
    <mergeCell ref="V82:AA82"/>
    <mergeCell ref="A47:B47"/>
    <mergeCell ref="A49:B49"/>
    <mergeCell ref="U50:U51"/>
    <mergeCell ref="Q53:Q56"/>
    <mergeCell ref="T53:T55"/>
    <mergeCell ref="T58:T59"/>
    <mergeCell ref="WYN40:WYO40"/>
    <mergeCell ref="WZQ40:WZR40"/>
    <mergeCell ref="XAT40:XAU40"/>
    <mergeCell ref="XBW40:XBX40"/>
    <mergeCell ref="XCZ40:XDA40"/>
    <mergeCell ref="XEC40:XED40"/>
    <mergeCell ref="WRV40:WRW40"/>
    <mergeCell ref="WSY40:WSZ40"/>
    <mergeCell ref="WUB40:WUC40"/>
    <mergeCell ref="WVE40:WVF40"/>
    <mergeCell ref="WWH40:WWI40"/>
    <mergeCell ref="WXK40:WXL40"/>
    <mergeCell ref="WLD40:WLE40"/>
    <mergeCell ref="WMG40:WMH40"/>
    <mergeCell ref="WNJ40:WNK40"/>
    <mergeCell ref="WOM40:WON40"/>
    <mergeCell ref="WPP40:WPQ40"/>
    <mergeCell ref="WQS40:WQT40"/>
    <mergeCell ref="WEL40:WEM40"/>
    <mergeCell ref="WFO40:WFP40"/>
    <mergeCell ref="WGR40:WGS40"/>
    <mergeCell ref="WHU40:WHV40"/>
    <mergeCell ref="WIX40:WIY40"/>
    <mergeCell ref="WKA40:WKB40"/>
    <mergeCell ref="VXT40:VXU40"/>
    <mergeCell ref="VYW40:VYX40"/>
    <mergeCell ref="VZZ40:WAA40"/>
    <mergeCell ref="WBC40:WBD40"/>
    <mergeCell ref="WCF40:WCG40"/>
    <mergeCell ref="WDI40:WDJ40"/>
    <mergeCell ref="VRB40:VRC40"/>
    <mergeCell ref="VSE40:VSF40"/>
    <mergeCell ref="VTH40:VTI40"/>
    <mergeCell ref="VUK40:VUL40"/>
    <mergeCell ref="VVN40:VVO40"/>
    <mergeCell ref="VWQ40:VWR40"/>
    <mergeCell ref="VKJ40:VKK40"/>
    <mergeCell ref="VLM40:VLN40"/>
    <mergeCell ref="VMP40:VMQ40"/>
    <mergeCell ref="VNS40:VNT40"/>
    <mergeCell ref="VOV40:VOW40"/>
    <mergeCell ref="VPY40:VPZ40"/>
    <mergeCell ref="VDR40:VDS40"/>
    <mergeCell ref="VEU40:VEV40"/>
    <mergeCell ref="VFX40:VFY40"/>
    <mergeCell ref="VHA40:VHB40"/>
    <mergeCell ref="VID40:VIE40"/>
    <mergeCell ref="VJG40:VJH40"/>
    <mergeCell ref="UWZ40:UXA40"/>
    <mergeCell ref="UYC40:UYD40"/>
    <mergeCell ref="UZF40:UZG40"/>
    <mergeCell ref="VAI40:VAJ40"/>
    <mergeCell ref="VBL40:VBM40"/>
    <mergeCell ref="VCO40:VCP40"/>
    <mergeCell ref="UQH40:UQI40"/>
    <mergeCell ref="URK40:URL40"/>
    <mergeCell ref="USN40:USO40"/>
    <mergeCell ref="UTQ40:UTR40"/>
    <mergeCell ref="UUT40:UUU40"/>
    <mergeCell ref="UVW40:UVX40"/>
    <mergeCell ref="UJP40:UJQ40"/>
    <mergeCell ref="UKS40:UKT40"/>
    <mergeCell ref="ULV40:ULW40"/>
    <mergeCell ref="UMY40:UMZ40"/>
    <mergeCell ref="UOB40:UOC40"/>
    <mergeCell ref="UPE40:UPF40"/>
    <mergeCell ref="UCX40:UCY40"/>
    <mergeCell ref="UEA40:UEB40"/>
    <mergeCell ref="UFD40:UFE40"/>
    <mergeCell ref="UGG40:UGH40"/>
    <mergeCell ref="UHJ40:UHK40"/>
    <mergeCell ref="UIM40:UIN40"/>
    <mergeCell ref="TWF40:TWG40"/>
    <mergeCell ref="TXI40:TXJ40"/>
    <mergeCell ref="TYL40:TYM40"/>
    <mergeCell ref="TZO40:TZP40"/>
    <mergeCell ref="UAR40:UAS40"/>
    <mergeCell ref="UBU40:UBV40"/>
    <mergeCell ref="TPN40:TPO40"/>
    <mergeCell ref="TQQ40:TQR40"/>
    <mergeCell ref="TRT40:TRU40"/>
    <mergeCell ref="TSW40:TSX40"/>
    <mergeCell ref="TTZ40:TUA40"/>
    <mergeCell ref="TVC40:TVD40"/>
    <mergeCell ref="TIV40:TIW40"/>
    <mergeCell ref="TJY40:TJZ40"/>
    <mergeCell ref="TLB40:TLC40"/>
    <mergeCell ref="TME40:TMF40"/>
    <mergeCell ref="TNH40:TNI40"/>
    <mergeCell ref="TOK40:TOL40"/>
    <mergeCell ref="TCD40:TCE40"/>
    <mergeCell ref="TDG40:TDH40"/>
    <mergeCell ref="TEJ40:TEK40"/>
    <mergeCell ref="TFM40:TFN40"/>
    <mergeCell ref="TGP40:TGQ40"/>
    <mergeCell ref="THS40:THT40"/>
    <mergeCell ref="SVL40:SVM40"/>
    <mergeCell ref="SWO40:SWP40"/>
    <mergeCell ref="SXR40:SXS40"/>
    <mergeCell ref="SYU40:SYV40"/>
    <mergeCell ref="SZX40:SZY40"/>
    <mergeCell ref="TBA40:TBB40"/>
    <mergeCell ref="SOT40:SOU40"/>
    <mergeCell ref="SPW40:SPX40"/>
    <mergeCell ref="SQZ40:SRA40"/>
    <mergeCell ref="SSC40:SSD40"/>
    <mergeCell ref="STF40:STG40"/>
    <mergeCell ref="SUI40:SUJ40"/>
    <mergeCell ref="SIB40:SIC40"/>
    <mergeCell ref="SJE40:SJF40"/>
    <mergeCell ref="SKH40:SKI40"/>
    <mergeCell ref="SLK40:SLL40"/>
    <mergeCell ref="SMN40:SMO40"/>
    <mergeCell ref="SNQ40:SNR40"/>
    <mergeCell ref="SBJ40:SBK40"/>
    <mergeCell ref="SCM40:SCN40"/>
    <mergeCell ref="SDP40:SDQ40"/>
    <mergeCell ref="SES40:SET40"/>
    <mergeCell ref="SFV40:SFW40"/>
    <mergeCell ref="SGY40:SGZ40"/>
    <mergeCell ref="RUR40:RUS40"/>
    <mergeCell ref="RVU40:RVV40"/>
    <mergeCell ref="RWX40:RWY40"/>
    <mergeCell ref="RYA40:RYB40"/>
    <mergeCell ref="RZD40:RZE40"/>
    <mergeCell ref="SAG40:SAH40"/>
    <mergeCell ref="RNZ40:ROA40"/>
    <mergeCell ref="RPC40:RPD40"/>
    <mergeCell ref="RQF40:RQG40"/>
    <mergeCell ref="RRI40:RRJ40"/>
    <mergeCell ref="RSL40:RSM40"/>
    <mergeCell ref="RTO40:RTP40"/>
    <mergeCell ref="RHH40:RHI40"/>
    <mergeCell ref="RIK40:RIL40"/>
    <mergeCell ref="RJN40:RJO40"/>
    <mergeCell ref="RKQ40:RKR40"/>
    <mergeCell ref="RLT40:RLU40"/>
    <mergeCell ref="RMW40:RMX40"/>
    <mergeCell ref="RAP40:RAQ40"/>
    <mergeCell ref="RBS40:RBT40"/>
    <mergeCell ref="RCV40:RCW40"/>
    <mergeCell ref="RDY40:RDZ40"/>
    <mergeCell ref="RFB40:RFC40"/>
    <mergeCell ref="RGE40:RGF40"/>
    <mergeCell ref="QTX40:QTY40"/>
    <mergeCell ref="QVA40:QVB40"/>
    <mergeCell ref="QWD40:QWE40"/>
    <mergeCell ref="QXG40:QXH40"/>
    <mergeCell ref="QYJ40:QYK40"/>
    <mergeCell ref="QZM40:QZN40"/>
    <mergeCell ref="QNF40:QNG40"/>
    <mergeCell ref="QOI40:QOJ40"/>
    <mergeCell ref="QPL40:QPM40"/>
    <mergeCell ref="QQO40:QQP40"/>
    <mergeCell ref="QRR40:QRS40"/>
    <mergeCell ref="QSU40:QSV40"/>
    <mergeCell ref="QGN40:QGO40"/>
    <mergeCell ref="QHQ40:QHR40"/>
    <mergeCell ref="QIT40:QIU40"/>
    <mergeCell ref="QJW40:QJX40"/>
    <mergeCell ref="QKZ40:QLA40"/>
    <mergeCell ref="QMC40:QMD40"/>
    <mergeCell ref="PZV40:PZW40"/>
    <mergeCell ref="QAY40:QAZ40"/>
    <mergeCell ref="QCB40:QCC40"/>
    <mergeCell ref="QDE40:QDF40"/>
    <mergeCell ref="QEH40:QEI40"/>
    <mergeCell ref="QFK40:QFL40"/>
    <mergeCell ref="PTD40:PTE40"/>
    <mergeCell ref="PUG40:PUH40"/>
    <mergeCell ref="PVJ40:PVK40"/>
    <mergeCell ref="PWM40:PWN40"/>
    <mergeCell ref="PXP40:PXQ40"/>
    <mergeCell ref="PYS40:PYT40"/>
    <mergeCell ref="PML40:PMM40"/>
    <mergeCell ref="PNO40:PNP40"/>
    <mergeCell ref="POR40:POS40"/>
    <mergeCell ref="PPU40:PPV40"/>
    <mergeCell ref="PQX40:PQY40"/>
    <mergeCell ref="PSA40:PSB40"/>
    <mergeCell ref="PFT40:PFU40"/>
    <mergeCell ref="PGW40:PGX40"/>
    <mergeCell ref="PHZ40:PIA40"/>
    <mergeCell ref="PJC40:PJD40"/>
    <mergeCell ref="PKF40:PKG40"/>
    <mergeCell ref="PLI40:PLJ40"/>
    <mergeCell ref="OZB40:OZC40"/>
    <mergeCell ref="PAE40:PAF40"/>
    <mergeCell ref="PBH40:PBI40"/>
    <mergeCell ref="PCK40:PCL40"/>
    <mergeCell ref="PDN40:PDO40"/>
    <mergeCell ref="PEQ40:PER40"/>
    <mergeCell ref="OSJ40:OSK40"/>
    <mergeCell ref="OTM40:OTN40"/>
    <mergeCell ref="OUP40:OUQ40"/>
    <mergeCell ref="OVS40:OVT40"/>
    <mergeCell ref="OWV40:OWW40"/>
    <mergeCell ref="OXY40:OXZ40"/>
    <mergeCell ref="OLR40:OLS40"/>
    <mergeCell ref="OMU40:OMV40"/>
    <mergeCell ref="ONX40:ONY40"/>
    <mergeCell ref="OPA40:OPB40"/>
    <mergeCell ref="OQD40:OQE40"/>
    <mergeCell ref="ORG40:ORH40"/>
    <mergeCell ref="OEZ40:OFA40"/>
    <mergeCell ref="OGC40:OGD40"/>
    <mergeCell ref="OHF40:OHG40"/>
    <mergeCell ref="OII40:OIJ40"/>
    <mergeCell ref="OJL40:OJM40"/>
    <mergeCell ref="OKO40:OKP40"/>
    <mergeCell ref="NYH40:NYI40"/>
    <mergeCell ref="NZK40:NZL40"/>
    <mergeCell ref="OAN40:OAO40"/>
    <mergeCell ref="OBQ40:OBR40"/>
    <mergeCell ref="OCT40:OCU40"/>
    <mergeCell ref="ODW40:ODX40"/>
    <mergeCell ref="NRP40:NRQ40"/>
    <mergeCell ref="NSS40:NST40"/>
    <mergeCell ref="NTV40:NTW40"/>
    <mergeCell ref="NUY40:NUZ40"/>
    <mergeCell ref="NWB40:NWC40"/>
    <mergeCell ref="NXE40:NXF40"/>
    <mergeCell ref="NKX40:NKY40"/>
    <mergeCell ref="NMA40:NMB40"/>
    <mergeCell ref="NND40:NNE40"/>
    <mergeCell ref="NOG40:NOH40"/>
    <mergeCell ref="NPJ40:NPK40"/>
    <mergeCell ref="NQM40:NQN40"/>
    <mergeCell ref="NEF40:NEG40"/>
    <mergeCell ref="NFI40:NFJ40"/>
    <mergeCell ref="NGL40:NGM40"/>
    <mergeCell ref="NHO40:NHP40"/>
    <mergeCell ref="NIR40:NIS40"/>
    <mergeCell ref="NJU40:NJV40"/>
    <mergeCell ref="MXN40:MXO40"/>
    <mergeCell ref="MYQ40:MYR40"/>
    <mergeCell ref="MZT40:MZU40"/>
    <mergeCell ref="NAW40:NAX40"/>
    <mergeCell ref="NBZ40:NCA40"/>
    <mergeCell ref="NDC40:NDD40"/>
    <mergeCell ref="MQV40:MQW40"/>
    <mergeCell ref="MRY40:MRZ40"/>
    <mergeCell ref="MTB40:MTC40"/>
    <mergeCell ref="MUE40:MUF40"/>
    <mergeCell ref="MVH40:MVI40"/>
    <mergeCell ref="MWK40:MWL40"/>
    <mergeCell ref="MKD40:MKE40"/>
    <mergeCell ref="MLG40:MLH40"/>
    <mergeCell ref="MMJ40:MMK40"/>
    <mergeCell ref="MNM40:MNN40"/>
    <mergeCell ref="MOP40:MOQ40"/>
    <mergeCell ref="MPS40:MPT40"/>
    <mergeCell ref="MDL40:MDM40"/>
    <mergeCell ref="MEO40:MEP40"/>
    <mergeCell ref="MFR40:MFS40"/>
    <mergeCell ref="MGU40:MGV40"/>
    <mergeCell ref="MHX40:MHY40"/>
    <mergeCell ref="MJA40:MJB40"/>
    <mergeCell ref="LWT40:LWU40"/>
    <mergeCell ref="LXW40:LXX40"/>
    <mergeCell ref="LYZ40:LZA40"/>
    <mergeCell ref="MAC40:MAD40"/>
    <mergeCell ref="MBF40:MBG40"/>
    <mergeCell ref="MCI40:MCJ40"/>
    <mergeCell ref="LQB40:LQC40"/>
    <mergeCell ref="LRE40:LRF40"/>
    <mergeCell ref="LSH40:LSI40"/>
    <mergeCell ref="LTK40:LTL40"/>
    <mergeCell ref="LUN40:LUO40"/>
    <mergeCell ref="LVQ40:LVR40"/>
    <mergeCell ref="LJJ40:LJK40"/>
    <mergeCell ref="LKM40:LKN40"/>
    <mergeCell ref="LLP40:LLQ40"/>
    <mergeCell ref="LMS40:LMT40"/>
    <mergeCell ref="LNV40:LNW40"/>
    <mergeCell ref="LOY40:LOZ40"/>
    <mergeCell ref="LCR40:LCS40"/>
    <mergeCell ref="LDU40:LDV40"/>
    <mergeCell ref="LEX40:LEY40"/>
    <mergeCell ref="LGA40:LGB40"/>
    <mergeCell ref="LHD40:LHE40"/>
    <mergeCell ref="LIG40:LIH40"/>
    <mergeCell ref="KVZ40:KWA40"/>
    <mergeCell ref="KXC40:KXD40"/>
    <mergeCell ref="KYF40:KYG40"/>
    <mergeCell ref="KZI40:KZJ40"/>
    <mergeCell ref="LAL40:LAM40"/>
    <mergeCell ref="LBO40:LBP40"/>
    <mergeCell ref="KPH40:KPI40"/>
    <mergeCell ref="KQK40:KQL40"/>
    <mergeCell ref="KRN40:KRO40"/>
    <mergeCell ref="KSQ40:KSR40"/>
    <mergeCell ref="KTT40:KTU40"/>
    <mergeCell ref="KUW40:KUX40"/>
    <mergeCell ref="KIP40:KIQ40"/>
    <mergeCell ref="KJS40:KJT40"/>
    <mergeCell ref="KKV40:KKW40"/>
    <mergeCell ref="KLY40:KLZ40"/>
    <mergeCell ref="KNB40:KNC40"/>
    <mergeCell ref="KOE40:KOF40"/>
    <mergeCell ref="KBX40:KBY40"/>
    <mergeCell ref="KDA40:KDB40"/>
    <mergeCell ref="KED40:KEE40"/>
    <mergeCell ref="KFG40:KFH40"/>
    <mergeCell ref="KGJ40:KGK40"/>
    <mergeCell ref="KHM40:KHN40"/>
    <mergeCell ref="JVF40:JVG40"/>
    <mergeCell ref="JWI40:JWJ40"/>
    <mergeCell ref="JXL40:JXM40"/>
    <mergeCell ref="JYO40:JYP40"/>
    <mergeCell ref="JZR40:JZS40"/>
    <mergeCell ref="KAU40:KAV40"/>
    <mergeCell ref="JON40:JOO40"/>
    <mergeCell ref="JPQ40:JPR40"/>
    <mergeCell ref="JQT40:JQU40"/>
    <mergeCell ref="JRW40:JRX40"/>
    <mergeCell ref="JSZ40:JTA40"/>
    <mergeCell ref="JUC40:JUD40"/>
    <mergeCell ref="JHV40:JHW40"/>
    <mergeCell ref="JIY40:JIZ40"/>
    <mergeCell ref="JKB40:JKC40"/>
    <mergeCell ref="JLE40:JLF40"/>
    <mergeCell ref="JMH40:JMI40"/>
    <mergeCell ref="JNK40:JNL40"/>
    <mergeCell ref="JBD40:JBE40"/>
    <mergeCell ref="JCG40:JCH40"/>
    <mergeCell ref="JDJ40:JDK40"/>
    <mergeCell ref="JEM40:JEN40"/>
    <mergeCell ref="JFP40:JFQ40"/>
    <mergeCell ref="JGS40:JGT40"/>
    <mergeCell ref="IUL40:IUM40"/>
    <mergeCell ref="IVO40:IVP40"/>
    <mergeCell ref="IWR40:IWS40"/>
    <mergeCell ref="IXU40:IXV40"/>
    <mergeCell ref="IYX40:IYY40"/>
    <mergeCell ref="JAA40:JAB40"/>
    <mergeCell ref="INT40:INU40"/>
    <mergeCell ref="IOW40:IOX40"/>
    <mergeCell ref="IPZ40:IQA40"/>
    <mergeCell ref="IRC40:IRD40"/>
    <mergeCell ref="ISF40:ISG40"/>
    <mergeCell ref="ITI40:ITJ40"/>
    <mergeCell ref="IHB40:IHC40"/>
    <mergeCell ref="IIE40:IIF40"/>
    <mergeCell ref="IJH40:IJI40"/>
    <mergeCell ref="IKK40:IKL40"/>
    <mergeCell ref="ILN40:ILO40"/>
    <mergeCell ref="IMQ40:IMR40"/>
    <mergeCell ref="IAJ40:IAK40"/>
    <mergeCell ref="IBM40:IBN40"/>
    <mergeCell ref="ICP40:ICQ40"/>
    <mergeCell ref="IDS40:IDT40"/>
    <mergeCell ref="IEV40:IEW40"/>
    <mergeCell ref="IFY40:IFZ40"/>
    <mergeCell ref="HTR40:HTS40"/>
    <mergeCell ref="HUU40:HUV40"/>
    <mergeCell ref="HVX40:HVY40"/>
    <mergeCell ref="HXA40:HXB40"/>
    <mergeCell ref="HYD40:HYE40"/>
    <mergeCell ref="HZG40:HZH40"/>
    <mergeCell ref="HMZ40:HNA40"/>
    <mergeCell ref="HOC40:HOD40"/>
    <mergeCell ref="HPF40:HPG40"/>
    <mergeCell ref="HQI40:HQJ40"/>
    <mergeCell ref="HRL40:HRM40"/>
    <mergeCell ref="HSO40:HSP40"/>
    <mergeCell ref="HGH40:HGI40"/>
    <mergeCell ref="HHK40:HHL40"/>
    <mergeCell ref="HIN40:HIO40"/>
    <mergeCell ref="HJQ40:HJR40"/>
    <mergeCell ref="HKT40:HKU40"/>
    <mergeCell ref="HLW40:HLX40"/>
    <mergeCell ref="GZP40:GZQ40"/>
    <mergeCell ref="HAS40:HAT40"/>
    <mergeCell ref="HBV40:HBW40"/>
    <mergeCell ref="HCY40:HCZ40"/>
    <mergeCell ref="HEB40:HEC40"/>
    <mergeCell ref="HFE40:HFF40"/>
    <mergeCell ref="GSX40:GSY40"/>
    <mergeCell ref="GUA40:GUB40"/>
    <mergeCell ref="GVD40:GVE40"/>
    <mergeCell ref="GWG40:GWH40"/>
    <mergeCell ref="GXJ40:GXK40"/>
    <mergeCell ref="GYM40:GYN40"/>
    <mergeCell ref="GMF40:GMG40"/>
    <mergeCell ref="GNI40:GNJ40"/>
    <mergeCell ref="GOL40:GOM40"/>
    <mergeCell ref="GPO40:GPP40"/>
    <mergeCell ref="GQR40:GQS40"/>
    <mergeCell ref="GRU40:GRV40"/>
    <mergeCell ref="GFN40:GFO40"/>
    <mergeCell ref="GGQ40:GGR40"/>
    <mergeCell ref="GHT40:GHU40"/>
    <mergeCell ref="GIW40:GIX40"/>
    <mergeCell ref="GJZ40:GKA40"/>
    <mergeCell ref="GLC40:GLD40"/>
    <mergeCell ref="FYV40:FYW40"/>
    <mergeCell ref="FZY40:FZZ40"/>
    <mergeCell ref="GBB40:GBC40"/>
    <mergeCell ref="GCE40:GCF40"/>
    <mergeCell ref="GDH40:GDI40"/>
    <mergeCell ref="GEK40:GEL40"/>
    <mergeCell ref="FSD40:FSE40"/>
    <mergeCell ref="FTG40:FTH40"/>
    <mergeCell ref="FUJ40:FUK40"/>
    <mergeCell ref="FVM40:FVN40"/>
    <mergeCell ref="FWP40:FWQ40"/>
    <mergeCell ref="FXS40:FXT40"/>
    <mergeCell ref="FLL40:FLM40"/>
    <mergeCell ref="FMO40:FMP40"/>
    <mergeCell ref="FNR40:FNS40"/>
    <mergeCell ref="FOU40:FOV40"/>
    <mergeCell ref="FPX40:FPY40"/>
    <mergeCell ref="FRA40:FRB40"/>
    <mergeCell ref="FET40:FEU40"/>
    <mergeCell ref="FFW40:FFX40"/>
    <mergeCell ref="FGZ40:FHA40"/>
    <mergeCell ref="FIC40:FID40"/>
    <mergeCell ref="FJF40:FJG40"/>
    <mergeCell ref="FKI40:FKJ40"/>
    <mergeCell ref="EYB40:EYC40"/>
    <mergeCell ref="EZE40:EZF40"/>
    <mergeCell ref="FAH40:FAI40"/>
    <mergeCell ref="FBK40:FBL40"/>
    <mergeCell ref="FCN40:FCO40"/>
    <mergeCell ref="FDQ40:FDR40"/>
    <mergeCell ref="ERJ40:ERK40"/>
    <mergeCell ref="ESM40:ESN40"/>
    <mergeCell ref="ETP40:ETQ40"/>
    <mergeCell ref="EUS40:EUT40"/>
    <mergeCell ref="EVV40:EVW40"/>
    <mergeCell ref="EWY40:EWZ40"/>
    <mergeCell ref="EKR40:EKS40"/>
    <mergeCell ref="ELU40:ELV40"/>
    <mergeCell ref="EMX40:EMY40"/>
    <mergeCell ref="EOA40:EOB40"/>
    <mergeCell ref="EPD40:EPE40"/>
    <mergeCell ref="EQG40:EQH40"/>
    <mergeCell ref="EDZ40:EEA40"/>
    <mergeCell ref="EFC40:EFD40"/>
    <mergeCell ref="EGF40:EGG40"/>
    <mergeCell ref="EHI40:EHJ40"/>
    <mergeCell ref="EIL40:EIM40"/>
    <mergeCell ref="EJO40:EJP40"/>
    <mergeCell ref="DXH40:DXI40"/>
    <mergeCell ref="DYK40:DYL40"/>
    <mergeCell ref="DZN40:DZO40"/>
    <mergeCell ref="EAQ40:EAR40"/>
    <mergeCell ref="EBT40:EBU40"/>
    <mergeCell ref="ECW40:ECX40"/>
    <mergeCell ref="DQP40:DQQ40"/>
    <mergeCell ref="DRS40:DRT40"/>
    <mergeCell ref="DSV40:DSW40"/>
    <mergeCell ref="DTY40:DTZ40"/>
    <mergeCell ref="DVB40:DVC40"/>
    <mergeCell ref="DWE40:DWF40"/>
    <mergeCell ref="DJX40:DJY40"/>
    <mergeCell ref="DLA40:DLB40"/>
    <mergeCell ref="DMD40:DME40"/>
    <mergeCell ref="DNG40:DNH40"/>
    <mergeCell ref="DOJ40:DOK40"/>
    <mergeCell ref="DPM40:DPN40"/>
    <mergeCell ref="DDF40:DDG40"/>
    <mergeCell ref="DEI40:DEJ40"/>
    <mergeCell ref="DFL40:DFM40"/>
    <mergeCell ref="DGO40:DGP40"/>
    <mergeCell ref="DHR40:DHS40"/>
    <mergeCell ref="DIU40:DIV40"/>
    <mergeCell ref="CWN40:CWO40"/>
    <mergeCell ref="CXQ40:CXR40"/>
    <mergeCell ref="CYT40:CYU40"/>
    <mergeCell ref="CZW40:CZX40"/>
    <mergeCell ref="DAZ40:DBA40"/>
    <mergeCell ref="DCC40:DCD40"/>
    <mergeCell ref="CPV40:CPW40"/>
    <mergeCell ref="CQY40:CQZ40"/>
    <mergeCell ref="CSB40:CSC40"/>
    <mergeCell ref="CTE40:CTF40"/>
    <mergeCell ref="CUH40:CUI40"/>
    <mergeCell ref="CVK40:CVL40"/>
    <mergeCell ref="CJD40:CJE40"/>
    <mergeCell ref="CKG40:CKH40"/>
    <mergeCell ref="CLJ40:CLK40"/>
    <mergeCell ref="CMM40:CMN40"/>
    <mergeCell ref="CNP40:CNQ40"/>
    <mergeCell ref="COS40:COT40"/>
    <mergeCell ref="CCL40:CCM40"/>
    <mergeCell ref="CDO40:CDP40"/>
    <mergeCell ref="CER40:CES40"/>
    <mergeCell ref="CFU40:CFV40"/>
    <mergeCell ref="CGX40:CGY40"/>
    <mergeCell ref="CIA40:CIB40"/>
    <mergeCell ref="BVT40:BVU40"/>
    <mergeCell ref="BWW40:BWX40"/>
    <mergeCell ref="BXZ40:BYA40"/>
    <mergeCell ref="BZC40:BZD40"/>
    <mergeCell ref="CAF40:CAG40"/>
    <mergeCell ref="CBI40:CBJ40"/>
    <mergeCell ref="BPB40:BPC40"/>
    <mergeCell ref="BQE40:BQF40"/>
    <mergeCell ref="BRH40:BRI40"/>
    <mergeCell ref="BSK40:BSL40"/>
    <mergeCell ref="BTN40:BTO40"/>
    <mergeCell ref="BUQ40:BUR40"/>
    <mergeCell ref="BIJ40:BIK40"/>
    <mergeCell ref="BJM40:BJN40"/>
    <mergeCell ref="BKP40:BKQ40"/>
    <mergeCell ref="BLS40:BLT40"/>
    <mergeCell ref="BMV40:BMW40"/>
    <mergeCell ref="BNY40:BNZ40"/>
    <mergeCell ref="BBR40:BBS40"/>
    <mergeCell ref="BCU40:BCV40"/>
    <mergeCell ref="BDX40:BDY40"/>
    <mergeCell ref="BFA40:BFB40"/>
    <mergeCell ref="BGD40:BGE40"/>
    <mergeCell ref="BHG40:BHH40"/>
    <mergeCell ref="AUZ40:AVA40"/>
    <mergeCell ref="AWC40:AWD40"/>
    <mergeCell ref="AXF40:AXG40"/>
    <mergeCell ref="AYI40:AYJ40"/>
    <mergeCell ref="AZL40:AZM40"/>
    <mergeCell ref="BAO40:BAP40"/>
    <mergeCell ref="AOH40:AOI40"/>
    <mergeCell ref="APK40:APL40"/>
    <mergeCell ref="AQN40:AQO40"/>
    <mergeCell ref="ARQ40:ARR40"/>
    <mergeCell ref="AST40:ASU40"/>
    <mergeCell ref="ATW40:ATX40"/>
    <mergeCell ref="AHP40:AHQ40"/>
    <mergeCell ref="AIS40:AIT40"/>
    <mergeCell ref="AJV40:AJW40"/>
    <mergeCell ref="AKY40:AKZ40"/>
    <mergeCell ref="AMB40:AMC40"/>
    <mergeCell ref="ANE40:ANF40"/>
    <mergeCell ref="AAX40:AAY40"/>
    <mergeCell ref="ACA40:ACB40"/>
    <mergeCell ref="ADD40:ADE40"/>
    <mergeCell ref="AEG40:AEH40"/>
    <mergeCell ref="AFJ40:AFK40"/>
    <mergeCell ref="AGM40:AGN40"/>
    <mergeCell ref="UF40:UG40"/>
    <mergeCell ref="VI40:VJ40"/>
    <mergeCell ref="WL40:WM40"/>
    <mergeCell ref="XO40:XP40"/>
    <mergeCell ref="YR40:YS40"/>
    <mergeCell ref="ZU40:ZV40"/>
    <mergeCell ref="NN40:NO40"/>
    <mergeCell ref="OQ40:OR40"/>
    <mergeCell ref="PT40:PU40"/>
    <mergeCell ref="QW40:QX40"/>
    <mergeCell ref="RZ40:SA40"/>
    <mergeCell ref="TC40:TD40"/>
    <mergeCell ref="GV40:GW40"/>
    <mergeCell ref="HY40:HZ40"/>
    <mergeCell ref="JB40:JC40"/>
    <mergeCell ref="KE40:KF40"/>
    <mergeCell ref="LH40:LI40"/>
    <mergeCell ref="MK40:ML40"/>
    <mergeCell ref="AF12:AG12"/>
    <mergeCell ref="BG40:BH40"/>
    <mergeCell ref="CJ40:CK40"/>
    <mergeCell ref="DM40:DN40"/>
    <mergeCell ref="EP40:EQ40"/>
    <mergeCell ref="FS40:FT40"/>
    <mergeCell ref="D1:F1"/>
    <mergeCell ref="AE1:AF1"/>
    <mergeCell ref="AG1:AH1"/>
    <mergeCell ref="AI1:AJ1"/>
    <mergeCell ref="F2:I2"/>
    <mergeCell ref="K8:M8"/>
    <mergeCell ref="X8:AC8"/>
  </mergeCells>
  <conditionalFormatting sqref="AA87:AA90">
    <cfRule type="cellIs" dxfId="5" priority="6" operator="greaterThan">
      <formula>$AC$87</formula>
    </cfRule>
  </conditionalFormatting>
  <conditionalFormatting sqref="AA103:AA108 AA94:AA99">
    <cfRule type="cellIs" dxfId="4" priority="5" operator="greaterThan">
      <formula>$AC$94</formula>
    </cfRule>
  </conditionalFormatting>
  <conditionalFormatting sqref="AL2">
    <cfRule type="cellIs" dxfId="3" priority="3" operator="lessThan">
      <formula>0.1</formula>
    </cfRule>
    <cfRule type="cellIs" dxfId="2" priority="4" operator="greaterThan">
      <formula>0.1</formula>
    </cfRule>
  </conditionalFormatting>
  <conditionalFormatting sqref="AK2">
    <cfRule type="containsText" dxfId="1" priority="1" operator="containsText" text="non conforme">
      <formula>NOT(ISERROR(SEARCH("non conforme",AK2)))</formula>
    </cfRule>
    <cfRule type="containsText" dxfId="0" priority="2" operator="containsText" text="conforme">
      <formula>NOT(ISERROR(SEARCH("conforme",AK2)))</formula>
    </cfRule>
  </conditionalFormatting>
  <printOptions horizontalCentered="1" verticalCentered="1" gridLines="1" gridLinesSet="0"/>
  <pageMargins left="0.39370078740157483" right="0.39370078740157483" top="0.59055118110236227" bottom="0.51181102362204722" header="0.27559055118110237" footer="0.27559055118110237"/>
  <pageSetup paperSize="8" scale="34" orientation="landscape" r:id="rId1"/>
  <headerFooter alignWithMargins="0">
    <oddHeader xml:space="preserve">&amp;L&amp;"Lucida Sans Unicode,Gras"&amp;18SODEGIS&amp;C&amp;"Arial,Gras"&amp;18FICHE PROGRAMME&amp;R&amp;"Arial,Gras"&amp;16PRG 2020&amp;"Arial,Normal"&amp;10
</oddHeader>
    <oddFooter>&amp;L&amp;14&amp;D&amp;C&amp;"Arial Narrow,Normal"&amp;14Page&amp;P/&amp;N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83</vt:i4>
      </vt:variant>
    </vt:vector>
  </HeadingPairs>
  <TitlesOfParts>
    <vt:vector size="84" baseType="lpstr">
      <vt:lpstr>Prgr. 2020</vt:lpstr>
      <vt:lpstr>BATIMENT</vt:lpstr>
      <vt:lpstr>CAF_Tot</vt:lpstr>
      <vt:lpstr>CDC_LLS</vt:lpstr>
      <vt:lpstr>CDC_LLS_construction</vt:lpstr>
      <vt:lpstr>CDC_LLTS</vt:lpstr>
      <vt:lpstr>CDC_LLTS_construction</vt:lpstr>
      <vt:lpstr>CDC_PLS</vt:lpstr>
      <vt:lpstr>CDC_PLS_construction</vt:lpstr>
      <vt:lpstr>Credit_Impot_LLS</vt:lpstr>
      <vt:lpstr>Credit_Impot_LLTS</vt:lpstr>
      <vt:lpstr>Credit_Impot_PLS</vt:lpstr>
      <vt:lpstr>Defisc_Tot</vt:lpstr>
      <vt:lpstr>Détail_LLS</vt:lpstr>
      <vt:lpstr>Détail_LLTS</vt:lpstr>
      <vt:lpstr>Détail_PLS</vt:lpstr>
      <vt:lpstr>FP_LLS</vt:lpstr>
      <vt:lpstr>FP_LLTS</vt:lpstr>
      <vt:lpstr>LBU_SF</vt:lpstr>
      <vt:lpstr>LBU_Tot</vt:lpstr>
      <vt:lpstr>'Prgr. 2020'!LMDom</vt:lpstr>
      <vt:lpstr>LMDOMPLS</vt:lpstr>
      <vt:lpstr>'Prgr. 2020'!LMDomTS</vt:lpstr>
      <vt:lpstr>Loyer_Pratiqué_LLS</vt:lpstr>
      <vt:lpstr>Loyer_Pratiqué_LLTS</vt:lpstr>
      <vt:lpstr>Loyer_Pratiqué_PLS</vt:lpstr>
      <vt:lpstr>Loyer_retenu_CC</vt:lpstr>
      <vt:lpstr>LP_LLS</vt:lpstr>
      <vt:lpstr>LP_LLTS</vt:lpstr>
      <vt:lpstr>LP_PLS</vt:lpstr>
      <vt:lpstr>'Prgr. 2020'!Nbre</vt:lpstr>
      <vt:lpstr>'Prgr. 2020'!Nbre_Total</vt:lpstr>
      <vt:lpstr>'Prgr. 2020'!NbreCOMM</vt:lpstr>
      <vt:lpstr>NbreLLS</vt:lpstr>
      <vt:lpstr>NbreLLTS</vt:lpstr>
      <vt:lpstr>NbrePLS</vt:lpstr>
      <vt:lpstr>nom</vt:lpstr>
      <vt:lpstr>OS_Tvx</vt:lpstr>
      <vt:lpstr>Repartition_LLTS</vt:lpstr>
      <vt:lpstr>'Prgr. 2020'!S.LCR</vt:lpstr>
      <vt:lpstr>S_terrain</vt:lpstr>
      <vt:lpstr>'Prgr. 2020'!SF.COMM</vt:lpstr>
      <vt:lpstr>SF.LLS</vt:lpstr>
      <vt:lpstr>SF.LLTS</vt:lpstr>
      <vt:lpstr>SF.PLS</vt:lpstr>
      <vt:lpstr>'Prgr. 2020'!SF.T</vt:lpstr>
      <vt:lpstr>'Prgr. 2020'!SH.COMM</vt:lpstr>
      <vt:lpstr>SH.LLS</vt:lpstr>
      <vt:lpstr>SH.LLTS</vt:lpstr>
      <vt:lpstr>SH.PLS</vt:lpstr>
      <vt:lpstr>'Prgr. 2020'!SH.T</vt:lpstr>
      <vt:lpstr>'Prgr. 2020'!SHOB</vt:lpstr>
      <vt:lpstr>'Prgr. 2020'!SHON</vt:lpstr>
      <vt:lpstr>'Prgr. 2020'!SU.COMM</vt:lpstr>
      <vt:lpstr>'Prgr. 2020'!SU.LLS</vt:lpstr>
      <vt:lpstr>'Prgr. 2020'!SU.LLTS</vt:lpstr>
      <vt:lpstr>SU.PLS</vt:lpstr>
      <vt:lpstr>'Prgr. 2020'!SU.T</vt:lpstr>
      <vt:lpstr>Sub_LLS</vt:lpstr>
      <vt:lpstr>Sub_LLTS</vt:lpstr>
      <vt:lpstr>Sub_PLS</vt:lpstr>
      <vt:lpstr>Sub_Totale_LLS</vt:lpstr>
      <vt:lpstr>Sub_Totale_LLTS</vt:lpstr>
      <vt:lpstr>Sub_Totale_PLS</vt:lpstr>
      <vt:lpstr>T1_LLS</vt:lpstr>
      <vt:lpstr>T1_LLTS</vt:lpstr>
      <vt:lpstr>T1_PLS</vt:lpstr>
      <vt:lpstr>T2_LLS</vt:lpstr>
      <vt:lpstr>T2_LLTS</vt:lpstr>
      <vt:lpstr>T2_PLS</vt:lpstr>
      <vt:lpstr>T3_LLS</vt:lpstr>
      <vt:lpstr>T3_LLTS</vt:lpstr>
      <vt:lpstr>T3_PLS</vt:lpstr>
      <vt:lpstr>T4_LLS</vt:lpstr>
      <vt:lpstr>T4_LLTS</vt:lpstr>
      <vt:lpstr>T4_PLS</vt:lpstr>
      <vt:lpstr>T5_LLS</vt:lpstr>
      <vt:lpstr>T5_LLTS</vt:lpstr>
      <vt:lpstr>T5_PLS</vt:lpstr>
      <vt:lpstr>TYPE1</vt:lpstr>
      <vt:lpstr>TYPE2</vt:lpstr>
      <vt:lpstr>TYPE3</vt:lpstr>
      <vt:lpstr>Typo</vt:lpstr>
      <vt:lpstr>'Prgr. 2020'!Zone_d_impression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BLANDINO</dc:creator>
  <cp:lastModifiedBy>Nathalie BLANDINO</cp:lastModifiedBy>
  <dcterms:created xsi:type="dcterms:W3CDTF">2019-12-02T11:18:21Z</dcterms:created>
  <dcterms:modified xsi:type="dcterms:W3CDTF">2019-12-02T11:24:05Z</dcterms:modified>
</cp:coreProperties>
</file>