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3.xml" ContentType="application/vnd.openxmlformats-officedocument.drawing+xml"/>
  <Override PartName="/xl/tables/table13.xml" ContentType="application/vnd.openxmlformats-officedocument.spreadsheetml.table+xml"/>
  <Override PartName="/xl/drawings/drawing4.xml" ContentType="application/vnd.openxmlformats-officedocument.drawing+xml"/>
  <Override PartName="/xl/tables/table1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plit\Desktop\"/>
    </mc:Choice>
  </mc:AlternateContent>
  <xr:revisionPtr revIDLastSave="0" documentId="13_ncr:1_{A16AD2AA-F0A0-4262-9816-7E591658E65E}" xr6:coauthVersionLast="47" xr6:coauthVersionMax="47" xr10:uidLastSave="{00000000-0000-0000-0000-000000000000}"/>
  <bookViews>
    <workbookView xWindow="-120" yWindow="-120" windowWidth="29040" windowHeight="15720" tabRatio="818" activeTab="1" xr2:uid="{150B1BA1-3620-4A32-BD44-26ECA1B501C2}"/>
  </bookViews>
  <sheets>
    <sheet name="Transaction Entry" sheetId="24" r:id="rId1"/>
    <sheet name="Sale points" sheetId="11" r:id="rId2"/>
    <sheet name="Calculations" sheetId="27" state="veryHidden" r:id="rId3"/>
    <sheet name="Extra coins" sheetId="29" r:id="rId4"/>
    <sheet name="CG Prices" sheetId="23" r:id="rId5"/>
  </sheets>
  <definedNames>
    <definedName name="_xlnm._FilterDatabase" localSheetId="1" hidden="1">'Sale points'!$A$6:$AW$25</definedName>
    <definedName name="Cost_Investment">IFERROR(OFFSET(calculationstable[[#Headers],[Cost of Investment]],1,0,COUNT(calculationstable[[#All],[Cost of Investment]]),1),"")</definedName>
    <definedName name="Current_Value">IFERROR(OFFSET(calculationstable[[#Headers],[Current Value]],1,0,COUNT(calculationstable[[#All],[Current Value]]),1),"")</definedName>
    <definedName name="DonnéesExternes_1" localSheetId="1" hidden="1">'Sale points'!$A$6:$H$70</definedName>
    <definedName name="ExternalData_1" localSheetId="2" hidden="1">Calculations!$B$10:$AN$73</definedName>
    <definedName name="ExternalData_1" localSheetId="4" hidden="1">'CG Prices'!$A$1:$E$280</definedName>
    <definedName name="ExternalData_1" localSheetId="0" hidden="1">'Transaction Entry'!#REF!</definedName>
    <definedName name="No_sales">IFERROR(OFFSET(calculationstable[[#Headers],[No of Sales]],1,0,COUNT(calculationstable[[#All],[No of Sales]]),1),"")</definedName>
    <definedName name="return_inv">IFERROR(OFFSET(calculationstable[[#Headers],[ROI]],1,0,COUNT(calculationstable[ROI])),"")</definedName>
    <definedName name="ticker_range">IFERROR(OFFSET(calculationstable[[#Headers],[ticker]],1,0,COUNTA(calculationstable[[#All],[ticker]])-1,1),"")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1" i="11" l="1"/>
  <c r="F71" i="11"/>
  <c r="AP69" i="11"/>
  <c r="AK69" i="11"/>
  <c r="AF69" i="11"/>
  <c r="AA69" i="11"/>
  <c r="V69" i="11"/>
  <c r="Q69" i="11"/>
  <c r="M69" i="11"/>
  <c r="N69" i="11" s="1"/>
  <c r="L69" i="11"/>
  <c r="AP68" i="11"/>
  <c r="AK68" i="11"/>
  <c r="AF68" i="11"/>
  <c r="AA68" i="11"/>
  <c r="V68" i="11"/>
  <c r="Q68" i="11"/>
  <c r="M68" i="11"/>
  <c r="N68" i="11" s="1"/>
  <c r="L68" i="11"/>
  <c r="AP67" i="11"/>
  <c r="AK67" i="11"/>
  <c r="AF67" i="11"/>
  <c r="AA67" i="11"/>
  <c r="V67" i="11"/>
  <c r="Q67" i="11"/>
  <c r="M67" i="11"/>
  <c r="N67" i="11" s="1"/>
  <c r="L67" i="11"/>
  <c r="AP66" i="11"/>
  <c r="AK66" i="11"/>
  <c r="AF66" i="11"/>
  <c r="AA66" i="11"/>
  <c r="V66" i="11"/>
  <c r="Q66" i="11"/>
  <c r="M66" i="11"/>
  <c r="N66" i="11" s="1"/>
  <c r="L66" i="11"/>
  <c r="AP65" i="11"/>
  <c r="AK65" i="11"/>
  <c r="AF65" i="11"/>
  <c r="AA65" i="11"/>
  <c r="V65" i="11"/>
  <c r="Q65" i="11"/>
  <c r="M65" i="11"/>
  <c r="N65" i="11" s="1"/>
  <c r="L65" i="11"/>
  <c r="AP64" i="11"/>
  <c r="AK64" i="11"/>
  <c r="AF64" i="11"/>
  <c r="AA64" i="11"/>
  <c r="V64" i="11"/>
  <c r="Q64" i="11"/>
  <c r="M64" i="11"/>
  <c r="N64" i="11" s="1"/>
  <c r="L64" i="11"/>
  <c r="AP63" i="11"/>
  <c r="AK63" i="11"/>
  <c r="AF63" i="11"/>
  <c r="AA63" i="11"/>
  <c r="V63" i="11"/>
  <c r="Q63" i="11"/>
  <c r="M63" i="11"/>
  <c r="N63" i="11" s="1"/>
  <c r="L63" i="11"/>
  <c r="AP62" i="11"/>
  <c r="AK62" i="11"/>
  <c r="AF62" i="11"/>
  <c r="AA62" i="11"/>
  <c r="V62" i="11"/>
  <c r="Q62" i="11"/>
  <c r="M62" i="11"/>
  <c r="N62" i="11" s="1"/>
  <c r="L62" i="11"/>
  <c r="AP61" i="11"/>
  <c r="AK61" i="11"/>
  <c r="AF61" i="11"/>
  <c r="AA61" i="11"/>
  <c r="V61" i="11"/>
  <c r="Q61" i="11"/>
  <c r="M61" i="11"/>
  <c r="N61" i="11" s="1"/>
  <c r="L61" i="11"/>
  <c r="AP60" i="11"/>
  <c r="AK60" i="11"/>
  <c r="AF60" i="11"/>
  <c r="AA60" i="11"/>
  <c r="V60" i="11"/>
  <c r="Q60" i="11"/>
  <c r="M60" i="11"/>
  <c r="N60" i="11" s="1"/>
  <c r="L60" i="11"/>
  <c r="AP59" i="11"/>
  <c r="AK59" i="11"/>
  <c r="AF59" i="11"/>
  <c r="AA59" i="11"/>
  <c r="V59" i="11"/>
  <c r="Q59" i="11"/>
  <c r="M59" i="11"/>
  <c r="N59" i="11" s="1"/>
  <c r="L59" i="11"/>
  <c r="AP58" i="11"/>
  <c r="AK58" i="11"/>
  <c r="AF58" i="11"/>
  <c r="AA58" i="11"/>
  <c r="V58" i="11"/>
  <c r="Q58" i="11"/>
  <c r="M58" i="11"/>
  <c r="N58" i="11" s="1"/>
  <c r="L58" i="11"/>
  <c r="AP57" i="11"/>
  <c r="AK57" i="11"/>
  <c r="AF57" i="11"/>
  <c r="AA57" i="11"/>
  <c r="V57" i="11"/>
  <c r="Q57" i="11"/>
  <c r="N57" i="11"/>
  <c r="M57" i="11"/>
  <c r="L57" i="11"/>
  <c r="AP56" i="11"/>
  <c r="AK56" i="11"/>
  <c r="AF56" i="11"/>
  <c r="AA56" i="11"/>
  <c r="V56" i="11"/>
  <c r="Q56" i="11"/>
  <c r="M56" i="11"/>
  <c r="N56" i="11" s="1"/>
  <c r="L56" i="11"/>
  <c r="AP55" i="11"/>
  <c r="AK55" i="11"/>
  <c r="AF55" i="11"/>
  <c r="AA55" i="11"/>
  <c r="V55" i="11"/>
  <c r="Q55" i="11"/>
  <c r="M55" i="11"/>
  <c r="N55" i="11" s="1"/>
  <c r="L55" i="11"/>
  <c r="AP54" i="11"/>
  <c r="AK54" i="11"/>
  <c r="AF54" i="11"/>
  <c r="AA54" i="11"/>
  <c r="V54" i="11"/>
  <c r="Q54" i="11"/>
  <c r="M54" i="11"/>
  <c r="N54" i="11" s="1"/>
  <c r="L54" i="11"/>
  <c r="AP53" i="11"/>
  <c r="AK53" i="11"/>
  <c r="AF53" i="11"/>
  <c r="AA53" i="11"/>
  <c r="V53" i="11"/>
  <c r="Q53" i="11"/>
  <c r="M53" i="11"/>
  <c r="N53" i="11" s="1"/>
  <c r="L53" i="11"/>
  <c r="AP52" i="11"/>
  <c r="AK52" i="11"/>
  <c r="AF52" i="11"/>
  <c r="AA52" i="11"/>
  <c r="V52" i="11"/>
  <c r="Q52" i="11"/>
  <c r="M52" i="11"/>
  <c r="N52" i="11" s="1"/>
  <c r="L52" i="11"/>
  <c r="AP51" i="11"/>
  <c r="AK51" i="11"/>
  <c r="AF51" i="11"/>
  <c r="AA51" i="11"/>
  <c r="V51" i="11"/>
  <c r="Q51" i="11"/>
  <c r="M51" i="11"/>
  <c r="N51" i="11" s="1"/>
  <c r="L51" i="11"/>
  <c r="AP50" i="11"/>
  <c r="AK50" i="11"/>
  <c r="AF50" i="11"/>
  <c r="AA50" i="11"/>
  <c r="V50" i="11"/>
  <c r="Q50" i="11"/>
  <c r="M50" i="11"/>
  <c r="N50" i="11" s="1"/>
  <c r="L50" i="11"/>
  <c r="AP49" i="11"/>
  <c r="AK49" i="11"/>
  <c r="AF49" i="11"/>
  <c r="AA49" i="11"/>
  <c r="V49" i="11"/>
  <c r="Q49" i="11"/>
  <c r="M49" i="11"/>
  <c r="N49" i="11" s="1"/>
  <c r="L49" i="11"/>
  <c r="AP48" i="11"/>
  <c r="AK48" i="11"/>
  <c r="AF48" i="11"/>
  <c r="AA48" i="11"/>
  <c r="V48" i="11"/>
  <c r="Q48" i="11"/>
  <c r="M48" i="11"/>
  <c r="N48" i="11" s="1"/>
  <c r="L48" i="11"/>
  <c r="AP47" i="11"/>
  <c r="AK47" i="11"/>
  <c r="AF47" i="11"/>
  <c r="AA47" i="11"/>
  <c r="V47" i="11"/>
  <c r="Q47" i="11"/>
  <c r="M47" i="11"/>
  <c r="N47" i="11" s="1"/>
  <c r="L47" i="11"/>
  <c r="AP46" i="11"/>
  <c r="AK46" i="11"/>
  <c r="AF46" i="11"/>
  <c r="AA46" i="11"/>
  <c r="V46" i="11"/>
  <c r="Q46" i="11"/>
  <c r="M46" i="11"/>
  <c r="N46" i="11" s="1"/>
  <c r="L46" i="11"/>
  <c r="AP45" i="11"/>
  <c r="AK45" i="11"/>
  <c r="AF45" i="11"/>
  <c r="AA45" i="11"/>
  <c r="V45" i="11"/>
  <c r="Q45" i="11"/>
  <c r="M45" i="11"/>
  <c r="N45" i="11" s="1"/>
  <c r="L45" i="11"/>
  <c r="AP44" i="11"/>
  <c r="AK44" i="11"/>
  <c r="AF44" i="11"/>
  <c r="AA44" i="11"/>
  <c r="V44" i="11"/>
  <c r="Q44" i="11"/>
  <c r="N44" i="11"/>
  <c r="M44" i="11"/>
  <c r="L44" i="11"/>
  <c r="AP43" i="11"/>
  <c r="AK43" i="11"/>
  <c r="AF43" i="11"/>
  <c r="AA43" i="11"/>
  <c r="V43" i="11"/>
  <c r="Q43" i="11"/>
  <c r="M43" i="11"/>
  <c r="N43" i="11" s="1"/>
  <c r="L43" i="11"/>
  <c r="AP42" i="11"/>
  <c r="AK42" i="11"/>
  <c r="AF42" i="11"/>
  <c r="AA42" i="11"/>
  <c r="V42" i="11"/>
  <c r="Q42" i="11"/>
  <c r="M42" i="11"/>
  <c r="N42" i="11" s="1"/>
  <c r="L42" i="11"/>
  <c r="AP41" i="11"/>
  <c r="AK41" i="11"/>
  <c r="AF41" i="11"/>
  <c r="AA41" i="11"/>
  <c r="V41" i="11"/>
  <c r="Q41" i="11"/>
  <c r="M41" i="11"/>
  <c r="N41" i="11" s="1"/>
  <c r="L41" i="11"/>
  <c r="AP40" i="11"/>
  <c r="AK40" i="11"/>
  <c r="AF40" i="11"/>
  <c r="AA40" i="11"/>
  <c r="V40" i="11"/>
  <c r="Q40" i="11"/>
  <c r="M40" i="11"/>
  <c r="N40" i="11" s="1"/>
  <c r="L40" i="11"/>
  <c r="AP39" i="11"/>
  <c r="AK39" i="11"/>
  <c r="AF39" i="11"/>
  <c r="AA39" i="11"/>
  <c r="V39" i="11"/>
  <c r="Q39" i="11"/>
  <c r="M39" i="11"/>
  <c r="N39" i="11" s="1"/>
  <c r="L39" i="11"/>
  <c r="AP38" i="11"/>
  <c r="AK38" i="11"/>
  <c r="AF38" i="11"/>
  <c r="AA38" i="11"/>
  <c r="V38" i="11"/>
  <c r="Q38" i="11"/>
  <c r="M38" i="11"/>
  <c r="N38" i="11" s="1"/>
  <c r="L38" i="11"/>
  <c r="AP37" i="11"/>
  <c r="AK37" i="11"/>
  <c r="AF37" i="11"/>
  <c r="AA37" i="11"/>
  <c r="V37" i="11"/>
  <c r="Q37" i="11"/>
  <c r="M37" i="11"/>
  <c r="N37" i="11" s="1"/>
  <c r="L37" i="11"/>
  <c r="AP36" i="11"/>
  <c r="AK36" i="11"/>
  <c r="AF36" i="11"/>
  <c r="AA36" i="11"/>
  <c r="V36" i="11"/>
  <c r="Q36" i="11"/>
  <c r="M36" i="11"/>
  <c r="N36" i="11" s="1"/>
  <c r="L36" i="11"/>
  <c r="AP35" i="11"/>
  <c r="AK35" i="11"/>
  <c r="AF35" i="11"/>
  <c r="AA35" i="11"/>
  <c r="V35" i="11"/>
  <c r="Q35" i="11"/>
  <c r="M35" i="11"/>
  <c r="N35" i="11" s="1"/>
  <c r="L35" i="11"/>
  <c r="AP34" i="11"/>
  <c r="AK34" i="11"/>
  <c r="AF34" i="11"/>
  <c r="AA34" i="11"/>
  <c r="V34" i="11"/>
  <c r="Q34" i="11"/>
  <c r="M34" i="11"/>
  <c r="N34" i="11" s="1"/>
  <c r="L34" i="11"/>
  <c r="AP33" i="11"/>
  <c r="AK33" i="11"/>
  <c r="AF33" i="11"/>
  <c r="AA33" i="11"/>
  <c r="V33" i="11"/>
  <c r="Q33" i="11"/>
  <c r="M33" i="11"/>
  <c r="N33" i="11" s="1"/>
  <c r="L33" i="11"/>
  <c r="AP32" i="11"/>
  <c r="AK32" i="11"/>
  <c r="AF32" i="11"/>
  <c r="AA32" i="11"/>
  <c r="V32" i="11"/>
  <c r="Q32" i="11"/>
  <c r="M32" i="11"/>
  <c r="N32" i="11" s="1"/>
  <c r="L32" i="11"/>
  <c r="AP31" i="11"/>
  <c r="AK31" i="11"/>
  <c r="AF31" i="11"/>
  <c r="AA31" i="11"/>
  <c r="V31" i="11"/>
  <c r="Q31" i="11"/>
  <c r="M31" i="11"/>
  <c r="N31" i="11" s="1"/>
  <c r="L31" i="11"/>
  <c r="AP30" i="11"/>
  <c r="AK30" i="11"/>
  <c r="AF30" i="11"/>
  <c r="AA30" i="11"/>
  <c r="V30" i="11"/>
  <c r="Q30" i="11"/>
  <c r="M30" i="11"/>
  <c r="N30" i="11" s="1"/>
  <c r="L30" i="11"/>
  <c r="AP29" i="11"/>
  <c r="AK29" i="11"/>
  <c r="AF29" i="11"/>
  <c r="AA29" i="11"/>
  <c r="V29" i="11"/>
  <c r="Q29" i="11"/>
  <c r="M29" i="11"/>
  <c r="N29" i="11" s="1"/>
  <c r="L29" i="11"/>
  <c r="AP28" i="11"/>
  <c r="AK28" i="11"/>
  <c r="AF28" i="11"/>
  <c r="AA28" i="11"/>
  <c r="V28" i="11"/>
  <c r="Q28" i="11"/>
  <c r="M28" i="11"/>
  <c r="N28" i="11" s="1"/>
  <c r="L28" i="11"/>
  <c r="AP27" i="11"/>
  <c r="AK27" i="11"/>
  <c r="AF27" i="11"/>
  <c r="AA27" i="11"/>
  <c r="V27" i="11"/>
  <c r="Q27" i="11"/>
  <c r="M27" i="11"/>
  <c r="N27" i="11" s="1"/>
  <c r="L27" i="11"/>
  <c r="AP26" i="11"/>
  <c r="AK26" i="11"/>
  <c r="AF26" i="11"/>
  <c r="AA26" i="11"/>
  <c r="V26" i="11"/>
  <c r="Q26" i="11"/>
  <c r="M26" i="11"/>
  <c r="N26" i="11" s="1"/>
  <c r="L26" i="11"/>
  <c r="AP25" i="11"/>
  <c r="AK25" i="11"/>
  <c r="AF25" i="11"/>
  <c r="AA25" i="11"/>
  <c r="V25" i="11"/>
  <c r="Q25" i="11"/>
  <c r="M25" i="11"/>
  <c r="N25" i="11" s="1"/>
  <c r="L25" i="11"/>
  <c r="AP24" i="11"/>
  <c r="AK24" i="11"/>
  <c r="AF24" i="11"/>
  <c r="AA24" i="11"/>
  <c r="V24" i="11"/>
  <c r="Q24" i="11"/>
  <c r="M24" i="11"/>
  <c r="N24" i="11" s="1"/>
  <c r="L24" i="11"/>
  <c r="AP23" i="11"/>
  <c r="AK23" i="11"/>
  <c r="AF23" i="11"/>
  <c r="AA23" i="11"/>
  <c r="V23" i="11"/>
  <c r="Q23" i="11"/>
  <c r="M23" i="11"/>
  <c r="N23" i="11" s="1"/>
  <c r="L23" i="11"/>
  <c r="AP22" i="11"/>
  <c r="AK22" i="11"/>
  <c r="AF22" i="11"/>
  <c r="AA22" i="11"/>
  <c r="V22" i="11"/>
  <c r="Q22" i="11"/>
  <c r="M22" i="11"/>
  <c r="N22" i="11" s="1"/>
  <c r="L22" i="11"/>
  <c r="AP21" i="11"/>
  <c r="AK21" i="11"/>
  <c r="AF21" i="11"/>
  <c r="AA21" i="11"/>
  <c r="V21" i="11"/>
  <c r="Q21" i="11"/>
  <c r="M21" i="11"/>
  <c r="L21" i="11"/>
  <c r="AP20" i="11"/>
  <c r="AK20" i="11"/>
  <c r="AF20" i="11"/>
  <c r="AA20" i="11"/>
  <c r="V20" i="11"/>
  <c r="Q20" i="11"/>
  <c r="M20" i="11"/>
  <c r="N20" i="11" s="1"/>
  <c r="L20" i="11"/>
  <c r="AP19" i="11"/>
  <c r="AK19" i="11"/>
  <c r="AF19" i="11"/>
  <c r="AA19" i="11"/>
  <c r="V19" i="11"/>
  <c r="Q19" i="11"/>
  <c r="M19" i="11"/>
  <c r="N19" i="11" s="1"/>
  <c r="L19" i="11"/>
  <c r="AP18" i="11"/>
  <c r="AK18" i="11"/>
  <c r="AF18" i="11"/>
  <c r="AA18" i="11"/>
  <c r="V18" i="11"/>
  <c r="Q18" i="11"/>
  <c r="M18" i="11"/>
  <c r="L18" i="11"/>
  <c r="AP17" i="11"/>
  <c r="AK17" i="11"/>
  <c r="AF17" i="11"/>
  <c r="AA17" i="11"/>
  <c r="V17" i="11"/>
  <c r="Q17" i="11"/>
  <c r="M17" i="11"/>
  <c r="L17" i="11"/>
  <c r="AP16" i="11"/>
  <c r="AK16" i="11"/>
  <c r="AF16" i="11"/>
  <c r="AA16" i="11"/>
  <c r="V16" i="11"/>
  <c r="Q16" i="11"/>
  <c r="M16" i="11"/>
  <c r="N16" i="11" s="1"/>
  <c r="L16" i="11"/>
  <c r="AP15" i="11"/>
  <c r="AK15" i="11"/>
  <c r="AF15" i="11"/>
  <c r="AA15" i="11"/>
  <c r="V15" i="11"/>
  <c r="Q15" i="11"/>
  <c r="M15" i="11"/>
  <c r="N15" i="11" s="1"/>
  <c r="L15" i="11"/>
  <c r="AP14" i="11"/>
  <c r="AK14" i="11"/>
  <c r="AF14" i="11"/>
  <c r="AA14" i="11"/>
  <c r="V14" i="11"/>
  <c r="Q14" i="11"/>
  <c r="M14" i="11"/>
  <c r="N14" i="11" s="1"/>
  <c r="L14" i="11"/>
  <c r="AP13" i="11"/>
  <c r="AK13" i="11"/>
  <c r="AF13" i="11"/>
  <c r="AA13" i="11"/>
  <c r="V13" i="11"/>
  <c r="Q13" i="11"/>
  <c r="M13" i="11"/>
  <c r="L13" i="11"/>
  <c r="AP12" i="11"/>
  <c r="AK12" i="11"/>
  <c r="AF12" i="11"/>
  <c r="AA12" i="11"/>
  <c r="V12" i="11"/>
  <c r="Q12" i="11"/>
  <c r="M12" i="11"/>
  <c r="N12" i="11" s="1"/>
  <c r="L12" i="11"/>
  <c r="AP11" i="11"/>
  <c r="AK11" i="11"/>
  <c r="AF11" i="11"/>
  <c r="AA11" i="11"/>
  <c r="V11" i="11"/>
  <c r="Q11" i="11"/>
  <c r="M11" i="11"/>
  <c r="N11" i="11" s="1"/>
  <c r="L11" i="11"/>
  <c r="AP10" i="11"/>
  <c r="AK10" i="11"/>
  <c r="AF10" i="11"/>
  <c r="AA10" i="11"/>
  <c r="V10" i="11"/>
  <c r="Q10" i="11"/>
  <c r="M10" i="11"/>
  <c r="N10" i="11" s="1"/>
  <c r="L10" i="11"/>
  <c r="AP9" i="11"/>
  <c r="AK9" i="11"/>
  <c r="AF9" i="11"/>
  <c r="AA9" i="11"/>
  <c r="V9" i="11"/>
  <c r="Q9" i="11"/>
  <c r="M9" i="11"/>
  <c r="L9" i="11"/>
  <c r="AP8" i="11"/>
  <c r="AK8" i="11"/>
  <c r="AF8" i="11"/>
  <c r="AA8" i="11"/>
  <c r="V8" i="11"/>
  <c r="Q8" i="11"/>
  <c r="M8" i="11"/>
  <c r="L8" i="11"/>
  <c r="AP7" i="11"/>
  <c r="AK7" i="11"/>
  <c r="AF7" i="11"/>
  <c r="AA7" i="11"/>
  <c r="V7" i="11"/>
  <c r="Q7" i="11"/>
  <c r="M7" i="11"/>
  <c r="L7" i="11"/>
  <c r="P56" i="11" l="1"/>
  <c r="P46" i="11"/>
  <c r="P47" i="11"/>
  <c r="P48" i="11"/>
  <c r="P28" i="11"/>
  <c r="P32" i="11"/>
  <c r="P10" i="11"/>
  <c r="P12" i="11"/>
  <c r="P20" i="11"/>
  <c r="P22" i="11"/>
  <c r="P23" i="11"/>
  <c r="P8" i="11"/>
  <c r="P13" i="11"/>
  <c r="P49" i="11"/>
  <c r="P7" i="11"/>
  <c r="P17" i="11"/>
  <c r="P18" i="11"/>
  <c r="P53" i="11"/>
  <c r="P57" i="11"/>
  <c r="P41" i="11"/>
  <c r="P11" i="11"/>
  <c r="P25" i="11"/>
  <c r="P26" i="11"/>
  <c r="P27" i="11"/>
  <c r="P38" i="11"/>
  <c r="P39" i="11"/>
  <c r="P40" i="11"/>
  <c r="P54" i="11"/>
  <c r="P55" i="11"/>
  <c r="N8" i="11"/>
  <c r="P14" i="11"/>
  <c r="P15" i="11"/>
  <c r="P16" i="11"/>
  <c r="P42" i="11"/>
  <c r="P43" i="11"/>
  <c r="P44" i="11"/>
  <c r="P58" i="11"/>
  <c r="P59" i="11"/>
  <c r="P61" i="11"/>
  <c r="P63" i="11"/>
  <c r="P65" i="11"/>
  <c r="P67" i="11"/>
  <c r="P9" i="11"/>
  <c r="P19" i="11"/>
  <c r="P30" i="11"/>
  <c r="P45" i="11"/>
  <c r="P69" i="11"/>
  <c r="P21" i="11"/>
  <c r="P24" i="11"/>
  <c r="P34" i="11"/>
  <c r="P35" i="11"/>
  <c r="P36" i="11"/>
  <c r="P50" i="11"/>
  <c r="P51" i="11"/>
  <c r="P52" i="11"/>
  <c r="N18" i="11"/>
  <c r="N7" i="11"/>
  <c r="N21" i="11"/>
  <c r="N9" i="11"/>
  <c r="N13" i="11"/>
  <c r="N17" i="11"/>
  <c r="P31" i="11"/>
  <c r="P29" i="11"/>
  <c r="P33" i="11"/>
  <c r="P37" i="11"/>
  <c r="P60" i="11"/>
  <c r="P62" i="11"/>
  <c r="P64" i="11"/>
  <c r="P66" i="11"/>
  <c r="P68" i="11"/>
  <c r="K7" i="11" l="1"/>
  <c r="K32" i="11" l="1"/>
  <c r="K45" i="11"/>
  <c r="F46" i="24"/>
  <c r="F33" i="24"/>
  <c r="K64" i="11"/>
  <c r="F65" i="24"/>
  <c r="R45" i="11" l="1"/>
  <c r="U45" i="11" s="1"/>
  <c r="O45" i="11"/>
  <c r="R32" i="11"/>
  <c r="O32" i="11"/>
  <c r="R64" i="11"/>
  <c r="O64" i="11"/>
  <c r="S64" i="11" l="1"/>
  <c r="W64" i="11" s="1"/>
  <c r="Z64" i="11" s="1"/>
  <c r="U64" i="11"/>
  <c r="S32" i="11"/>
  <c r="W32" i="11" s="1"/>
  <c r="U32" i="11"/>
  <c r="T45" i="11"/>
  <c r="S45" i="11"/>
  <c r="T32" i="11"/>
  <c r="T64" i="11"/>
  <c r="F70" i="24"/>
  <c r="X32" i="11" l="1"/>
  <c r="AB32" i="11" s="1"/>
  <c r="Z32" i="11"/>
  <c r="W45" i="11"/>
  <c r="Y32" i="11"/>
  <c r="Y64" i="11"/>
  <c r="X64" i="11"/>
  <c r="X45" i="11" l="1"/>
  <c r="AB45" i="11" s="1"/>
  <c r="AE45" i="11" s="1"/>
  <c r="Z45" i="11"/>
  <c r="AC32" i="11"/>
  <c r="AG32" i="11" s="1"/>
  <c r="AJ32" i="11" s="1"/>
  <c r="AE32" i="11"/>
  <c r="Y45" i="11"/>
  <c r="AD32" i="11"/>
  <c r="AB64" i="11"/>
  <c r="AE64" i="11" s="1"/>
  <c r="AD45" i="11" l="1"/>
  <c r="AC45" i="11"/>
  <c r="AI32" i="11"/>
  <c r="AH32" i="11"/>
  <c r="AD64" i="11"/>
  <c r="AC64" i="11"/>
  <c r="AG45" i="11" l="1"/>
  <c r="AL32" i="11"/>
  <c r="AG64" i="11"/>
  <c r="AM32" i="11" l="1"/>
  <c r="AQ32" i="11" s="1"/>
  <c r="AT32" i="11" s="1"/>
  <c r="AO32" i="11"/>
  <c r="AH45" i="11"/>
  <c r="AL45" i="11" s="1"/>
  <c r="AJ45" i="11"/>
  <c r="AH64" i="11"/>
  <c r="AL64" i="11" s="1"/>
  <c r="AJ64" i="11"/>
  <c r="AI45" i="11"/>
  <c r="AN32" i="11"/>
  <c r="AI64" i="11"/>
  <c r="AM64" i="11" l="1"/>
  <c r="AQ64" i="11" s="1"/>
  <c r="AT64" i="11" s="1"/>
  <c r="AO64" i="11"/>
  <c r="AM45" i="11"/>
  <c r="AQ45" i="11" s="1"/>
  <c r="AO45" i="11"/>
  <c r="AN45" i="11"/>
  <c r="AS32" i="11"/>
  <c r="AU32" i="11"/>
  <c r="AR32" i="11"/>
  <c r="AV32" i="11" s="1"/>
  <c r="AW32" i="11" s="1"/>
  <c r="AN64" i="11"/>
  <c r="AR45" i="11" l="1"/>
  <c r="AV45" i="11" s="1"/>
  <c r="AW45" i="11" s="1"/>
  <c r="AT45" i="11"/>
  <c r="AU45" i="11" s="1"/>
  <c r="AS45" i="11"/>
  <c r="AU64" i="11"/>
  <c r="AS64" i="11"/>
  <c r="AR64" i="11"/>
  <c r="AV64" i="11" s="1"/>
  <c r="AW64" i="11" s="1"/>
  <c r="K14" i="11" l="1"/>
  <c r="K65" i="11"/>
  <c r="R65" i="11" l="1"/>
  <c r="U65" i="11" s="1"/>
  <c r="O65" i="11"/>
  <c r="O14" i="11"/>
  <c r="S65" i="11" l="1"/>
  <c r="W65" i="11" s="1"/>
  <c r="Z65" i="11" s="1"/>
  <c r="T65" i="11"/>
  <c r="R14" i="11"/>
  <c r="U14" i="11" s="1"/>
  <c r="X65" i="11" l="1"/>
  <c r="AB65" i="11" s="1"/>
  <c r="AE65" i="11" s="1"/>
  <c r="Y65" i="11"/>
  <c r="T14" i="11"/>
  <c r="S14" i="11"/>
  <c r="AC65" i="11" l="1"/>
  <c r="AG65" i="11" s="1"/>
  <c r="AJ65" i="11" s="1"/>
  <c r="AD65" i="11"/>
  <c r="W14" i="11"/>
  <c r="Z14" i="11" s="1"/>
  <c r="AH65" i="11" l="1"/>
  <c r="AI65" i="11"/>
  <c r="Y14" i="11"/>
  <c r="X14" i="11"/>
  <c r="AL65" i="11" l="1"/>
  <c r="AO65" i="11" s="1"/>
  <c r="AB14" i="11"/>
  <c r="AE14" i="11" s="1"/>
  <c r="AM65" i="11" l="1"/>
  <c r="AN65" i="11"/>
  <c r="AD14" i="11"/>
  <c r="AC14" i="11"/>
  <c r="AG14" i="11" s="1"/>
  <c r="AJ14" i="11" s="1"/>
  <c r="AQ65" i="11" l="1"/>
  <c r="AI14" i="11"/>
  <c r="AH14" i="11"/>
  <c r="AR65" i="11" l="1"/>
  <c r="AV65" i="11" s="1"/>
  <c r="AW65" i="11" s="1"/>
  <c r="AT65" i="11"/>
  <c r="AU65" i="11" s="1"/>
  <c r="AS65" i="11"/>
  <c r="AL14" i="11"/>
  <c r="AO14" i="11" s="1"/>
  <c r="AM14" i="11" l="1"/>
  <c r="AQ14" i="11" s="1"/>
  <c r="AT14" i="11" s="1"/>
  <c r="AN14" i="11"/>
  <c r="AR14" i="11" l="1"/>
  <c r="AV14" i="11" s="1"/>
  <c r="AW14" i="11" s="1"/>
  <c r="AU14" i="11"/>
  <c r="AS14" i="11"/>
  <c r="K24" i="11" l="1"/>
  <c r="F25" i="24"/>
  <c r="F9" i="24"/>
  <c r="K15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6" i="11"/>
  <c r="K61" i="11"/>
  <c r="K62" i="11"/>
  <c r="K63" i="11"/>
  <c r="K67" i="11"/>
  <c r="K68" i="11"/>
  <c r="K69" i="11"/>
  <c r="F22" i="24"/>
  <c r="F16" i="24"/>
  <c r="F66" i="24"/>
  <c r="F15" i="24"/>
  <c r="F61" i="24"/>
  <c r="F67" i="24"/>
  <c r="F54" i="24"/>
  <c r="K13" i="11"/>
  <c r="K16" i="11"/>
  <c r="K17" i="11"/>
  <c r="K18" i="11"/>
  <c r="K19" i="11"/>
  <c r="K20" i="11"/>
  <c r="K21" i="11"/>
  <c r="K22" i="11"/>
  <c r="K23" i="11"/>
  <c r="K10" i="11"/>
  <c r="K25" i="11"/>
  <c r="K26" i="11"/>
  <c r="K27" i="11"/>
  <c r="K28" i="11"/>
  <c r="K29" i="11"/>
  <c r="K30" i="11"/>
  <c r="K31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6" i="11"/>
  <c r="K47" i="11"/>
  <c r="K48" i="11"/>
  <c r="L18" i="24"/>
  <c r="L17" i="24"/>
  <c r="L13" i="24"/>
  <c r="L14" i="24"/>
  <c r="L15" i="24"/>
  <c r="L16" i="24"/>
  <c r="M16" i="24" s="1"/>
  <c r="L11" i="24"/>
  <c r="L12" i="24"/>
  <c r="L10" i="24"/>
  <c r="F59" i="24"/>
  <c r="F40" i="24"/>
  <c r="F32" i="24"/>
  <c r="F13" i="24"/>
  <c r="F56" i="24"/>
  <c r="F51" i="24"/>
  <c r="F8" i="24"/>
  <c r="F17" i="24"/>
  <c r="F24" i="24"/>
  <c r="F28" i="24"/>
  <c r="F38" i="24"/>
  <c r="F20" i="24"/>
  <c r="F44" i="24"/>
  <c r="F18" i="24"/>
  <c r="F35" i="24"/>
  <c r="F55" i="24"/>
  <c r="F10" i="24"/>
  <c r="F52" i="24"/>
  <c r="F41" i="24"/>
  <c r="F11" i="24"/>
  <c r="F23" i="24"/>
  <c r="F47" i="24"/>
  <c r="F50" i="24"/>
  <c r="F53" i="24"/>
  <c r="F39" i="24"/>
  <c r="F57" i="24"/>
  <c r="F31" i="24"/>
  <c r="F45" i="24"/>
  <c r="F62" i="24"/>
  <c r="F58" i="24"/>
  <c r="F36" i="24"/>
  <c r="F60" i="24"/>
  <c r="F64" i="24"/>
  <c r="F21" i="24"/>
  <c r="F12" i="24"/>
  <c r="F34" i="24"/>
  <c r="F27" i="24"/>
  <c r="F43" i="24"/>
  <c r="F14" i="24"/>
  <c r="F68" i="24"/>
  <c r="F48" i="24"/>
  <c r="F63" i="24"/>
  <c r="F29" i="24"/>
  <c r="F26" i="24"/>
  <c r="F42" i="24"/>
  <c r="F69" i="24"/>
  <c r="F49" i="24"/>
  <c r="F37" i="24"/>
  <c r="O39" i="11" l="1"/>
  <c r="O18" i="11"/>
  <c r="R57" i="11"/>
  <c r="U57" i="11" s="1"/>
  <c r="O57" i="11"/>
  <c r="O36" i="11"/>
  <c r="R23" i="11"/>
  <c r="U23" i="11" s="1"/>
  <c r="O23" i="11"/>
  <c r="O19" i="11"/>
  <c r="R13" i="11"/>
  <c r="U13" i="11" s="1"/>
  <c r="O13" i="11"/>
  <c r="O11" i="11"/>
  <c r="R63" i="11"/>
  <c r="U63" i="11" s="1"/>
  <c r="O63" i="11"/>
  <c r="O60" i="11"/>
  <c r="O56" i="11"/>
  <c r="O52" i="11"/>
  <c r="R15" i="11"/>
  <c r="U15" i="11" s="1"/>
  <c r="O15" i="11"/>
  <c r="O66" i="11"/>
  <c r="R49" i="11"/>
  <c r="U49" i="11" s="1"/>
  <c r="O49" i="11"/>
  <c r="R9" i="11"/>
  <c r="O9" i="11"/>
  <c r="R40" i="11"/>
  <c r="U40" i="11" s="1"/>
  <c r="O40" i="11"/>
  <c r="O27" i="11"/>
  <c r="O48" i="11"/>
  <c r="O43" i="11"/>
  <c r="O35" i="11"/>
  <c r="O30" i="11"/>
  <c r="O26" i="11"/>
  <c r="O22" i="11"/>
  <c r="R31" i="11"/>
  <c r="U31" i="11" s="1"/>
  <c r="O31" i="11"/>
  <c r="R8" i="11"/>
  <c r="U8" i="11" s="1"/>
  <c r="O8" i="11"/>
  <c r="O69" i="11"/>
  <c r="R62" i="11"/>
  <c r="U62" i="11" s="1"/>
  <c r="O62" i="11"/>
  <c r="O59" i="11"/>
  <c r="R55" i="11"/>
  <c r="U55" i="11" s="1"/>
  <c r="O55" i="11"/>
  <c r="R51" i="11"/>
  <c r="U51" i="11" s="1"/>
  <c r="O51" i="11"/>
  <c r="R67" i="11"/>
  <c r="U67" i="11" s="1"/>
  <c r="O67" i="11"/>
  <c r="O53" i="11"/>
  <c r="O44" i="11"/>
  <c r="R47" i="11"/>
  <c r="U47" i="11" s="1"/>
  <c r="O47" i="11"/>
  <c r="O42" i="11"/>
  <c r="R38" i="11"/>
  <c r="U38" i="11" s="1"/>
  <c r="O38" i="11"/>
  <c r="R34" i="11"/>
  <c r="O34" i="11"/>
  <c r="R29" i="11"/>
  <c r="U29" i="11" s="1"/>
  <c r="O29" i="11"/>
  <c r="R25" i="11"/>
  <c r="O25" i="11"/>
  <c r="R21" i="11"/>
  <c r="U21" i="11" s="1"/>
  <c r="O21" i="11"/>
  <c r="O17" i="11"/>
  <c r="R68" i="11"/>
  <c r="U68" i="11" s="1"/>
  <c r="O68" i="11"/>
  <c r="R61" i="11"/>
  <c r="U61" i="11" s="1"/>
  <c r="O61" i="11"/>
  <c r="R58" i="11"/>
  <c r="U58" i="11" s="1"/>
  <c r="O58" i="11"/>
  <c r="O54" i="11"/>
  <c r="R50" i="11"/>
  <c r="U50" i="11" s="1"/>
  <c r="O50" i="11"/>
  <c r="R24" i="11"/>
  <c r="U24" i="11" s="1"/>
  <c r="O24" i="11"/>
  <c r="R12" i="11"/>
  <c r="O12" i="11"/>
  <c r="O46" i="11"/>
  <c r="O41" i="11"/>
  <c r="O37" i="11"/>
  <c r="O33" i="11"/>
  <c r="O28" i="11"/>
  <c r="R10" i="11"/>
  <c r="U10" i="11" s="1"/>
  <c r="O10" i="11"/>
  <c r="O20" i="11"/>
  <c r="R16" i="11"/>
  <c r="U16" i="11" s="1"/>
  <c r="O16" i="11"/>
  <c r="O15" i="24"/>
  <c r="O13" i="24"/>
  <c r="L8" i="24"/>
  <c r="R66" i="11"/>
  <c r="U66" i="11" s="1"/>
  <c r="R54" i="11"/>
  <c r="U54" i="11" s="1"/>
  <c r="R53" i="11"/>
  <c r="U53" i="11" s="1"/>
  <c r="R59" i="11"/>
  <c r="U59" i="11" s="1"/>
  <c r="R52" i="11"/>
  <c r="U52" i="11" s="1"/>
  <c r="R60" i="11"/>
  <c r="U60" i="11" s="1"/>
  <c r="R69" i="11"/>
  <c r="U69" i="11" s="1"/>
  <c r="R20" i="11"/>
  <c r="U20" i="11" s="1"/>
  <c r="R35" i="11"/>
  <c r="U35" i="11" s="1"/>
  <c r="R26" i="11"/>
  <c r="U26" i="11" s="1"/>
  <c r="R33" i="11"/>
  <c r="U33" i="11" s="1"/>
  <c r="R46" i="11"/>
  <c r="U46" i="11" s="1"/>
  <c r="R18" i="11"/>
  <c r="U18" i="11" s="1"/>
  <c r="R37" i="11"/>
  <c r="U37" i="11" s="1"/>
  <c r="R36" i="11"/>
  <c r="U36" i="11" s="1"/>
  <c r="R19" i="11"/>
  <c r="U19" i="11" s="1"/>
  <c r="R42" i="11"/>
  <c r="U42" i="11" s="1"/>
  <c r="R43" i="11"/>
  <c r="U43" i="11" s="1"/>
  <c r="R41" i="11"/>
  <c r="U41" i="11" s="1"/>
  <c r="R28" i="11"/>
  <c r="U28" i="11" s="1"/>
  <c r="R17" i="11"/>
  <c r="U17" i="11" s="1"/>
  <c r="R27" i="11"/>
  <c r="U27" i="11" s="1"/>
  <c r="R44" i="11"/>
  <c r="U44" i="11" s="1"/>
  <c r="R11" i="11"/>
  <c r="U11" i="11" s="1"/>
  <c r="O18" i="24"/>
  <c r="O17" i="24"/>
  <c r="O14" i="24"/>
  <c r="O11" i="24"/>
  <c r="O16" i="24"/>
  <c r="O10" i="24"/>
  <c r="O12" i="24"/>
  <c r="O9" i="24"/>
  <c r="T34" i="11" l="1"/>
  <c r="U34" i="11"/>
  <c r="T9" i="11"/>
  <c r="U9" i="11"/>
  <c r="T12" i="11"/>
  <c r="U12" i="11"/>
  <c r="T25" i="11"/>
  <c r="U25" i="11"/>
  <c r="S9" i="11"/>
  <c r="W9" i="11" s="1"/>
  <c r="S34" i="11"/>
  <c r="W34" i="11" s="1"/>
  <c r="Z34" i="11" s="1"/>
  <c r="S25" i="11"/>
  <c r="W25" i="11" s="1"/>
  <c r="Z25" i="11" s="1"/>
  <c r="T31" i="11"/>
  <c r="T66" i="11"/>
  <c r="T36" i="11"/>
  <c r="T52" i="11"/>
  <c r="T16" i="11"/>
  <c r="T58" i="11"/>
  <c r="T15" i="11"/>
  <c r="T19" i="11"/>
  <c r="T60" i="11"/>
  <c r="T27" i="11"/>
  <c r="T37" i="11"/>
  <c r="T49" i="11"/>
  <c r="T40" i="11"/>
  <c r="T20" i="11"/>
  <c r="T63" i="11"/>
  <c r="T24" i="11"/>
  <c r="T61" i="11"/>
  <c r="T67" i="11"/>
  <c r="T62" i="11"/>
  <c r="T44" i="11"/>
  <c r="T17" i="11"/>
  <c r="T18" i="11"/>
  <c r="S12" i="11"/>
  <c r="W12" i="11" s="1"/>
  <c r="T28" i="11"/>
  <c r="T57" i="11"/>
  <c r="T59" i="11"/>
  <c r="T11" i="11"/>
  <c r="T13" i="11"/>
  <c r="T23" i="11"/>
  <c r="T46" i="11"/>
  <c r="T53" i="11"/>
  <c r="T10" i="11"/>
  <c r="T50" i="11"/>
  <c r="T68" i="11"/>
  <c r="T29" i="11"/>
  <c r="T47" i="11"/>
  <c r="T51" i="11"/>
  <c r="S35" i="11"/>
  <c r="W35" i="11" s="1"/>
  <c r="Z35" i="11" s="1"/>
  <c r="T35" i="11"/>
  <c r="T41" i="11"/>
  <c r="T21" i="11"/>
  <c r="T38" i="11"/>
  <c r="T43" i="11"/>
  <c r="T33" i="11"/>
  <c r="T69" i="11"/>
  <c r="T42" i="11"/>
  <c r="T26" i="11"/>
  <c r="T54" i="11"/>
  <c r="T55" i="11"/>
  <c r="S8" i="11"/>
  <c r="W8" i="11" s="1"/>
  <c r="T8" i="11"/>
  <c r="S51" i="11"/>
  <c r="W51" i="11" s="1"/>
  <c r="Z51" i="11" s="1"/>
  <c r="S68" i="11"/>
  <c r="W68" i="11" s="1"/>
  <c r="Z68" i="11" s="1"/>
  <c r="S67" i="11"/>
  <c r="W67" i="11" s="1"/>
  <c r="Z67" i="11" s="1"/>
  <c r="S50" i="11"/>
  <c r="W50" i="11" s="1"/>
  <c r="Z50" i="11" s="1"/>
  <c r="S58" i="11"/>
  <c r="W58" i="11" s="1"/>
  <c r="Z58" i="11" s="1"/>
  <c r="O8" i="24"/>
  <c r="S24" i="11"/>
  <c r="S53" i="11"/>
  <c r="W53" i="11" s="1"/>
  <c r="Z53" i="11" s="1"/>
  <c r="S54" i="11"/>
  <c r="W54" i="11" s="1"/>
  <c r="Z54" i="11" s="1"/>
  <c r="S15" i="11"/>
  <c r="S59" i="11"/>
  <c r="W59" i="11" s="1"/>
  <c r="Z59" i="11" s="1"/>
  <c r="S52" i="11"/>
  <c r="W52" i="11" s="1"/>
  <c r="Z52" i="11" s="1"/>
  <c r="S49" i="11"/>
  <c r="W49" i="11" s="1"/>
  <c r="Z49" i="11" s="1"/>
  <c r="S63" i="11"/>
  <c r="W63" i="11" s="1"/>
  <c r="Z63" i="11" s="1"/>
  <c r="S69" i="11"/>
  <c r="W69" i="11" s="1"/>
  <c r="Z69" i="11" s="1"/>
  <c r="S60" i="11"/>
  <c r="W60" i="11" s="1"/>
  <c r="Z60" i="11" s="1"/>
  <c r="S61" i="11"/>
  <c r="W61" i="11" s="1"/>
  <c r="Z61" i="11" s="1"/>
  <c r="S66" i="11"/>
  <c r="W66" i="11" s="1"/>
  <c r="Z66" i="11" s="1"/>
  <c r="S62" i="11"/>
  <c r="W62" i="11" s="1"/>
  <c r="Z62" i="11" s="1"/>
  <c r="S55" i="11"/>
  <c r="R56" i="11"/>
  <c r="U56" i="11" s="1"/>
  <c r="S57" i="11"/>
  <c r="S33" i="11"/>
  <c r="W33" i="11" s="1"/>
  <c r="Z33" i="11" s="1"/>
  <c r="S43" i="11"/>
  <c r="W43" i="11" s="1"/>
  <c r="Z43" i="11" s="1"/>
  <c r="S37" i="11"/>
  <c r="W37" i="11" s="1"/>
  <c r="Z37" i="11" s="1"/>
  <c r="S17" i="11"/>
  <c r="W17" i="11" s="1"/>
  <c r="Z17" i="11" s="1"/>
  <c r="S18" i="11"/>
  <c r="W18" i="11" s="1"/>
  <c r="Z18" i="11" s="1"/>
  <c r="S46" i="11"/>
  <c r="W46" i="11" s="1"/>
  <c r="Z46" i="11" s="1"/>
  <c r="S20" i="11"/>
  <c r="W20" i="11" s="1"/>
  <c r="Z20" i="11" s="1"/>
  <c r="S26" i="11"/>
  <c r="W26" i="11" s="1"/>
  <c r="Z26" i="11" s="1"/>
  <c r="S27" i="11"/>
  <c r="W27" i="11" s="1"/>
  <c r="Z27" i="11" s="1"/>
  <c r="S23" i="11"/>
  <c r="W23" i="11" s="1"/>
  <c r="Z23" i="11" s="1"/>
  <c r="S19" i="11"/>
  <c r="W19" i="11" s="1"/>
  <c r="Z19" i="11" s="1"/>
  <c r="S36" i="11"/>
  <c r="W36" i="11" s="1"/>
  <c r="Z36" i="11" s="1"/>
  <c r="S42" i="11"/>
  <c r="W42" i="11" s="1"/>
  <c r="Z42" i="11" s="1"/>
  <c r="S31" i="11"/>
  <c r="W31" i="11" s="1"/>
  <c r="Z31" i="11" s="1"/>
  <c r="S11" i="11"/>
  <c r="W11" i="11" s="1"/>
  <c r="Z11" i="11" s="1"/>
  <c r="S47" i="11"/>
  <c r="W47" i="11" s="1"/>
  <c r="Z47" i="11" s="1"/>
  <c r="S28" i="11"/>
  <c r="W28" i="11" s="1"/>
  <c r="Z28" i="11" s="1"/>
  <c r="S29" i="11"/>
  <c r="W29" i="11" s="1"/>
  <c r="Z29" i="11" s="1"/>
  <c r="S16" i="11"/>
  <c r="W16" i="11" s="1"/>
  <c r="Z16" i="11" s="1"/>
  <c r="S44" i="11"/>
  <c r="W44" i="11" s="1"/>
  <c r="Z44" i="11" s="1"/>
  <c r="S41" i="11"/>
  <c r="W41" i="11" s="1"/>
  <c r="Z41" i="11" s="1"/>
  <c r="S10" i="11"/>
  <c r="W10" i="11" s="1"/>
  <c r="Z10" i="11" s="1"/>
  <c r="R39" i="11"/>
  <c r="U39" i="11" s="1"/>
  <c r="R48" i="11"/>
  <c r="U48" i="11" s="1"/>
  <c r="S21" i="11"/>
  <c r="S40" i="11"/>
  <c r="S38" i="11"/>
  <c r="S13" i="11"/>
  <c r="R22" i="11"/>
  <c r="U22" i="11" s="1"/>
  <c r="R30" i="11"/>
  <c r="U30" i="11" s="1"/>
  <c r="Y9" i="11" l="1"/>
  <c r="Z9" i="11"/>
  <c r="Y8" i="11"/>
  <c r="Z8" i="11"/>
  <c r="Y12" i="11"/>
  <c r="Z12" i="11"/>
  <c r="X9" i="11"/>
  <c r="AB9" i="11" s="1"/>
  <c r="X12" i="11"/>
  <c r="AB12" i="11" s="1"/>
  <c r="Y51" i="11"/>
  <c r="Y50" i="11"/>
  <c r="Y28" i="11"/>
  <c r="Y47" i="11"/>
  <c r="Y26" i="11"/>
  <c r="Y33" i="11"/>
  <c r="Y62" i="11"/>
  <c r="Y59" i="11"/>
  <c r="Y43" i="11"/>
  <c r="Y25" i="11"/>
  <c r="Y11" i="11"/>
  <c r="Y20" i="11"/>
  <c r="Y66" i="11"/>
  <c r="Y23" i="11"/>
  <c r="Y67" i="11"/>
  <c r="Y49" i="11"/>
  <c r="Y52" i="11"/>
  <c r="Y31" i="11"/>
  <c r="Y46" i="11"/>
  <c r="Y68" i="11"/>
  <c r="Y61" i="11"/>
  <c r="Y54" i="11"/>
  <c r="Y58" i="11"/>
  <c r="Y34" i="11"/>
  <c r="Y35" i="11"/>
  <c r="Y41" i="11"/>
  <c r="Y42" i="11"/>
  <c r="Y18" i="11"/>
  <c r="Y60" i="11"/>
  <c r="Y53" i="11"/>
  <c r="Y29" i="11"/>
  <c r="Y44" i="11"/>
  <c r="Y36" i="11"/>
  <c r="Y17" i="11"/>
  <c r="Y69" i="11"/>
  <c r="Y27" i="11"/>
  <c r="Y10" i="11"/>
  <c r="Y16" i="11"/>
  <c r="Y19" i="11"/>
  <c r="Y37" i="11"/>
  <c r="Y63" i="11"/>
  <c r="T56" i="11"/>
  <c r="T30" i="11"/>
  <c r="T22" i="11"/>
  <c r="T48" i="11"/>
  <c r="X8" i="11"/>
  <c r="AB8" i="11" s="1"/>
  <c r="T39" i="11"/>
  <c r="W24" i="11"/>
  <c r="Z24" i="11" s="1"/>
  <c r="W15" i="11"/>
  <c r="Z15" i="11" s="1"/>
  <c r="X63" i="11"/>
  <c r="AB63" i="11" s="1"/>
  <c r="AE63" i="11" s="1"/>
  <c r="S56" i="11"/>
  <c r="W56" i="11" s="1"/>
  <c r="Z56" i="11" s="1"/>
  <c r="X60" i="11"/>
  <c r="AB60" i="11" s="1"/>
  <c r="AE60" i="11" s="1"/>
  <c r="X69" i="11"/>
  <c r="AB69" i="11" s="1"/>
  <c r="AE69" i="11" s="1"/>
  <c r="X52" i="11"/>
  <c r="AB52" i="11" s="1"/>
  <c r="AE52" i="11" s="1"/>
  <c r="X67" i="11"/>
  <c r="AB67" i="11" s="1"/>
  <c r="AE67" i="11" s="1"/>
  <c r="X66" i="11"/>
  <c r="AB66" i="11" s="1"/>
  <c r="AE66" i="11" s="1"/>
  <c r="X50" i="11"/>
  <c r="X59" i="11"/>
  <c r="X61" i="11"/>
  <c r="W55" i="11"/>
  <c r="Z55" i="11" s="1"/>
  <c r="X68" i="11"/>
  <c r="X49" i="11"/>
  <c r="X58" i="11"/>
  <c r="X54" i="11"/>
  <c r="W57" i="11"/>
  <c r="Z57" i="11" s="1"/>
  <c r="X51" i="11"/>
  <c r="X53" i="11"/>
  <c r="X62" i="11"/>
  <c r="X11" i="11"/>
  <c r="AB11" i="11" s="1"/>
  <c r="AE11" i="11" s="1"/>
  <c r="X17" i="11"/>
  <c r="AB17" i="11" s="1"/>
  <c r="AE17" i="11" s="1"/>
  <c r="X41" i="11"/>
  <c r="AB41" i="11" s="1"/>
  <c r="AE41" i="11" s="1"/>
  <c r="X25" i="11"/>
  <c r="AB25" i="11" s="1"/>
  <c r="AE25" i="11" s="1"/>
  <c r="X20" i="11"/>
  <c r="AB20" i="11" s="1"/>
  <c r="AE20" i="11" s="1"/>
  <c r="X19" i="11"/>
  <c r="AB19" i="11" s="1"/>
  <c r="AE19" i="11" s="1"/>
  <c r="X47" i="11"/>
  <c r="AB47" i="11" s="1"/>
  <c r="AE47" i="11" s="1"/>
  <c r="X31" i="11"/>
  <c r="AB31" i="11" s="1"/>
  <c r="AE31" i="11" s="1"/>
  <c r="X44" i="11"/>
  <c r="AB44" i="11" s="1"/>
  <c r="AE44" i="11" s="1"/>
  <c r="X23" i="11"/>
  <c r="AB23" i="11" s="1"/>
  <c r="AE23" i="11" s="1"/>
  <c r="X37" i="11"/>
  <c r="AB37" i="11" s="1"/>
  <c r="AE37" i="11" s="1"/>
  <c r="X10" i="11"/>
  <c r="AB10" i="11" s="1"/>
  <c r="AE10" i="11" s="1"/>
  <c r="X16" i="11"/>
  <c r="AB16" i="11" s="1"/>
  <c r="AE16" i="11" s="1"/>
  <c r="X29" i="11"/>
  <c r="AB29" i="11" s="1"/>
  <c r="AE29" i="11" s="1"/>
  <c r="X28" i="11"/>
  <c r="AB28" i="11" s="1"/>
  <c r="AE28" i="11" s="1"/>
  <c r="X34" i="11"/>
  <c r="AB34" i="11" s="1"/>
  <c r="AE34" i="11" s="1"/>
  <c r="X42" i="11"/>
  <c r="AB42" i="11" s="1"/>
  <c r="AE42" i="11" s="1"/>
  <c r="X35" i="11"/>
  <c r="AB35" i="11" s="1"/>
  <c r="AE35" i="11" s="1"/>
  <c r="S48" i="11"/>
  <c r="W48" i="11" s="1"/>
  <c r="Z48" i="11" s="1"/>
  <c r="S30" i="11"/>
  <c r="X27" i="11"/>
  <c r="X18" i="11"/>
  <c r="W38" i="11"/>
  <c r="Z38" i="11" s="1"/>
  <c r="X26" i="11"/>
  <c r="X36" i="11"/>
  <c r="S22" i="11"/>
  <c r="X43" i="11"/>
  <c r="W13" i="11"/>
  <c r="Z13" i="11" s="1"/>
  <c r="W40" i="11"/>
  <c r="Z40" i="11" s="1"/>
  <c r="X33" i="11"/>
  <c r="X46" i="11"/>
  <c r="W21" i="11"/>
  <c r="Z21" i="11" s="1"/>
  <c r="S39" i="11"/>
  <c r="AD12" i="11" l="1"/>
  <c r="AE12" i="11"/>
  <c r="AD9" i="11"/>
  <c r="AE9" i="11"/>
  <c r="AD8" i="11"/>
  <c r="AE8" i="11"/>
  <c r="AC9" i="11"/>
  <c r="AC12" i="11"/>
  <c r="AD37" i="11"/>
  <c r="AD44" i="11"/>
  <c r="AD69" i="11"/>
  <c r="AD34" i="11"/>
  <c r="AD31" i="11"/>
  <c r="AD60" i="11"/>
  <c r="AD41" i="11"/>
  <c r="AD67" i="11"/>
  <c r="AD35" i="11"/>
  <c r="AD42" i="11"/>
  <c r="AD11" i="11"/>
  <c r="AD28" i="11"/>
  <c r="AD29" i="11"/>
  <c r="AD19" i="11"/>
  <c r="AD63" i="11"/>
  <c r="AD20" i="11"/>
  <c r="AD23" i="11"/>
  <c r="AD17" i="11"/>
  <c r="AD52" i="11"/>
  <c r="AD47" i="11"/>
  <c r="AD16" i="11"/>
  <c r="AD10" i="11"/>
  <c r="AD25" i="11"/>
  <c r="AD66" i="11"/>
  <c r="Y40" i="11"/>
  <c r="Y13" i="11"/>
  <c r="Y24" i="11"/>
  <c r="Y48" i="11"/>
  <c r="Y21" i="11"/>
  <c r="Y55" i="11"/>
  <c r="Y38" i="11"/>
  <c r="Y56" i="11"/>
  <c r="Y57" i="11"/>
  <c r="Y15" i="11"/>
  <c r="AC8" i="11"/>
  <c r="X24" i="11"/>
  <c r="X15" i="11"/>
  <c r="AB15" i="11" s="1"/>
  <c r="AE15" i="11" s="1"/>
  <c r="AC60" i="11"/>
  <c r="AG60" i="11" s="1"/>
  <c r="AJ60" i="11" s="1"/>
  <c r="AC66" i="11"/>
  <c r="AG66" i="11" s="1"/>
  <c r="AJ66" i="11" s="1"/>
  <c r="X57" i="11"/>
  <c r="AB57" i="11" s="1"/>
  <c r="AE57" i="11" s="1"/>
  <c r="X55" i="11"/>
  <c r="AB58" i="11"/>
  <c r="AE58" i="11" s="1"/>
  <c r="AC67" i="11"/>
  <c r="AB53" i="11"/>
  <c r="AE53" i="11" s="1"/>
  <c r="AB49" i="11"/>
  <c r="AE49" i="11" s="1"/>
  <c r="AC52" i="11"/>
  <c r="AB62" i="11"/>
  <c r="AE62" i="11" s="1"/>
  <c r="AB54" i="11"/>
  <c r="AE54" i="11" s="1"/>
  <c r="AB51" i="11"/>
  <c r="AE51" i="11" s="1"/>
  <c r="AB68" i="11"/>
  <c r="AE68" i="11" s="1"/>
  <c r="AC69" i="11"/>
  <c r="AB61" i="11"/>
  <c r="AE61" i="11" s="1"/>
  <c r="AB59" i="11"/>
  <c r="AE59" i="11" s="1"/>
  <c r="AC63" i="11"/>
  <c r="X56" i="11"/>
  <c r="AB50" i="11"/>
  <c r="AE50" i="11" s="1"/>
  <c r="X38" i="11"/>
  <c r="AB38" i="11" s="1"/>
  <c r="AE38" i="11" s="1"/>
  <c r="AC28" i="11"/>
  <c r="AG28" i="11" s="1"/>
  <c r="AJ28" i="11" s="1"/>
  <c r="AC34" i="11"/>
  <c r="AG34" i="11" s="1"/>
  <c r="AJ34" i="11" s="1"/>
  <c r="AC37" i="11"/>
  <c r="AG37" i="11" s="1"/>
  <c r="AJ37" i="11" s="1"/>
  <c r="AC20" i="11"/>
  <c r="AG20" i="11" s="1"/>
  <c r="AJ20" i="11" s="1"/>
  <c r="AC31" i="11"/>
  <c r="AG31" i="11" s="1"/>
  <c r="AJ31" i="11" s="1"/>
  <c r="X21" i="11"/>
  <c r="AB21" i="11" s="1"/>
  <c r="AE21" i="11" s="1"/>
  <c r="X40" i="11"/>
  <c r="AB40" i="11" s="1"/>
  <c r="AE40" i="11" s="1"/>
  <c r="X48" i="11"/>
  <c r="AB48" i="11" s="1"/>
  <c r="AE48" i="11" s="1"/>
  <c r="AC29" i="11"/>
  <c r="AG29" i="11" s="1"/>
  <c r="AJ29" i="11" s="1"/>
  <c r="AC25" i="11"/>
  <c r="AG25" i="11" s="1"/>
  <c r="AJ25" i="11" s="1"/>
  <c r="AC23" i="11"/>
  <c r="AG23" i="11" s="1"/>
  <c r="AJ23" i="11" s="1"/>
  <c r="AC42" i="11"/>
  <c r="AG42" i="11" s="1"/>
  <c r="AJ42" i="11" s="1"/>
  <c r="AC35" i="11"/>
  <c r="AG35" i="11" s="1"/>
  <c r="AJ35" i="11" s="1"/>
  <c r="AC41" i="11"/>
  <c r="W22" i="11"/>
  <c r="Z22" i="11" s="1"/>
  <c r="AB36" i="11"/>
  <c r="AE36" i="11" s="1"/>
  <c r="AC16" i="11"/>
  <c r="AB46" i="11"/>
  <c r="AE46" i="11" s="1"/>
  <c r="AB33" i="11"/>
  <c r="AE33" i="11" s="1"/>
  <c r="AB26" i="11"/>
  <c r="AE26" i="11" s="1"/>
  <c r="AC47" i="11"/>
  <c r="AC19" i="11"/>
  <c r="AB18" i="11"/>
  <c r="AE18" i="11" s="1"/>
  <c r="AC17" i="11"/>
  <c r="AC10" i="11"/>
  <c r="AB27" i="11"/>
  <c r="AE27" i="11" s="1"/>
  <c r="W30" i="11"/>
  <c r="Z30" i="11" s="1"/>
  <c r="W39" i="11"/>
  <c r="Z39" i="11" s="1"/>
  <c r="X13" i="11"/>
  <c r="AC44" i="11"/>
  <c r="AB43" i="11"/>
  <c r="AE43" i="11" s="1"/>
  <c r="AC11" i="11"/>
  <c r="AI29" i="11" l="1"/>
  <c r="AI23" i="11"/>
  <c r="AI25" i="11"/>
  <c r="AI28" i="11"/>
  <c r="AI34" i="11"/>
  <c r="AI66" i="11"/>
  <c r="AI31" i="11"/>
  <c r="AI60" i="11"/>
  <c r="AI37" i="11"/>
  <c r="AI35" i="11"/>
  <c r="AI42" i="11"/>
  <c r="AI20" i="11"/>
  <c r="AD59" i="11"/>
  <c r="AD61" i="11"/>
  <c r="AD27" i="11"/>
  <c r="AD46" i="11"/>
  <c r="AD49" i="11"/>
  <c r="AD53" i="11"/>
  <c r="AD68" i="11"/>
  <c r="AD58" i="11"/>
  <c r="AD36" i="11"/>
  <c r="AD48" i="11"/>
  <c r="AD51" i="11"/>
  <c r="AD43" i="11"/>
  <c r="AD18" i="11"/>
  <c r="AD40" i="11"/>
  <c r="AD50" i="11"/>
  <c r="AD54" i="11"/>
  <c r="AD57" i="11"/>
  <c r="AD38" i="11"/>
  <c r="AD21" i="11"/>
  <c r="AD62" i="11"/>
  <c r="AD26" i="11"/>
  <c r="AD15" i="11"/>
  <c r="AD33" i="11"/>
  <c r="Y22" i="11"/>
  <c r="Y39" i="11"/>
  <c r="Y30" i="11"/>
  <c r="AB24" i="11"/>
  <c r="AE24" i="11" s="1"/>
  <c r="AC15" i="11"/>
  <c r="AB55" i="11"/>
  <c r="AE55" i="11" s="1"/>
  <c r="AC62" i="11"/>
  <c r="AG62" i="11" s="1"/>
  <c r="AJ62" i="11" s="1"/>
  <c r="AC51" i="11"/>
  <c r="AG51" i="11" s="1"/>
  <c r="AJ51" i="11" s="1"/>
  <c r="AC53" i="11"/>
  <c r="AG53" i="11" s="1"/>
  <c r="AJ53" i="11" s="1"/>
  <c r="AC54" i="11"/>
  <c r="AG54" i="11" s="1"/>
  <c r="AJ54" i="11" s="1"/>
  <c r="AG69" i="11"/>
  <c r="AJ69" i="11" s="1"/>
  <c r="AC58" i="11"/>
  <c r="AC50" i="11"/>
  <c r="AC59" i="11"/>
  <c r="AG52" i="11"/>
  <c r="AJ52" i="11" s="1"/>
  <c r="AB56" i="11"/>
  <c r="AE56" i="11" s="1"/>
  <c r="AC61" i="11"/>
  <c r="AC68" i="11"/>
  <c r="AC49" i="11"/>
  <c r="AG63" i="11"/>
  <c r="AJ63" i="11" s="1"/>
  <c r="AH60" i="11"/>
  <c r="AH66" i="11"/>
  <c r="AC57" i="11"/>
  <c r="AG67" i="11"/>
  <c r="AJ67" i="11" s="1"/>
  <c r="AH42" i="11"/>
  <c r="AL42" i="11" s="1"/>
  <c r="AO42" i="11" s="1"/>
  <c r="X39" i="11"/>
  <c r="AB39" i="11" s="1"/>
  <c r="AE39" i="11" s="1"/>
  <c r="AC33" i="11"/>
  <c r="AG33" i="11" s="1"/>
  <c r="AJ33" i="11" s="1"/>
  <c r="AC38" i="11"/>
  <c r="AG38" i="11" s="1"/>
  <c r="AJ38" i="11" s="1"/>
  <c r="AC18" i="11"/>
  <c r="AG18" i="11" s="1"/>
  <c r="AJ18" i="11" s="1"/>
  <c r="AC36" i="11"/>
  <c r="AG36" i="11" s="1"/>
  <c r="AJ36" i="11" s="1"/>
  <c r="AC48" i="11"/>
  <c r="AG48" i="11" s="1"/>
  <c r="AJ48" i="11" s="1"/>
  <c r="AH23" i="11"/>
  <c r="AH31" i="11"/>
  <c r="AH35" i="11"/>
  <c r="AH20" i="11"/>
  <c r="AL20" i="11" s="1"/>
  <c r="AC21" i="11"/>
  <c r="AG44" i="11"/>
  <c r="AJ44" i="11" s="1"/>
  <c r="AC27" i="11"/>
  <c r="AH37" i="11"/>
  <c r="AG16" i="11"/>
  <c r="AJ16" i="11" s="1"/>
  <c r="AB13" i="11"/>
  <c r="AE13" i="11" s="1"/>
  <c r="AH34" i="11"/>
  <c r="AL34" i="11" s="1"/>
  <c r="AO34" i="11" s="1"/>
  <c r="X22" i="11"/>
  <c r="AG19" i="11"/>
  <c r="AJ19" i="11" s="1"/>
  <c r="AC40" i="11"/>
  <c r="AG47" i="11"/>
  <c r="AJ47" i="11" s="1"/>
  <c r="AH29" i="11"/>
  <c r="AG41" i="11"/>
  <c r="AJ41" i="11" s="1"/>
  <c r="AG10" i="11"/>
  <c r="AJ10" i="11" s="1"/>
  <c r="AC43" i="11"/>
  <c r="X30" i="11"/>
  <c r="AC26" i="11"/>
  <c r="AC46" i="11"/>
  <c r="AH25" i="11"/>
  <c r="AL25" i="11" s="1"/>
  <c r="AO25" i="11" s="1"/>
  <c r="AG17" i="11"/>
  <c r="AJ17" i="11" s="1"/>
  <c r="AH28" i="11"/>
  <c r="AM20" i="11" l="1"/>
  <c r="AO20" i="11"/>
  <c r="AM25" i="11"/>
  <c r="AN25" i="11"/>
  <c r="AM34" i="11"/>
  <c r="AN34" i="11"/>
  <c r="AM42" i="11"/>
  <c r="AN42" i="11"/>
  <c r="AL29" i="11"/>
  <c r="AO29" i="11" s="1"/>
  <c r="AL66" i="11"/>
  <c r="AO66" i="11" s="1"/>
  <c r="AL60" i="11"/>
  <c r="AO60" i="11" s="1"/>
  <c r="AL28" i="11"/>
  <c r="AO28" i="11" s="1"/>
  <c r="AL23" i="11"/>
  <c r="AO23" i="11" s="1"/>
  <c r="AL37" i="11"/>
  <c r="AO37" i="11" s="1"/>
  <c r="AL35" i="11"/>
  <c r="AO35" i="11" s="1"/>
  <c r="AL31" i="11"/>
  <c r="AO31" i="11" s="1"/>
  <c r="AI38" i="11"/>
  <c r="AI33" i="11"/>
  <c r="AI54" i="11"/>
  <c r="AI53" i="11"/>
  <c r="AI41" i="11"/>
  <c r="AI16" i="11"/>
  <c r="AI67" i="11"/>
  <c r="AI51" i="11"/>
  <c r="AI19" i="11"/>
  <c r="AI63" i="11"/>
  <c r="AI69" i="11"/>
  <c r="AI10" i="11"/>
  <c r="AI48" i="11"/>
  <c r="AI52" i="11"/>
  <c r="AI17" i="11"/>
  <c r="AI62" i="11"/>
  <c r="AI47" i="11"/>
  <c r="AI36" i="11"/>
  <c r="AI44" i="11"/>
  <c r="AI18" i="11"/>
  <c r="AD39" i="11"/>
  <c r="AD13" i="11"/>
  <c r="AD55" i="11"/>
  <c r="AD24" i="11"/>
  <c r="AD56" i="11"/>
  <c r="AC24" i="11"/>
  <c r="AG15" i="11"/>
  <c r="AJ15" i="11" s="1"/>
  <c r="AH62" i="11"/>
  <c r="AH63" i="11"/>
  <c r="AC55" i="11"/>
  <c r="AG55" i="11" s="1"/>
  <c r="AJ55" i="11" s="1"/>
  <c r="AH51" i="11"/>
  <c r="AL51" i="11" s="1"/>
  <c r="AO51" i="11" s="1"/>
  <c r="AC56" i="11"/>
  <c r="AG56" i="11" s="1"/>
  <c r="AJ56" i="11" s="1"/>
  <c r="AH52" i="11"/>
  <c r="AH53" i="11"/>
  <c r="AG59" i="11"/>
  <c r="AJ59" i="11" s="1"/>
  <c r="AH67" i="11"/>
  <c r="AG49" i="11"/>
  <c r="AJ49" i="11" s="1"/>
  <c r="AG50" i="11"/>
  <c r="AJ50" i="11" s="1"/>
  <c r="AG57" i="11"/>
  <c r="AJ57" i="11" s="1"/>
  <c r="AG68" i="11"/>
  <c r="AJ68" i="11" s="1"/>
  <c r="AG58" i="11"/>
  <c r="AJ58" i="11" s="1"/>
  <c r="AH54" i="11"/>
  <c r="AG61" i="11"/>
  <c r="AJ61" i="11" s="1"/>
  <c r="AH69" i="11"/>
  <c r="AL69" i="11" s="1"/>
  <c r="AO69" i="11" s="1"/>
  <c r="AC13" i="11"/>
  <c r="AG13" i="11" s="1"/>
  <c r="AJ13" i="11" s="1"/>
  <c r="AH18" i="11"/>
  <c r="AH17" i="11"/>
  <c r="AL17" i="11" s="1"/>
  <c r="AH36" i="11"/>
  <c r="AH16" i="11"/>
  <c r="AL16" i="11" s="1"/>
  <c r="AH38" i="11"/>
  <c r="AG40" i="11"/>
  <c r="AJ40" i="11" s="1"/>
  <c r="AH47" i="11"/>
  <c r="AG46" i="11"/>
  <c r="AJ46" i="11" s="1"/>
  <c r="AH41" i="11"/>
  <c r="AL41" i="11" s="1"/>
  <c r="AO41" i="11" s="1"/>
  <c r="AH19" i="11"/>
  <c r="AL19" i="11" s="1"/>
  <c r="AH48" i="11"/>
  <c r="AH44" i="11"/>
  <c r="AG27" i="11"/>
  <c r="AJ27" i="11" s="1"/>
  <c r="AB30" i="11"/>
  <c r="AE30" i="11" s="1"/>
  <c r="AG21" i="11"/>
  <c r="AJ21" i="11" s="1"/>
  <c r="AG26" i="11"/>
  <c r="AJ26" i="11" s="1"/>
  <c r="AG43" i="11"/>
  <c r="AJ43" i="11" s="1"/>
  <c r="AC39" i="11"/>
  <c r="AH33" i="11"/>
  <c r="AL33" i="11" s="1"/>
  <c r="AO33" i="11" s="1"/>
  <c r="AH10" i="11"/>
  <c r="AB22" i="11"/>
  <c r="AE22" i="11" s="1"/>
  <c r="AM16" i="11" l="1"/>
  <c r="AO16" i="11"/>
  <c r="AM19" i="11"/>
  <c r="AO19" i="11"/>
  <c r="AM17" i="11"/>
  <c r="AO17" i="11"/>
  <c r="AL18" i="11"/>
  <c r="AM37" i="11"/>
  <c r="AN37" i="11"/>
  <c r="AQ42" i="11"/>
  <c r="AM41" i="11"/>
  <c r="AN41" i="11"/>
  <c r="AM23" i="11"/>
  <c r="AN23" i="11"/>
  <c r="AM33" i="11"/>
  <c r="AN33" i="11"/>
  <c r="AQ20" i="11"/>
  <c r="AT20" i="11" s="1"/>
  <c r="AN20" i="11"/>
  <c r="AM28" i="11"/>
  <c r="AN28" i="11"/>
  <c r="AM69" i="11"/>
  <c r="AN69" i="11"/>
  <c r="AM60" i="11"/>
  <c r="AN60" i="11"/>
  <c r="AQ34" i="11"/>
  <c r="AN17" i="11"/>
  <c r="AM51" i="11"/>
  <c r="AN51" i="11"/>
  <c r="AM66" i="11"/>
  <c r="AN66" i="11"/>
  <c r="AM31" i="11"/>
  <c r="AN31" i="11"/>
  <c r="AM29" i="11"/>
  <c r="AN29" i="11"/>
  <c r="AM35" i="11"/>
  <c r="AN35" i="11"/>
  <c r="AQ25" i="11"/>
  <c r="AL36" i="11"/>
  <c r="AO36" i="11" s="1"/>
  <c r="AL63" i="11"/>
  <c r="AO63" i="11" s="1"/>
  <c r="AL47" i="11"/>
  <c r="AO47" i="11" s="1"/>
  <c r="AL67" i="11"/>
  <c r="AO67" i="11" s="1"/>
  <c r="AL62" i="11"/>
  <c r="AO62" i="11" s="1"/>
  <c r="AL38" i="11"/>
  <c r="AO38" i="11" s="1"/>
  <c r="AL54" i="11"/>
  <c r="AO54" i="11" s="1"/>
  <c r="AL53" i="11"/>
  <c r="AO53" i="11" s="1"/>
  <c r="AL48" i="11"/>
  <c r="AO48" i="11" s="1"/>
  <c r="AL10" i="11"/>
  <c r="AO10" i="11" s="1"/>
  <c r="AL44" i="11"/>
  <c r="AO44" i="11" s="1"/>
  <c r="AL52" i="11"/>
  <c r="AO52" i="11" s="1"/>
  <c r="AI56" i="11"/>
  <c r="AI57" i="11"/>
  <c r="AI50" i="11"/>
  <c r="AI55" i="11"/>
  <c r="AI43" i="11"/>
  <c r="AI26" i="11"/>
  <c r="AI46" i="11"/>
  <c r="AI13" i="11"/>
  <c r="AI49" i="11"/>
  <c r="AI68" i="11"/>
  <c r="AI40" i="11"/>
  <c r="AI61" i="11"/>
  <c r="AI59" i="11"/>
  <c r="AI15" i="11"/>
  <c r="AI21" i="11"/>
  <c r="AI27" i="11"/>
  <c r="AI58" i="11"/>
  <c r="AD30" i="11"/>
  <c r="AD22" i="11"/>
  <c r="AG24" i="11"/>
  <c r="AJ24" i="11" s="1"/>
  <c r="AH15" i="11"/>
  <c r="AL15" i="11" s="1"/>
  <c r="AH61" i="11"/>
  <c r="AH50" i="11"/>
  <c r="AL50" i="11" s="1"/>
  <c r="AO50" i="11" s="1"/>
  <c r="AH55" i="11"/>
  <c r="AH56" i="11"/>
  <c r="AH58" i="11"/>
  <c r="AL58" i="11" s="1"/>
  <c r="AO58" i="11" s="1"/>
  <c r="AH68" i="11"/>
  <c r="AL68" i="11" s="1"/>
  <c r="AO68" i="11" s="1"/>
  <c r="AH49" i="11"/>
  <c r="AH57" i="11"/>
  <c r="AH59" i="11"/>
  <c r="AL59" i="11" s="1"/>
  <c r="AO59" i="11" s="1"/>
  <c r="AH46" i="11"/>
  <c r="AH26" i="11"/>
  <c r="AH21" i="11"/>
  <c r="AH43" i="11"/>
  <c r="AH27" i="11"/>
  <c r="AH40" i="11"/>
  <c r="AG39" i="11"/>
  <c r="AJ39" i="11" s="1"/>
  <c r="AC30" i="11"/>
  <c r="AC22" i="11"/>
  <c r="AH13" i="11"/>
  <c r="AR42" i="11" l="1"/>
  <c r="AV42" i="11" s="1"/>
  <c r="AW42" i="11" s="1"/>
  <c r="AT42" i="11"/>
  <c r="AU42" i="11" s="1"/>
  <c r="AM18" i="11"/>
  <c r="AO18" i="11"/>
  <c r="AR25" i="11"/>
  <c r="AV25" i="11" s="1"/>
  <c r="AW25" i="11" s="1"/>
  <c r="AT25" i="11"/>
  <c r="AU25" i="11" s="1"/>
  <c r="AM15" i="11"/>
  <c r="AO15" i="11"/>
  <c r="AR34" i="11"/>
  <c r="AV34" i="11" s="1"/>
  <c r="AW34" i="11" s="1"/>
  <c r="AT34" i="11"/>
  <c r="AU34" i="11" s="1"/>
  <c r="AN18" i="11"/>
  <c r="AL21" i="11"/>
  <c r="AL13" i="11"/>
  <c r="AQ37" i="11"/>
  <c r="AN16" i="11"/>
  <c r="AM62" i="11"/>
  <c r="AN62" i="11"/>
  <c r="AQ17" i="11"/>
  <c r="AT17" i="11" s="1"/>
  <c r="AQ69" i="11"/>
  <c r="AT69" i="11" s="1"/>
  <c r="AM52" i="11"/>
  <c r="AN52" i="11"/>
  <c r="AN19" i="11"/>
  <c r="AQ31" i="11"/>
  <c r="AQ18" i="11"/>
  <c r="AM50" i="11"/>
  <c r="AN50" i="11"/>
  <c r="AM44" i="11"/>
  <c r="AQ44" i="11" s="1"/>
  <c r="AT44" i="11" s="1"/>
  <c r="AN44" i="11"/>
  <c r="AM67" i="11"/>
  <c r="AN67" i="11"/>
  <c r="AQ35" i="11"/>
  <c r="AT35" i="11" s="1"/>
  <c r="AQ33" i="11"/>
  <c r="AM10" i="11"/>
  <c r="AN10" i="11"/>
  <c r="AM47" i="11"/>
  <c r="AN47" i="11"/>
  <c r="AQ66" i="11"/>
  <c r="AS34" i="11"/>
  <c r="AQ28" i="11"/>
  <c r="AM53" i="11"/>
  <c r="AQ53" i="11" s="1"/>
  <c r="AT53" i="11" s="1"/>
  <c r="AN53" i="11"/>
  <c r="AM36" i="11"/>
  <c r="AQ36" i="11" s="1"/>
  <c r="AT36" i="11" s="1"/>
  <c r="AN36" i="11"/>
  <c r="AQ23" i="11"/>
  <c r="AS42" i="11"/>
  <c r="AQ41" i="11"/>
  <c r="AM48" i="11"/>
  <c r="AN48" i="11"/>
  <c r="AM63" i="11"/>
  <c r="AN63" i="11"/>
  <c r="AQ29" i="11"/>
  <c r="AM68" i="11"/>
  <c r="AN68" i="11"/>
  <c r="AM54" i="11"/>
  <c r="AN54" i="11"/>
  <c r="AQ51" i="11"/>
  <c r="AQ60" i="11"/>
  <c r="AM59" i="11"/>
  <c r="AN59" i="11"/>
  <c r="AM58" i="11"/>
  <c r="AN58" i="11"/>
  <c r="AM38" i="11"/>
  <c r="AN38" i="11"/>
  <c r="AS25" i="11"/>
  <c r="AR20" i="11"/>
  <c r="AV20" i="11" s="1"/>
  <c r="AW20" i="11" s="1"/>
  <c r="AU20" i="11"/>
  <c r="AS20" i="11"/>
  <c r="AL57" i="11"/>
  <c r="AO57" i="11" s="1"/>
  <c r="AL27" i="11"/>
  <c r="AO27" i="11" s="1"/>
  <c r="AL43" i="11"/>
  <c r="AO43" i="11" s="1"/>
  <c r="AL56" i="11"/>
  <c r="AO56" i="11" s="1"/>
  <c r="AL61" i="11"/>
  <c r="AO61" i="11" s="1"/>
  <c r="AL26" i="11"/>
  <c r="AO26" i="11" s="1"/>
  <c r="AL55" i="11"/>
  <c r="AO55" i="11" s="1"/>
  <c r="AL40" i="11"/>
  <c r="AO40" i="11" s="1"/>
  <c r="AL49" i="11"/>
  <c r="AO49" i="11" s="1"/>
  <c r="AL46" i="11"/>
  <c r="AO46" i="11" s="1"/>
  <c r="AI39" i="11"/>
  <c r="AI24" i="11"/>
  <c r="AH24" i="11"/>
  <c r="AL24" i="11" s="1"/>
  <c r="AO24" i="11" s="1"/>
  <c r="AG22" i="11"/>
  <c r="AJ22" i="11" s="1"/>
  <c r="AG30" i="11"/>
  <c r="AJ30" i="11" s="1"/>
  <c r="AH39" i="11"/>
  <c r="AR41" i="11" l="1"/>
  <c r="AV41" i="11" s="1"/>
  <c r="AW41" i="11" s="1"/>
  <c r="AT41" i="11"/>
  <c r="AR28" i="11"/>
  <c r="AV28" i="11" s="1"/>
  <c r="AW28" i="11" s="1"/>
  <c r="AT28" i="11"/>
  <c r="AU28" i="11" s="1"/>
  <c r="AR33" i="11"/>
  <c r="AV33" i="11" s="1"/>
  <c r="AW33" i="11" s="1"/>
  <c r="AT33" i="11"/>
  <c r="AR18" i="11"/>
  <c r="AV18" i="11" s="1"/>
  <c r="AW18" i="11" s="1"/>
  <c r="AT18" i="11"/>
  <c r="AU18" i="11" s="1"/>
  <c r="AR31" i="11"/>
  <c r="AV31" i="11" s="1"/>
  <c r="AW31" i="11" s="1"/>
  <c r="AT31" i="11"/>
  <c r="AU31" i="11" s="1"/>
  <c r="AR37" i="11"/>
  <c r="AV37" i="11" s="1"/>
  <c r="AW37" i="11" s="1"/>
  <c r="AT37" i="11"/>
  <c r="AU37" i="11" s="1"/>
  <c r="AR29" i="11"/>
  <c r="AV29" i="11" s="1"/>
  <c r="AW29" i="11" s="1"/>
  <c r="AT29" i="11"/>
  <c r="AU29" i="11" s="1"/>
  <c r="AR23" i="11"/>
  <c r="AV23" i="11" s="1"/>
  <c r="AW23" i="11" s="1"/>
  <c r="AT23" i="11"/>
  <c r="AU23" i="11" s="1"/>
  <c r="AR66" i="11"/>
  <c r="AV66" i="11" s="1"/>
  <c r="AW66" i="11" s="1"/>
  <c r="AT66" i="11"/>
  <c r="AU66" i="11" s="1"/>
  <c r="AM13" i="11"/>
  <c r="AO13" i="11"/>
  <c r="AM21" i="11"/>
  <c r="AO21" i="11"/>
  <c r="AR60" i="11"/>
  <c r="AV60" i="11" s="1"/>
  <c r="AW60" i="11" s="1"/>
  <c r="AT60" i="11"/>
  <c r="AU60" i="11" s="1"/>
  <c r="AR51" i="11"/>
  <c r="AV51" i="11" s="1"/>
  <c r="AW51" i="11" s="1"/>
  <c r="AT51" i="11"/>
  <c r="AU51" i="11" s="1"/>
  <c r="AU35" i="11"/>
  <c r="AS35" i="11"/>
  <c r="AQ54" i="11"/>
  <c r="AT54" i="11" s="1"/>
  <c r="AQ63" i="11"/>
  <c r="AT63" i="11" s="1"/>
  <c r="AS23" i="11"/>
  <c r="AQ47" i="11"/>
  <c r="AQ50" i="11"/>
  <c r="AT50" i="11" s="1"/>
  <c r="AQ67" i="11"/>
  <c r="AT67" i="11" s="1"/>
  <c r="AS18" i="11"/>
  <c r="AQ52" i="11"/>
  <c r="AN21" i="11"/>
  <c r="AM26" i="11"/>
  <c r="AN26" i="11"/>
  <c r="AM57" i="11"/>
  <c r="AN57" i="11"/>
  <c r="AQ38" i="11"/>
  <c r="AS60" i="11"/>
  <c r="AQ68" i="11"/>
  <c r="AQ48" i="11"/>
  <c r="AQ10" i="11"/>
  <c r="AU69" i="11"/>
  <c r="AS69" i="11"/>
  <c r="AM46" i="11"/>
  <c r="AN46" i="11"/>
  <c r="AR53" i="11"/>
  <c r="AV53" i="11" s="1"/>
  <c r="AW53" i="11" s="1"/>
  <c r="AU53" i="11"/>
  <c r="AS53" i="11"/>
  <c r="AM49" i="11"/>
  <c r="AN49" i="11"/>
  <c r="AM40" i="11"/>
  <c r="AN40" i="11"/>
  <c r="AM43" i="11"/>
  <c r="AN43" i="11"/>
  <c r="AQ59" i="11"/>
  <c r="AT59" i="11" s="1"/>
  <c r="AS28" i="11"/>
  <c r="AQ62" i="11"/>
  <c r="AM55" i="11"/>
  <c r="AN55" i="11"/>
  <c r="AM27" i="11"/>
  <c r="AQ27" i="11" s="1"/>
  <c r="AT27" i="11" s="1"/>
  <c r="AN27" i="11"/>
  <c r="AN13" i="11"/>
  <c r="AS51" i="11"/>
  <c r="AS29" i="11"/>
  <c r="AU41" i="11"/>
  <c r="AS41" i="11"/>
  <c r="AR36" i="11"/>
  <c r="AV36" i="11" s="1"/>
  <c r="AW36" i="11" s="1"/>
  <c r="AU36" i="11"/>
  <c r="AS36" i="11"/>
  <c r="AS66" i="11"/>
  <c r="AS31" i="11"/>
  <c r="AR69" i="11"/>
  <c r="AV69" i="11" s="1"/>
  <c r="AW69" i="11" s="1"/>
  <c r="AQ16" i="11"/>
  <c r="AT16" i="11" s="1"/>
  <c r="AM24" i="11"/>
  <c r="AN24" i="11"/>
  <c r="AU33" i="11"/>
  <c r="AS33" i="11"/>
  <c r="AR44" i="11"/>
  <c r="AV44" i="11" s="1"/>
  <c r="AW44" i="11" s="1"/>
  <c r="AU44" i="11"/>
  <c r="AS44" i="11"/>
  <c r="AS17" i="11"/>
  <c r="AU17" i="11"/>
  <c r="AQ19" i="11"/>
  <c r="AN15" i="11"/>
  <c r="AM61" i="11"/>
  <c r="AQ61" i="11" s="1"/>
  <c r="AT61" i="11" s="1"/>
  <c r="AN61" i="11"/>
  <c r="AM56" i="11"/>
  <c r="AN56" i="11"/>
  <c r="AQ58" i="11"/>
  <c r="AT58" i="11" s="1"/>
  <c r="AR35" i="11"/>
  <c r="AV35" i="11" s="1"/>
  <c r="AW35" i="11" s="1"/>
  <c r="AR17" i="11"/>
  <c r="AV17" i="11" s="1"/>
  <c r="AW17" i="11" s="1"/>
  <c r="AS37" i="11"/>
  <c r="AL39" i="11"/>
  <c r="AO39" i="11" s="1"/>
  <c r="AI30" i="11"/>
  <c r="AI22" i="11"/>
  <c r="AH30" i="11"/>
  <c r="AH22" i="11"/>
  <c r="AR62" i="11" l="1"/>
  <c r="AV62" i="11" s="1"/>
  <c r="AW62" i="11" s="1"/>
  <c r="AT62" i="11"/>
  <c r="AR19" i="11"/>
  <c r="AV19" i="11" s="1"/>
  <c r="AW19" i="11" s="1"/>
  <c r="AT19" i="11"/>
  <c r="AU19" i="11" s="1"/>
  <c r="AR48" i="11"/>
  <c r="AV48" i="11" s="1"/>
  <c r="AW48" i="11" s="1"/>
  <c r="AT48" i="11"/>
  <c r="AU48" i="11" s="1"/>
  <c r="AR10" i="11"/>
  <c r="AV10" i="11" s="1"/>
  <c r="AW10" i="11" s="1"/>
  <c r="AT10" i="11"/>
  <c r="AU10" i="11" s="1"/>
  <c r="AR47" i="11"/>
  <c r="AV47" i="11" s="1"/>
  <c r="AW47" i="11" s="1"/>
  <c r="AT47" i="11"/>
  <c r="AU47" i="11" s="1"/>
  <c r="AR68" i="11"/>
  <c r="AV68" i="11" s="1"/>
  <c r="AW68" i="11" s="1"/>
  <c r="AT68" i="11"/>
  <c r="AU68" i="11" s="1"/>
  <c r="AR52" i="11"/>
  <c r="AV52" i="11" s="1"/>
  <c r="AW52" i="11" s="1"/>
  <c r="AT52" i="11"/>
  <c r="AU52" i="11" s="1"/>
  <c r="AR38" i="11"/>
  <c r="AV38" i="11" s="1"/>
  <c r="AW38" i="11" s="1"/>
  <c r="AT38" i="11"/>
  <c r="AU38" i="11" s="1"/>
  <c r="AQ49" i="11"/>
  <c r="AQ26" i="11"/>
  <c r="AU67" i="11"/>
  <c r="AS67" i="11"/>
  <c r="AU63" i="11"/>
  <c r="AS63" i="11"/>
  <c r="AQ24" i="11"/>
  <c r="AQ55" i="11"/>
  <c r="AT55" i="11" s="1"/>
  <c r="AS38" i="11"/>
  <c r="AR67" i="11"/>
  <c r="AV67" i="11" s="1"/>
  <c r="AW67" i="11" s="1"/>
  <c r="AR63" i="11"/>
  <c r="AV63" i="11" s="1"/>
  <c r="AW63" i="11" s="1"/>
  <c r="AQ56" i="11"/>
  <c r="AS19" i="11"/>
  <c r="AR27" i="11"/>
  <c r="AV27" i="11" s="1"/>
  <c r="AW27" i="11" s="1"/>
  <c r="AU27" i="11"/>
  <c r="AS27" i="11"/>
  <c r="AU59" i="11"/>
  <c r="AS59" i="11"/>
  <c r="AQ46" i="11"/>
  <c r="AT46" i="11" s="1"/>
  <c r="AR61" i="11"/>
  <c r="AV61" i="11" s="1"/>
  <c r="AW61" i="11" s="1"/>
  <c r="AU61" i="11"/>
  <c r="AS61" i="11"/>
  <c r="AS16" i="11"/>
  <c r="AU16" i="11"/>
  <c r="AR16" i="11"/>
  <c r="AV16" i="11" s="1"/>
  <c r="AW16" i="11" s="1"/>
  <c r="AS10" i="11"/>
  <c r="AU50" i="11"/>
  <c r="AS50" i="11"/>
  <c r="AU54" i="11"/>
  <c r="AS54" i="11"/>
  <c r="AM39" i="11"/>
  <c r="AN39" i="11"/>
  <c r="AR59" i="11"/>
  <c r="AV59" i="11" s="1"/>
  <c r="AW59" i="11" s="1"/>
  <c r="AU58" i="11"/>
  <c r="AS58" i="11"/>
  <c r="AQ43" i="11"/>
  <c r="AT43" i="11" s="1"/>
  <c r="AR58" i="11"/>
  <c r="AV58" i="11" s="1"/>
  <c r="AW58" i="11" s="1"/>
  <c r="AQ13" i="11"/>
  <c r="AU62" i="11"/>
  <c r="AS62" i="11"/>
  <c r="AQ21" i="11"/>
  <c r="AR50" i="11"/>
  <c r="AV50" i="11" s="1"/>
  <c r="AW50" i="11" s="1"/>
  <c r="AR54" i="11"/>
  <c r="AV54" i="11" s="1"/>
  <c r="AW54" i="11" s="1"/>
  <c r="AQ15" i="11"/>
  <c r="AS48" i="11"/>
  <c r="AS47" i="11"/>
  <c r="AQ40" i="11"/>
  <c r="AS68" i="11"/>
  <c r="AQ57" i="11"/>
  <c r="AT57" i="11" s="1"/>
  <c r="AS52" i="11"/>
  <c r="AL22" i="11"/>
  <c r="AO22" i="11" s="1"/>
  <c r="AL30" i="11"/>
  <c r="AO30" i="11" s="1"/>
  <c r="AR13" i="11" l="1"/>
  <c r="AV13" i="11" s="1"/>
  <c r="AW13" i="11" s="1"/>
  <c r="AT13" i="11"/>
  <c r="AU13" i="11" s="1"/>
  <c r="AR49" i="11"/>
  <c r="AV49" i="11" s="1"/>
  <c r="AW49" i="11" s="1"/>
  <c r="AT49" i="11"/>
  <c r="AU49" i="11" s="1"/>
  <c r="AR15" i="11"/>
  <c r="AV15" i="11" s="1"/>
  <c r="AW15" i="11" s="1"/>
  <c r="AT15" i="11"/>
  <c r="AU15" i="11" s="1"/>
  <c r="AR24" i="11"/>
  <c r="AV24" i="11" s="1"/>
  <c r="AW24" i="11" s="1"/>
  <c r="AT24" i="11"/>
  <c r="AU24" i="11" s="1"/>
  <c r="AR56" i="11"/>
  <c r="AV56" i="11" s="1"/>
  <c r="AW56" i="11" s="1"/>
  <c r="AT56" i="11"/>
  <c r="AU56" i="11" s="1"/>
  <c r="AR40" i="11"/>
  <c r="AV40" i="11" s="1"/>
  <c r="AW40" i="11" s="1"/>
  <c r="AT40" i="11"/>
  <c r="AR21" i="11"/>
  <c r="AV21" i="11" s="1"/>
  <c r="AW21" i="11" s="1"/>
  <c r="AT21" i="11"/>
  <c r="AU21" i="11" s="1"/>
  <c r="AR26" i="11"/>
  <c r="AV26" i="11" s="1"/>
  <c r="AW26" i="11" s="1"/>
  <c r="AT26" i="11"/>
  <c r="AU26" i="11" s="1"/>
  <c r="AU43" i="11"/>
  <c r="AS43" i="11"/>
  <c r="AM30" i="11"/>
  <c r="AN30" i="11"/>
  <c r="AQ39" i="11"/>
  <c r="AM22" i="11"/>
  <c r="AN22" i="11"/>
  <c r="AU40" i="11"/>
  <c r="AS40" i="11"/>
  <c r="AR43" i="11"/>
  <c r="AV43" i="11" s="1"/>
  <c r="AW43" i="11" s="1"/>
  <c r="AS21" i="11"/>
  <c r="AU55" i="11"/>
  <c r="AS55" i="11"/>
  <c r="AS57" i="11"/>
  <c r="AU57" i="11"/>
  <c r="AR57" i="11"/>
  <c r="AV57" i="11" s="1"/>
  <c r="AW57" i="11" s="1"/>
  <c r="AU46" i="11"/>
  <c r="AS46" i="11"/>
  <c r="AR55" i="11"/>
  <c r="AV55" i="11" s="1"/>
  <c r="AW55" i="11" s="1"/>
  <c r="AS26" i="11"/>
  <c r="AR46" i="11"/>
  <c r="AV46" i="11" s="1"/>
  <c r="AW46" i="11" s="1"/>
  <c r="AS56" i="11"/>
  <c r="AS24" i="11"/>
  <c r="AS49" i="11"/>
  <c r="AS15" i="11"/>
  <c r="AS13" i="11"/>
  <c r="AP11" i="27"/>
  <c r="AP12" i="27"/>
  <c r="AP13" i="27"/>
  <c r="AP14" i="27"/>
  <c r="AP15" i="27"/>
  <c r="AP16" i="27"/>
  <c r="AP17" i="27"/>
  <c r="AP18" i="27"/>
  <c r="AP19" i="27"/>
  <c r="AP20" i="27"/>
  <c r="AP21" i="27"/>
  <c r="AP22" i="27"/>
  <c r="AP23" i="27"/>
  <c r="AP24" i="27"/>
  <c r="AP25" i="27"/>
  <c r="AP26" i="27"/>
  <c r="AP27" i="27"/>
  <c r="AP28" i="27"/>
  <c r="AP29" i="27"/>
  <c r="AP30" i="27"/>
  <c r="AP31" i="27"/>
  <c r="AP32" i="27"/>
  <c r="AP33" i="27"/>
  <c r="AP34" i="27"/>
  <c r="AP35" i="27"/>
  <c r="AP36" i="27"/>
  <c r="AP37" i="27"/>
  <c r="AP38" i="27"/>
  <c r="AP39" i="27"/>
  <c r="AP40" i="27"/>
  <c r="AP41" i="27"/>
  <c r="AP42" i="27"/>
  <c r="AP43" i="27"/>
  <c r="AP44" i="27"/>
  <c r="AP45" i="27"/>
  <c r="AP46" i="27"/>
  <c r="AP47" i="27"/>
  <c r="AP48" i="27"/>
  <c r="AP49" i="27"/>
  <c r="AP50" i="27"/>
  <c r="AP51" i="27"/>
  <c r="AP52" i="27"/>
  <c r="AP53" i="27"/>
  <c r="AP54" i="27"/>
  <c r="AP55" i="27"/>
  <c r="AP56" i="27"/>
  <c r="AP57" i="27"/>
  <c r="AP58" i="27"/>
  <c r="AP59" i="27"/>
  <c r="AP60" i="27"/>
  <c r="AP61" i="27"/>
  <c r="AP62" i="27"/>
  <c r="AP63" i="27"/>
  <c r="AP64" i="27"/>
  <c r="AP65" i="27"/>
  <c r="AP66" i="27"/>
  <c r="AP67" i="27"/>
  <c r="AP68" i="27"/>
  <c r="AP69" i="27"/>
  <c r="AP70" i="27"/>
  <c r="AP71" i="27"/>
  <c r="AP72" i="27"/>
  <c r="AP73" i="27"/>
  <c r="AP74" i="27"/>
  <c r="AP75" i="27"/>
  <c r="AP76" i="27"/>
  <c r="AP77" i="27"/>
  <c r="AP78" i="27"/>
  <c r="AP79" i="27"/>
  <c r="AP80" i="27"/>
  <c r="AP81" i="27"/>
  <c r="AP82" i="27"/>
  <c r="AP83" i="27"/>
  <c r="AP84" i="27"/>
  <c r="AP85" i="27"/>
  <c r="AP86" i="27"/>
  <c r="AR39" i="11" l="1"/>
  <c r="AV39" i="11" s="1"/>
  <c r="AW39" i="11" s="1"/>
  <c r="AT39" i="11"/>
  <c r="AU39" i="11" s="1"/>
  <c r="AQ22" i="11"/>
  <c r="AS39" i="11"/>
  <c r="AQ30" i="11"/>
  <c r="AX11" i="27"/>
  <c r="AX12" i="27"/>
  <c r="AX13" i="27"/>
  <c r="AX14" i="27"/>
  <c r="AX15" i="27"/>
  <c r="AX16" i="27"/>
  <c r="AX17" i="27"/>
  <c r="AX18" i="27"/>
  <c r="AX19" i="27"/>
  <c r="AX20" i="27"/>
  <c r="AX21" i="27"/>
  <c r="AX22" i="27"/>
  <c r="AX23" i="27"/>
  <c r="AX24" i="27"/>
  <c r="AX25" i="27"/>
  <c r="AX26" i="27"/>
  <c r="AX27" i="27"/>
  <c r="AX28" i="27"/>
  <c r="AX29" i="27"/>
  <c r="AX30" i="27"/>
  <c r="AX31" i="27"/>
  <c r="AX32" i="27"/>
  <c r="AX33" i="27"/>
  <c r="AX34" i="27"/>
  <c r="AX35" i="27"/>
  <c r="AX36" i="27"/>
  <c r="AX37" i="27"/>
  <c r="AX38" i="27"/>
  <c r="AX39" i="27"/>
  <c r="AX40" i="27"/>
  <c r="AX41" i="27"/>
  <c r="AX42" i="27"/>
  <c r="AX43" i="27"/>
  <c r="AX44" i="27"/>
  <c r="AX45" i="27"/>
  <c r="AX46" i="27"/>
  <c r="AX47" i="27"/>
  <c r="AX48" i="27"/>
  <c r="AX49" i="27"/>
  <c r="AX50" i="27"/>
  <c r="AX51" i="27"/>
  <c r="AX52" i="27"/>
  <c r="AX53" i="27"/>
  <c r="AX54" i="27"/>
  <c r="AX55" i="27"/>
  <c r="AX56" i="27"/>
  <c r="AX57" i="27"/>
  <c r="AX58" i="27"/>
  <c r="AX59" i="27"/>
  <c r="AX60" i="27"/>
  <c r="AX61" i="27"/>
  <c r="AX62" i="27"/>
  <c r="AX63" i="27"/>
  <c r="AX64" i="27"/>
  <c r="AX65" i="27"/>
  <c r="AX66" i="27"/>
  <c r="AX67" i="27"/>
  <c r="AX68" i="27"/>
  <c r="AX69" i="27"/>
  <c r="AX70" i="27"/>
  <c r="AX71" i="27"/>
  <c r="AX72" i="27"/>
  <c r="AX73" i="27"/>
  <c r="AX74" i="27"/>
  <c r="AX75" i="27"/>
  <c r="AX76" i="27"/>
  <c r="AX77" i="27"/>
  <c r="AX78" i="27"/>
  <c r="AX79" i="27"/>
  <c r="AX80" i="27"/>
  <c r="AX81" i="27"/>
  <c r="AX82" i="27"/>
  <c r="AX83" i="27"/>
  <c r="AX84" i="27"/>
  <c r="AX85" i="27"/>
  <c r="AX86" i="27"/>
  <c r="BH11" i="27" a="1"/>
  <c r="BH11" i="27" s="1"/>
  <c r="BG11" i="27" a="1"/>
  <c r="BG11" i="27" s="1"/>
  <c r="BF11" i="27" a="1"/>
  <c r="BF11" i="27" s="1"/>
  <c r="AR30" i="11" l="1"/>
  <c r="AV30" i="11" s="1"/>
  <c r="AW30" i="11" s="1"/>
  <c r="AT30" i="11"/>
  <c r="AU30" i="11" s="1"/>
  <c r="AR22" i="11"/>
  <c r="AV22" i="11" s="1"/>
  <c r="AW22" i="11" s="1"/>
  <c r="AT22" i="11"/>
  <c r="AU22" i="11" s="1"/>
  <c r="AS30" i="11"/>
  <c r="AS22" i="11"/>
  <c r="C9" i="29"/>
  <c r="C10" i="29" s="1"/>
  <c r="C11" i="29" s="1"/>
  <c r="C12" i="29" s="1"/>
  <c r="C13" i="29" s="1"/>
  <c r="C14" i="29" s="1"/>
  <c r="C15" i="29" s="1"/>
  <c r="C16" i="29" s="1"/>
  <c r="C17" i="29" s="1"/>
  <c r="C18" i="29" s="1"/>
  <c r="C19" i="29" s="1"/>
  <c r="C20" i="29" s="1"/>
  <c r="C21" i="29" s="1"/>
  <c r="C22" i="29" s="1"/>
  <c r="C23" i="29" s="1"/>
  <c r="C24" i="29" s="1"/>
  <c r="C25" i="29" s="1"/>
  <c r="C26" i="29" s="1"/>
  <c r="C27" i="29" s="1"/>
  <c r="C28" i="29" s="1"/>
  <c r="C29" i="29" s="1"/>
  <c r="C30" i="29" s="1"/>
  <c r="C31" i="29" s="1"/>
  <c r="C32" i="29" s="1"/>
  <c r="C33" i="29" s="1"/>
  <c r="C34" i="29" s="1"/>
  <c r="C35" i="29" s="1"/>
  <c r="C36" i="29" s="1"/>
  <c r="BE11" i="27" a="1"/>
  <c r="BE11" i="27" s="1"/>
  <c r="BD11" i="27" l="1" a="1"/>
  <c r="BD11" i="27" s="1"/>
  <c r="F30" i="24"/>
  <c r="F19" i="24"/>
  <c r="AU77" i="27" l="1"/>
  <c r="AQ68" i="27"/>
  <c r="AR68" i="27" s="1"/>
  <c r="AS68" i="27"/>
  <c r="AT68" i="27" s="1"/>
  <c r="AU68" i="27"/>
  <c r="AW68" i="27"/>
  <c r="AY68" i="27"/>
  <c r="AZ68" i="27" s="1"/>
  <c r="AQ69" i="27"/>
  <c r="AR69" i="27" s="1"/>
  <c r="AS69" i="27"/>
  <c r="AT69" i="27" s="1"/>
  <c r="AU69" i="27"/>
  <c r="AW69" i="27"/>
  <c r="BA69" i="27"/>
  <c r="BB69" i="27" s="1"/>
  <c r="AQ70" i="27"/>
  <c r="AR70" i="27" s="1"/>
  <c r="AS70" i="27"/>
  <c r="AT70" i="27" s="1"/>
  <c r="AU70" i="27"/>
  <c r="AW70" i="27"/>
  <c r="BA70" i="27"/>
  <c r="BB70" i="27" s="1"/>
  <c r="AQ71" i="27"/>
  <c r="AR71" i="27" s="1"/>
  <c r="AS71" i="27"/>
  <c r="AT71" i="27" s="1"/>
  <c r="AU71" i="27"/>
  <c r="AW71" i="27"/>
  <c r="AY71" i="27"/>
  <c r="AZ71" i="27" s="1"/>
  <c r="AQ72" i="27"/>
  <c r="AR72" i="27" s="1"/>
  <c r="AS72" i="27"/>
  <c r="AT72" i="27" s="1"/>
  <c r="AU72" i="27"/>
  <c r="AW72" i="27"/>
  <c r="BA72" i="27"/>
  <c r="BB72" i="27" s="1"/>
  <c r="AQ73" i="27"/>
  <c r="AR73" i="27" s="1"/>
  <c r="AS73" i="27"/>
  <c r="AT73" i="27" s="1"/>
  <c r="AU73" i="27"/>
  <c r="AW73" i="27"/>
  <c r="AY73" i="27"/>
  <c r="AZ73" i="27" s="1"/>
  <c r="AQ74" i="27"/>
  <c r="AR74" i="27" s="1"/>
  <c r="AS74" i="27"/>
  <c r="AT74" i="27" s="1"/>
  <c r="AU74" i="27"/>
  <c r="AW74" i="27"/>
  <c r="BA74" i="27"/>
  <c r="BB74" i="27" s="1"/>
  <c r="AQ75" i="27"/>
  <c r="AR75" i="27" s="1"/>
  <c r="AS75" i="27"/>
  <c r="AT75" i="27" s="1"/>
  <c r="AU75" i="27"/>
  <c r="AW75" i="27"/>
  <c r="AY75" i="27"/>
  <c r="AZ75" i="27" s="1"/>
  <c r="AQ76" i="27"/>
  <c r="AR76" i="27" s="1"/>
  <c r="AS76" i="27"/>
  <c r="AT76" i="27" s="1"/>
  <c r="AU76" i="27"/>
  <c r="AW76" i="27"/>
  <c r="BA76" i="27"/>
  <c r="BB76" i="27" s="1"/>
  <c r="AQ77" i="27"/>
  <c r="AR77" i="27" s="1"/>
  <c r="AS77" i="27"/>
  <c r="AT77" i="27" s="1"/>
  <c r="AW77" i="27"/>
  <c r="AY77" i="27"/>
  <c r="AZ77" i="27" s="1"/>
  <c r="AQ78" i="27"/>
  <c r="AR78" i="27" s="1"/>
  <c r="AS78" i="27"/>
  <c r="AT78" i="27" s="1"/>
  <c r="AU78" i="27"/>
  <c r="AW78" i="27"/>
  <c r="AY78" i="27"/>
  <c r="AZ78" i="27" s="1"/>
  <c r="AQ79" i="27"/>
  <c r="AR79" i="27" s="1"/>
  <c r="AS79" i="27"/>
  <c r="AT79" i="27" s="1"/>
  <c r="AU79" i="27"/>
  <c r="AW79" i="27"/>
  <c r="BA79" i="27"/>
  <c r="BB79" i="27" s="1"/>
  <c r="AQ80" i="27"/>
  <c r="AR80" i="27" s="1"/>
  <c r="AS80" i="27"/>
  <c r="AT80" i="27" s="1"/>
  <c r="AU80" i="27"/>
  <c r="AW80" i="27"/>
  <c r="AY80" i="27"/>
  <c r="AZ80" i="27" s="1"/>
  <c r="AQ81" i="27"/>
  <c r="AR81" i="27" s="1"/>
  <c r="AS81" i="27"/>
  <c r="AT81" i="27" s="1"/>
  <c r="AU81" i="27"/>
  <c r="AW81" i="27"/>
  <c r="BA81" i="27"/>
  <c r="BB81" i="27" s="1"/>
  <c r="AQ82" i="27"/>
  <c r="AR82" i="27" s="1"/>
  <c r="AS82" i="27"/>
  <c r="AT82" i="27" s="1"/>
  <c r="AU82" i="27"/>
  <c r="AW82" i="27"/>
  <c r="AY82" i="27"/>
  <c r="AZ82" i="27" s="1"/>
  <c r="AQ83" i="27"/>
  <c r="AR83" i="27" s="1"/>
  <c r="AS83" i="27"/>
  <c r="AT83" i="27" s="1"/>
  <c r="AU83" i="27"/>
  <c r="AW83" i="27"/>
  <c r="AY83" i="27"/>
  <c r="AZ83" i="27" s="1"/>
  <c r="AQ84" i="27"/>
  <c r="AR84" i="27" s="1"/>
  <c r="AS84" i="27"/>
  <c r="AT84" i="27" s="1"/>
  <c r="AU84" i="27"/>
  <c r="AW84" i="27"/>
  <c r="BA84" i="27"/>
  <c r="BB84" i="27" s="1"/>
  <c r="AQ85" i="27"/>
  <c r="AR85" i="27" s="1"/>
  <c r="AS85" i="27"/>
  <c r="AT85" i="27" s="1"/>
  <c r="AU85" i="27"/>
  <c r="AW85" i="27"/>
  <c r="AY85" i="27"/>
  <c r="AZ85" i="27" s="1"/>
  <c r="AQ86" i="27"/>
  <c r="AR86" i="27" s="1"/>
  <c r="AS86" i="27"/>
  <c r="AT86" i="27" s="1"/>
  <c r="AU86" i="27"/>
  <c r="AW86" i="27"/>
  <c r="BA86" i="27"/>
  <c r="BB86" i="27" s="1"/>
  <c r="G8" i="27"/>
  <c r="BA83" i="27" l="1"/>
  <c r="BB83" i="27" s="1"/>
  <c r="AY76" i="27"/>
  <c r="AZ76" i="27" s="1"/>
  <c r="AY79" i="27"/>
  <c r="AZ79" i="27" s="1"/>
  <c r="BA73" i="27"/>
  <c r="BB73" i="27" s="1"/>
  <c r="AV83" i="27"/>
  <c r="AY74" i="27"/>
  <c r="AZ74" i="27" s="1"/>
  <c r="AV79" i="27"/>
  <c r="AY69" i="27"/>
  <c r="AZ69" i="27" s="1"/>
  <c r="BA71" i="27"/>
  <c r="BB71" i="27" s="1"/>
  <c r="AV78" i="27"/>
  <c r="AY72" i="27"/>
  <c r="AZ72" i="27" s="1"/>
  <c r="AV86" i="27"/>
  <c r="AY86" i="27"/>
  <c r="AZ86" i="27" s="1"/>
  <c r="BA85" i="27"/>
  <c r="BB85" i="27" s="1"/>
  <c r="AY84" i="27"/>
  <c r="AZ84" i="27" s="1"/>
  <c r="AY81" i="27"/>
  <c r="AZ81" i="27" s="1"/>
  <c r="AV76" i="27"/>
  <c r="AV72" i="27"/>
  <c r="BA68" i="27"/>
  <c r="BB68" i="27" s="1"/>
  <c r="BA78" i="27"/>
  <c r="BB78" i="27" s="1"/>
  <c r="BA77" i="27"/>
  <c r="BB77" i="27" s="1"/>
  <c r="AV84" i="27"/>
  <c r="AV81" i="27"/>
  <c r="AV68" i="27"/>
  <c r="AV69" i="27"/>
  <c r="AV75" i="27"/>
  <c r="AV70" i="27"/>
  <c r="AV82" i="27"/>
  <c r="AV85" i="27"/>
  <c r="AY70" i="27"/>
  <c r="AZ70" i="27" s="1"/>
  <c r="AV80" i="27"/>
  <c r="AV73" i="27"/>
  <c r="AV71" i="27"/>
  <c r="BA82" i="27"/>
  <c r="BB82" i="27" s="1"/>
  <c r="BA75" i="27"/>
  <c r="BB75" i="27" s="1"/>
  <c r="BA80" i="27"/>
  <c r="BB80" i="27" s="1"/>
  <c r="AV74" i="27"/>
  <c r="AV77" i="27"/>
  <c r="J7" i="27" l="1"/>
  <c r="O7" i="11" l="1"/>
  <c r="BA67" i="27"/>
  <c r="BB67" i="27" s="1"/>
  <c r="AW67" i="27"/>
  <c r="AU67" i="27"/>
  <c r="AS67" i="27"/>
  <c r="AT67" i="27" s="1"/>
  <c r="AQ67" i="27"/>
  <c r="AR67" i="27" s="1"/>
  <c r="BA66" i="27"/>
  <c r="BB66" i="27" s="1"/>
  <c r="AW66" i="27"/>
  <c r="AU66" i="27"/>
  <c r="AS66" i="27"/>
  <c r="AT66" i="27" s="1"/>
  <c r="AQ66" i="27"/>
  <c r="AR66" i="27" s="1"/>
  <c r="AY65" i="27"/>
  <c r="AZ65" i="27" s="1"/>
  <c r="AW65" i="27"/>
  <c r="AU65" i="27"/>
  <c r="AS65" i="27"/>
  <c r="AT65" i="27" s="1"/>
  <c r="AQ65" i="27"/>
  <c r="AR65" i="27" s="1"/>
  <c r="BA64" i="27"/>
  <c r="BB64" i="27" s="1"/>
  <c r="AW64" i="27"/>
  <c r="AU64" i="27"/>
  <c r="AS64" i="27"/>
  <c r="AT64" i="27" s="1"/>
  <c r="AQ64" i="27"/>
  <c r="AR64" i="27" s="1"/>
  <c r="BA63" i="27"/>
  <c r="BB63" i="27" s="1"/>
  <c r="AW63" i="27"/>
  <c r="AU63" i="27"/>
  <c r="AS63" i="27"/>
  <c r="AT63" i="27" s="1"/>
  <c r="AQ63" i="27"/>
  <c r="AR63" i="27" s="1"/>
  <c r="BA62" i="27"/>
  <c r="BB62" i="27" s="1"/>
  <c r="AW62" i="27"/>
  <c r="AU62" i="27"/>
  <c r="AS62" i="27"/>
  <c r="AT62" i="27" s="1"/>
  <c r="AQ62" i="27"/>
  <c r="AR62" i="27" s="1"/>
  <c r="BA61" i="27"/>
  <c r="BB61" i="27" s="1"/>
  <c r="AW61" i="27"/>
  <c r="AU61" i="27"/>
  <c r="AS61" i="27"/>
  <c r="AT61" i="27" s="1"/>
  <c r="AQ61" i="27"/>
  <c r="AR61" i="27" s="1"/>
  <c r="BA60" i="27"/>
  <c r="BB60" i="27" s="1"/>
  <c r="AW60" i="27"/>
  <c r="AU60" i="27"/>
  <c r="AS60" i="27"/>
  <c r="AT60" i="27" s="1"/>
  <c r="AQ60" i="27"/>
  <c r="AR60" i="27" s="1"/>
  <c r="AY59" i="27"/>
  <c r="AZ59" i="27" s="1"/>
  <c r="AW59" i="27"/>
  <c r="AU59" i="27"/>
  <c r="AS59" i="27"/>
  <c r="AT59" i="27" s="1"/>
  <c r="AQ59" i="27"/>
  <c r="AR59" i="27" s="1"/>
  <c r="AY58" i="27"/>
  <c r="AZ58" i="27" s="1"/>
  <c r="AW58" i="27"/>
  <c r="AU58" i="27"/>
  <c r="AS58" i="27"/>
  <c r="AT58" i="27" s="1"/>
  <c r="AQ58" i="27"/>
  <c r="AR58" i="27" s="1"/>
  <c r="BA57" i="27"/>
  <c r="BB57" i="27" s="1"/>
  <c r="AW57" i="27"/>
  <c r="AU57" i="27"/>
  <c r="AS57" i="27"/>
  <c r="AT57" i="27" s="1"/>
  <c r="AQ57" i="27"/>
  <c r="AR57" i="27" s="1"/>
  <c r="BA56" i="27"/>
  <c r="BB56" i="27" s="1"/>
  <c r="AW56" i="27"/>
  <c r="AU56" i="27"/>
  <c r="AS56" i="27"/>
  <c r="AT56" i="27" s="1"/>
  <c r="AQ56" i="27"/>
  <c r="AR56" i="27" s="1"/>
  <c r="BA55" i="27"/>
  <c r="BB55" i="27" s="1"/>
  <c r="AW55" i="27"/>
  <c r="AU55" i="27"/>
  <c r="AS55" i="27"/>
  <c r="AT55" i="27" s="1"/>
  <c r="AQ55" i="27"/>
  <c r="AR55" i="27" s="1"/>
  <c r="AW54" i="27"/>
  <c r="AU54" i="27"/>
  <c r="AS54" i="27"/>
  <c r="AT54" i="27" s="1"/>
  <c r="AQ54" i="27"/>
  <c r="AR54" i="27" s="1"/>
  <c r="BA53" i="27"/>
  <c r="BB53" i="27" s="1"/>
  <c r="AW53" i="27"/>
  <c r="AU53" i="27"/>
  <c r="AS53" i="27"/>
  <c r="AT53" i="27" s="1"/>
  <c r="AQ53" i="27"/>
  <c r="AR53" i="27" s="1"/>
  <c r="BA52" i="27"/>
  <c r="BB52" i="27" s="1"/>
  <c r="AW52" i="27"/>
  <c r="AU52" i="27"/>
  <c r="AS52" i="27"/>
  <c r="AT52" i="27" s="1"/>
  <c r="AQ52" i="27"/>
  <c r="AR52" i="27" s="1"/>
  <c r="AY51" i="27"/>
  <c r="AZ51" i="27" s="1"/>
  <c r="AW51" i="27"/>
  <c r="AU51" i="27"/>
  <c r="AS51" i="27"/>
  <c r="AT51" i="27" s="1"/>
  <c r="AQ51" i="27"/>
  <c r="AR51" i="27" s="1"/>
  <c r="AY50" i="27"/>
  <c r="AZ50" i="27" s="1"/>
  <c r="AW50" i="27"/>
  <c r="AU50" i="27"/>
  <c r="AS50" i="27"/>
  <c r="AT50" i="27" s="1"/>
  <c r="AQ50" i="27"/>
  <c r="AR50" i="27" s="1"/>
  <c r="BA49" i="27"/>
  <c r="BB49" i="27" s="1"/>
  <c r="AW49" i="27"/>
  <c r="AU49" i="27"/>
  <c r="AS49" i="27"/>
  <c r="AT49" i="27" s="1"/>
  <c r="AQ49" i="27"/>
  <c r="AR49" i="27" s="1"/>
  <c r="BA48" i="27"/>
  <c r="BB48" i="27" s="1"/>
  <c r="AW48" i="27"/>
  <c r="AU48" i="27"/>
  <c r="AS48" i="27"/>
  <c r="AT48" i="27" s="1"/>
  <c r="AQ48" i="27"/>
  <c r="AR48" i="27" s="1"/>
  <c r="BA47" i="27"/>
  <c r="BB47" i="27" s="1"/>
  <c r="AW47" i="27"/>
  <c r="AU47" i="27"/>
  <c r="AS47" i="27"/>
  <c r="AT47" i="27" s="1"/>
  <c r="AQ47" i="27"/>
  <c r="AR47" i="27" s="1"/>
  <c r="AW46" i="27"/>
  <c r="AU46" i="27"/>
  <c r="AS46" i="27"/>
  <c r="AT46" i="27" s="1"/>
  <c r="AQ46" i="27"/>
  <c r="AR46" i="27" s="1"/>
  <c r="BA45" i="27"/>
  <c r="BB45" i="27" s="1"/>
  <c r="AW45" i="27"/>
  <c r="AU45" i="27"/>
  <c r="AS45" i="27"/>
  <c r="AT45" i="27" s="1"/>
  <c r="AQ45" i="27"/>
  <c r="AR45" i="27" s="1"/>
  <c r="BA44" i="27"/>
  <c r="BB44" i="27" s="1"/>
  <c r="AW44" i="27"/>
  <c r="AU44" i="27"/>
  <c r="AS44" i="27"/>
  <c r="AT44" i="27" s="1"/>
  <c r="AQ44" i="27"/>
  <c r="AR44" i="27" s="1"/>
  <c r="BA43" i="27"/>
  <c r="BB43" i="27" s="1"/>
  <c r="AW43" i="27"/>
  <c r="AU43" i="27"/>
  <c r="AS43" i="27"/>
  <c r="AT43" i="27" s="1"/>
  <c r="AQ43" i="27"/>
  <c r="BA42" i="27"/>
  <c r="BB42" i="27" s="1"/>
  <c r="AW42" i="27"/>
  <c r="AU42" i="27"/>
  <c r="AS42" i="27"/>
  <c r="AT42" i="27" s="1"/>
  <c r="AQ42" i="27"/>
  <c r="AR42" i="27" s="1"/>
  <c r="BA41" i="27"/>
  <c r="BB41" i="27" s="1"/>
  <c r="AW41" i="27"/>
  <c r="AU41" i="27"/>
  <c r="AS41" i="27"/>
  <c r="AT41" i="27" s="1"/>
  <c r="AQ41" i="27"/>
  <c r="AR41" i="27" s="1"/>
  <c r="AW40" i="27"/>
  <c r="AU40" i="27"/>
  <c r="AS40" i="27"/>
  <c r="AT40" i="27" s="1"/>
  <c r="AQ40" i="27"/>
  <c r="AR40" i="27" s="1"/>
  <c r="BA39" i="27"/>
  <c r="BB39" i="27" s="1"/>
  <c r="AW39" i="27"/>
  <c r="AU39" i="27"/>
  <c r="AS39" i="27"/>
  <c r="AT39" i="27" s="1"/>
  <c r="AQ39" i="27"/>
  <c r="AR39" i="27" s="1"/>
  <c r="AW38" i="27"/>
  <c r="AU38" i="27"/>
  <c r="AS38" i="27"/>
  <c r="AT38" i="27" s="1"/>
  <c r="AQ38" i="27"/>
  <c r="AR38" i="27" s="1"/>
  <c r="BA37" i="27"/>
  <c r="BB37" i="27" s="1"/>
  <c r="AW37" i="27"/>
  <c r="AU37" i="27"/>
  <c r="AS37" i="27"/>
  <c r="AT37" i="27" s="1"/>
  <c r="AQ37" i="27"/>
  <c r="AR37" i="27" s="1"/>
  <c r="BA36" i="27"/>
  <c r="BB36" i="27" s="1"/>
  <c r="AW36" i="27"/>
  <c r="AU36" i="27"/>
  <c r="AS36" i="27"/>
  <c r="AT36" i="27" s="1"/>
  <c r="AQ36" i="27"/>
  <c r="AR36" i="27" s="1"/>
  <c r="BA35" i="27"/>
  <c r="BB35" i="27" s="1"/>
  <c r="AW35" i="27"/>
  <c r="AU35" i="27"/>
  <c r="AS35" i="27"/>
  <c r="AT35" i="27" s="1"/>
  <c r="AQ35" i="27"/>
  <c r="BA34" i="27"/>
  <c r="BB34" i="27" s="1"/>
  <c r="AW34" i="27"/>
  <c r="AU34" i="27"/>
  <c r="AS34" i="27"/>
  <c r="AT34" i="27" s="1"/>
  <c r="AQ34" i="27"/>
  <c r="AR34" i="27" s="1"/>
  <c r="BA33" i="27"/>
  <c r="BB33" i="27" s="1"/>
  <c r="AW33" i="27"/>
  <c r="AU33" i="27"/>
  <c r="AS33" i="27"/>
  <c r="AT33" i="27" s="1"/>
  <c r="AQ33" i="27"/>
  <c r="AR33" i="27" s="1"/>
  <c r="AW32" i="27"/>
  <c r="AU32" i="27"/>
  <c r="AS32" i="27"/>
  <c r="AT32" i="27" s="1"/>
  <c r="AQ32" i="27"/>
  <c r="AR32" i="27" s="1"/>
  <c r="AY31" i="27"/>
  <c r="AZ31" i="27" s="1"/>
  <c r="AW31" i="27"/>
  <c r="AU31" i="27"/>
  <c r="AS31" i="27"/>
  <c r="AT31" i="27" s="1"/>
  <c r="AQ31" i="27"/>
  <c r="AR31" i="27" s="1"/>
  <c r="AW30" i="27"/>
  <c r="AU30" i="27"/>
  <c r="AS30" i="27"/>
  <c r="AT30" i="27" s="1"/>
  <c r="AQ30" i="27"/>
  <c r="AR30" i="27" s="1"/>
  <c r="BA29" i="27"/>
  <c r="BB29" i="27" s="1"/>
  <c r="AW29" i="27"/>
  <c r="AU29" i="27"/>
  <c r="AS29" i="27"/>
  <c r="AT29" i="27" s="1"/>
  <c r="AQ29" i="27"/>
  <c r="AR29" i="27" s="1"/>
  <c r="BA28" i="27"/>
  <c r="BB28" i="27" s="1"/>
  <c r="AW28" i="27"/>
  <c r="AU28" i="27"/>
  <c r="AS28" i="27"/>
  <c r="AT28" i="27" s="1"/>
  <c r="AQ28" i="27"/>
  <c r="AR28" i="27" s="1"/>
  <c r="BA27" i="27"/>
  <c r="BB27" i="27" s="1"/>
  <c r="AW27" i="27"/>
  <c r="AU27" i="27"/>
  <c r="AS27" i="27"/>
  <c r="AT27" i="27" s="1"/>
  <c r="AQ27" i="27"/>
  <c r="AR27" i="27" s="1"/>
  <c r="AY26" i="27"/>
  <c r="AZ26" i="27" s="1"/>
  <c r="AW26" i="27"/>
  <c r="AU26" i="27"/>
  <c r="AS26" i="27"/>
  <c r="AT26" i="27" s="1"/>
  <c r="AQ26" i="27"/>
  <c r="AR26" i="27" s="1"/>
  <c r="BA25" i="27"/>
  <c r="BB25" i="27" s="1"/>
  <c r="AW25" i="27"/>
  <c r="AU25" i="27"/>
  <c r="AS25" i="27"/>
  <c r="AT25" i="27" s="1"/>
  <c r="AQ25" i="27"/>
  <c r="AR25" i="27" s="1"/>
  <c r="BA24" i="27"/>
  <c r="BB24" i="27" s="1"/>
  <c r="AW24" i="27"/>
  <c r="AU24" i="27"/>
  <c r="AS24" i="27"/>
  <c r="AT24" i="27" s="1"/>
  <c r="AQ24" i="27"/>
  <c r="AR24" i="27" s="1"/>
  <c r="BA23" i="27"/>
  <c r="BB23" i="27" s="1"/>
  <c r="AW23" i="27"/>
  <c r="AU23" i="27"/>
  <c r="AS23" i="27"/>
  <c r="AT23" i="27" s="1"/>
  <c r="AQ23" i="27"/>
  <c r="AR23" i="27" s="1"/>
  <c r="AY22" i="27"/>
  <c r="AZ22" i="27" s="1"/>
  <c r="AW22" i="27"/>
  <c r="AU22" i="27"/>
  <c r="AS22" i="27"/>
  <c r="AT22" i="27" s="1"/>
  <c r="AQ22" i="27"/>
  <c r="AR22" i="27" s="1"/>
  <c r="AY21" i="27"/>
  <c r="AZ21" i="27" s="1"/>
  <c r="AW21" i="27"/>
  <c r="AU21" i="27"/>
  <c r="AS21" i="27"/>
  <c r="AT21" i="27" s="1"/>
  <c r="AQ21" i="27"/>
  <c r="AR21" i="27" s="1"/>
  <c r="BA20" i="27"/>
  <c r="BB20" i="27" s="1"/>
  <c r="AW20" i="27"/>
  <c r="AU20" i="27"/>
  <c r="AS20" i="27"/>
  <c r="AT20" i="27" s="1"/>
  <c r="AQ20" i="27"/>
  <c r="AR20" i="27" s="1"/>
  <c r="BA19" i="27"/>
  <c r="BB19" i="27" s="1"/>
  <c r="AW19" i="27"/>
  <c r="AU19" i="27"/>
  <c r="AS19" i="27"/>
  <c r="AT19" i="27" s="1"/>
  <c r="AQ19" i="27"/>
  <c r="AR19" i="27" s="1"/>
  <c r="BA18" i="27"/>
  <c r="BB18" i="27" s="1"/>
  <c r="AW18" i="27"/>
  <c r="AU18" i="27"/>
  <c r="AS18" i="27"/>
  <c r="AT18" i="27" s="1"/>
  <c r="AQ18" i="27"/>
  <c r="AR18" i="27" s="1"/>
  <c r="BA17" i="27"/>
  <c r="BB17" i="27" s="1"/>
  <c r="AW17" i="27"/>
  <c r="AU17" i="27"/>
  <c r="AS17" i="27"/>
  <c r="AT17" i="27" s="1"/>
  <c r="AQ17" i="27"/>
  <c r="AR17" i="27" s="1"/>
  <c r="AY16" i="27"/>
  <c r="AZ16" i="27" s="1"/>
  <c r="AW16" i="27"/>
  <c r="AU16" i="27"/>
  <c r="AS16" i="27"/>
  <c r="AT16" i="27" s="1"/>
  <c r="AQ16" i="27"/>
  <c r="AR16" i="27" s="1"/>
  <c r="BA15" i="27"/>
  <c r="BB15" i="27" s="1"/>
  <c r="AW15" i="27"/>
  <c r="AU15" i="27"/>
  <c r="AS15" i="27"/>
  <c r="AT15" i="27" s="1"/>
  <c r="AQ15" i="27"/>
  <c r="AR15" i="27" s="1"/>
  <c r="AY14" i="27"/>
  <c r="AZ14" i="27" s="1"/>
  <c r="AW14" i="27"/>
  <c r="AU14" i="27"/>
  <c r="AS14" i="27"/>
  <c r="AT14" i="27" s="1"/>
  <c r="AQ14" i="27"/>
  <c r="AR14" i="27" s="1"/>
  <c r="AY13" i="27"/>
  <c r="AZ13" i="27" s="1"/>
  <c r="AW13" i="27"/>
  <c r="AU13" i="27"/>
  <c r="AS13" i="27"/>
  <c r="AT13" i="27" s="1"/>
  <c r="AQ13" i="27"/>
  <c r="AR13" i="27" s="1"/>
  <c r="BA12" i="27"/>
  <c r="BB12" i="27" s="1"/>
  <c r="AW12" i="27"/>
  <c r="AU12" i="27"/>
  <c r="AS12" i="27"/>
  <c r="AT12" i="27" s="1"/>
  <c r="AQ12" i="27"/>
  <c r="AR12" i="27" s="1"/>
  <c r="BA11" i="27"/>
  <c r="AW11" i="27"/>
  <c r="AU11" i="27"/>
  <c r="AS11" i="27"/>
  <c r="AT11" i="27" s="1"/>
  <c r="AQ11" i="27"/>
  <c r="AR11" i="27" s="1"/>
  <c r="M8" i="27"/>
  <c r="L8" i="27"/>
  <c r="K8" i="27"/>
  <c r="J3" i="27" s="1"/>
  <c r="F8" i="27"/>
  <c r="R4" i="27" s="1"/>
  <c r="D8" i="27"/>
  <c r="BC7" i="27"/>
  <c r="M7" i="27"/>
  <c r="C4" i="27" s="1"/>
  <c r="L7" i="27"/>
  <c r="K7" i="27"/>
  <c r="G7" i="27"/>
  <c r="F7" i="27"/>
  <c r="S4" i="27" s="1"/>
  <c r="D7" i="27"/>
  <c r="BC6" i="27"/>
  <c r="M5" i="27"/>
  <c r="F5" i="27"/>
  <c r="Q4" i="27"/>
  <c r="J4" i="27"/>
  <c r="F4" i="27"/>
  <c r="S3" i="27"/>
  <c r="Q3" i="27"/>
  <c r="C3" i="27"/>
  <c r="J2" i="27"/>
  <c r="M2" i="27" s="1"/>
  <c r="K8" i="11"/>
  <c r="K12" i="11"/>
  <c r="K9" i="11"/>
  <c r="K11" i="11"/>
  <c r="G8" i="29"/>
  <c r="J5" i="27" l="1"/>
  <c r="AV46" i="27"/>
  <c r="G9" i="29"/>
  <c r="G10" i="29" s="1"/>
  <c r="G11" i="29" s="1"/>
  <c r="G12" i="29" s="1"/>
  <c r="G13" i="29" s="1"/>
  <c r="G14" i="29" s="1"/>
  <c r="G15" i="29" s="1"/>
  <c r="G16" i="29" s="1"/>
  <c r="G17" i="29" s="1"/>
  <c r="G18" i="29" s="1"/>
  <c r="G19" i="29" s="1"/>
  <c r="G20" i="29" s="1"/>
  <c r="G21" i="29" s="1"/>
  <c r="G22" i="29" s="1"/>
  <c r="G23" i="29" s="1"/>
  <c r="G24" i="29" s="1"/>
  <c r="G25" i="29" s="1"/>
  <c r="G26" i="29" s="1"/>
  <c r="G27" i="29" s="1"/>
  <c r="G28" i="29" s="1"/>
  <c r="G29" i="29" s="1"/>
  <c r="G30" i="29" s="1"/>
  <c r="G31" i="29" s="1"/>
  <c r="G32" i="29" s="1"/>
  <c r="G33" i="29" s="1"/>
  <c r="G34" i="29" s="1"/>
  <c r="G35" i="29" s="1"/>
  <c r="G36" i="29" s="1"/>
  <c r="BB11" i="27"/>
  <c r="S5" i="27"/>
  <c r="G4" i="27"/>
  <c r="G5" i="27"/>
  <c r="R3" i="27"/>
  <c r="R5" i="27" s="1"/>
  <c r="Q5" i="27"/>
  <c r="AV11" i="27"/>
  <c r="AY41" i="27"/>
  <c r="AZ41" i="27" s="1"/>
  <c r="AV18" i="27"/>
  <c r="AY18" i="27"/>
  <c r="AZ18" i="27" s="1"/>
  <c r="AY35" i="27"/>
  <c r="AZ35" i="27" s="1"/>
  <c r="AV42" i="27"/>
  <c r="AV23" i="27"/>
  <c r="AV48" i="27"/>
  <c r="AY55" i="27"/>
  <c r="AZ55" i="27" s="1"/>
  <c r="AY20" i="27"/>
  <c r="AZ20" i="27" s="1"/>
  <c r="AV56" i="27"/>
  <c r="BA58" i="27"/>
  <c r="BB58" i="27" s="1"/>
  <c r="BA59" i="27"/>
  <c r="BB59" i="27" s="1"/>
  <c r="AY34" i="27"/>
  <c r="AZ34" i="27" s="1"/>
  <c r="AY42" i="27"/>
  <c r="AZ42" i="27" s="1"/>
  <c r="AY44" i="27"/>
  <c r="AZ44" i="27" s="1"/>
  <c r="AY57" i="27"/>
  <c r="AZ57" i="27" s="1"/>
  <c r="AV67" i="27"/>
  <c r="BA26" i="27"/>
  <c r="BB26" i="27" s="1"/>
  <c r="AY27" i="27"/>
  <c r="AZ27" i="27" s="1"/>
  <c r="AY28" i="27"/>
  <c r="AZ28" i="27" s="1"/>
  <c r="AY43" i="27"/>
  <c r="AZ43" i="27" s="1"/>
  <c r="AV58" i="27"/>
  <c r="BA51" i="27"/>
  <c r="BB51" i="27" s="1"/>
  <c r="AV16" i="27"/>
  <c r="AY19" i="27"/>
  <c r="AZ19" i="27" s="1"/>
  <c r="AV22" i="27"/>
  <c r="BA31" i="27"/>
  <c r="BB31" i="27" s="1"/>
  <c r="AV34" i="27"/>
  <c r="AY39" i="27"/>
  <c r="AZ39" i="27" s="1"/>
  <c r="AV47" i="27"/>
  <c r="AV49" i="27"/>
  <c r="AV60" i="27"/>
  <c r="AV61" i="27"/>
  <c r="AV65" i="27"/>
  <c r="AV25" i="27"/>
  <c r="AV51" i="27"/>
  <c r="C5" i="27"/>
  <c r="AV26" i="27"/>
  <c r="AV37" i="27"/>
  <c r="AV14" i="27"/>
  <c r="AY23" i="27"/>
  <c r="AZ23" i="27" s="1"/>
  <c r="AV30" i="27"/>
  <c r="AV31" i="27"/>
  <c r="AV52" i="27"/>
  <c r="AV53" i="27"/>
  <c r="AV64" i="27"/>
  <c r="AY15" i="27"/>
  <c r="AZ15" i="27" s="1"/>
  <c r="AY25" i="27"/>
  <c r="AZ25" i="27" s="1"/>
  <c r="AY36" i="27"/>
  <c r="AY47" i="27"/>
  <c r="AZ47" i="27" s="1"/>
  <c r="AY49" i="27"/>
  <c r="AZ49" i="27" s="1"/>
  <c r="BA50" i="27"/>
  <c r="BB50" i="27" s="1"/>
  <c r="AY60" i="27"/>
  <c r="AZ60" i="27" s="1"/>
  <c r="AV19" i="27"/>
  <c r="AY33" i="27"/>
  <c r="AZ33" i="27" s="1"/>
  <c r="AV44" i="27"/>
  <c r="AV45" i="27"/>
  <c r="AV63" i="27"/>
  <c r="AY11" i="27"/>
  <c r="BA13" i="27"/>
  <c r="BB13" i="27" s="1"/>
  <c r="BA16" i="27"/>
  <c r="BB16" i="27" s="1"/>
  <c r="AV39" i="27"/>
  <c r="AY52" i="27"/>
  <c r="AZ52" i="27" s="1"/>
  <c r="AV59" i="27"/>
  <c r="AV43" i="27"/>
  <c r="AV62" i="27"/>
  <c r="AV17" i="27"/>
  <c r="AV15" i="27"/>
  <c r="AV12" i="27"/>
  <c r="BA14" i="27"/>
  <c r="BB14" i="27" s="1"/>
  <c r="AY24" i="27"/>
  <c r="AZ24" i="27" s="1"/>
  <c r="AV29" i="27"/>
  <c r="AV50" i="27"/>
  <c r="BA30" i="27"/>
  <c r="BB30" i="27" s="1"/>
  <c r="AY30" i="27"/>
  <c r="AZ30" i="27" s="1"/>
  <c r="AV32" i="27"/>
  <c r="BA40" i="27"/>
  <c r="BB40" i="27" s="1"/>
  <c r="AY40" i="27"/>
  <c r="AZ40" i="27" s="1"/>
  <c r="AV13" i="27"/>
  <c r="BA21" i="27"/>
  <c r="BB21" i="27" s="1"/>
  <c r="AV35" i="27"/>
  <c r="AR35" i="27"/>
  <c r="BA54" i="27"/>
  <c r="BB54" i="27" s="1"/>
  <c r="AY54" i="27"/>
  <c r="AZ54" i="27" s="1"/>
  <c r="AY12" i="27"/>
  <c r="AZ12" i="27" s="1"/>
  <c r="BA32" i="27"/>
  <c r="AY32" i="27"/>
  <c r="BA22" i="27"/>
  <c r="BB22" i="27" s="1"/>
  <c r="AV38" i="27"/>
  <c r="AV41" i="27"/>
  <c r="BA46" i="27"/>
  <c r="BB46" i="27" s="1"/>
  <c r="AY46" i="27"/>
  <c r="AZ46" i="27" s="1"/>
  <c r="AV24" i="27"/>
  <c r="AY17" i="27"/>
  <c r="AZ17" i="27" s="1"/>
  <c r="AV20" i="27"/>
  <c r="AV27" i="27"/>
  <c r="AV33" i="27"/>
  <c r="AV36" i="27"/>
  <c r="AV66" i="27"/>
  <c r="AV21" i="27"/>
  <c r="AV28" i="27"/>
  <c r="BA38" i="27"/>
  <c r="BB38" i="27" s="1"/>
  <c r="AY38" i="27"/>
  <c r="AZ38" i="27" s="1"/>
  <c r="AV40" i="27"/>
  <c r="AV54" i="27"/>
  <c r="AV55" i="27"/>
  <c r="AV57" i="27"/>
  <c r="AY62" i="27"/>
  <c r="AZ62" i="27" s="1"/>
  <c r="BA65" i="27"/>
  <c r="BB65" i="27" s="1"/>
  <c r="AY67" i="27"/>
  <c r="AZ67" i="27" s="1"/>
  <c r="AR43" i="27"/>
  <c r="AY48" i="27"/>
  <c r="AZ48" i="27" s="1"/>
  <c r="AY56" i="27"/>
  <c r="AZ56" i="27" s="1"/>
  <c r="AY64" i="27"/>
  <c r="AZ64" i="27" s="1"/>
  <c r="AY29" i="27"/>
  <c r="AZ29" i="27" s="1"/>
  <c r="AY37" i="27"/>
  <c r="AZ37" i="27" s="1"/>
  <c r="AY45" i="27"/>
  <c r="AZ45" i="27" s="1"/>
  <c r="AY53" i="27"/>
  <c r="AZ53" i="27" s="1"/>
  <c r="AY61" i="27"/>
  <c r="AZ61" i="27" s="1"/>
  <c r="AY66" i="27"/>
  <c r="AZ66" i="27" s="1"/>
  <c r="AY63" i="27"/>
  <c r="AZ63" i="27" s="1"/>
  <c r="AY2" i="27" l="1"/>
  <c r="AZ36" i="27"/>
  <c r="AY6" i="27"/>
  <c r="AY7" i="27"/>
  <c r="V4" i="27"/>
  <c r="BA7" i="27"/>
  <c r="AZ11" i="27"/>
  <c r="BA6" i="27"/>
  <c r="R7" i="11"/>
  <c r="P4" i="11"/>
  <c r="AZ32" i="27"/>
  <c r="BB32" i="27"/>
  <c r="BB7" i="27" s="1"/>
  <c r="T7" i="11" l="1"/>
  <c r="U7" i="11"/>
  <c r="AZ6" i="27"/>
  <c r="AZ2" i="27"/>
  <c r="BB6" i="27"/>
  <c r="AZ7" i="27"/>
  <c r="S7" i="11"/>
  <c r="W7" i="11" s="1"/>
  <c r="Z7" i="11" s="1"/>
  <c r="Y7" i="11" l="1"/>
  <c r="U4" i="11"/>
  <c r="V6" i="27"/>
  <c r="X3" i="27" s="1"/>
  <c r="AG8" i="11"/>
  <c r="AJ8" i="11" s="1"/>
  <c r="X7" i="11"/>
  <c r="AI8" i="11" l="1"/>
  <c r="AH8" i="11"/>
  <c r="AB7" i="11"/>
  <c r="AE7" i="11" s="1"/>
  <c r="Z4" i="11"/>
  <c r="AL8" i="11" l="1"/>
  <c r="AD7" i="11"/>
  <c r="AC7" i="11"/>
  <c r="AG7" i="11" s="1"/>
  <c r="AJ7" i="11" s="1"/>
  <c r="AG11" i="11"/>
  <c r="AJ11" i="11" s="1"/>
  <c r="AM8" i="11" l="1"/>
  <c r="AO8" i="11"/>
  <c r="AN8" i="11"/>
  <c r="AQ8" i="11"/>
  <c r="AI11" i="11"/>
  <c r="AI7" i="11"/>
  <c r="AE4" i="11"/>
  <c r="AG9" i="11"/>
  <c r="AJ9" i="11" s="1"/>
  <c r="AH7" i="11"/>
  <c r="AL7" i="11" s="1"/>
  <c r="AO7" i="11" s="1"/>
  <c r="AH11" i="11"/>
  <c r="AL11" i="11" s="1"/>
  <c r="AR8" i="11" l="1"/>
  <c r="AV8" i="11" s="1"/>
  <c r="AW8" i="11" s="1"/>
  <c r="AT8" i="11"/>
  <c r="AU8" i="11" s="1"/>
  <c r="AM11" i="11"/>
  <c r="AO11" i="11"/>
  <c r="AM7" i="11"/>
  <c r="AN7" i="11"/>
  <c r="AS8" i="11"/>
  <c r="AI9" i="11"/>
  <c r="AH9" i="11"/>
  <c r="AL9" i="11" s="1"/>
  <c r="AG12" i="11"/>
  <c r="AJ12" i="11" s="1"/>
  <c r="AM9" i="11" l="1"/>
  <c r="AO9" i="11"/>
  <c r="AQ11" i="11"/>
  <c r="AT11" i="11" s="1"/>
  <c r="AN11" i="11"/>
  <c r="AQ7" i="11"/>
  <c r="AT7" i="11" s="1"/>
  <c r="AI12" i="11"/>
  <c r="AH12" i="11"/>
  <c r="P10" i="24"/>
  <c r="N10" i="24"/>
  <c r="P11" i="24"/>
  <c r="N11" i="24"/>
  <c r="N13" i="24"/>
  <c r="P13" i="24"/>
  <c r="P9" i="24"/>
  <c r="N9" i="24"/>
  <c r="N15" i="24"/>
  <c r="P15" i="24"/>
  <c r="P16" i="24"/>
  <c r="N16" i="24"/>
  <c r="P17" i="24"/>
  <c r="N17" i="24"/>
  <c r="P12" i="24"/>
  <c r="N12" i="24"/>
  <c r="P18" i="24"/>
  <c r="N18" i="24"/>
  <c r="P14" i="24"/>
  <c r="N14" i="24"/>
  <c r="P8" i="24"/>
  <c r="N8" i="24"/>
  <c r="AL12" i="11" l="1"/>
  <c r="AN9" i="11"/>
  <c r="AU7" i="11"/>
  <c r="AS7" i="11"/>
  <c r="AR7" i="11"/>
  <c r="AV7" i="11" s="1"/>
  <c r="AW7" i="11" s="1"/>
  <c r="AR11" i="11"/>
  <c r="AV11" i="11" s="1"/>
  <c r="AW11" i="11" s="1"/>
  <c r="AU11" i="11"/>
  <c r="AS11" i="11"/>
  <c r="AJ4" i="11"/>
  <c r="AM12" i="11" l="1"/>
  <c r="AO12" i="11"/>
  <c r="AN12" i="11"/>
  <c r="AQ9" i="11"/>
  <c r="AR9" i="11" l="1"/>
  <c r="AV9" i="11" s="1"/>
  <c r="AW9" i="11" s="1"/>
  <c r="AT9" i="11"/>
  <c r="AU9" i="11" s="1"/>
  <c r="AO4" i="11"/>
  <c r="AS9" i="11"/>
  <c r="AQ12" i="11"/>
  <c r="AR12" i="11" l="1"/>
  <c r="AV12" i="11" s="1"/>
  <c r="AW12" i="11" s="1"/>
  <c r="AW4" i="11" s="1"/>
  <c r="AT12" i="11"/>
  <c r="AS12" i="11"/>
  <c r="AU12" i="11" l="1"/>
  <c r="AU4" i="11" s="1"/>
  <c r="AT4" i="11"/>
  <c r="M3" i="27" l="1"/>
  <c r="M4" i="27" l="1"/>
  <c r="M6" i="2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B61E2C-37C8-4935-8A8E-91104CA8F9F5}" keepAlive="1" name="Query - calculationstable" description="Connection to the 'calculationstable' query in the workbook." type="5" refreshedVersion="7" background="1" saveData="1">
    <dbPr connection="Provider=Microsoft.Mashup.OleDb.1;Data Source=$Workbook$;Location=calculationstable;Extended Properties=&quot;&quot;" command="SELECT * FROM [calculationstable]"/>
  </connection>
  <connection id="2" xr16:uid="{8475FB84-D861-4AC5-ABA1-99D7F5C12D45}" keepAlive="1" name="Query - CO_entry" description="Connection to the 'CO_entry' query in the workbook." type="5" refreshedVersion="0" background="1">
    <dbPr connection="Provider=Microsoft.Mashup.OleDb.1;Data Source=$Workbook$;Location=CO_entry;Extended Properties=&quot;&quot;" command="SELECT * FROM [CO_entry]"/>
  </connection>
  <connection id="3" xr16:uid="{0E58878F-1087-4554-A7BA-04F114E2F484}" keepAlive="1" name="Query - extra" description="Connection to the 'extra' query in the workbook." type="5" refreshedVersion="0" background="1">
    <dbPr connection="Provider=Microsoft.Mashup.OleDb.1;Data Source=$Workbook$;Location=extra;Extended Properties=&quot;&quot;" command="SELECT * FROM [extra]"/>
  </connection>
  <connection id="4" xr16:uid="{11B002C9-084D-4699-A373-6BA324956FF8}" keepAlive="1" name="Query - extra tokens" description="Connection to the 'extra tokens' query in the workbook." type="5" refreshedVersion="0" background="1">
    <dbPr connection="Provider=Microsoft.Mashup.OleDb.1;Data Source=$Workbook$;Location=&quot;extra tokens&quot;;Extended Properties=&quot;&quot;" command="SELECT * FROM [extra tokens]"/>
  </connection>
  <connection id="5" xr16:uid="{3A832BB1-1C00-4AA4-8673-5588813FA0BB}" keepAlive="1" name="Query - fxextra" description="Connection to the 'fxextra' query in the workbook." type="5" refreshedVersion="0" background="1">
    <dbPr connection="Provider=Microsoft.Mashup.OleDb.1;Data Source=$Workbook$;Location=fxextra;Extended Properties=&quot;&quot;" command="SELECT * FROM [fxextra]"/>
  </connection>
  <connection id="6" xr16:uid="{E4D9B634-632F-4A2D-B48B-457839CC0ABD}" keepAlive="1" name="Query - price_feed" description="Connection to the 'price_feed' query in the workbook." type="5" refreshedVersion="7" background="1" saveData="1">
    <dbPr connection="Provider=Microsoft.Mashup.OleDb.1;Data Source=$Workbook$;Location=price_feed;Extended Properties=&quot;&quot;" command="SELECT * FROM [price_feed]"/>
  </connection>
  <connection id="7" xr16:uid="{E63D6FEE-9825-4A53-8938-4A40FAE479A1}" keepAlive="1" name="Query - Purchase_cashout" description="Connection to the 'Purchase_cashout' query in the workbook." type="5" refreshedVersion="7" background="1" refreshOnLoad="1" saveData="1">
    <dbPr connection="Provider=Microsoft.Mashup.OleDb.1;Data Source=$Workbook$;Location=Purchase_cashout;Extended Properties=&quot;&quot;" command="SELECT * FROM [Purchase_cashout]"/>
  </connection>
  <connection id="8" xr16:uid="{6ED4D5A1-6AD6-4C53-A83B-73D2288006BC}" keepAlive="1" name="Query - Rurl" description="Connection to the 'Rurl' query in the workbook." type="5" refreshedVersion="0" background="1">
    <dbPr connection="Provider=Microsoft.Mashup.OleDb.1;Data Source=$Workbook$;Location=Rurl;Extended Properties=&quot;&quot;" command="SELECT * FROM [Rurl]"/>
  </connection>
  <connection id="9" xr16:uid="{B2AB00EF-5F56-4735-8081-552039584F1E}" keepAlive="1" name="Query - Sales" description="Connection to the 'Sales' query in the workbook." type="5" refreshedVersion="0" background="1">
    <dbPr connection="Provider=Microsoft.Mashup.OleDb.1;Data Source=$Workbook$;Location=Sales;Extended Properties=&quot;&quot;" command="SELECT * FROM [Sales]"/>
  </connection>
  <connection id="10" xr16:uid="{FFDD121E-C30F-4AA6-AAD6-67F1DA6839AB}" keepAlive="1" name="Requête - Portfolio Overview" description="Connexion à la requête « Portfolio Overview » dans le classeur." type="5" refreshedVersion="7" background="1" saveData="1">
    <dbPr connection="Provider=Microsoft.Mashup.OleDb.1;Data Source=$Workbook$;Location=&quot;Portfolio Overview&quot;;Extended Properties=&quot;&quot;" command="SELECT * FROM [Portfolio Overview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<sst xmlns="http://schemas.openxmlformats.org/spreadsheetml/2006/main" count="1498" uniqueCount="965">
  <si>
    <t>Total Profit</t>
  </si>
  <si>
    <t>BTC</t>
  </si>
  <si>
    <t>Profit</t>
  </si>
  <si>
    <t>LINK</t>
  </si>
  <si>
    <t>DOT</t>
  </si>
  <si>
    <t>Zilliqa</t>
  </si>
  <si>
    <t>Total Tokens Over</t>
  </si>
  <si>
    <t>Tokens Over</t>
  </si>
  <si>
    <t>Tokens Sold</t>
  </si>
  <si>
    <t>Selling point 5</t>
  </si>
  <si>
    <t>Selling point 4</t>
  </si>
  <si>
    <t>Selling point 3</t>
  </si>
  <si>
    <t>Selling point 2</t>
  </si>
  <si>
    <t>Selling point 1</t>
  </si>
  <si>
    <t>Initial Holding</t>
  </si>
  <si>
    <t>ETH</t>
  </si>
  <si>
    <t>KSM</t>
  </si>
  <si>
    <t>Terra</t>
  </si>
  <si>
    <t>Value of tokens over</t>
  </si>
  <si>
    <t>Total</t>
  </si>
  <si>
    <t>Current price (Refresh Price sheet)</t>
  </si>
  <si>
    <t>bitcoin</t>
  </si>
  <si>
    <t>Bitcoin</t>
  </si>
  <si>
    <t>ethereum</t>
  </si>
  <si>
    <t>Ethereum</t>
  </si>
  <si>
    <t>cardano</t>
  </si>
  <si>
    <t>Cardano</t>
  </si>
  <si>
    <t>binancecoin</t>
  </si>
  <si>
    <t>tether</t>
  </si>
  <si>
    <t>Tether</t>
  </si>
  <si>
    <t>ripple</t>
  </si>
  <si>
    <t>XRP</t>
  </si>
  <si>
    <t>solana</t>
  </si>
  <si>
    <t>Solana</t>
  </si>
  <si>
    <t>dogecoin</t>
  </si>
  <si>
    <t>Dogecoin</t>
  </si>
  <si>
    <t>polkadot</t>
  </si>
  <si>
    <t>Polkadot</t>
  </si>
  <si>
    <t>usd-coin</t>
  </si>
  <si>
    <t>USD Coin</t>
  </si>
  <si>
    <t>chainlink</t>
  </si>
  <si>
    <t>link</t>
  </si>
  <si>
    <t>Chainlink</t>
  </si>
  <si>
    <t>bitcoin-cash</t>
  </si>
  <si>
    <t>Bitcoin Cash</t>
  </si>
  <si>
    <t>uniswap</t>
  </si>
  <si>
    <t>Uniswap</t>
  </si>
  <si>
    <t>litecoin</t>
  </si>
  <si>
    <t>Litecoin</t>
  </si>
  <si>
    <t>binance-usd</t>
  </si>
  <si>
    <t>Binance USD</t>
  </si>
  <si>
    <t>terra-luna</t>
  </si>
  <si>
    <t>internet-computer</t>
  </si>
  <si>
    <t>Internet Computer</t>
  </si>
  <si>
    <t>wrapped-bitcoin</t>
  </si>
  <si>
    <t>Wrapped Bitcoin</t>
  </si>
  <si>
    <t>filecoin</t>
  </si>
  <si>
    <t>Filecoin</t>
  </si>
  <si>
    <t>matic-network</t>
  </si>
  <si>
    <t>Polygon</t>
  </si>
  <si>
    <t>avalanche-2</t>
  </si>
  <si>
    <t>AVAX</t>
  </si>
  <si>
    <t>Avalanche</t>
  </si>
  <si>
    <t>vechain</t>
  </si>
  <si>
    <t>VeChain</t>
  </si>
  <si>
    <t>stellar</t>
  </si>
  <si>
    <t>Stellar</t>
  </si>
  <si>
    <t>ethereum-classic</t>
  </si>
  <si>
    <t>Ethereum Classic</t>
  </si>
  <si>
    <t>theta-token</t>
  </si>
  <si>
    <t>Theta Network</t>
  </si>
  <si>
    <t>ftx-token</t>
  </si>
  <si>
    <t>FTX Token</t>
  </si>
  <si>
    <t>compound-ether</t>
  </si>
  <si>
    <t>cETH</t>
  </si>
  <si>
    <t>tron</t>
  </si>
  <si>
    <t>TRON</t>
  </si>
  <si>
    <t>cosmos</t>
  </si>
  <si>
    <t>dai</t>
  </si>
  <si>
    <t>Dai</t>
  </si>
  <si>
    <t>okb</t>
  </si>
  <si>
    <t>OKB</t>
  </si>
  <si>
    <t>eos</t>
  </si>
  <si>
    <t>EOS</t>
  </si>
  <si>
    <t>monero</t>
  </si>
  <si>
    <t>Monero</t>
  </si>
  <si>
    <t>compound-usd-coin</t>
  </si>
  <si>
    <t>cUSDC</t>
  </si>
  <si>
    <t>pancakeswap-token</t>
  </si>
  <si>
    <t>PancakeSwap</t>
  </si>
  <si>
    <t>aave</t>
  </si>
  <si>
    <t>Aave</t>
  </si>
  <si>
    <t>ecash</t>
  </si>
  <si>
    <t>eCash</t>
  </si>
  <si>
    <t>algorand</t>
  </si>
  <si>
    <t>Algorand</t>
  </si>
  <si>
    <t>the-graph</t>
  </si>
  <si>
    <t>The Graph</t>
  </si>
  <si>
    <t>cdai</t>
  </si>
  <si>
    <t>cDAI</t>
  </si>
  <si>
    <t>iota</t>
  </si>
  <si>
    <t>IOTA</t>
  </si>
  <si>
    <t>crypto-com-chain</t>
  </si>
  <si>
    <t>staked-ether</t>
  </si>
  <si>
    <t>Lido Staked Ether</t>
  </si>
  <si>
    <t>fantom</t>
  </si>
  <si>
    <t>Fantom</t>
  </si>
  <si>
    <t>tezos</t>
  </si>
  <si>
    <t>Tezos</t>
  </si>
  <si>
    <t>axie-infinity</t>
  </si>
  <si>
    <t>Axie Infinity</t>
  </si>
  <si>
    <t>neo</t>
  </si>
  <si>
    <t>NEO</t>
  </si>
  <si>
    <t>quant-network</t>
  </si>
  <si>
    <t>Quant</t>
  </si>
  <si>
    <t>klay-token</t>
  </si>
  <si>
    <t>Klaytn</t>
  </si>
  <si>
    <t>elrond-erd-2</t>
  </si>
  <si>
    <t>Elrond</t>
  </si>
  <si>
    <t>shiba-inu</t>
  </si>
  <si>
    <t>Shiba Inu</t>
  </si>
  <si>
    <t>bitcoin-cash-sv</t>
  </si>
  <si>
    <t>Bitcoin SV</t>
  </si>
  <si>
    <t>kusama</t>
  </si>
  <si>
    <t>Kusama</t>
  </si>
  <si>
    <t>maker</t>
  </si>
  <si>
    <t>Maker</t>
  </si>
  <si>
    <t>BitTorrent</t>
  </si>
  <si>
    <t>near</t>
  </si>
  <si>
    <t>Near</t>
  </si>
  <si>
    <t>leo-token</t>
  </si>
  <si>
    <t>LEO Token</t>
  </si>
  <si>
    <t>thorchain</t>
  </si>
  <si>
    <t>THORChain</t>
  </si>
  <si>
    <t>waves</t>
  </si>
  <si>
    <t>Waves</t>
  </si>
  <si>
    <t>amp-token</t>
  </si>
  <si>
    <t>Amp</t>
  </si>
  <si>
    <t>huobi-token</t>
  </si>
  <si>
    <t>Huobi Token</t>
  </si>
  <si>
    <t>celsius-degree-token</t>
  </si>
  <si>
    <t>Celsius Network</t>
  </si>
  <si>
    <t>compound-governance-token</t>
  </si>
  <si>
    <t>Compound</t>
  </si>
  <si>
    <t>terrausd</t>
  </si>
  <si>
    <t>TerraUSD</t>
  </si>
  <si>
    <t>sushi</t>
  </si>
  <si>
    <t>Sushi</t>
  </si>
  <si>
    <t>dash</t>
  </si>
  <si>
    <t>Dash</t>
  </si>
  <si>
    <t>arweave</t>
  </si>
  <si>
    <t>Arweave</t>
  </si>
  <si>
    <t>chiliz</t>
  </si>
  <si>
    <t>Chiliz</t>
  </si>
  <si>
    <t>decred</t>
  </si>
  <si>
    <t>Decred</t>
  </si>
  <si>
    <t>havven</t>
  </si>
  <si>
    <t>Synthetix Network Token</t>
  </si>
  <si>
    <t>helium</t>
  </si>
  <si>
    <t>Helium</t>
  </si>
  <si>
    <t>theta-fuel</t>
  </si>
  <si>
    <t>Theta Fuel</t>
  </si>
  <si>
    <t>holotoken</t>
  </si>
  <si>
    <t>Holo</t>
  </si>
  <si>
    <t>huobi-btc</t>
  </si>
  <si>
    <t>Huobi BTC</t>
  </si>
  <si>
    <t>nem</t>
  </si>
  <si>
    <t>NEM</t>
  </si>
  <si>
    <t>enjincoin</t>
  </si>
  <si>
    <t>Enjin Coin</t>
  </si>
  <si>
    <t>zcash</t>
  </si>
  <si>
    <t>Zcash</t>
  </si>
  <si>
    <t>xdce-crowd-sale</t>
  </si>
  <si>
    <t>XDC Network</t>
  </si>
  <si>
    <t>blockstack</t>
  </si>
  <si>
    <t>Stacks</t>
  </si>
  <si>
    <t>harmony</t>
  </si>
  <si>
    <t>Harmony</t>
  </si>
  <si>
    <t>qtum</t>
  </si>
  <si>
    <t>Qtum</t>
  </si>
  <si>
    <t>zilliqa</t>
  </si>
  <si>
    <t>flow</t>
  </si>
  <si>
    <t>Flow</t>
  </si>
  <si>
    <t>yearn-finance</t>
  </si>
  <si>
    <t>yearn.finance</t>
  </si>
  <si>
    <t>true-usd</t>
  </si>
  <si>
    <t>TrueUSD</t>
  </si>
  <si>
    <t>bitcoin-gold</t>
  </si>
  <si>
    <t>Bitcoin Gold</t>
  </si>
  <si>
    <t>iostoken</t>
  </si>
  <si>
    <t>IOST</t>
  </si>
  <si>
    <t>basic-attention-token</t>
  </si>
  <si>
    <t>Basic Attention Token</t>
  </si>
  <si>
    <t>ravencoin</t>
  </si>
  <si>
    <t>Ravencoin</t>
  </si>
  <si>
    <t>decentraland</t>
  </si>
  <si>
    <t>Decentraland</t>
  </si>
  <si>
    <t>telcoin</t>
  </si>
  <si>
    <t>Telcoin</t>
  </si>
  <si>
    <t>omisego</t>
  </si>
  <si>
    <t>OMG Network</t>
  </si>
  <si>
    <t>safemoon</t>
  </si>
  <si>
    <t>SafeMoon</t>
  </si>
  <si>
    <t>zencash</t>
  </si>
  <si>
    <t>Horizen</t>
  </si>
  <si>
    <t>siacoin</t>
  </si>
  <si>
    <t>Siacoin</t>
  </si>
  <si>
    <t>icon</t>
  </si>
  <si>
    <t>ICON</t>
  </si>
  <si>
    <t>kucoin-shares</t>
  </si>
  <si>
    <t>KuCoin Token</t>
  </si>
  <si>
    <t>bancor</t>
  </si>
  <si>
    <t>Bancor Network Token</t>
  </si>
  <si>
    <t>nexo</t>
  </si>
  <si>
    <t>NEXO</t>
  </si>
  <si>
    <t>audius</t>
  </si>
  <si>
    <t>Audius</t>
  </si>
  <si>
    <t>digibyte</t>
  </si>
  <si>
    <t>DigiByte</t>
  </si>
  <si>
    <t>ontology</t>
  </si>
  <si>
    <t>Ontology</t>
  </si>
  <si>
    <t>0x</t>
  </si>
  <si>
    <t>nxm</t>
  </si>
  <si>
    <t>Nexus Mutual</t>
  </si>
  <si>
    <t>paxos-standard</t>
  </si>
  <si>
    <t>Pax Dollar</t>
  </si>
  <si>
    <t>perpetual-protocol</t>
  </si>
  <si>
    <t>Perpetual Protocol</t>
  </si>
  <si>
    <t>curve-dao-token</t>
  </si>
  <si>
    <t>Curve DAO Token</t>
  </si>
  <si>
    <t>raydium</t>
  </si>
  <si>
    <t>Raydium</t>
  </si>
  <si>
    <t>ecomi</t>
  </si>
  <si>
    <t>ECOMI</t>
  </si>
  <si>
    <t>nano</t>
  </si>
  <si>
    <t>Nano</t>
  </si>
  <si>
    <t>ankr</t>
  </si>
  <si>
    <t>Ankr</t>
  </si>
  <si>
    <t>gatechain-token</t>
  </si>
  <si>
    <t>GateToken</t>
  </si>
  <si>
    <t>mina-protocol</t>
  </si>
  <si>
    <t>Mina Protocol</t>
  </si>
  <si>
    <t>compound-usdt</t>
  </si>
  <si>
    <t>cUSDT</t>
  </si>
  <si>
    <t>renbtc</t>
  </si>
  <si>
    <t>renBTC</t>
  </si>
  <si>
    <t>uma</t>
  </si>
  <si>
    <t>UMA</t>
  </si>
  <si>
    <t>the-sandbox</t>
  </si>
  <si>
    <t>The Sandbox</t>
  </si>
  <si>
    <t>coin98</t>
  </si>
  <si>
    <t>Coin98</t>
  </si>
  <si>
    <t>swissborg</t>
  </si>
  <si>
    <t>SwissBorg</t>
  </si>
  <si>
    <t>constellation-labs</t>
  </si>
  <si>
    <t>Constellation</t>
  </si>
  <si>
    <t>iotex</t>
  </si>
  <si>
    <t>IoTeX</t>
  </si>
  <si>
    <t>osmosis</t>
  </si>
  <si>
    <t>Osmosis</t>
  </si>
  <si>
    <t>polymath</t>
  </si>
  <si>
    <t>Polymath</t>
  </si>
  <si>
    <t>bitclout</t>
  </si>
  <si>
    <t>republic-protocol</t>
  </si>
  <si>
    <t>REN</t>
  </si>
  <si>
    <t>swipe</t>
  </si>
  <si>
    <t>celo</t>
  </si>
  <si>
    <t>Celo</t>
  </si>
  <si>
    <t>kava</t>
  </si>
  <si>
    <t>wazirx</t>
  </si>
  <si>
    <t>WazirX</t>
  </si>
  <si>
    <t>ergo</t>
  </si>
  <si>
    <t>Ergo</t>
  </si>
  <si>
    <t>liquity-usd</t>
  </si>
  <si>
    <t>Liquity USD</t>
  </si>
  <si>
    <t>1inch</t>
  </si>
  <si>
    <t>lisk</t>
  </si>
  <si>
    <t>Lisk</t>
  </si>
  <si>
    <t>dent</t>
  </si>
  <si>
    <t>Dent</t>
  </si>
  <si>
    <t>golem</t>
  </si>
  <si>
    <t>Golem</t>
  </si>
  <si>
    <t>loopring</t>
  </si>
  <si>
    <t>Loopring</t>
  </si>
  <si>
    <t>livepeer</t>
  </si>
  <si>
    <t>Livepeer</t>
  </si>
  <si>
    <t>olympus</t>
  </si>
  <si>
    <t>Olympus</t>
  </si>
  <si>
    <t>skale</t>
  </si>
  <si>
    <t>SKALE</t>
  </si>
  <si>
    <t>wax</t>
  </si>
  <si>
    <t>WAX</t>
  </si>
  <si>
    <t>wink</t>
  </si>
  <si>
    <t>WINkLink</t>
  </si>
  <si>
    <t>serum</t>
  </si>
  <si>
    <t>Serum</t>
  </si>
  <si>
    <t>nervos-network</t>
  </si>
  <si>
    <t>Nervos Network</t>
  </si>
  <si>
    <t>oasis-network</t>
  </si>
  <si>
    <t>Oasis Network</t>
  </si>
  <si>
    <t>neutrino</t>
  </si>
  <si>
    <t>Neutrino USD</t>
  </si>
  <si>
    <t>injective-protocol</t>
  </si>
  <si>
    <t>husd</t>
  </si>
  <si>
    <t>HUSD</t>
  </si>
  <si>
    <t>gnosis</t>
  </si>
  <si>
    <t>Gnosis</t>
  </si>
  <si>
    <t>velas</t>
  </si>
  <si>
    <t>Velas</t>
  </si>
  <si>
    <t>chia</t>
  </si>
  <si>
    <t>Chia</t>
  </si>
  <si>
    <t>metahero</t>
  </si>
  <si>
    <t>Metahero</t>
  </si>
  <si>
    <t>persistence</t>
  </si>
  <si>
    <t>Persistence</t>
  </si>
  <si>
    <t>anchor-protocol</t>
  </si>
  <si>
    <t>Anchor Protocol</t>
  </si>
  <si>
    <t>illuvium</t>
  </si>
  <si>
    <t>Illuvium</t>
  </si>
  <si>
    <t>pax-gold</t>
  </si>
  <si>
    <t>PAX Gold</t>
  </si>
  <si>
    <t>tribe-2</t>
  </si>
  <si>
    <t>Tribe</t>
  </si>
  <si>
    <t>rocket-pool</t>
  </si>
  <si>
    <t>Rocket Pool</t>
  </si>
  <si>
    <t>fx-coin</t>
  </si>
  <si>
    <t>Function X</t>
  </si>
  <si>
    <t>frax</t>
  </si>
  <si>
    <t>Frax</t>
  </si>
  <si>
    <t>woo-network</t>
  </si>
  <si>
    <t>WOO Network</t>
  </si>
  <si>
    <t>digitalbits</t>
  </si>
  <si>
    <t>DigitalBits</t>
  </si>
  <si>
    <t>secret</t>
  </si>
  <si>
    <t>Secret</t>
  </si>
  <si>
    <t>convex-finance</t>
  </si>
  <si>
    <t>Convex Finance</t>
  </si>
  <si>
    <t>EGLD</t>
  </si>
  <si>
    <t>ADA</t>
  </si>
  <si>
    <t>XTZ</t>
  </si>
  <si>
    <t>VET</t>
  </si>
  <si>
    <t>SNX</t>
  </si>
  <si>
    <t>ENJ</t>
  </si>
  <si>
    <t>id</t>
  </si>
  <si>
    <t>symbol</t>
  </si>
  <si>
    <t>name</t>
  </si>
  <si>
    <t>current_price</t>
  </si>
  <si>
    <t>price_change_percentage_24h</t>
  </si>
  <si>
    <t>Tokens Sold2</t>
  </si>
  <si>
    <t>Tokens Over3</t>
  </si>
  <si>
    <t>Profit4</t>
  </si>
  <si>
    <t>Tokens Sold5</t>
  </si>
  <si>
    <t>Coin</t>
  </si>
  <si>
    <t>Total Cost $</t>
  </si>
  <si>
    <t>$ per coin</t>
  </si>
  <si>
    <t>No. of coins</t>
  </si>
  <si>
    <t xml:space="preserve"> Purchase date</t>
  </si>
  <si>
    <t>Sales Date</t>
  </si>
  <si>
    <t>Total Income</t>
  </si>
  <si>
    <t>ADC</t>
  </si>
  <si>
    <t>Coins Held</t>
  </si>
  <si>
    <t>Acquisition Cost</t>
  </si>
  <si>
    <t>Sell Point</t>
  </si>
  <si>
    <t>Tokens Sold3</t>
  </si>
  <si>
    <t>Tokens Sold4</t>
  </si>
  <si>
    <t>dydx</t>
  </si>
  <si>
    <t>dYdX</t>
  </si>
  <si>
    <t>cost</t>
  </si>
  <si>
    <t>Reinvested</t>
  </si>
  <si>
    <t>ROI</t>
  </si>
  <si>
    <t>Purcahses</t>
  </si>
  <si>
    <t>Sales</t>
  </si>
  <si>
    <t>Sold</t>
  </si>
  <si>
    <t>No of Sales</t>
  </si>
  <si>
    <t>Target Profit</t>
  </si>
  <si>
    <t>Profit taken</t>
  </si>
  <si>
    <t>balance</t>
  </si>
  <si>
    <t>Column1</t>
  </si>
  <si>
    <t>ticker</t>
  </si>
  <si>
    <t>average per coin</t>
  </si>
  <si>
    <t>USDT</t>
  </si>
  <si>
    <t>BNB</t>
  </si>
  <si>
    <t>SOL</t>
  </si>
  <si>
    <t>DOGE</t>
  </si>
  <si>
    <t>USDC</t>
  </si>
  <si>
    <t>LUNA</t>
  </si>
  <si>
    <t>BUSD</t>
  </si>
  <si>
    <t>BCH</t>
  </si>
  <si>
    <t>LTC</t>
  </si>
  <si>
    <t>UNI</t>
  </si>
  <si>
    <t>ALGO</t>
  </si>
  <si>
    <t>WBTC</t>
  </si>
  <si>
    <t>ICP</t>
  </si>
  <si>
    <t>FTT</t>
  </si>
  <si>
    <t>MATIC</t>
  </si>
  <si>
    <t>FIL</t>
  </si>
  <si>
    <t>XLM</t>
  </si>
  <si>
    <t>ATOM</t>
  </si>
  <si>
    <t>ETC</t>
  </si>
  <si>
    <t>THETA</t>
  </si>
  <si>
    <t>TRX</t>
  </si>
  <si>
    <t>DAI</t>
  </si>
  <si>
    <t>CETH</t>
  </si>
  <si>
    <t>CUSDC</t>
  </si>
  <si>
    <t>XMR</t>
  </si>
  <si>
    <t>CDAI</t>
  </si>
  <si>
    <t>MIOTA</t>
  </si>
  <si>
    <t>XEC</t>
  </si>
  <si>
    <t>CRO</t>
  </si>
  <si>
    <t>CAKE</t>
  </si>
  <si>
    <t>QNT</t>
  </si>
  <si>
    <t>AAVE</t>
  </si>
  <si>
    <t>NEAR</t>
  </si>
  <si>
    <t>GRT</t>
  </si>
  <si>
    <t>STETH</t>
  </si>
  <si>
    <t>FTM</t>
  </si>
  <si>
    <t>AXS</t>
  </si>
  <si>
    <t>KLAY</t>
  </si>
  <si>
    <t>SHIB</t>
  </si>
  <si>
    <t>HBAR</t>
  </si>
  <si>
    <t>WAVES</t>
  </si>
  <si>
    <t>LEO</t>
  </si>
  <si>
    <t>BSV</t>
  </si>
  <si>
    <t>AR</t>
  </si>
  <si>
    <t>BTT</t>
  </si>
  <si>
    <t>MKR</t>
  </si>
  <si>
    <t>AMP</t>
  </si>
  <si>
    <t>UST</t>
  </si>
  <si>
    <t>CEL</t>
  </si>
  <si>
    <t>HT</t>
  </si>
  <si>
    <t>RUNE</t>
  </si>
  <si>
    <t>COMP</t>
  </si>
  <si>
    <t>DASH</t>
  </si>
  <si>
    <t>SUSHI</t>
  </si>
  <si>
    <t>DCR</t>
  </si>
  <si>
    <t>HNT</t>
  </si>
  <si>
    <t>ONE</t>
  </si>
  <si>
    <t>CHZ</t>
  </si>
  <si>
    <t>HBTC</t>
  </si>
  <si>
    <t>HOT</t>
  </si>
  <si>
    <t>TFUEL</t>
  </si>
  <si>
    <t>XEM</t>
  </si>
  <si>
    <t>XDC</t>
  </si>
  <si>
    <t>ZEC</t>
  </si>
  <si>
    <t>STX</t>
  </si>
  <si>
    <t>ZIL</t>
  </si>
  <si>
    <t>TUSD</t>
  </si>
  <si>
    <t>QTUM</t>
  </si>
  <si>
    <t>FLOW</t>
  </si>
  <si>
    <t>ICX</t>
  </si>
  <si>
    <t>YFI</t>
  </si>
  <si>
    <t>MINA</t>
  </si>
  <si>
    <t>BTG</t>
  </si>
  <si>
    <t>OMG</t>
  </si>
  <si>
    <t>BAT</t>
  </si>
  <si>
    <t>RVN</t>
  </si>
  <si>
    <t>MANA</t>
  </si>
  <si>
    <t>TEL</t>
  </si>
  <si>
    <t>USDP</t>
  </si>
  <si>
    <t>AUDIO</t>
  </si>
  <si>
    <t>ZEN</t>
  </si>
  <si>
    <t>SC</t>
  </si>
  <si>
    <t>BNT</t>
  </si>
  <si>
    <t>RAY</t>
  </si>
  <si>
    <t>SAFEMOON</t>
  </si>
  <si>
    <t>KCS</t>
  </si>
  <si>
    <t>CRV</t>
  </si>
  <si>
    <t>NXM</t>
  </si>
  <si>
    <t>ZRX</t>
  </si>
  <si>
    <t>ONT</t>
  </si>
  <si>
    <t>DGB</t>
  </si>
  <si>
    <t>CUSDT</t>
  </si>
  <si>
    <t>OSMO</t>
  </si>
  <si>
    <t>LN</t>
  </si>
  <si>
    <t>GT</t>
  </si>
  <si>
    <t>ANKR</t>
  </si>
  <si>
    <t>PERP</t>
  </si>
  <si>
    <t>OMI</t>
  </si>
  <si>
    <t>CELO</t>
  </si>
  <si>
    <t>SAND</t>
  </si>
  <si>
    <t>C98</t>
  </si>
  <si>
    <t>CHSB</t>
  </si>
  <si>
    <t>RENBTC</t>
  </si>
  <si>
    <t>DAG</t>
  </si>
  <si>
    <t>ERG</t>
  </si>
  <si>
    <t>DYDX</t>
  </si>
  <si>
    <t>IOTX</t>
  </si>
  <si>
    <t>OHM</t>
  </si>
  <si>
    <t>LUSD</t>
  </si>
  <si>
    <t>POLY</t>
  </si>
  <si>
    <t>KAVA</t>
  </si>
  <si>
    <t>CKB</t>
  </si>
  <si>
    <t>WRX</t>
  </si>
  <si>
    <t>LRC</t>
  </si>
  <si>
    <t>GLM</t>
  </si>
  <si>
    <t>1INCH</t>
  </si>
  <si>
    <t>SXP</t>
  </si>
  <si>
    <t>LSK</t>
  </si>
  <si>
    <t>SRM</t>
  </si>
  <si>
    <t>USDN</t>
  </si>
  <si>
    <t>HERO</t>
  </si>
  <si>
    <t>DENT</t>
  </si>
  <si>
    <t>SKL</t>
  </si>
  <si>
    <t>WAXP</t>
  </si>
  <si>
    <t>LPT</t>
  </si>
  <si>
    <t>GNO</t>
  </si>
  <si>
    <t>FEI</t>
  </si>
  <si>
    <t>XPRT</t>
  </si>
  <si>
    <t>WIN</t>
  </si>
  <si>
    <t>INJ</t>
  </si>
  <si>
    <t>XCH</t>
  </si>
  <si>
    <t>RPL</t>
  </si>
  <si>
    <t>ROSE</t>
  </si>
  <si>
    <t>VLX</t>
  </si>
  <si>
    <t>ANC</t>
  </si>
  <si>
    <t>XDB</t>
  </si>
  <si>
    <t>FX</t>
  </si>
  <si>
    <t>FRAX</t>
  </si>
  <si>
    <t>PAXG</t>
  </si>
  <si>
    <t>ILV</t>
  </si>
  <si>
    <t>TRIBE</t>
  </si>
  <si>
    <t>SCRT</t>
  </si>
  <si>
    <t>CVX</t>
  </si>
  <si>
    <t>WOO</t>
  </si>
  <si>
    <t>Cost of Investment</t>
  </si>
  <si>
    <t>Current Value</t>
  </si>
  <si>
    <t>Profit/Loss</t>
  </si>
  <si>
    <t>24H % Change</t>
  </si>
  <si>
    <t>Cost</t>
  </si>
  <si>
    <t>Tokens Over2</t>
  </si>
  <si>
    <t>Profit2</t>
  </si>
  <si>
    <t>Profit3</t>
  </si>
  <si>
    <t>Tokens Over4</t>
  </si>
  <si>
    <t>Tokens Over5</t>
  </si>
  <si>
    <t>Profit5</t>
  </si>
  <si>
    <t>Profit.1</t>
  </si>
  <si>
    <t>remaining profit</t>
  </si>
  <si>
    <t>lable</t>
  </si>
  <si>
    <t>value</t>
  </si>
  <si>
    <t>next sale</t>
  </si>
  <si>
    <t>Merged</t>
  </si>
  <si>
    <t>Next selling Point</t>
  </si>
  <si>
    <t>Max</t>
  </si>
  <si>
    <t>Min</t>
  </si>
  <si>
    <t>take profit feedback</t>
  </si>
  <si>
    <t>take profit filter</t>
  </si>
  <si>
    <t>add to exit</t>
  </si>
  <si>
    <t>add to exit feedback</t>
  </si>
  <si>
    <t>missing price</t>
  </si>
  <si>
    <t>Final Message</t>
  </si>
  <si>
    <t>% of investment</t>
  </si>
  <si>
    <t>Purchased</t>
  </si>
  <si>
    <t>% Sold</t>
  </si>
  <si>
    <t>% Held</t>
  </si>
  <si>
    <t>% held</t>
  </si>
  <si>
    <t>% Not in exit</t>
  </si>
  <si>
    <t>In Exit</t>
  </si>
  <si>
    <t>value of tokens over</t>
  </si>
  <si>
    <t>Projected profit</t>
  </si>
  <si>
    <t>% Over</t>
  </si>
  <si>
    <t>% in Exit</t>
  </si>
  <si>
    <t>Initial cap</t>
  </si>
  <si>
    <t>total pur</t>
  </si>
  <si>
    <t>on coin</t>
  </si>
  <si>
    <t>%</t>
  </si>
  <si>
    <t>coin</t>
  </si>
  <si>
    <t>gala</t>
  </si>
  <si>
    <t>GALA</t>
  </si>
  <si>
    <t>Gala</t>
  </si>
  <si>
    <t>ID</t>
  </si>
  <si>
    <t>Name</t>
  </si>
  <si>
    <t>Sequence</t>
  </si>
  <si>
    <t>Url</t>
  </si>
  <si>
    <t>https://api.coingecko.com/api/v3/simple/price?ids=</t>
  </si>
  <si>
    <t>&amp;vs_currencies=usd&amp;include_24hr_change=true</t>
  </si>
  <si>
    <t>Base</t>
  </si>
  <si>
    <t>Paramater</t>
  </si>
  <si>
    <t>end</t>
  </si>
  <si>
    <t>URL</t>
  </si>
  <si>
    <t>URL generator</t>
  </si>
  <si>
    <t>part</t>
  </si>
  <si>
    <t>convex-crv</t>
  </si>
  <si>
    <t>CVXCRV</t>
  </si>
  <si>
    <t>Convex CRV</t>
  </si>
  <si>
    <t>capital introduced</t>
  </si>
  <si>
    <t>Spend</t>
  </si>
  <si>
    <t>withdrawn</t>
  </si>
  <si>
    <t>Exit strategy</t>
  </si>
  <si>
    <t>kadena</t>
  </si>
  <si>
    <t>KDA</t>
  </si>
  <si>
    <t>Kadena</t>
  </si>
  <si>
    <t>Sales Revenue</t>
  </si>
  <si>
    <t>Other Income</t>
  </si>
  <si>
    <t>Total In</t>
  </si>
  <si>
    <t>capital avail</t>
  </si>
  <si>
    <t>sapphire</t>
  </si>
  <si>
    <t>SAPP</t>
  </si>
  <si>
    <t>Sapphire</t>
  </si>
  <si>
    <t>Enter Transactions</t>
  </si>
  <si>
    <t>Kava</t>
  </si>
  <si>
    <t>DESO</t>
  </si>
  <si>
    <t>Decentralized Social</t>
  </si>
  <si>
    <t>magic-internet-money</t>
  </si>
  <si>
    <t>MIM</t>
  </si>
  <si>
    <t>Magic Internet Money</t>
  </si>
  <si>
    <t>moonriver</t>
  </si>
  <si>
    <t>MOVR</t>
  </si>
  <si>
    <t>Moonriver</t>
  </si>
  <si>
    <t>Ticker range</t>
  </si>
  <si>
    <t>Cost of investment range</t>
  </si>
  <si>
    <t>Hive</t>
  </si>
  <si>
    <t>HIVE</t>
  </si>
  <si>
    <t>spell-token</t>
  </si>
  <si>
    <t>SPELL</t>
  </si>
  <si>
    <t>Spell Token</t>
  </si>
  <si>
    <t>casper-network</t>
  </si>
  <si>
    <t>CSPR</t>
  </si>
  <si>
    <t>Casper Network</t>
  </si>
  <si>
    <t>hive</t>
  </si>
  <si>
    <t>Hedera</t>
  </si>
  <si>
    <t>hedera-hashgraph</t>
  </si>
  <si>
    <t>radio-caca</t>
  </si>
  <si>
    <t>RACA</t>
  </si>
  <si>
    <t>Radio Caca</t>
  </si>
  <si>
    <t>RNDR</t>
  </si>
  <si>
    <t>PYR</t>
  </si>
  <si>
    <t>Cronos</t>
  </si>
  <si>
    <t>bittorrent</t>
  </si>
  <si>
    <t>radix</t>
  </si>
  <si>
    <t>XRD</t>
  </si>
  <si>
    <t>Radix</t>
  </si>
  <si>
    <t>humans-ai</t>
  </si>
  <si>
    <t>HEART</t>
  </si>
  <si>
    <t>Humans.ai</t>
  </si>
  <si>
    <t>juno-network</t>
  </si>
  <si>
    <t>JUNO</t>
  </si>
  <si>
    <t>frax-share</t>
  </si>
  <si>
    <t>FXS</t>
  </si>
  <si>
    <t>Frax Share</t>
  </si>
  <si>
    <t>safemoon-2</t>
  </si>
  <si>
    <t>SFM</t>
  </si>
  <si>
    <t>bitkub-coin</t>
  </si>
  <si>
    <t>KUB</t>
  </si>
  <si>
    <t>Bitkub Coin</t>
  </si>
  <si>
    <t>pocket-network</t>
  </si>
  <si>
    <t>POKT</t>
  </si>
  <si>
    <t>Pocket Network</t>
  </si>
  <si>
    <t>smooth-love-potion</t>
  </si>
  <si>
    <t>SLP</t>
  </si>
  <si>
    <t>Smooth Love Potion</t>
  </si>
  <si>
    <t>rally-2</t>
  </si>
  <si>
    <t>RLY</t>
  </si>
  <si>
    <t>Rally</t>
  </si>
  <si>
    <t>msol</t>
  </si>
  <si>
    <t>MSOL</t>
  </si>
  <si>
    <t>Marinade staked SOL</t>
  </si>
  <si>
    <t>fei-usd</t>
  </si>
  <si>
    <t>Fei USD</t>
  </si>
  <si>
    <t>e-radix</t>
  </si>
  <si>
    <t>EXRD</t>
  </si>
  <si>
    <t>e-Radix</t>
  </si>
  <si>
    <t>baby-doge-coin</t>
  </si>
  <si>
    <t>BABYDOGE</t>
  </si>
  <si>
    <t>Baby Doge Coin</t>
  </si>
  <si>
    <t>oec-token</t>
  </si>
  <si>
    <t>OKT</t>
  </si>
  <si>
    <t>OEC Token</t>
  </si>
  <si>
    <t>apenft</t>
  </si>
  <si>
    <t>NFT</t>
  </si>
  <si>
    <t>APENFT</t>
  </si>
  <si>
    <t>songbird</t>
  </si>
  <si>
    <t>SGB</t>
  </si>
  <si>
    <t>Songbird</t>
  </si>
  <si>
    <t>moonbeam</t>
  </si>
  <si>
    <t>GLMR</t>
  </si>
  <si>
    <t>Moonbeam</t>
  </si>
  <si>
    <t>immutable-x</t>
  </si>
  <si>
    <t>IMX</t>
  </si>
  <si>
    <t>Immutable X</t>
  </si>
  <si>
    <t>tether-gold</t>
  </si>
  <si>
    <t>XAUT</t>
  </si>
  <si>
    <t>Tether Gold</t>
  </si>
  <si>
    <t>defi-kingdoms</t>
  </si>
  <si>
    <t>JEWEL</t>
  </si>
  <si>
    <t>DeFi Kingdoms</t>
  </si>
  <si>
    <t>dogelon-mars</t>
  </si>
  <si>
    <t>ELON</t>
  </si>
  <si>
    <t>Dogelon Mars</t>
  </si>
  <si>
    <t>looksrare</t>
  </si>
  <si>
    <t>LOOKS</t>
  </si>
  <si>
    <t>LooksRare</t>
  </si>
  <si>
    <t>synapse-2</t>
  </si>
  <si>
    <t>SYN</t>
  </si>
  <si>
    <t>Synapse</t>
  </si>
  <si>
    <t>render-token</t>
  </si>
  <si>
    <t>Render Token</t>
  </si>
  <si>
    <t>syscoin</t>
  </si>
  <si>
    <t>SYS</t>
  </si>
  <si>
    <t>Syscoin</t>
  </si>
  <si>
    <t>ronin</t>
  </si>
  <si>
    <t>RON</t>
  </si>
  <si>
    <t>Ronin</t>
  </si>
  <si>
    <t>just</t>
  </si>
  <si>
    <t>JST</t>
  </si>
  <si>
    <t>JUST</t>
  </si>
  <si>
    <t>ethereum-name-service</t>
  </si>
  <si>
    <t>ENS</t>
  </si>
  <si>
    <t>Ethereum Name Service</t>
  </si>
  <si>
    <t>mobox</t>
  </si>
  <si>
    <t>MBOX</t>
  </si>
  <si>
    <t>Mobox</t>
  </si>
  <si>
    <t>everdome</t>
  </si>
  <si>
    <t>DOME</t>
  </si>
  <si>
    <t>Everdome</t>
  </si>
  <si>
    <t>nucypher</t>
  </si>
  <si>
    <t>NU</t>
  </si>
  <si>
    <t>NuCypher</t>
  </si>
  <si>
    <t>api3</t>
  </si>
  <si>
    <t>API3</t>
  </si>
  <si>
    <t>keep-network</t>
  </si>
  <si>
    <t>KEEP</t>
  </si>
  <si>
    <t>Keep Network</t>
  </si>
  <si>
    <t>flex-coin</t>
  </si>
  <si>
    <t>FLEX</t>
  </si>
  <si>
    <t>FLEX Coin</t>
  </si>
  <si>
    <t>ultra</t>
  </si>
  <si>
    <t>UOS</t>
  </si>
  <si>
    <t>Ultra</t>
  </si>
  <si>
    <t>zelcash</t>
  </si>
  <si>
    <t>FLUX</t>
  </si>
  <si>
    <t>Flux</t>
  </si>
  <si>
    <t>SafeMoon [OLD]</t>
  </si>
  <si>
    <t>metis-token</t>
  </si>
  <si>
    <t>METIS</t>
  </si>
  <si>
    <t>Metis Token</t>
  </si>
  <si>
    <t>playdapp</t>
  </si>
  <si>
    <t>PLA</t>
  </si>
  <si>
    <t>PlayDapp</t>
  </si>
  <si>
    <t>constitutiondao</t>
  </si>
  <si>
    <t>PEOPLE</t>
  </si>
  <si>
    <t>ConstitutionDAO</t>
  </si>
  <si>
    <t>mimatic</t>
  </si>
  <si>
    <t>MIMATIC</t>
  </si>
  <si>
    <t>MAI</t>
  </si>
  <si>
    <t>XNO</t>
  </si>
  <si>
    <t>zenon</t>
  </si>
  <si>
    <t>ZNN</t>
  </si>
  <si>
    <t>Zenon</t>
  </si>
  <si>
    <t>cratos</t>
  </si>
  <si>
    <t>CRTS</t>
  </si>
  <si>
    <t>Cratos</t>
  </si>
  <si>
    <t>zipmex-token</t>
  </si>
  <si>
    <t>ZMT</t>
  </si>
  <si>
    <t>Zipmex Token</t>
  </si>
  <si>
    <t>creditcoin-2</t>
  </si>
  <si>
    <t>CTC</t>
  </si>
  <si>
    <t>Creditcoin</t>
  </si>
  <si>
    <t>vvs-finance</t>
  </si>
  <si>
    <t>VVS</t>
  </si>
  <si>
    <t>VVS Finance</t>
  </si>
  <si>
    <t>XAVA</t>
  </si>
  <si>
    <t>BUND</t>
  </si>
  <si>
    <t>BPRO</t>
  </si>
  <si>
    <t>RMRK</t>
  </si>
  <si>
    <t>DEPO</t>
  </si>
  <si>
    <t>CREAM</t>
  </si>
  <si>
    <t>OVR</t>
  </si>
  <si>
    <t>POLIS</t>
  </si>
  <si>
    <t>NTVRK</t>
  </si>
  <si>
    <t>SHDW</t>
  </si>
  <si>
    <t>ATLAS</t>
  </si>
  <si>
    <t>MTV</t>
  </si>
  <si>
    <t>AUCTION</t>
  </si>
  <si>
    <t>WILD</t>
  </si>
  <si>
    <t>PDEX</t>
  </si>
  <si>
    <t>EFI</t>
  </si>
  <si>
    <t>WND</t>
  </si>
  <si>
    <t>POLC</t>
  </si>
  <si>
    <t>KYL</t>
  </si>
  <si>
    <t>STEP</t>
  </si>
  <si>
    <t>WEYU</t>
  </si>
  <si>
    <t>bundles</t>
  </si>
  <si>
    <t>Bundles</t>
  </si>
  <si>
    <t>b-protocol</t>
  </si>
  <si>
    <t>B.Protocol</t>
  </si>
  <si>
    <t>rmrk</t>
  </si>
  <si>
    <t>auction</t>
  </si>
  <si>
    <t>Bounce</t>
  </si>
  <si>
    <t>netvrk</t>
  </si>
  <si>
    <t>Netvrk</t>
  </si>
  <si>
    <t>star-atlas</t>
  </si>
  <si>
    <t>Star Atlas</t>
  </si>
  <si>
    <t>ovr</t>
  </si>
  <si>
    <t>Ovr</t>
  </si>
  <si>
    <t>Polkadex</t>
  </si>
  <si>
    <t>polkadex</t>
  </si>
  <si>
    <t>Star Atlas DAO</t>
  </si>
  <si>
    <t>star-atlas-dao</t>
  </si>
  <si>
    <t>Avalaunch</t>
  </si>
  <si>
    <t>avalaunch</t>
  </si>
  <si>
    <t>Wilder World</t>
  </si>
  <si>
    <t>wilder-world</t>
  </si>
  <si>
    <t>multivac</t>
  </si>
  <si>
    <t>MultiVAC</t>
  </si>
  <si>
    <t>Step Finance</t>
  </si>
  <si>
    <t>step-finance</t>
  </si>
  <si>
    <t>genesysgo-shadow</t>
  </si>
  <si>
    <t>GenesysGo Shadow</t>
  </si>
  <si>
    <t>Kylin Network</t>
  </si>
  <si>
    <t>kylin-network</t>
  </si>
  <si>
    <t>Polkacity</t>
  </si>
  <si>
    <t>polka-city</t>
  </si>
  <si>
    <t>WonderHero</t>
  </si>
  <si>
    <t>wonderhero</t>
  </si>
  <si>
    <t>weyu</t>
  </si>
  <si>
    <t>Efinity Token</t>
  </si>
  <si>
    <t>efinity</t>
  </si>
  <si>
    <t>cream-2</t>
  </si>
  <si>
    <t>Cream</t>
  </si>
  <si>
    <t>depo</t>
  </si>
  <si>
    <t>Depo</t>
  </si>
  <si>
    <t>RELAY</t>
  </si>
  <si>
    <t>CLIQ</t>
  </si>
  <si>
    <t>Relay Token</t>
  </si>
  <si>
    <t>relay-token</t>
  </si>
  <si>
    <t>DefiCliq</t>
  </si>
  <si>
    <t>deficliq</t>
  </si>
  <si>
    <t>bitdao</t>
  </si>
  <si>
    <t>BIT</t>
  </si>
  <si>
    <t>BitDAO</t>
  </si>
  <si>
    <t>tenset</t>
  </si>
  <si>
    <t>10SET</t>
  </si>
  <si>
    <t>Tenset</t>
  </si>
  <si>
    <t xml:space="preserve">    Dashboard</t>
  </si>
  <si>
    <t xml:space="preserve">  Enter Transactions</t>
  </si>
  <si>
    <t>Tokens sold</t>
  </si>
  <si>
    <t>Portfolio %</t>
  </si>
  <si>
    <t>Joe's Crypto Tracker &amp; Exit Strategy Sheet</t>
  </si>
  <si>
    <t xml:space="preserve">     Extra coins list</t>
  </si>
  <si>
    <t xml:space="preserve">      Actions</t>
  </si>
  <si>
    <t xml:space="preserve">             Exit strategy</t>
  </si>
  <si>
    <t>% Taken Out</t>
  </si>
  <si>
    <t xml:space="preserve">     Total value left</t>
  </si>
  <si>
    <t>kyber-network-crystal</t>
  </si>
  <si>
    <t>KNC</t>
  </si>
  <si>
    <t>Kyber Network Crystal</t>
  </si>
  <si>
    <t>Capital ($USD) Withdrawn</t>
  </si>
  <si>
    <t>Capital ($USD) Invested</t>
  </si>
  <si>
    <t xml:space="preserve">          Actions</t>
  </si>
  <si>
    <t>AUST</t>
  </si>
  <si>
    <t>AnchorUST</t>
  </si>
  <si>
    <t>anchorust</t>
  </si>
  <si>
    <t>everscale</t>
  </si>
  <si>
    <t>EVER</t>
  </si>
  <si>
    <t>Everscale</t>
  </si>
  <si>
    <t>trust-wallet-token</t>
  </si>
  <si>
    <t>TWT</t>
  </si>
  <si>
    <t>Trust Wallet Token</t>
  </si>
  <si>
    <t>Injective</t>
  </si>
  <si>
    <t>xido-finance</t>
  </si>
  <si>
    <t>XIDO</t>
  </si>
  <si>
    <t>Xido Finance</t>
  </si>
  <si>
    <t>gemini-dollar</t>
  </si>
  <si>
    <t>GUSD</t>
  </si>
  <si>
    <t>Gemini Dollar</t>
  </si>
  <si>
    <t>lido-dao</t>
  </si>
  <si>
    <t>LDO</t>
  </si>
  <si>
    <t>Lido DAO</t>
  </si>
  <si>
    <t>tokemak</t>
  </si>
  <si>
    <t>TOKE</t>
  </si>
  <si>
    <t>Tokemak</t>
  </si>
  <si>
    <t>$CAD Invested</t>
  </si>
  <si>
    <t>Cosmos Hub</t>
  </si>
  <si>
    <t>mirror-protocol</t>
  </si>
  <si>
    <t>MIR</t>
  </si>
  <si>
    <t>Mirror Protocol</t>
  </si>
  <si>
    <t>pirate-chain</t>
  </si>
  <si>
    <t>ARRR</t>
  </si>
  <si>
    <t>Pirate Chain</t>
  </si>
  <si>
    <t>Tokens Over6</t>
  </si>
  <si>
    <t>coinex-token</t>
  </si>
  <si>
    <t>CET</t>
  </si>
  <si>
    <t>CoinEx Token</t>
  </si>
  <si>
    <t>Money Out</t>
  </si>
  <si>
    <t>Money Out2</t>
  </si>
  <si>
    <t>Money Out3</t>
  </si>
  <si>
    <t>Money Out4</t>
  </si>
  <si>
    <t>Money Out5</t>
  </si>
  <si>
    <t xml:space="preserve"> Total Profit</t>
  </si>
  <si>
    <t>Profit6</t>
  </si>
  <si>
    <t>Selling point 6</t>
  </si>
  <si>
    <t>Tokens Sold6</t>
  </si>
  <si>
    <t>Money Out6</t>
  </si>
  <si>
    <t>Profit7</t>
  </si>
  <si>
    <t>Selling point 7</t>
  </si>
  <si>
    <t>Tokens Sold7</t>
  </si>
  <si>
    <t>Tokens Over7</t>
  </si>
  <si>
    <t>Money Out7</t>
  </si>
  <si>
    <t xml:space="preserve">  Dashboard</t>
  </si>
  <si>
    <t xml:space="preserve">  Actions</t>
  </si>
  <si>
    <t>Portfolio Profit</t>
  </si>
  <si>
    <t>floki-inu</t>
  </si>
  <si>
    <t>FLOKI</t>
  </si>
  <si>
    <t>Floki Inu</t>
  </si>
  <si>
    <t>ARC</t>
  </si>
  <si>
    <t>arc</t>
  </si>
  <si>
    <t>Arc</t>
  </si>
  <si>
    <t>stargaze</t>
  </si>
  <si>
    <t>STARS</t>
  </si>
  <si>
    <t>Stargaze</t>
  </si>
  <si>
    <t>astroport</t>
  </si>
  <si>
    <t>ASTRO</t>
  </si>
  <si>
    <t>Astroport</t>
  </si>
  <si>
    <t>tomb</t>
  </si>
  <si>
    <t>TOMB</t>
  </si>
  <si>
    <t>Tomb</t>
  </si>
  <si>
    <t>xsushi</t>
  </si>
  <si>
    <t>XSUSHI</t>
  </si>
  <si>
    <t>xSUSHI</t>
  </si>
  <si>
    <t>stepn</t>
  </si>
  <si>
    <t>GMT</t>
  </si>
  <si>
    <t>STEPN</t>
  </si>
  <si>
    <t>lido-staked-sol</t>
  </si>
  <si>
    <t>STSOL</t>
  </si>
  <si>
    <t>Lido Staked SOL</t>
  </si>
  <si>
    <t>OGN</t>
  </si>
  <si>
    <t>origin-protocol</t>
  </si>
  <si>
    <t>Origin Protocol</t>
  </si>
  <si>
    <t>chromaway</t>
  </si>
  <si>
    <t>CHR</t>
  </si>
  <si>
    <t>Chromia</t>
  </si>
  <si>
    <t>apecoin</t>
  </si>
  <si>
    <t>APE</t>
  </si>
  <si>
    <t>ApeCoin</t>
  </si>
  <si>
    <t>Market Value</t>
  </si>
  <si>
    <t>Add Extra Coins</t>
  </si>
  <si>
    <t xml:space="preserve">                  Dashboard</t>
  </si>
  <si>
    <t>plex</t>
  </si>
  <si>
    <t>PLEX</t>
  </si>
  <si>
    <t>unibright</t>
  </si>
  <si>
    <t>UBT</t>
  </si>
  <si>
    <t>Unibright</t>
  </si>
  <si>
    <t>xyo-network</t>
  </si>
  <si>
    <t>XYO</t>
  </si>
  <si>
    <t>XYO Network</t>
  </si>
  <si>
    <t xml:space="preserve">     Exit Strategy V2</t>
  </si>
  <si>
    <t>yield-guild-games</t>
  </si>
  <si>
    <t>YGG</t>
  </si>
  <si>
    <t>Yield Guild Games</t>
  </si>
  <si>
    <t>status</t>
  </si>
  <si>
    <t>SNT</t>
  </si>
  <si>
    <t>Status</t>
  </si>
  <si>
    <t>energy-web-token</t>
  </si>
  <si>
    <t>EWT</t>
  </si>
  <si>
    <t>Energy Web Token</t>
  </si>
  <si>
    <t>escoin-token</t>
  </si>
  <si>
    <t>ELG</t>
  </si>
  <si>
    <t>Escoin Token</t>
  </si>
  <si>
    <t>tether-eurt</t>
  </si>
  <si>
    <t>EURT</t>
  </si>
  <si>
    <t>Euro Tether</t>
  </si>
  <si>
    <t>Current Price</t>
  </si>
  <si>
    <t>fetch-ai</t>
  </si>
  <si>
    <t>FET</t>
  </si>
  <si>
    <t>Fetch.ai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</si>
</sst>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 * #,##0.00_)\ &quot;$&quot;_ ;_ * \(#,##0.00\)\ &quot;$&quot;_ ;_ * &quot;-&quot;??_)\ &quot;$&quot;_ ;_ @_ "/>
    <numFmt numFmtId="165" formatCode="_-&quot;£&quot;* #,##0.00_-;\-&quot;£&quot;* #,##0.00_-;_-&quot;£&quot;* &quot;-&quot;??_-;_-@_-"/>
    <numFmt numFmtId="166" formatCode="0.0%"/>
    <numFmt numFmtId="167" formatCode="[$$-409]#,##0"/>
    <numFmt numFmtId="170" formatCode="0.0000"/>
    <numFmt numFmtId="171" formatCode="_-[$$-409]* #,##0.00_ ;_-[$$-409]* \-#,##0.00\ ;_-[$$-409]* &quot;-&quot;??_ ;_-@_ "/>
    <numFmt numFmtId="172" formatCode="#,##0.00\ &quot;$&quot;"/>
    <numFmt numFmtId="173" formatCode="#,##0\ &quot;$&quot;"/>
    <numFmt numFmtId="174" formatCode="_ * #,##0.00_)\ [$$-C0C]_ ;_ * \(#,##0.00\)\ [$$-C0C]_ ;_ * &quot;-&quot;??_)\ [$$-C0C]_ ;_ @_ "/>
    <numFmt numFmtId="181" formatCode="_ * #,##0_)\ &quot;$&quot;_ ;_ * \(#,##0\)\ &quot;$&quot;_ ;_ * &quot;-&quot;??_)\ &quot;$&quot;_ ;_ @_ "/>
    <numFmt numFmtId="186" formatCode="#,##0.000000\ &quot;$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3F3F76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11"/>
      <color theme="1"/>
      <name val="Abadi"/>
      <family val="2"/>
    </font>
    <font>
      <sz val="14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8"/>
      <color theme="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/>
        <bgColor theme="9"/>
      </patternFill>
    </fill>
    <fill>
      <patternFill patternType="solid">
        <fgColor rgb="FF40EC6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DFDA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EFE9A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69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 style="thin">
        <color theme="4" tint="0.39997558519241921"/>
      </top>
      <bottom/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theme="4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theme="4"/>
      </right>
      <top style="thin">
        <color rgb="FF7F7F7F"/>
      </top>
      <bottom/>
      <diagonal/>
    </border>
    <border>
      <left/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 style="thin">
        <color theme="4"/>
      </right>
      <top style="thin">
        <color theme="4" tint="0.39997558519241921"/>
      </top>
      <bottom/>
      <diagonal/>
    </border>
  </borders>
  <cellStyleXfs count="11">
    <xf numFmtId="0" fontId="0" fillId="0" borderId="0"/>
    <xf numFmtId="0" fontId="2" fillId="2" borderId="1" applyNumberFormat="0" applyAlignment="0" applyProtection="0"/>
    <xf numFmtId="165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8" fillId="3" borderId="1" applyNumberFormat="0" applyAlignment="0" applyProtection="0"/>
    <xf numFmtId="0" fontId="16" fillId="0" borderId="0"/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7" fillId="0" borderId="0"/>
    <xf numFmtId="0" fontId="20" fillId="0" borderId="0"/>
  </cellStyleXfs>
  <cellXfs count="131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9" fontId="0" fillId="0" borderId="0" xfId="4" applyFont="1"/>
    <xf numFmtId="0" fontId="9" fillId="5" borderId="0" xfId="0" applyFont="1" applyFill="1" applyAlignment="1" applyProtection="1">
      <alignment horizontal="center" vertical="center"/>
      <protection locked="0"/>
    </xf>
    <xf numFmtId="0" fontId="9" fillId="5" borderId="3" xfId="0" applyFont="1" applyFill="1" applyBorder="1" applyAlignment="1">
      <alignment horizontal="center" vertical="center"/>
    </xf>
    <xf numFmtId="166" fontId="2" fillId="2" borderId="1" xfId="1" applyNumberFormat="1" applyAlignment="1" applyProtection="1">
      <alignment horizontal="center" vertical="center"/>
      <protection locked="0"/>
    </xf>
    <xf numFmtId="0" fontId="0" fillId="0" borderId="0" xfId="0" applyNumberFormat="1"/>
    <xf numFmtId="0" fontId="0" fillId="0" borderId="0" xfId="0" applyFont="1"/>
    <xf numFmtId="9" fontId="0" fillId="0" borderId="0" xfId="0" applyNumberFormat="1"/>
    <xf numFmtId="10" fontId="0" fillId="0" borderId="0" xfId="4" applyNumberFormat="1" applyFont="1"/>
    <xf numFmtId="171" fontId="0" fillId="0" borderId="0" xfId="4" applyNumberFormat="1" applyFont="1"/>
    <xf numFmtId="0" fontId="3" fillId="12" borderId="8" xfId="0" applyFont="1" applyFill="1" applyBorder="1"/>
    <xf numFmtId="0" fontId="3" fillId="12" borderId="9" xfId="0" applyFont="1" applyFill="1" applyBorder="1"/>
    <xf numFmtId="0" fontId="7" fillId="0" borderId="0" xfId="3" applyAlignment="1">
      <alignment horizontal="left" vertical="center" indent="1"/>
    </xf>
    <xf numFmtId="0" fontId="0" fillId="0" borderId="0" xfId="4" applyNumberFormat="1" applyFont="1"/>
    <xf numFmtId="0" fontId="8" fillId="3" borderId="1" xfId="5"/>
    <xf numFmtId="0" fontId="14" fillId="0" borderId="0" xfId="0" applyFont="1" applyAlignment="1">
      <alignment horizontal="center"/>
    </xf>
    <xf numFmtId="171" fontId="10" fillId="2" borderId="1" xfId="1" applyNumberFormat="1" applyFont="1" applyAlignment="1" applyProtection="1">
      <alignment horizontal="center"/>
      <protection locked="0"/>
    </xf>
    <xf numFmtId="0" fontId="2" fillId="2" borderId="1" xfId="1" applyProtection="1">
      <protection locked="0"/>
    </xf>
    <xf numFmtId="0" fontId="14" fillId="0" borderId="0" xfId="0" applyFont="1" applyAlignment="1">
      <alignment horizontal="left"/>
    </xf>
    <xf numFmtId="0" fontId="0" fillId="0" borderId="0" xfId="0" applyProtection="1">
      <protection locked="0" hidden="1"/>
    </xf>
    <xf numFmtId="170" fontId="5" fillId="11" borderId="7" xfId="0" applyNumberFormat="1" applyFont="1" applyFill="1" applyBorder="1" applyAlignment="1" applyProtection="1">
      <alignment horizontal="center" vertical="center"/>
    </xf>
    <xf numFmtId="170" fontId="5" fillId="11" borderId="5" xfId="0" applyNumberFormat="1" applyFont="1" applyFill="1" applyBorder="1" applyAlignment="1" applyProtection="1">
      <alignment horizontal="center" vertical="center"/>
    </xf>
    <xf numFmtId="170" fontId="5" fillId="8" borderId="7" xfId="0" applyNumberFormat="1" applyFont="1" applyFill="1" applyBorder="1" applyAlignment="1" applyProtection="1">
      <alignment horizontal="center" vertical="center"/>
    </xf>
    <xf numFmtId="170" fontId="5" fillId="8" borderId="5" xfId="0" applyNumberFormat="1" applyFont="1" applyFill="1" applyBorder="1" applyAlignment="1" applyProtection="1">
      <alignment horizontal="center" vertical="center"/>
    </xf>
    <xf numFmtId="170" fontId="5" fillId="4" borderId="5" xfId="0" applyNumberFormat="1" applyFont="1" applyFill="1" applyBorder="1" applyAlignment="1" applyProtection="1">
      <alignment horizontal="center" vertical="center"/>
    </xf>
    <xf numFmtId="1" fontId="5" fillId="4" borderId="5" xfId="0" applyNumberFormat="1" applyFont="1" applyFill="1" applyBorder="1" applyAlignment="1" applyProtection="1">
      <alignment horizontal="center" vertical="center"/>
    </xf>
    <xf numFmtId="171" fontId="0" fillId="0" borderId="0" xfId="0" applyNumberFormat="1"/>
    <xf numFmtId="171" fontId="15" fillId="2" borderId="1" xfId="1" applyNumberFormat="1" applyFont="1" applyAlignment="1" applyProtection="1">
      <alignment horizontal="center"/>
      <protection locked="0"/>
    </xf>
    <xf numFmtId="0" fontId="2" fillId="2" borderId="10" xfId="1" applyBorder="1" applyProtection="1">
      <protection locked="0"/>
    </xf>
    <xf numFmtId="0" fontId="12" fillId="5" borderId="5" xfId="0" applyFont="1" applyFill="1" applyBorder="1" applyAlignment="1" applyProtection="1">
      <alignment horizontal="left" vertical="top" wrapText="1"/>
    </xf>
    <xf numFmtId="0" fontId="12" fillId="5" borderId="5" xfId="0" applyFont="1" applyFill="1" applyBorder="1" applyAlignment="1">
      <alignment horizontal="left" vertical="top" wrapText="1"/>
    </xf>
    <xf numFmtId="0" fontId="12" fillId="7" borderId="5" xfId="0" applyFont="1" applyFill="1" applyBorder="1" applyAlignment="1" applyProtection="1">
      <alignment horizontal="left" vertical="top" wrapText="1"/>
    </xf>
    <xf numFmtId="0" fontId="12" fillId="7" borderId="5" xfId="0" applyFont="1" applyFill="1" applyBorder="1" applyAlignment="1">
      <alignment horizontal="left" vertical="top" wrapText="1"/>
    </xf>
    <xf numFmtId="0" fontId="0" fillId="0" borderId="0" xfId="0" applyFont="1" applyAlignment="1">
      <alignment horizontal="center"/>
    </xf>
    <xf numFmtId="0" fontId="18" fillId="0" borderId="0" xfId="0" applyFont="1" applyAlignment="1">
      <alignment horizontal="center" vertical="top"/>
    </xf>
    <xf numFmtId="14" fontId="2" fillId="2" borderId="1" xfId="1" applyNumberFormat="1" applyFont="1" applyAlignment="1" applyProtection="1">
      <alignment horizontal="center" vertical="center"/>
      <protection locked="0"/>
    </xf>
    <xf numFmtId="0" fontId="2" fillId="2" borderId="1" xfId="1" applyFont="1" applyAlignment="1" applyProtection="1">
      <alignment horizontal="center" vertical="center"/>
      <protection locked="0"/>
    </xf>
    <xf numFmtId="171" fontId="2" fillId="2" borderId="1" xfId="1" applyNumberFormat="1" applyFont="1" applyAlignment="1" applyProtection="1">
      <alignment horizontal="center" vertical="center"/>
      <protection locked="0"/>
    </xf>
    <xf numFmtId="0" fontId="8" fillId="3" borderId="10" xfId="5" applyNumberFormat="1" applyFont="1" applyBorder="1" applyAlignment="1" applyProtection="1">
      <alignment horizontal="center" vertical="center"/>
    </xf>
    <xf numFmtId="14" fontId="2" fillId="2" borderId="10" xfId="1" applyNumberFormat="1" applyFont="1" applyBorder="1" applyAlignment="1" applyProtection="1">
      <alignment horizontal="center" vertical="center"/>
      <protection locked="0"/>
    </xf>
    <xf numFmtId="2" fontId="2" fillId="2" borderId="10" xfId="1" applyNumberFormat="1" applyFont="1" applyBorder="1" applyAlignment="1" applyProtection="1">
      <alignment horizontal="center" vertical="center"/>
      <protection locked="0"/>
    </xf>
    <xf numFmtId="0" fontId="2" fillId="2" borderId="10" xfId="1" applyFont="1" applyBorder="1" applyAlignment="1" applyProtection="1">
      <alignment horizontal="center" vertical="center"/>
      <protection locked="0"/>
    </xf>
    <xf numFmtId="171" fontId="2" fillId="2" borderId="10" xfId="1" applyNumberFormat="1" applyFont="1" applyBorder="1" applyAlignment="1" applyProtection="1">
      <alignment horizontal="center" vertical="center"/>
      <protection locked="0"/>
    </xf>
    <xf numFmtId="171" fontId="8" fillId="3" borderId="10" xfId="5" applyNumberFormat="1" applyFont="1" applyBorder="1" applyAlignment="1" applyProtection="1">
      <alignment horizontal="center" vertical="center"/>
    </xf>
    <xf numFmtId="171" fontId="8" fillId="3" borderId="10" xfId="5" applyNumberFormat="1" applyFont="1" applyBorder="1"/>
    <xf numFmtId="2" fontId="2" fillId="2" borderId="1" xfId="1" applyNumberFormat="1" applyFont="1" applyBorder="1" applyAlignment="1" applyProtection="1">
      <alignment horizontal="center" vertical="center"/>
      <protection locked="0"/>
    </xf>
    <xf numFmtId="0" fontId="2" fillId="2" borderId="1" xfId="1" applyFont="1" applyBorder="1" applyAlignment="1" applyProtection="1">
      <alignment horizontal="center" vertical="center"/>
      <protection locked="0"/>
    </xf>
    <xf numFmtId="171" fontId="0" fillId="0" borderId="0" xfId="0" applyNumberFormat="1" applyFont="1"/>
    <xf numFmtId="0" fontId="18" fillId="0" borderId="0" xfId="0" applyFont="1" applyAlignment="1">
      <alignment horizontal="left" vertical="top"/>
    </xf>
    <xf numFmtId="0" fontId="12" fillId="6" borderId="5" xfId="0" applyFont="1" applyFill="1" applyBorder="1" applyAlignment="1" applyProtection="1">
      <alignment horizontal="left" vertical="top" wrapText="1"/>
    </xf>
    <xf numFmtId="0" fontId="13" fillId="6" borderId="4" xfId="0" applyFont="1" applyFill="1" applyBorder="1" applyAlignment="1" applyProtection="1">
      <alignment horizontal="left" vertical="top" wrapText="1"/>
      <protection locked="0"/>
    </xf>
    <xf numFmtId="0" fontId="14" fillId="0" borderId="0" xfId="0" applyFont="1" applyAlignment="1"/>
    <xf numFmtId="0" fontId="13" fillId="6" borderId="4" xfId="0" applyFont="1" applyFill="1" applyBorder="1" applyAlignment="1" applyProtection="1">
      <alignment horizontal="left" vertical="top" wrapText="1"/>
    </xf>
    <xf numFmtId="0" fontId="0" fillId="14" borderId="11" xfId="0" applyNumberFormat="1" applyFill="1" applyBorder="1" applyProtection="1">
      <protection locked="0" hidden="1"/>
    </xf>
    <xf numFmtId="0" fontId="0" fillId="19" borderId="11" xfId="0" applyNumberFormat="1" applyFill="1" applyBorder="1" applyProtection="1">
      <protection locked="0" hidden="1"/>
    </xf>
    <xf numFmtId="0" fontId="0" fillId="20" borderId="11" xfId="0" applyNumberFormat="1" applyFill="1" applyBorder="1" applyProtection="1">
      <protection locked="0" hidden="1"/>
    </xf>
    <xf numFmtId="0" fontId="0" fillId="7" borderId="11" xfId="0" applyNumberFormat="1" applyFill="1" applyBorder="1" applyProtection="1">
      <protection locked="0" hidden="1"/>
    </xf>
    <xf numFmtId="0" fontId="0" fillId="15" borderId="11" xfId="0" applyNumberFormat="1" applyFill="1" applyBorder="1" applyProtection="1">
      <protection locked="0" hidden="1"/>
    </xf>
    <xf numFmtId="0" fontId="0" fillId="16" borderId="11" xfId="0" applyNumberFormat="1" applyFill="1" applyBorder="1" applyProtection="1">
      <protection locked="0" hidden="1"/>
    </xf>
    <xf numFmtId="0" fontId="0" fillId="18" borderId="11" xfId="0" applyNumberFormat="1" applyFill="1" applyBorder="1" applyProtection="1">
      <protection locked="0" hidden="1"/>
    </xf>
    <xf numFmtId="0" fontId="0" fillId="17" borderId="11" xfId="0" applyNumberFormat="1" applyFill="1" applyBorder="1" applyProtection="1">
      <protection locked="0" hidden="1"/>
    </xf>
    <xf numFmtId="0" fontId="18" fillId="0" borderId="0" xfId="0" applyFont="1" applyAlignment="1">
      <alignment vertical="top"/>
    </xf>
    <xf numFmtId="0" fontId="14" fillId="0" borderId="0" xfId="0" applyFont="1" applyAlignment="1">
      <alignment horizontal="center"/>
    </xf>
    <xf numFmtId="0" fontId="9" fillId="5" borderId="0" xfId="0" applyFont="1" applyFill="1" applyAlignment="1" applyProtection="1">
      <alignment horizontal="left" vertical="center"/>
    </xf>
    <xf numFmtId="171" fontId="9" fillId="5" borderId="0" xfId="0" applyNumberFormat="1" applyFont="1" applyFill="1" applyAlignment="1" applyProtection="1">
      <alignment horizontal="left" vertical="center"/>
      <protection locked="0"/>
    </xf>
    <xf numFmtId="0" fontId="9" fillId="5" borderId="0" xfId="0" applyFont="1" applyFill="1" applyAlignment="1" applyProtection="1">
      <alignment horizontal="left" vertical="center"/>
      <protection locked="0"/>
    </xf>
    <xf numFmtId="0" fontId="19" fillId="14" borderId="11" xfId="0" applyNumberFormat="1" applyFont="1" applyFill="1" applyBorder="1" applyAlignment="1" applyProtection="1">
      <alignment horizontal="left" vertical="center"/>
      <protection locked="0" hidden="1"/>
    </xf>
    <xf numFmtId="0" fontId="11" fillId="9" borderId="0" xfId="0" applyFont="1" applyFill="1" applyBorder="1" applyAlignment="1">
      <alignment horizontal="center" vertical="center"/>
    </xf>
    <xf numFmtId="0" fontId="9" fillId="9" borderId="0" xfId="0" applyFont="1" applyFill="1" applyAlignment="1" applyProtection="1">
      <alignment horizontal="center" vertical="center"/>
      <protection locked="0"/>
    </xf>
    <xf numFmtId="171" fontId="8" fillId="9" borderId="0" xfId="5" applyNumberFormat="1" applyFont="1" applyFill="1" applyBorder="1" applyAlignment="1" applyProtection="1">
      <alignment horizontal="center" vertical="center"/>
    </xf>
    <xf numFmtId="171" fontId="8" fillId="9" borderId="1" xfId="5" applyNumberFormat="1" applyFont="1" applyFill="1" applyAlignment="1" applyProtection="1">
      <alignment horizontal="center" vertical="center"/>
    </xf>
    <xf numFmtId="0" fontId="14" fillId="0" borderId="0" xfId="0" applyFont="1" applyAlignment="1">
      <alignment horizontal="center"/>
    </xf>
    <xf numFmtId="170" fontId="5" fillId="22" borderId="5" xfId="0" applyNumberFormat="1" applyFont="1" applyFill="1" applyBorder="1" applyAlignment="1" applyProtection="1">
      <alignment horizontal="center" vertical="center"/>
    </xf>
    <xf numFmtId="0" fontId="0" fillId="0" borderId="15" xfId="0" applyBorder="1"/>
    <xf numFmtId="167" fontId="5" fillId="9" borderId="12" xfId="0" applyNumberFormat="1" applyFont="1" applyFill="1" applyBorder="1" applyAlignment="1">
      <alignment horizontal="center" vertical="center"/>
    </xf>
    <xf numFmtId="0" fontId="0" fillId="0" borderId="0" xfId="0" applyBorder="1"/>
    <xf numFmtId="167" fontId="5" fillId="9" borderId="0" xfId="0" applyNumberFormat="1" applyFont="1" applyFill="1" applyBorder="1" applyAlignment="1">
      <alignment horizontal="center" vertical="center"/>
    </xf>
    <xf numFmtId="170" fontId="5" fillId="11" borderId="14" xfId="0" applyNumberFormat="1" applyFont="1" applyFill="1" applyBorder="1" applyAlignment="1" applyProtection="1">
      <alignment horizontal="center" vertical="center"/>
    </xf>
    <xf numFmtId="173" fontId="5" fillId="13" borderId="2" xfId="0" applyNumberFormat="1" applyFont="1" applyFill="1" applyBorder="1" applyAlignment="1">
      <alignment horizontal="center" vertical="center"/>
    </xf>
    <xf numFmtId="173" fontId="5" fillId="13" borderId="16" xfId="2" applyNumberFormat="1" applyFont="1" applyFill="1" applyBorder="1" applyAlignment="1">
      <alignment horizontal="center" vertical="center"/>
    </xf>
    <xf numFmtId="173" fontId="5" fillId="0" borderId="0" xfId="0" applyNumberFormat="1" applyFont="1" applyAlignment="1">
      <alignment horizontal="center" vertical="center"/>
    </xf>
    <xf numFmtId="173" fontId="5" fillId="13" borderId="2" xfId="2" applyNumberFormat="1" applyFont="1" applyFill="1" applyBorder="1" applyAlignment="1">
      <alignment horizontal="center" vertical="center"/>
    </xf>
    <xf numFmtId="172" fontId="5" fillId="4" borderId="4" xfId="0" applyNumberFormat="1" applyFont="1" applyFill="1" applyBorder="1" applyAlignment="1" applyProtection="1">
      <alignment horizontal="center" vertical="center"/>
    </xf>
    <xf numFmtId="172" fontId="2" fillId="2" borderId="6" xfId="1" applyNumberFormat="1" applyBorder="1" applyAlignment="1">
      <alignment horizontal="center" vertical="center"/>
    </xf>
    <xf numFmtId="173" fontId="5" fillId="11" borderId="5" xfId="0" applyNumberFormat="1" applyFont="1" applyFill="1" applyBorder="1" applyAlignment="1" applyProtection="1">
      <alignment horizontal="center" vertical="center"/>
    </xf>
    <xf numFmtId="173" fontId="5" fillId="23" borderId="5" xfId="0" applyNumberFormat="1" applyFont="1" applyFill="1" applyBorder="1" applyAlignment="1" applyProtection="1">
      <alignment horizontal="center" vertical="center"/>
    </xf>
    <xf numFmtId="173" fontId="5" fillId="8" borderId="5" xfId="0" applyNumberFormat="1" applyFont="1" applyFill="1" applyBorder="1" applyAlignment="1" applyProtection="1">
      <alignment horizontal="center" vertical="center"/>
    </xf>
    <xf numFmtId="173" fontId="5" fillId="24" borderId="5" xfId="0" applyNumberFormat="1" applyFont="1" applyFill="1" applyBorder="1" applyAlignment="1" applyProtection="1">
      <alignment horizontal="center" vertical="center"/>
    </xf>
    <xf numFmtId="173" fontId="5" fillId="22" borderId="5" xfId="0" applyNumberFormat="1" applyFont="1" applyFill="1" applyBorder="1" applyAlignment="1" applyProtection="1">
      <alignment horizontal="center" vertical="center"/>
    </xf>
    <xf numFmtId="173" fontId="5" fillId="4" borderId="5" xfId="0" applyNumberFormat="1" applyFont="1" applyFill="1" applyBorder="1" applyAlignment="1" applyProtection="1">
      <alignment horizontal="center" vertical="center"/>
    </xf>
    <xf numFmtId="173" fontId="5" fillId="23" borderId="22" xfId="0" applyNumberFormat="1" applyFont="1" applyFill="1" applyBorder="1" applyAlignment="1" applyProtection="1">
      <alignment horizontal="center" vertical="center"/>
    </xf>
    <xf numFmtId="173" fontId="5" fillId="25" borderId="5" xfId="0" applyNumberFormat="1" applyFont="1" applyFill="1" applyBorder="1" applyAlignment="1" applyProtection="1">
      <alignment horizontal="center" vertical="center"/>
    </xf>
    <xf numFmtId="172" fontId="2" fillId="2" borderId="18" xfId="1" applyNumberFormat="1" applyBorder="1" applyAlignment="1">
      <alignment horizontal="center" vertical="center"/>
    </xf>
    <xf numFmtId="172" fontId="2" fillId="2" borderId="17" xfId="1" applyNumberFormat="1" applyBorder="1" applyAlignment="1">
      <alignment horizontal="center" vertical="center"/>
    </xf>
    <xf numFmtId="173" fontId="5" fillId="24" borderId="22" xfId="0" applyNumberFormat="1" applyFont="1" applyFill="1" applyBorder="1" applyAlignment="1" applyProtection="1">
      <alignment horizontal="center" vertical="center"/>
    </xf>
    <xf numFmtId="173" fontId="5" fillId="24" borderId="19" xfId="0" applyNumberFormat="1" applyFont="1" applyFill="1" applyBorder="1" applyAlignment="1" applyProtection="1">
      <alignment horizontal="center" vertical="center"/>
    </xf>
    <xf numFmtId="172" fontId="2" fillId="2" borderId="20" xfId="1" applyNumberFormat="1" applyBorder="1" applyAlignment="1">
      <alignment horizontal="center" vertical="center"/>
    </xf>
    <xf numFmtId="172" fontId="2" fillId="2" borderId="21" xfId="1" applyNumberFormat="1" applyBorder="1" applyAlignment="1">
      <alignment horizontal="center" vertical="center"/>
    </xf>
    <xf numFmtId="44" fontId="2" fillId="2" borderId="1" xfId="1" applyNumberFormat="1" applyFont="1" applyBorder="1" applyAlignment="1" applyProtection="1">
      <alignment horizontal="center" vertical="center"/>
      <protection locked="0"/>
    </xf>
    <xf numFmtId="44" fontId="2" fillId="2" borderId="10" xfId="1" applyNumberFormat="1" applyFont="1" applyBorder="1" applyAlignment="1" applyProtection="1">
      <alignment horizontal="center" vertical="center"/>
      <protection locked="0"/>
    </xf>
    <xf numFmtId="44" fontId="2" fillId="2" borderId="1" xfId="1" applyNumberFormat="1" applyFont="1" applyAlignment="1" applyProtection="1">
      <alignment horizontal="center" vertical="center"/>
      <protection locked="0"/>
    </xf>
    <xf numFmtId="44" fontId="8" fillId="3" borderId="1" xfId="5" applyNumberFormat="1" applyFont="1" applyBorder="1" applyAlignment="1" applyProtection="1">
      <alignment horizontal="center" vertical="center"/>
    </xf>
    <xf numFmtId="44" fontId="8" fillId="3" borderId="1" xfId="5" applyNumberFormat="1" applyFont="1" applyAlignment="1" applyProtection="1">
      <alignment horizontal="center" vertical="center"/>
    </xf>
    <xf numFmtId="44" fontId="8" fillId="3" borderId="1" xfId="5" applyNumberFormat="1" applyFont="1"/>
    <xf numFmtId="44" fontId="8" fillId="3" borderId="10" xfId="5" applyNumberFormat="1" applyFont="1" applyBorder="1" applyAlignment="1" applyProtection="1">
      <alignment horizontal="center" vertical="center"/>
    </xf>
    <xf numFmtId="44" fontId="8" fillId="3" borderId="10" xfId="5" applyNumberFormat="1" applyFont="1" applyBorder="1"/>
    <xf numFmtId="14" fontId="2" fillId="2" borderId="1" xfId="1" applyNumberFormat="1" applyFont="1" applyBorder="1" applyAlignment="1" applyProtection="1">
      <alignment horizontal="center" vertical="center"/>
      <protection locked="0"/>
    </xf>
    <xf numFmtId="181" fontId="10" fillId="21" borderId="13" xfId="0" applyNumberFormat="1" applyFont="1" applyFill="1" applyBorder="1" applyAlignment="1">
      <alignment horizontal="center" vertical="center"/>
    </xf>
    <xf numFmtId="181" fontId="10" fillId="2" borderId="1" xfId="1" applyNumberFormat="1" applyFont="1" applyAlignment="1" applyProtection="1">
      <alignment horizontal="center" vertical="center"/>
      <protection locked="0"/>
    </xf>
    <xf numFmtId="186" fontId="5" fillId="4" borderId="4" xfId="0" applyNumberFormat="1" applyFont="1" applyFill="1" applyBorder="1" applyAlignment="1" applyProtection="1">
      <alignment horizontal="center" vertical="center"/>
    </xf>
    <xf numFmtId="172" fontId="0" fillId="10" borderId="0" xfId="0" applyNumberFormat="1" applyFill="1" applyProtection="1">
      <protection hidden="1"/>
    </xf>
    <xf numFmtId="10" fontId="0" fillId="10" borderId="0" xfId="0" applyNumberFormat="1" applyFill="1" applyProtection="1">
      <protection locked="0" hidden="1"/>
    </xf>
    <xf numFmtId="0" fontId="0" fillId="26" borderId="11" xfId="0" applyNumberFormat="1" applyFill="1" applyBorder="1" applyProtection="1">
      <protection locked="0" hidden="1"/>
    </xf>
    <xf numFmtId="0" fontId="0" fillId="27" borderId="11" xfId="0" applyNumberFormat="1" applyFill="1" applyBorder="1" applyProtection="1">
      <protection locked="0" hidden="1"/>
    </xf>
    <xf numFmtId="0" fontId="0" fillId="28" borderId="11" xfId="0" applyNumberFormat="1" applyFill="1" applyBorder="1" applyProtection="1">
      <protection locked="0" hidden="1"/>
    </xf>
    <xf numFmtId="0" fontId="0" fillId="0" borderId="0" xfId="0" applyProtection="1">
      <protection locked="0"/>
    </xf>
    <xf numFmtId="0" fontId="0" fillId="0" borderId="0" xfId="0" applyFont="1" applyProtection="1">
      <protection locked="0" hidden="1"/>
    </xf>
    <xf numFmtId="0" fontId="0" fillId="0" borderId="0" xfId="0" applyFont="1" applyAlignment="1" applyProtection="1">
      <alignment horizontal="left"/>
      <protection locked="0" hidden="1"/>
    </xf>
    <xf numFmtId="0" fontId="4" fillId="10" borderId="0" xfId="0" applyFont="1" applyFill="1" applyAlignment="1" applyProtection="1">
      <alignment horizontal="center"/>
      <protection locked="0" hidden="1"/>
    </xf>
    <xf numFmtId="0" fontId="11" fillId="5" borderId="0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0" fillId="9" borderId="0" xfId="0" applyFill="1" applyAlignment="1">
      <alignment horizontal="left"/>
    </xf>
    <xf numFmtId="0" fontId="14" fillId="0" borderId="0" xfId="0" applyFont="1" applyAlignment="1">
      <alignment horizontal="center"/>
    </xf>
    <xf numFmtId="0" fontId="4" fillId="10" borderId="0" xfId="0" applyFont="1" applyFill="1" applyAlignment="1" applyProtection="1">
      <alignment horizontal="center"/>
      <protection locked="0" hidden="1"/>
    </xf>
    <xf numFmtId="0" fontId="21" fillId="5" borderId="0" xfId="0" applyFont="1" applyFill="1" applyAlignment="1">
      <alignment horizontal="center" vertical="center" wrapText="1"/>
    </xf>
    <xf numFmtId="174" fontId="0" fillId="0" borderId="0" xfId="2" applyNumberFormat="1" applyFont="1"/>
  </cellXfs>
  <cellStyles count="11">
    <cellStyle name="Calcul" xfId="5" builtinId="22"/>
    <cellStyle name="Entrée" xfId="1" builtinId="20"/>
    <cellStyle name="Lien hypertexte" xfId="3" builtinId="8"/>
    <cellStyle name="Monétaire" xfId="2" builtinId="4"/>
    <cellStyle name="Monétaire 2" xfId="8" xr:uid="{F2A7F012-9475-48EF-883A-1590D42B5C44}"/>
    <cellStyle name="Normal" xfId="0" builtinId="0"/>
    <cellStyle name="Normal 2" xfId="6" xr:uid="{FE3E9057-2A84-45AB-B369-64947A36403A}"/>
    <cellStyle name="Normal 3" xfId="9" xr:uid="{7DEBC6EB-5208-419A-A1C2-07E11E8210CD}"/>
    <cellStyle name="Normal 4" xfId="10" xr:uid="{B271E0D1-FC1A-41BE-B98C-87EF30C1E221}"/>
    <cellStyle name="Pourcentage" xfId="4" builtinId="5"/>
    <cellStyle name="Pourcentage 2" xfId="7" xr:uid="{84D96622-5DCB-476E-B92A-95B7361BC54E}"/>
  </cellStyles>
  <dxfs count="10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4" formatCode="_ * #,##0.00_)\ [$$-C0C]_ ;_ * \(#,##0.00\)\ [$$-C0C]_ ;_ * &quot;-&quot;??_)\ [$$-C0C]_ ;_ @_ 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numFmt numFmtId="174" formatCode="_ * #,##0.00_)\ [$$-C0C]_ ;_ * \(#,##0.00\)\ [$$-C0C]_ ;_ * &quot;-&quot;??_)\ [$$-C0C]_ ;_ @_ "/>
      <alignment horizontal="right" vertical="bottom" textRotation="0" wrapText="0" indent="0" justifyLastLine="0" shrinkToFit="0" readingOrder="0"/>
      <protection locked="1" hidden="1"/>
    </dxf>
    <dxf>
      <numFmt numFmtId="174" formatCode="_ * #,##0.00_)\ [$$-C0C]_ ;_ * \(#,##0.00\)\ [$$-C0C]_ ;_ * &quot;-&quot;??_)\ [$$-C0C]_ ;_ @_ "/>
    </dxf>
    <dxf>
      <numFmt numFmtId="174" formatCode="_ * #,##0.00_)\ [$$-C0C]_ ;_ * \(#,##0.00\)\ [$$-C0C]_ ;_ * &quot;-&quot;??_)\ [$$-C0C]_ ;_ @_ "/>
      <protection locked="0" hidden="1"/>
    </dxf>
    <dxf>
      <protection locked="0" hidden="1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1" formatCode="_-[$$-409]* #,##0.00_ ;_-[$$-409]* \-#,##0.00\ ;_-[$$-409]* &quot;-&quot;??_ ;_-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3" formatCode="0%"/>
    </dxf>
    <dxf>
      <numFmt numFmtId="13" formatCode="0%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protection locked="0" hidden="1"/>
    </dxf>
    <dxf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2" formatCode="#,##0.0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7F7F7F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2" formatCode="#,##0.0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7F7F7F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7F7F7F"/>
        </left>
        <right/>
        <top style="thin">
          <color theme="4" tint="0.3999755851924192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7F7F7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7F7F7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7F7F7F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7F7F7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7F7F7F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7F7F7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7F7F7F"/>
        </right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3" formatCode="#,##0\ &quot;$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0" formatCode="0.00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7F7F7F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2" formatCode="#,##0.00\ &quot;$&quot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family val="2"/>
        <scheme val="minor"/>
      </font>
      <numFmt numFmtId="0" formatCode="General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 style="thin">
          <color theme="4" tint="0.39997558519241921"/>
        </vertical>
        <horizontal style="thin">
          <color theme="4" tint="0.39997558519241921"/>
        </horizontal>
      </border>
      <protection locked="0" hidden="1"/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border outline="0">
        <left style="thin">
          <color rgb="FF7F7F7F"/>
        </left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border outline="0">
        <left style="thin">
          <color rgb="FF7F7F7F"/>
        </left>
        <right style="thin">
          <color rgb="FF7F7F7F"/>
        </right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alignment horizontal="center" vertical="center" textRotation="0" wrapText="0" indent="0" justifyLastLine="0" shrinkToFit="0" readingOrder="0"/>
      <border outline="0">
        <left style="thin">
          <color rgb="FF7F7F7F"/>
        </left>
        <right style="thin">
          <color rgb="FF7F7F7F"/>
        </right>
      </border>
      <protection locked="1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alignment horizontal="center" vertical="center" textRotation="0" wrapText="0" indent="0" justifyLastLine="0" shrinkToFit="0" readingOrder="0"/>
      <border>
        <right style="thin">
          <color rgb="FF7F7F7F"/>
        </right>
      </border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outline="0">
        <right style="thin">
          <color rgb="FF7F7F7F"/>
        </right>
      </border>
      <protection locked="1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8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alignment horizontal="center" vertical="center" textRotation="0" wrapText="0" indent="0" justifyLastLine="0" shrinkToFit="0" readingOrder="0"/>
      <border outline="0">
        <left style="thin">
          <color rgb="FF7F7F7F"/>
        </left>
      </border>
      <protection locked="1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71" formatCode="_-[$$-409]* #,##0.00_ ;_-[$$-409]* \-#,##0.00\ ;_-[$$-409]* &quot;-&quot;??_ ;_-@_ "/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8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/>
      </border>
      <protection locked="0" hidden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0099"/>
      <color rgb="FFF29B60"/>
      <color rgb="FFEF853D"/>
      <color rgb="FF9966FF"/>
      <color rgb="FF9900FF"/>
      <color rgb="FFFFFF69"/>
      <color rgb="FFFF3399"/>
      <color rgb="FF00DFDA"/>
      <color rgb="FF66FFFF"/>
      <color rgb="FFFEFE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Action!A1"/><Relationship Id="rId7" Type="http://schemas.openxmlformats.org/officeDocument/2006/relationships/hyperlink" Target="#Dashboard!A1"/><Relationship Id="rId2" Type="http://schemas.openxmlformats.org/officeDocument/2006/relationships/image" Target="../media/image1.png"/><Relationship Id="rId1" Type="http://schemas.openxmlformats.org/officeDocument/2006/relationships/hyperlink" Target="#Menu!A1"/><Relationship Id="rId6" Type="http://schemas.openxmlformats.org/officeDocument/2006/relationships/image" Target="../media/image3.png"/><Relationship Id="rId5" Type="http://schemas.openxmlformats.org/officeDocument/2006/relationships/hyperlink" Target="#'extra coins'!A1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#'Sale points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hyperlink" Target="#Action!A1"/><Relationship Id="rId7" Type="http://schemas.openxmlformats.org/officeDocument/2006/relationships/hyperlink" Target="#'Transaction Entry'!A1"/><Relationship Id="rId12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hyperlink" Target="#Menu!A1"/><Relationship Id="rId6" Type="http://schemas.openxmlformats.org/officeDocument/2006/relationships/image" Target="../media/image4.png"/><Relationship Id="rId11" Type="http://schemas.openxmlformats.org/officeDocument/2006/relationships/hyperlink" Target="#'Altcoins Take Profit Strategy'!A1"/><Relationship Id="rId5" Type="http://schemas.openxmlformats.org/officeDocument/2006/relationships/hyperlink" Target="#Dashboard!A1"/><Relationship Id="rId10" Type="http://schemas.openxmlformats.org/officeDocument/2006/relationships/image" Target="../media/image3.png"/><Relationship Id="rId4" Type="http://schemas.openxmlformats.org/officeDocument/2006/relationships/image" Target="../media/image2.png"/><Relationship Id="rId9" Type="http://schemas.openxmlformats.org/officeDocument/2006/relationships/hyperlink" Target="#'extra coins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#Action!A1"/><Relationship Id="rId7" Type="http://schemas.openxmlformats.org/officeDocument/2006/relationships/hyperlink" Target="#'Sale points'!A1"/><Relationship Id="rId2" Type="http://schemas.openxmlformats.org/officeDocument/2006/relationships/image" Target="../media/image1.png"/><Relationship Id="rId1" Type="http://schemas.openxmlformats.org/officeDocument/2006/relationships/hyperlink" Target="#Menu!A1"/><Relationship Id="rId6" Type="http://schemas.openxmlformats.org/officeDocument/2006/relationships/image" Target="../media/image4.png"/><Relationship Id="rId5" Type="http://schemas.openxmlformats.org/officeDocument/2006/relationships/hyperlink" Target="#Dashboard!A1"/><Relationship Id="rId10" Type="http://schemas.openxmlformats.org/officeDocument/2006/relationships/image" Target="../media/image6.png"/><Relationship Id="rId4" Type="http://schemas.openxmlformats.org/officeDocument/2006/relationships/image" Target="../media/image2.png"/><Relationship Id="rId9" Type="http://schemas.openxmlformats.org/officeDocument/2006/relationships/hyperlink" Target="#'Transaction Entry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0</xdr:rowOff>
    </xdr:from>
    <xdr:ext cx="600075" cy="886919"/>
    <xdr:pic>
      <xdr:nvPicPr>
        <xdr:cNvPr id="8" name="Picture 7" descr="Office Chair Ca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C6333A8-BF69-46BF-80D7-BE3D36D3F2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8" t="5905" r="20000" b="10629"/>
        <a:stretch/>
      </xdr:blipFill>
      <xdr:spPr>
        <a:xfrm>
          <a:off x="76200" y="0"/>
          <a:ext cx="600075" cy="886919"/>
        </a:xfrm>
        <a:prstGeom prst="rect">
          <a:avLst/>
        </a:prstGeom>
      </xdr:spPr>
    </xdr:pic>
    <xdr:clientData/>
  </xdr:oneCellAnchor>
  <xdr:twoCellAnchor editAs="oneCell">
    <xdr:from>
      <xdr:col>4</xdr:col>
      <xdr:colOff>647700</xdr:colOff>
      <xdr:row>1</xdr:row>
      <xdr:rowOff>85724</xdr:rowOff>
    </xdr:from>
    <xdr:to>
      <xdr:col>4</xdr:col>
      <xdr:colOff>1719269</xdr:colOff>
      <xdr:row>3</xdr:row>
      <xdr:rowOff>23699</xdr:rowOff>
    </xdr:to>
    <xdr:pic>
      <xdr:nvPicPr>
        <xdr:cNvPr id="3" name="Picture 2" descr="Question Cat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8CEBCC4-C886-4243-9121-4CD8949E2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0975" y="571499"/>
          <a:ext cx="1071569" cy="9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</xdr:colOff>
      <xdr:row>1</xdr:row>
      <xdr:rowOff>114296</xdr:rowOff>
    </xdr:from>
    <xdr:to>
      <xdr:col>5</xdr:col>
      <xdr:colOff>1165236</xdr:colOff>
      <xdr:row>3</xdr:row>
      <xdr:rowOff>52271</xdr:rowOff>
    </xdr:to>
    <xdr:pic>
      <xdr:nvPicPr>
        <xdr:cNvPr id="4" name="Picture 3" descr="Warming Ca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D6D4847-FB92-465E-91F8-507B9E7ED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3216"/>
        <a:stretch/>
      </xdr:blipFill>
      <xdr:spPr>
        <a:xfrm>
          <a:off x="5257801" y="600071"/>
          <a:ext cx="1165235" cy="9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314324</xdr:colOff>
      <xdr:row>1</xdr:row>
      <xdr:rowOff>95249</xdr:rowOff>
    </xdr:from>
    <xdr:to>
      <xdr:col>8</xdr:col>
      <xdr:colOff>200947</xdr:colOff>
      <xdr:row>3</xdr:row>
      <xdr:rowOff>33224</xdr:rowOff>
    </xdr:to>
    <xdr:pic>
      <xdr:nvPicPr>
        <xdr:cNvPr id="7" name="Picture 6" descr="Sleep Cat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805ABEF-A3FB-46CA-AA39-21DF0074DD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1" t="10124" r="6526" b="16045"/>
        <a:stretch/>
      </xdr:blipFill>
      <xdr:spPr>
        <a:xfrm>
          <a:off x="8086724" y="581024"/>
          <a:ext cx="1143923" cy="9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1</xdr:row>
      <xdr:rowOff>66675</xdr:rowOff>
    </xdr:from>
    <xdr:to>
      <xdr:col>7</xdr:col>
      <xdr:colOff>57021</xdr:colOff>
      <xdr:row>3</xdr:row>
      <xdr:rowOff>4650</xdr:rowOff>
    </xdr:to>
    <xdr:pic>
      <xdr:nvPicPr>
        <xdr:cNvPr id="9" name="Picture 6" descr="Jump Cat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76911F7-CDE7-48C2-8945-A71958D8B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0289" r="10175" b="8523"/>
        <a:stretch/>
      </xdr:blipFill>
      <xdr:spPr>
        <a:xfrm>
          <a:off x="6800850" y="552450"/>
          <a:ext cx="1028571" cy="9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6350</xdr:rowOff>
    </xdr:from>
    <xdr:to>
      <xdr:col>10</xdr:col>
      <xdr:colOff>511175</xdr:colOff>
      <xdr:row>0</xdr:row>
      <xdr:rowOff>893269</xdr:rowOff>
    </xdr:to>
    <xdr:pic>
      <xdr:nvPicPr>
        <xdr:cNvPr id="4" name="Picture 3" descr="Office Chair Ca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FBE15B-6F6F-43BF-9E45-985F82DA7A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8" t="5905" r="20000" b="10629"/>
        <a:stretch/>
      </xdr:blipFill>
      <xdr:spPr>
        <a:xfrm>
          <a:off x="2301875" y="6350"/>
          <a:ext cx="508000" cy="886919"/>
        </a:xfrm>
        <a:prstGeom prst="rect">
          <a:avLst/>
        </a:prstGeom>
      </xdr:spPr>
    </xdr:pic>
    <xdr:clientData/>
  </xdr:twoCellAnchor>
  <xdr:twoCellAnchor>
    <xdr:from>
      <xdr:col>10</xdr:col>
      <xdr:colOff>28575</xdr:colOff>
      <xdr:row>0</xdr:row>
      <xdr:rowOff>0</xdr:rowOff>
    </xdr:from>
    <xdr:to>
      <xdr:col>11</xdr:col>
      <xdr:colOff>123825</xdr:colOff>
      <xdr:row>0</xdr:row>
      <xdr:rowOff>1123950</xdr:rowOff>
    </xdr:to>
    <xdr:sp macro="" textlink="">
      <xdr:nvSpPr>
        <xdr:cNvPr id="5" name="Speech Bubble: Rectangle with Corners Rounded 4">
          <a:extLst>
            <a:ext uri="{FF2B5EF4-FFF2-40B4-BE49-F238E27FC236}">
              <a16:creationId xmlns:a16="http://schemas.microsoft.com/office/drawing/2014/main" id="{DB9B28EB-BFE8-4636-9D5C-FC644ECEDABB}"/>
            </a:ext>
          </a:extLst>
        </xdr:cNvPr>
        <xdr:cNvSpPr/>
      </xdr:nvSpPr>
      <xdr:spPr>
        <a:xfrm>
          <a:off x="5600700" y="0"/>
          <a:ext cx="1914525" cy="1123950"/>
        </a:xfrm>
        <a:prstGeom prst="wedgeRoundRectCallout">
          <a:avLst>
            <a:gd name="adj1" fmla="val -60304"/>
            <a:gd name="adj2" fmla="val -902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To refresh prices, click "Data" at top of screen then "Refresh all"</a:t>
          </a:r>
          <a:r>
            <a:rPr lang="en-GB" sz="900"/>
            <a:t> </a:t>
          </a:r>
        </a:p>
      </xdr:txBody>
    </xdr:sp>
    <xdr:clientData/>
  </xdr:twoCellAnchor>
  <xdr:oneCellAnchor>
    <xdr:from>
      <xdr:col>7</xdr:col>
      <xdr:colOff>38100</xdr:colOff>
      <xdr:row>0</xdr:row>
      <xdr:rowOff>0</xdr:rowOff>
    </xdr:from>
    <xdr:ext cx="657225" cy="1140324"/>
    <xdr:pic>
      <xdr:nvPicPr>
        <xdr:cNvPr id="7" name="Picture 6" descr="Office Chair Ca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B7B9E3-F0D4-4A0F-B9E2-C74BE6C48D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8" t="5905" r="20000" b="10629"/>
        <a:stretch/>
      </xdr:blipFill>
      <xdr:spPr>
        <a:xfrm>
          <a:off x="4419600" y="0"/>
          <a:ext cx="657225" cy="1140324"/>
        </a:xfrm>
        <a:prstGeom prst="rect">
          <a:avLst/>
        </a:prstGeom>
      </xdr:spPr>
    </xdr:pic>
    <xdr:clientData/>
  </xdr:oneCellAnchor>
  <xdr:twoCellAnchor editAs="oneCell">
    <xdr:from>
      <xdr:col>13</xdr:col>
      <xdr:colOff>144992</xdr:colOff>
      <xdr:row>0</xdr:row>
      <xdr:rowOff>161924</xdr:rowOff>
    </xdr:from>
    <xdr:to>
      <xdr:col>14</xdr:col>
      <xdr:colOff>123207</xdr:colOff>
      <xdr:row>0</xdr:row>
      <xdr:rowOff>881924</xdr:rowOff>
    </xdr:to>
    <xdr:pic>
      <xdr:nvPicPr>
        <xdr:cNvPr id="6" name="Picture 5" descr="Question Cat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06824CF-ECBC-4059-8BAB-310A75AC7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2659" y="161924"/>
          <a:ext cx="856631" cy="72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10583</xdr:colOff>
      <xdr:row>0</xdr:row>
      <xdr:rowOff>133347</xdr:rowOff>
    </xdr:from>
    <xdr:to>
      <xdr:col>13</xdr:col>
      <xdr:colOff>34664</xdr:colOff>
      <xdr:row>0</xdr:row>
      <xdr:rowOff>853347</xdr:rowOff>
    </xdr:to>
    <xdr:pic>
      <xdr:nvPicPr>
        <xdr:cNvPr id="10" name="Picture 9" descr="Sleep Ca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EBD1C6-D77F-46EA-8441-31E11C73E7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1" t="10124" r="6526" b="16045"/>
        <a:stretch/>
      </xdr:blipFill>
      <xdr:spPr>
        <a:xfrm>
          <a:off x="7958666" y="133347"/>
          <a:ext cx="923665" cy="72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254004</xdr:colOff>
      <xdr:row>0</xdr:row>
      <xdr:rowOff>158749</xdr:rowOff>
    </xdr:from>
    <xdr:to>
      <xdr:col>15</xdr:col>
      <xdr:colOff>340046</xdr:colOff>
      <xdr:row>0</xdr:row>
      <xdr:rowOff>878749</xdr:rowOff>
    </xdr:to>
    <xdr:pic>
      <xdr:nvPicPr>
        <xdr:cNvPr id="9" name="Picture 4" descr="Eating Cat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41FEEC8-FC9C-4EAE-A84C-E88522AA72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99" t="15031" r="6723" b="18648"/>
        <a:stretch/>
      </xdr:blipFill>
      <xdr:spPr>
        <a:xfrm>
          <a:off x="9980087" y="158749"/>
          <a:ext cx="890376" cy="72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571499</xdr:colOff>
      <xdr:row>0</xdr:row>
      <xdr:rowOff>137583</xdr:rowOff>
    </xdr:from>
    <xdr:to>
      <xdr:col>17</xdr:col>
      <xdr:colOff>30573</xdr:colOff>
      <xdr:row>0</xdr:row>
      <xdr:rowOff>929583</xdr:rowOff>
    </xdr:to>
    <xdr:pic>
      <xdr:nvPicPr>
        <xdr:cNvPr id="12" name="Picture 3" descr="Warming Cat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10A794E-C49E-419F-BB09-9FFB152AC5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13216"/>
        <a:stretch/>
      </xdr:blipFill>
      <xdr:spPr>
        <a:xfrm>
          <a:off x="14181666" y="137583"/>
          <a:ext cx="1025407" cy="792000"/>
        </a:xfrm>
        <a:prstGeom prst="rect">
          <a:avLst/>
        </a:prstGeom>
      </xdr:spPr>
    </xdr:pic>
    <xdr:clientData/>
  </xdr:twoCellAnchor>
  <xdr:oneCellAnchor>
    <xdr:from>
      <xdr:col>17</xdr:col>
      <xdr:colOff>349250</xdr:colOff>
      <xdr:row>0</xdr:row>
      <xdr:rowOff>148167</xdr:rowOff>
    </xdr:from>
    <xdr:ext cx="822857" cy="720000"/>
    <xdr:pic>
      <xdr:nvPicPr>
        <xdr:cNvPr id="11" name="Picture 6" descr="Jump Cat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94391C5A-18E2-4AA3-A25C-6DADA595F4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0289" r="10175" b="8523"/>
        <a:stretch/>
      </xdr:blipFill>
      <xdr:spPr>
        <a:xfrm>
          <a:off x="15525750" y="148167"/>
          <a:ext cx="822857" cy="720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104775</xdr:rowOff>
    </xdr:from>
    <xdr:ext cx="600075" cy="886919"/>
    <xdr:pic>
      <xdr:nvPicPr>
        <xdr:cNvPr id="2" name="Picture 1" descr="Office Chair Ca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CF9258-A37C-4CCD-B692-0898811427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8" t="5905" r="20000" b="10629"/>
        <a:stretch/>
      </xdr:blipFill>
      <xdr:spPr>
        <a:xfrm>
          <a:off x="76200" y="104775"/>
          <a:ext cx="600075" cy="886919"/>
        </a:xfrm>
        <a:prstGeom prst="rect">
          <a:avLst/>
        </a:prstGeom>
      </xdr:spPr>
    </xdr:pic>
    <xdr:clientData/>
  </xdr:oneCellAnchor>
  <xdr:twoCellAnchor editAs="oneCell">
    <xdr:from>
      <xdr:col>3</xdr:col>
      <xdr:colOff>38100</xdr:colOff>
      <xdr:row>0</xdr:row>
      <xdr:rowOff>85724</xdr:rowOff>
    </xdr:from>
    <xdr:to>
      <xdr:col>4</xdr:col>
      <xdr:colOff>66675</xdr:colOff>
      <xdr:row>2</xdr:row>
      <xdr:rowOff>145402</xdr:rowOff>
    </xdr:to>
    <xdr:pic>
      <xdr:nvPicPr>
        <xdr:cNvPr id="5" name="Picture 4" descr="Question Cat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6F901AA-EC5B-4505-B3E6-7A4446539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85724"/>
          <a:ext cx="1238250" cy="1040753"/>
        </a:xfrm>
        <a:prstGeom prst="rect">
          <a:avLst/>
        </a:prstGeom>
      </xdr:spPr>
    </xdr:pic>
    <xdr:clientData/>
  </xdr:twoCellAnchor>
  <xdr:twoCellAnchor editAs="oneCell">
    <xdr:from>
      <xdr:col>5</xdr:col>
      <xdr:colOff>1571624</xdr:colOff>
      <xdr:row>0</xdr:row>
      <xdr:rowOff>114300</xdr:rowOff>
    </xdr:from>
    <xdr:to>
      <xdr:col>6</xdr:col>
      <xdr:colOff>1266824</xdr:colOff>
      <xdr:row>2</xdr:row>
      <xdr:rowOff>75431</xdr:rowOff>
    </xdr:to>
    <xdr:pic>
      <xdr:nvPicPr>
        <xdr:cNvPr id="8" name="Picture 7" descr="Sleep Cat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D1065CB-A3D2-4CD8-88FC-D7A5920025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1" t="10124" r="6526" b="16045"/>
        <a:stretch/>
      </xdr:blipFill>
      <xdr:spPr>
        <a:xfrm>
          <a:off x="6238874" y="114300"/>
          <a:ext cx="1266825" cy="942206"/>
        </a:xfrm>
        <a:prstGeom prst="rect">
          <a:avLst/>
        </a:prstGeom>
      </xdr:spPr>
    </xdr:pic>
    <xdr:clientData/>
  </xdr:twoCellAnchor>
  <xdr:twoCellAnchor editAs="oneCell">
    <xdr:from>
      <xdr:col>5</xdr:col>
      <xdr:colOff>323850</xdr:colOff>
      <xdr:row>0</xdr:row>
      <xdr:rowOff>161925</xdr:rowOff>
    </xdr:from>
    <xdr:to>
      <xdr:col>5</xdr:col>
      <xdr:colOff>1352421</xdr:colOff>
      <xdr:row>2</xdr:row>
      <xdr:rowOff>80850</xdr:rowOff>
    </xdr:to>
    <xdr:pic>
      <xdr:nvPicPr>
        <xdr:cNvPr id="9" name="Picture 6" descr="Jump Cat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07E5622-540B-44E6-BD7E-A74CEC9970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0289" r="10175" b="8523"/>
        <a:stretch/>
      </xdr:blipFill>
      <xdr:spPr>
        <a:xfrm>
          <a:off x="4991100" y="161925"/>
          <a:ext cx="1028571" cy="9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0</xdr:row>
      <xdr:rowOff>133350</xdr:rowOff>
    </xdr:from>
    <xdr:to>
      <xdr:col>5</xdr:col>
      <xdr:colOff>8173</xdr:colOff>
      <xdr:row>2</xdr:row>
      <xdr:rowOff>106275</xdr:rowOff>
    </xdr:to>
    <xdr:pic>
      <xdr:nvPicPr>
        <xdr:cNvPr id="11" name="Picture 4" descr="Eating Cat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CF7DDAB-92AB-4893-B5E7-7B4BC4C271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99" t="15031" r="6723" b="18648"/>
        <a:stretch/>
      </xdr:blipFill>
      <xdr:spPr>
        <a:xfrm>
          <a:off x="3495676" y="133350"/>
          <a:ext cx="1179747" cy="95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0</xdr:row>
      <xdr:rowOff>6350</xdr:rowOff>
    </xdr:from>
    <xdr:to>
      <xdr:col>5</xdr:col>
      <xdr:colOff>577850</xdr:colOff>
      <xdr:row>4</xdr:row>
      <xdr:rowOff>163019</xdr:rowOff>
    </xdr:to>
    <xdr:pic>
      <xdr:nvPicPr>
        <xdr:cNvPr id="2" name="Picture 1" descr="Office Chair Cat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677815-DD52-4F5B-B63A-636CBEC8A5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8" t="5905" r="20000" b="10629"/>
        <a:stretch/>
      </xdr:blipFill>
      <xdr:spPr>
        <a:xfrm>
          <a:off x="9245600" y="6350"/>
          <a:ext cx="508000" cy="886919"/>
        </a:xfrm>
        <a:prstGeom prst="rect">
          <a:avLst/>
        </a:prstGeom>
      </xdr:spPr>
    </xdr:pic>
    <xdr:clientData/>
  </xdr:twoCellAnchor>
  <xdr:twoCellAnchor>
    <xdr:from>
      <xdr:col>5</xdr:col>
      <xdr:colOff>895351</xdr:colOff>
      <xdr:row>0</xdr:row>
      <xdr:rowOff>0</xdr:rowOff>
    </xdr:from>
    <xdr:to>
      <xdr:col>7</xdr:col>
      <xdr:colOff>847725</xdr:colOff>
      <xdr:row>5</xdr:row>
      <xdr:rowOff>876</xdr:rowOff>
    </xdr:to>
    <xdr:sp macro="" textlink="">
      <xdr:nvSpPr>
        <xdr:cNvPr id="3" name="Speech Bubble: Rectangle with Corners Rounded 2">
          <a:extLst>
            <a:ext uri="{FF2B5EF4-FFF2-40B4-BE49-F238E27FC236}">
              <a16:creationId xmlns:a16="http://schemas.microsoft.com/office/drawing/2014/main" id="{2F4215C6-4C4A-47B8-AE06-4A2A6F883635}"/>
            </a:ext>
          </a:extLst>
        </xdr:cNvPr>
        <xdr:cNvSpPr/>
      </xdr:nvSpPr>
      <xdr:spPr>
        <a:xfrm>
          <a:off x="8058151" y="0"/>
          <a:ext cx="3181349" cy="953376"/>
        </a:xfrm>
        <a:prstGeom prst="wedgeRoundRectCallout">
          <a:avLst>
            <a:gd name="adj1" fmla="val -60304"/>
            <a:gd name="adj2" fmla="val -902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To refresh prices, click "Data" at top of screen then "Refresh all"</a:t>
          </a:r>
          <a:r>
            <a:rPr lang="en-GB" sz="900"/>
            <a:t>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0" xr16:uid="{7D1FB0A4-B509-4434-94A6-A8F7D13A9C3E}" autoFormatId="16" applyNumberFormats="0" applyBorderFormats="0" applyFontFormats="0" applyPatternFormats="0" applyAlignmentFormats="0" applyWidthHeightFormats="0">
  <queryTableRefresh nextId="9">
    <queryTableFields count="8">
      <queryTableField id="1" name="name" tableColumnId="1"/>
      <queryTableField id="2" name="ticker" tableColumnId="2"/>
      <queryTableField id="3" name="Initial Holding" tableColumnId="3"/>
      <queryTableField id="4" name="average per coin" tableColumnId="4"/>
      <queryTableField id="5" name="Acquisition Cost" tableColumnId="5"/>
      <queryTableField id="6" name="Current Price" tableColumnId="6"/>
      <queryTableField id="7" name="Market Value" tableColumnId="7"/>
      <queryTableField id="8" name="Portfolio %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DCB2647-06B5-4EBB-BA01-91AE2F2A61D2}" autoFormatId="16" applyNumberFormats="0" applyBorderFormats="0" applyFontFormats="0" applyPatternFormats="0" applyAlignmentFormats="0" applyWidthHeightFormats="0">
  <queryTableRefresh nextId="40">
    <queryTableFields count="39">
      <queryTableField id="1" name="ticker" tableColumnId="1"/>
      <queryTableField id="2" name="current_price" tableColumnId="2"/>
      <queryTableField id="3" name="Coins Held" tableColumnId="3"/>
      <queryTableField id="4" name="ADC" tableColumnId="4"/>
      <queryTableField id="5" name="Cost of Investment" tableColumnId="5"/>
      <queryTableField id="6" name="Current Value" tableColumnId="6"/>
      <queryTableField id="7" name="Profit/Loss" tableColumnId="7"/>
      <queryTableField id="8" name="ROI" tableColumnId="8"/>
      <queryTableField id="9" name="24H % Change" tableColumnId="9"/>
      <queryTableField id="10" name="Sold" tableColumnId="10"/>
      <queryTableField id="11" name="Cost" tableColumnId="11"/>
      <queryTableField id="12" name="Profit" tableColumnId="12"/>
      <queryTableField id="13" name="No of Sales" tableColumnId="13"/>
      <queryTableField id="14" name="Selling point 1" tableColumnId="14"/>
      <queryTableField id="15" name="Tokens Sold" tableColumnId="15"/>
      <queryTableField id="16" name="Tokens Over" tableColumnId="16"/>
      <queryTableField id="17" name="Profit.1" tableColumnId="17"/>
      <queryTableField id="18" name="Selling point 2" tableColumnId="18"/>
      <queryTableField id="19" name="Tokens Sold2" tableColumnId="19"/>
      <queryTableField id="20" name="Tokens Over2" tableColumnId="20"/>
      <queryTableField id="21" name="Profit2" tableColumnId="21"/>
      <queryTableField id="22" name="Selling point 3" tableColumnId="22"/>
      <queryTableField id="23" name="Tokens Sold3" tableColumnId="23"/>
      <queryTableField id="24" name="Tokens Over3" tableColumnId="24"/>
      <queryTableField id="25" name="Profit3" tableColumnId="25"/>
      <queryTableField id="26" name="Selling point 4" tableColumnId="26"/>
      <queryTableField id="27" name="Tokens Sold4" tableColumnId="27"/>
      <queryTableField id="28" name="Tokens Over4" tableColumnId="28"/>
      <queryTableField id="29" name="Profit4" tableColumnId="29"/>
      <queryTableField id="30" name="Selling point 5" tableColumnId="30"/>
      <queryTableField id="31" name="Tokens Sold5" tableColumnId="31"/>
      <queryTableField id="32" name="Tokens Over5" tableColumnId="32"/>
      <queryTableField id="33" name="Profit5" tableColumnId="33"/>
      <queryTableField id="34" name="Total Profit" tableColumnId="34"/>
      <queryTableField id="35" name="Total Tokens Over" tableColumnId="35"/>
      <queryTableField id="36" name="Value of tokens over" tableColumnId="36"/>
      <queryTableField id="37" name="remaining profit" tableColumnId="37"/>
      <queryTableField id="38" name="next sale" tableColumnId="38"/>
      <queryTableField id="39" name="Merged" tableColumnId="39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" xr16:uid="{C177D882-B4CC-4643-94A4-E9BC1C30432D}" autoFormatId="16" applyNumberFormats="0" applyBorderFormats="0" applyFontFormats="0" applyPatternFormats="0" applyAlignmentFormats="0" applyWidthHeightFormats="0">
  <queryTableRefresh nextId="11">
    <queryTableFields count="5">
      <queryTableField id="6" name="id" tableColumnId="1"/>
      <queryTableField id="7" name="symbol" tableColumnId="2"/>
      <queryTableField id="8" name="name" tableColumnId="3"/>
      <queryTableField id="9" name="current_price" tableColumnId="4"/>
      <queryTableField id="10" name="price_change_percentage_24h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27A5FBD-0C89-48FC-916C-1718C1BA4E34}" name="Purchases" displayName="Purchases" ref="B7:F70" totalsRowShown="0" headerRowDxfId="100" dataDxfId="99">
  <autoFilter ref="B7:F70" xr:uid="{F27A5FBD-0C89-48FC-916C-1718C1BA4E34}"/>
  <sortState xmlns:xlrd2="http://schemas.microsoft.com/office/spreadsheetml/2017/richdata2" ref="B8:F70">
    <sortCondition ref="C7:C70"/>
  </sortState>
  <tableColumns count="5">
    <tableColumn id="3" xr3:uid="{C235F656-3F55-48D1-B250-D863E7A3FD76}" name=" Purchase date" dataDxfId="98"/>
    <tableColumn id="9" xr3:uid="{D9B03D02-42F4-4597-942A-5632BC64FA2D}" name="Coin" dataDxfId="97"/>
    <tableColumn id="10" xr3:uid="{DAD6E2FA-9312-49AE-A45D-F453257CF0C5}" name="No. of coins" dataDxfId="96"/>
    <tableColumn id="11" xr3:uid="{A3F2F133-92DF-4CAA-A871-445EC58010CD}" name="Total Cost $" dataDxfId="95"/>
    <tableColumn id="12" xr3:uid="{8B53555B-3278-4273-A866-4B03ECEF4FDD}" name="$ per coin" dataDxfId="94">
      <calculatedColumnFormula>IFERROR(Purchases[[#This Row],[Total Cost $]]/Purchases[[#This Row],[No. of coins]],"")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B40E8B3-D24B-421F-AD9E-1FC9FD7AE7CC}" name="Sales" displayName="Sales" ref="I7:P18" totalsRowShown="0" headerRowDxfId="93" dataDxfId="92">
  <autoFilter ref="I7:P18" xr:uid="{0B40E8B3-D24B-421F-AD9E-1FC9FD7AE7CC}"/>
  <tableColumns count="8">
    <tableColumn id="3" xr3:uid="{8724416A-3B6B-4EF9-9C64-DA8BC05B6CC0}" name="Sales Date" dataDxfId="91"/>
    <tableColumn id="9" xr3:uid="{4D1449CC-A81B-4DC6-A680-B4E289D90A0D}" name="Coin" dataDxfId="90"/>
    <tableColumn id="13" xr3:uid="{349AAD39-5ADC-4BC3-8881-FACB8EF3A141}" name="Sell Point" dataDxfId="89"/>
    <tableColumn id="10" xr3:uid="{8E9693CD-FEAC-4B28-8391-DD8B45A08D00}" name="No. of coins" dataDxfId="88">
      <calculatedColumnFormula>IFERROR(INDEX(CO_entry[#All],MATCH(Sales[[#This Row],[Coin]],CO_entry[[#All],[ticker]],0),MATCH(Sales[[#This Row],[Sell Point]],CO_entry[#Headers],0)),"")</calculatedColumnFormula>
    </tableColumn>
    <tableColumn id="11" xr3:uid="{8C09191E-27F5-4E45-A61D-8AB1DA835D93}" name="Total Income" dataDxfId="87">
      <calculatedColumnFormula>Sales[[#This Row],[No. of coins]]*'Sale points'!L37</calculatedColumnFormula>
    </tableColumn>
    <tableColumn id="12" xr3:uid="{B7DE6F40-B5D1-4B0B-9D0F-AAB0E8B6E259}" name="$ per coin" dataDxfId="86">
      <calculatedColumnFormula>IFERROR(Sales[[#This Row],[Total Income]]/Sales[[#This Row],[No. of coins]],"")</calculatedColumnFormula>
    </tableColumn>
    <tableColumn id="14" xr3:uid="{8B7E0380-1CAF-446F-B17D-0032A4EB3771}" name="cost" dataDxfId="85">
      <calculatedColumnFormula>IFERROR(AVERAGEIF(Purchases[Coin],Sales[[#This Row],[Coin]],Purchases[$ per coin])*Sales[[#This Row],[No. of coins]],"")</calculatedColumnFormula>
    </tableColumn>
    <tableColumn id="15" xr3:uid="{41BA110B-D6CF-47E6-98B5-E8B779A2CCF8}" name="Profit" dataDxfId="84">
      <calculatedColumnFormula>IFERROR(Sales[[#This Row],[Total Income]]-Sales[[#This Row],[cost]],"")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F96C1E2-8D99-4232-BDF5-9B20D191743E}" name="CO_entry" displayName="CO_entry" ref="J6:AW69" totalsRowShown="0" headerRowDxfId="83" dataDxfId="82" tableBorderDxfId="81">
  <autoFilter ref="J6:AW69" xr:uid="{AF96C1E2-8D99-4232-BDF5-9B20D191743E}"/>
  <sortState xmlns:xlrd2="http://schemas.microsoft.com/office/spreadsheetml/2017/richdata2" ref="J7:AW69">
    <sortCondition ref="J6:J69"/>
  </sortState>
  <tableColumns count="40">
    <tableColumn id="1" xr3:uid="{49B64A97-73DD-4A13-AE95-E6424C4BDADF}" name="ticker" dataDxfId="80"/>
    <tableColumn id="2" xr3:uid="{EC3A11E8-A34D-44AB-B517-CB36EBBD7615}" name="Current price (Refresh Price sheet)" dataDxfId="79">
      <calculatedColumnFormula>IFERROR(VLOOKUP(J7,price_feed[[symbol]:[current_price]],3,FALSE),"")</calculatedColumnFormula>
    </tableColumn>
    <tableColumn id="3" xr3:uid="{A7A03649-65E0-4B6B-80BE-45B2764B51C6}" name="Selling point 1" dataDxfId="78"/>
    <tableColumn id="4" xr3:uid="{51AC23DD-EFA3-4C9D-AA25-67B719AC9AF3}" name="Tokens Sold" dataDxfId="77">
      <calculatedColumnFormula>IFERROR(VLOOKUP(J7,#REF!,2,FALSE)*M$4,"")</calculatedColumnFormula>
    </tableColumn>
    <tableColumn id="5" xr3:uid="{AC2EA6AD-429F-4CD6-802A-21D0DE5E8464}" name="Tokens Over" dataDxfId="76">
      <calculatedColumnFormula>IFERROR(VLOOKUP(CO_entry[[#This Row],[ticker]],#REF!,2,FALSE)-CO_entry[[#This Row],[Tokens Sold]],"")</calculatedColumnFormula>
    </tableColumn>
    <tableColumn id="27" xr3:uid="{8424861E-43E0-4BF0-87A8-D81F15E742A9}" name="Money Out" dataDxfId="75">
      <calculatedColumnFormula>IFERROR(CO_entry[[#This Row],[Tokens Sold]]*CO_entry[[#This Row],[Selling point 1]],"")</calculatedColumnFormula>
    </tableColumn>
    <tableColumn id="6" xr3:uid="{1BC9FBF7-C0F3-4439-A438-1E1739936FAA}" name="Profit" dataDxfId="74">
      <calculatedColumnFormula>IFERROR((L7*M7)-(VLOOKUP(J7,#REF!,3,FALSE)*M7),"")</calculatedColumnFormula>
    </tableColumn>
    <tableColumn id="7" xr3:uid="{E8C46D1A-9F82-421E-AB5B-17C103689B34}" name="Selling point 2" dataDxfId="73">
      <calculatedColumnFormula>IFERROR(VLOOKUP(J7,#REF!,3,FALSE)*3.5,"")</calculatedColumnFormula>
    </tableColumn>
    <tableColumn id="8" xr3:uid="{6FB66F6E-C22C-4705-A24A-D547116BFCFF}" name="Tokens Sold2" dataDxfId="72">
      <calculatedColumnFormula>IFERROR(N7*R$4,"")</calculatedColumnFormula>
    </tableColumn>
    <tableColumn id="9" xr3:uid="{1A6E17B6-758A-4BC6-9146-67A5297A3061}" name="Tokens Over2" dataDxfId="71">
      <calculatedColumnFormula>IFERROR(N7-R7,"")</calculatedColumnFormula>
    </tableColumn>
    <tableColumn id="30" xr3:uid="{E27BE358-3971-4C2F-8673-CB72D3EDB483}" name="Money Out2" dataDxfId="70">
      <calculatedColumnFormula>IFERROR(CO_entry[[#This Row],[Tokens Sold2]]*CO_entry[[#This Row],[Selling point 2]],"")</calculatedColumnFormula>
    </tableColumn>
    <tableColumn id="10" xr3:uid="{6FA1855F-031A-4845-B0D1-DC60CCBCFD29}" name="Profit2" dataDxfId="69">
      <calculatedColumnFormula>IFERROR((Q7*R7)-(VLOOKUP(J7,#REF!,3,FALSE)*R7),"")</calculatedColumnFormula>
    </tableColumn>
    <tableColumn id="11" xr3:uid="{5FFF7313-3E39-4200-96E5-6B971AF194E0}" name="Selling point 3" dataDxfId="68">
      <calculatedColumnFormula>IFERROR(VLOOKUP(J7,#REF!,3,FALSE)*4.5,"")</calculatedColumnFormula>
    </tableColumn>
    <tableColumn id="12" xr3:uid="{CB83C3A6-F523-4FCC-97F4-5509BCEF2577}" name="Tokens Sold3" dataDxfId="67">
      <calculatedColumnFormula>IFERROR(S7*W$4,"")</calculatedColumnFormula>
    </tableColumn>
    <tableColumn id="13" xr3:uid="{07B227EF-BD05-48FC-B613-A607E57781B7}" name="Tokens Over3" dataDxfId="66">
      <calculatedColumnFormula>IFERROR(S7-W7,"")</calculatedColumnFormula>
    </tableColumn>
    <tableColumn id="31" xr3:uid="{9CE50E1F-DBBC-4CB0-9ACD-9D0B7D731F78}" name="Money Out3" dataDxfId="65">
      <calculatedColumnFormula>IFERROR(CO_entry[[#This Row],[Tokens Sold3]]*CO_entry[[#This Row],[Selling point 3]],"")</calculatedColumnFormula>
    </tableColumn>
    <tableColumn id="14" xr3:uid="{C01F5D17-F359-425A-819F-F272271BDC56}" name="Profit3" dataDxfId="64">
      <calculatedColumnFormula>IFERROR((V7*W7)-(VLOOKUP(J7,#REF!,3,FALSE)*W7),"")</calculatedColumnFormula>
    </tableColumn>
    <tableColumn id="15" xr3:uid="{DDBD1812-67B9-4D6F-85E4-7573948A3AD1}" name="Selling point 4" dataDxfId="63">
      <calculatedColumnFormula>IFERROR(VLOOKUP(J7,#REF!,3,FALSE)*6,"")</calculatedColumnFormula>
    </tableColumn>
    <tableColumn id="16" xr3:uid="{BBC1260E-7A16-42E8-ADAA-3AA2BE537DC6}" name="Tokens Sold4" dataDxfId="62">
      <calculatedColumnFormula>IFERROR(X7*AB$4,"")</calculatedColumnFormula>
    </tableColumn>
    <tableColumn id="17" xr3:uid="{8E95779A-7137-4BEF-9483-5BF4FC16A24C}" name="Tokens Over4" dataDxfId="61">
      <calculatedColumnFormula>IFERROR(X7-AB7,"")</calculatedColumnFormula>
    </tableColumn>
    <tableColumn id="32" xr3:uid="{D66C8DFA-A227-4850-8A16-5BCA5013B3E7}" name="Money Out4" dataDxfId="60">
      <calculatedColumnFormula>IFERROR(CO_entry[[#This Row],[Tokens Sold4]]*CO_entry[[#This Row],[Selling point 4]],"")</calculatedColumnFormula>
    </tableColumn>
    <tableColumn id="18" xr3:uid="{50349779-F2DA-4859-8742-B0389483A8F6}" name="Profit4" dataDxfId="59">
      <calculatedColumnFormula>IFERROR((AA7*AB7)-(VLOOKUP(J7,#REF!,3,FALSE)*AB7),"")</calculatedColumnFormula>
    </tableColumn>
    <tableColumn id="19" xr3:uid="{EFD5F0D3-359A-4104-A1A6-579602A4C955}" name="Selling point 5" dataDxfId="58">
      <calculatedColumnFormula>IFERROR(VLOOKUP(J7,#REF!,3,FALSE)*8,"")</calculatedColumnFormula>
    </tableColumn>
    <tableColumn id="20" xr3:uid="{D16EB55A-FF42-494D-82F9-C9FDB4E610F0}" name="Tokens Sold5" dataDxfId="57">
      <calculatedColumnFormula>IFERROR(AC7*AG$4,"")</calculatedColumnFormula>
    </tableColumn>
    <tableColumn id="21" xr3:uid="{C0D342F9-BA71-4CB3-B0B4-776FC3FF29A3}" name="Tokens Over5" dataDxfId="56">
      <calculatedColumnFormula>IFERROR(AC7-AG7,"")</calculatedColumnFormula>
    </tableColumn>
    <tableColumn id="33" xr3:uid="{6FB6DD66-7682-4E42-A2C1-95318352E896}" name="Money Out5" dataDxfId="55">
      <calculatedColumnFormula>IFERROR(CO_entry[[#This Row],[Tokens Sold5]]*CO_entry[[#This Row],[Selling point 5]],"")</calculatedColumnFormula>
    </tableColumn>
    <tableColumn id="22" xr3:uid="{DB1064B6-9736-4A4E-877F-7194D564E94C}" name="Profit5" dataDxfId="54">
      <calculatedColumnFormula>IFERROR((AF7*AG7)-(VLOOKUP(J7,#REF!,3,FALSE)*AG7),"")</calculatedColumnFormula>
    </tableColumn>
    <tableColumn id="38" xr3:uid="{E9A825C8-584E-41CF-9BB3-C2A1A314C469}" name="Selling point 6" dataDxfId="53">
      <calculatedColumnFormula>IFERROR(VLOOKUP(J7,#REF!,3,FALSE)*10,"")</calculatedColumnFormula>
    </tableColumn>
    <tableColumn id="37" xr3:uid="{479F15EA-D422-4A4F-9610-002385E71BEB}" name="Tokens Sold6" dataDxfId="52">
      <calculatedColumnFormula>IFERROR(AH7*AL$4,"")</calculatedColumnFormula>
    </tableColumn>
    <tableColumn id="36" xr3:uid="{E26E4BA4-16AE-443D-A91F-6FA487504BDF}" name="Tokens Over6" dataDxfId="51">
      <calculatedColumnFormula>IFERROR(AH7-AL7,"")</calculatedColumnFormula>
    </tableColumn>
    <tableColumn id="35" xr3:uid="{E897AB14-0F56-4C42-B593-3A9459069E16}" name="Money Out6" dataDxfId="50">
      <calculatedColumnFormula>IFERROR(CO_entry[[#This Row],[Tokens Sold6]]*CO_entry[[#This Row],[Selling point 6]],"")</calculatedColumnFormula>
    </tableColumn>
    <tableColumn id="34" xr3:uid="{432B09F1-F7EF-45A8-A946-BDD48FDD07B0}" name="Profit6" dataDxfId="49">
      <calculatedColumnFormula>IFERROR((AK7*AL7)-(VLOOKUP(J7,#REF!,3,FALSE)*AL7),"")</calculatedColumnFormula>
    </tableColumn>
    <tableColumn id="43" xr3:uid="{D37D9A64-439A-442B-BF18-E6E273581C2E}" name="Selling point 7" dataDxfId="48">
      <calculatedColumnFormula>IFERROR(VLOOKUP(J7,#REF!,3,FALSE)*12,"")</calculatedColumnFormula>
    </tableColumn>
    <tableColumn id="42" xr3:uid="{3A133CD6-2354-4751-B652-172CA16A965F}" name="Tokens Sold7" dataDxfId="47">
      <calculatedColumnFormula>IFERROR(AM7*AQ$4,"")</calculatedColumnFormula>
    </tableColumn>
    <tableColumn id="41" xr3:uid="{4BC155DD-FA0D-47AD-A085-3A398BAE9C97}" name="Tokens Over7" dataDxfId="46">
      <calculatedColumnFormula>IFERROR(AM7-AQ7,"")</calculatedColumnFormula>
    </tableColumn>
    <tableColumn id="40" xr3:uid="{2C4BFFDC-6F1E-4F14-8DBD-B6CAA47BE8B6}" name="Money Out7" dataDxfId="45">
      <calculatedColumnFormula>IFERROR(CO_entry[[#This Row],[Tokens Sold7]]*CO_entry[[#This Row],[Selling point 7]],"")</calculatedColumnFormula>
    </tableColumn>
    <tableColumn id="39" xr3:uid="{F3CD1D21-A6BE-4EDC-852E-496149C25221}" name="Profit7" dataDxfId="44">
      <calculatedColumnFormula>IFERROR((AP7*AQ7)-(VLOOKUP(J7,#REF!,3,FALSE)*AQ7),"")</calculatedColumnFormula>
    </tableColumn>
    <tableColumn id="23" xr3:uid="{818E9ECD-1C90-4CC7-9032-21A7D9E462F6}" name="Total Profit" dataDxfId="43">
      <calculatedColumnFormula>IFERROR(P7+U7+Z7+AE7+AJ7+AO7+AT7,"")</calculatedColumnFormula>
    </tableColumn>
    <tableColumn id="24" xr3:uid="{BDEA2124-320F-44B6-9727-B88CD82F6D40}" name="Total Tokens Over" dataDxfId="42">
      <calculatedColumnFormula>AH7</calculatedColumnFormula>
    </tableColumn>
    <tableColumn id="25" xr3:uid="{BE822EA5-1747-49E9-8C65-18BE29F3D56C}" name="Value of tokens over" dataDxfId="41">
      <calculatedColumnFormula>IFERROR(AV7*AP7,"")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178170D-C749-4C52-8DEC-2BA31F581881}" name="Portfolio_Overview" displayName="Portfolio_Overview" ref="A6:H70" tableType="queryTable" totalsRowShown="0">
  <autoFilter ref="A6:H70" xr:uid="{A178170D-C749-4C52-8DEC-2BA31F581881}"/>
  <sortState xmlns:xlrd2="http://schemas.microsoft.com/office/spreadsheetml/2017/richdata2" ref="A7:H70">
    <sortCondition descending="1" ref="G6:G70"/>
  </sortState>
  <tableColumns count="8">
    <tableColumn id="1" xr3:uid="{BD52E8EE-90AE-4D68-99F2-A2DEDFF7F371}" uniqueName="1" name="name" queryTableFieldId="1" dataDxfId="40"/>
    <tableColumn id="2" xr3:uid="{CE2A3E68-8E8E-4586-ACA6-7E915C6444B5}" uniqueName="2" name="ticker" queryTableFieldId="2" dataDxfId="39"/>
    <tableColumn id="3" xr3:uid="{44C10ABD-F05D-4339-83A1-18D4533F895D}" uniqueName="3" name="Initial Holding" queryTableFieldId="3" dataDxfId="5"/>
    <tableColumn id="4" xr3:uid="{E6D7F246-6DE4-4DD7-B174-A58E7A3099AD}" uniqueName="4" name="average per coin" queryTableFieldId="4" dataDxfId="4" dataCellStyle="Monétaire"/>
    <tableColumn id="5" xr3:uid="{F0033B4A-A50E-4069-B417-927640A75B3F}" uniqueName="5" name="Acquisition Cost" queryTableFieldId="5" dataDxfId="3" dataCellStyle="Monétaire"/>
    <tableColumn id="6" xr3:uid="{182DA271-E0FE-4E0C-A0CC-352E2C65FC0E}" uniqueName="6" name="Current Price" queryTableFieldId="6" dataDxfId="2" dataCellStyle="Monétaire"/>
    <tableColumn id="7" xr3:uid="{FC8592D4-F470-4088-9054-D0E8DCEC4286}" uniqueName="7" name="Market Value" queryTableFieldId="7" dataDxfId="0" dataCellStyle="Monétaire"/>
    <tableColumn id="8" xr3:uid="{B5A526D2-DDA6-43A9-893A-64038485933F}" uniqueName="8" name="Portfolio %" queryTableFieldId="8" dataDxfId="1" dataCellStyle="Pourcentage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B04FEBF-FF6D-4911-8C4F-348DB1F6D2D0}" name="calculationstable" displayName="calculationstable" ref="B10:AN73" tableType="queryTable" totalsRowShown="0">
  <autoFilter ref="B10:AN73" xr:uid="{EB04FEBF-FF6D-4911-8C4F-348DB1F6D2D0}">
    <filterColumn colId="0">
      <filters>
        <filter val="AVAX"/>
      </filters>
    </filterColumn>
  </autoFilter>
  <tableColumns count="39">
    <tableColumn id="1" xr3:uid="{1E84929D-A53B-499E-8FD3-483EAA4B99CA}" uniqueName="1" name="ticker" queryTableFieldId="1" dataDxfId="10"/>
    <tableColumn id="2" xr3:uid="{DA0890FE-F811-4E46-A057-E3D88AB2D01C}" uniqueName="2" name="current_price" queryTableFieldId="2"/>
    <tableColumn id="3" xr3:uid="{A45AF53D-6144-462E-92C6-413FB5127A6D}" uniqueName="3" name="Coins Held" queryTableFieldId="3"/>
    <tableColumn id="4" xr3:uid="{28C06F9D-A6DE-4639-B685-FEDA4ADDBD80}" uniqueName="4" name="ADC" queryTableFieldId="4"/>
    <tableColumn id="5" xr3:uid="{EB070D64-225B-49BD-B030-03E7B34A7E79}" uniqueName="5" name="Cost of Investment" queryTableFieldId="5"/>
    <tableColumn id="6" xr3:uid="{8B4F7082-23C4-402B-BA7D-CB3803773869}" uniqueName="6" name="Current Value" queryTableFieldId="6"/>
    <tableColumn id="7" xr3:uid="{68C53EE9-D4ED-42A1-8618-D1D418C2B292}" uniqueName="7" name="Profit/Loss" queryTableFieldId="7"/>
    <tableColumn id="8" xr3:uid="{312EE0A5-F530-42A4-9605-AB0FDEDBBB3A}" uniqueName="8" name="ROI" queryTableFieldId="8" dataDxfId="9"/>
    <tableColumn id="9" xr3:uid="{2114F642-34BF-4791-8ECB-34355631F9E1}" uniqueName="9" name="24H % Change" queryTableFieldId="9" dataDxfId="8"/>
    <tableColumn id="10" xr3:uid="{76217FED-522C-49E8-BF2E-404210F742DA}" uniqueName="10" name="Sold" queryTableFieldId="10"/>
    <tableColumn id="11" xr3:uid="{474C829C-D4EA-4437-89C3-E7E932C5BFCD}" uniqueName="11" name="Cost" queryTableFieldId="11"/>
    <tableColumn id="12" xr3:uid="{8AD8F169-8D1E-418F-9651-84E20704DB65}" uniqueName="12" name="Profit" queryTableFieldId="12"/>
    <tableColumn id="13" xr3:uid="{A9980DB6-40DC-4E43-8D8F-FA63F7A92AE9}" uniqueName="13" name="No of Sales" queryTableFieldId="13"/>
    <tableColumn id="14" xr3:uid="{3B04C0A6-14E5-498D-9376-71851B43E866}" uniqueName="14" name="Selling point 1" queryTableFieldId="14"/>
    <tableColumn id="15" xr3:uid="{5F1C8112-3D78-475B-B57E-29D7A28F424E}" uniqueName="15" name="Tokens Sold" queryTableFieldId="15"/>
    <tableColumn id="16" xr3:uid="{C4617D59-5F55-4749-ACEA-763B99A9BBFA}" uniqueName="16" name="Tokens Over" queryTableFieldId="16"/>
    <tableColumn id="17" xr3:uid="{29BC177D-87B7-4302-852D-3D8F49471BA9}" uniqueName="17" name="Profit.1" queryTableFieldId="17"/>
    <tableColumn id="18" xr3:uid="{4437D8C6-6279-48BD-9A0E-8E38A79EA619}" uniqueName="18" name="Selling point 2" queryTableFieldId="18"/>
    <tableColumn id="19" xr3:uid="{306D5DEF-7032-43FC-BD1B-76394DD474C3}" uniqueName="19" name="Tokens Sold2" queryTableFieldId="19"/>
    <tableColumn id="20" xr3:uid="{9C784716-02B1-4E37-AEA8-3C57E81281DA}" uniqueName="20" name="Tokens Over2" queryTableFieldId="20"/>
    <tableColumn id="21" xr3:uid="{86288F2D-EC39-4859-9129-AC9D81348885}" uniqueName="21" name="Profit2" queryTableFieldId="21"/>
    <tableColumn id="22" xr3:uid="{10287253-E2E5-4496-BBD1-87C14E8DC35F}" uniqueName="22" name="Selling point 3" queryTableFieldId="22"/>
    <tableColumn id="23" xr3:uid="{A89446F7-1B04-4659-B90C-E0B596548D46}" uniqueName="23" name="Tokens Sold3" queryTableFieldId="23"/>
    <tableColumn id="24" xr3:uid="{7E05EC4C-11BE-4E56-B87B-BD4FE684B894}" uniqueName="24" name="Tokens Over3" queryTableFieldId="24"/>
    <tableColumn id="25" xr3:uid="{E23122C7-B7EE-4DFB-B441-CA074444D74A}" uniqueName="25" name="Profit3" queryTableFieldId="25"/>
    <tableColumn id="26" xr3:uid="{A4054B6E-754E-40A4-BB49-C847C4767F10}" uniqueName="26" name="Selling point 4" queryTableFieldId="26"/>
    <tableColumn id="27" xr3:uid="{ABC43174-606B-46BE-B6ED-5DD09B09D048}" uniqueName="27" name="Tokens Sold4" queryTableFieldId="27"/>
    <tableColumn id="28" xr3:uid="{8C5C0DA9-C758-4673-B3F3-C43B8B540A23}" uniqueName="28" name="Tokens Over4" queryTableFieldId="28"/>
    <tableColumn id="29" xr3:uid="{CC802FE4-FC24-43F3-B601-25DC415A8B4D}" uniqueName="29" name="Profit4" queryTableFieldId="29"/>
    <tableColumn id="30" xr3:uid="{E00428B5-5B3D-4AF8-989E-1EDFE1D11B24}" uniqueName="30" name="Selling point 5" queryTableFieldId="30"/>
    <tableColumn id="31" xr3:uid="{FF9707D3-65AB-488F-BC28-97E581F6D4C4}" uniqueName="31" name="Tokens Sold5" queryTableFieldId="31"/>
    <tableColumn id="32" xr3:uid="{3927F12E-FE24-44F5-A8FA-253E64FAB2E5}" uniqueName="32" name="Tokens Over5" queryTableFieldId="32"/>
    <tableColumn id="33" xr3:uid="{C68212E0-1F3F-481A-92D8-CBA6C50563A9}" uniqueName="33" name="Profit5" queryTableFieldId="33"/>
    <tableColumn id="34" xr3:uid="{62FD3FC2-8D09-43BA-A590-63535ED68184}" uniqueName="34" name="Total Profit" queryTableFieldId="34"/>
    <tableColumn id="35" xr3:uid="{CD335FBA-6793-48F8-B71C-7AEA68BDD8FC}" uniqueName="35" name="Total Tokens Over" queryTableFieldId="35"/>
    <tableColumn id="36" xr3:uid="{CFB7AD37-B9A7-4A4F-91B0-D5DF98E80188}" uniqueName="36" name="Value of tokens over" queryTableFieldId="36"/>
    <tableColumn id="37" xr3:uid="{89C52BBB-EC84-42DF-8DB2-5EA9D9C81C32}" uniqueName="37" name="remaining profit" queryTableFieldId="37" dataDxfId="7"/>
    <tableColumn id="38" xr3:uid="{0E151340-3429-4510-BB99-E0C31804C10B}" uniqueName="38" name="next sale" queryTableFieldId="38"/>
    <tableColumn id="39" xr3:uid="{35B81DA6-52AF-4CCF-AE85-49AA58585945}" uniqueName="39" name="Merged" queryTableFieldId="39" dataDxf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6DF3CE9-BDB9-470B-A81D-F11E419571FE}" name="target_chart_data" displayName="target_chart_data" ref="B2:C5" totalsRowShown="0">
  <autoFilter ref="B2:C5" xr:uid="{86DF3CE9-BDB9-470B-A81D-F11E419571FE}"/>
  <tableColumns count="2">
    <tableColumn id="1" xr3:uid="{27265E69-5A15-4A91-B52C-3B857195954E}" name="lable"/>
    <tableColumn id="2" xr3:uid="{AD20DE64-003E-48DD-B5D6-35FF4064A3A5}" name="valu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715E5CF-0B71-416C-9B6F-CFC5FA7B960D}" name="helper" displayName="helper" ref="AP10:BB86" totalsRowShown="0">
  <autoFilter ref="AP10:BB86" xr:uid="{2715E5CF-0B71-416C-9B6F-CFC5FA7B960D}"/>
  <tableColumns count="13">
    <tableColumn id="1" xr3:uid="{BA85AFA8-0845-49A9-822F-5557105B0849}" name="Next selling Point">
      <calculatedColumnFormula>IFERROR(HLOOKUP(calculationstable[[#This Row],[Merged]],calculationstable[#All],MATCH(calculationstable[[#This Row],[ticker]],calculationstable[[#All],[ticker]],0),FALSE),"")</calculatedColumnFormula>
    </tableColumn>
    <tableColumn id="2" xr3:uid="{66FF461D-9C09-42FC-AC71-F49A1A2BD6E2}" name="take profit feedback">
      <calculatedColumnFormula>IFERROR(IF(AP11&lt;=calculationstable[[#This Row],[current_price]],"Take Profit On " &amp;calculationstable[[#This Row],[ticker]]&amp;" "&amp; calculationstable[[#This Row],[Merged]],"Wait for price target on "&amp;calculationstable[[#This Row],[ticker]]),"")</calculatedColumnFormula>
    </tableColumn>
    <tableColumn id="3" xr3:uid="{01245EA6-D0BA-4143-B12F-B75A0DE3D8F1}" name="take profit filter" dataDxfId="38">
      <calculatedColumnFormula>IFERROR(IF(LEFT(helper[[#This Row],[take profit feedback]],1)="T","X",""),"")</calculatedColumnFormula>
    </tableColumn>
    <tableColumn id="4" xr3:uid="{DBA57A16-FAC1-40C7-9364-B91CB4E2BBC4}" name="add to exit" dataDxfId="37">
      <calculatedColumnFormula>IFERROR(IF(OR(calculationstable[[#This Row],[Selling point 1]]="",calculationstable[[#This Row],[Selling point 1]]=0),"X",""),"")</calculatedColumnFormula>
    </tableColumn>
    <tableColumn id="5" xr3:uid="{E03130E8-5953-49F5-B634-C71464F9C7A1}" name="add to exit feedback" dataDxfId="36">
      <calculatedColumnFormula>IFERROR(IF(helper[[#This Row],[add to exit]]="","","Add " &amp;calculationstable[[#This Row],[ticker]] &amp;" to Exit Strategy"),"")</calculatedColumnFormula>
    </tableColumn>
    <tableColumn id="6" xr3:uid="{3ECEA16B-1635-4889-B3CB-A26D1CE092E7}" name="missing price" dataDxfId="35">
      <calculatedColumnFormula>IFERROR(IF(OR(calculationstable[[#This Row],[current_price]]="",calculationstable[[#This Row],[current_price]]=0),"Include "&amp;calculationstable[[#This Row],[ticker]]&amp;" in Extra Coins List",""),"")</calculatedColumnFormula>
    </tableColumn>
    <tableColumn id="7" xr3:uid="{BFEE790C-BB76-4D53-AF51-96602F032BCB}" name="Final Message" dataDxfId="34">
      <calculatedColumnFormula>IFERROR(IF(helper[[#This Row],[missing price]]&lt;&gt;"",helper[[#This Row],[missing price]],IF(helper[[#This Row],[add to exit feedback]]&lt;&gt;"",helper[[#This Row],[add to exit feedback]],helper[[#This Row],[take profit feedback]])),"")</calculatedColumnFormula>
    </tableColumn>
    <tableColumn id="8" xr3:uid="{4287CF82-A61F-40BC-A0C6-12B33E227894}" name="% of investment">
      <calculatedColumnFormula>IFERROR(calculationstable[[#This Row],[Current Value]]/SUM(calculationstable[Current Value]),"")</calculatedColumnFormula>
    </tableColumn>
    <tableColumn id="9" xr3:uid="{5021A707-DC37-4194-B553-20B6857A6255}" name="Purchased" dataDxfId="33">
      <calculatedColumnFormula>IFERROR(IF((SUMIF(Purchases[Coin],calculationstable[[#This Row],[ticker]],Purchases[No. of coins])=0),NA(),SUMIF(Purchases[Coin],calculationstable[[#This Row],[ticker]],Purchases[No. of coins])),"")</calculatedColumnFormula>
    </tableColumn>
    <tableColumn id="10" xr3:uid="{988AE0DC-F587-4E97-B86D-229DFFDFF2E9}" name="Sold" dataDxfId="32">
      <calculatedColumnFormula>IFERROR((helper[[#This Row],[Purchased]]-calculationstable[[#This Row],[Coins Held]])/helper[[#This Row],[Purchased]],"")</calculatedColumnFormula>
    </tableColumn>
    <tableColumn id="11" xr3:uid="{DC675816-82FE-4FE8-B7CB-AED50E6FB77C}" name="% held" dataDxfId="31">
      <calculatedColumnFormula>IFERROR(1-helper[[#This Row],[Sold]],"")</calculatedColumnFormula>
    </tableColumn>
    <tableColumn id="12" xr3:uid="{7059219F-D91F-4E4D-BB94-949286D240DF}" name="% Not in exit">
      <calculatedColumnFormula>IFERROR(calculationstable[[#This Row],[Total Tokens Over]]/helper[[#This Row],[Purchased]],"")</calculatedColumnFormula>
    </tableColumn>
    <tableColumn id="13" xr3:uid="{D7EC6AF8-6350-403B-978D-CBF398D3EC34}" name="In Exit" dataDxfId="30">
      <calculatedColumnFormula>IFERROR(1-helper[[#This Row],[% Not in exit]],"")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A178652-C978-480F-8733-762C63EAEBCC}" name="min_max" displayName="min_max" ref="E3:G5" totalsRowShown="0">
  <autoFilter ref="E3:G5" xr:uid="{EA178652-C978-480F-8733-762C63EAEBCC}"/>
  <tableColumns count="3">
    <tableColumn id="1" xr3:uid="{0A9ED423-A245-426F-948D-9A1C351C786B}" name="Column1"/>
    <tableColumn id="2" xr3:uid="{27B922AF-0F36-4320-8C03-9E4618ACC15B}" name="%" dataDxfId="29">
      <calculatedColumnFormula>MIN(calculationstable[ROI])</calculatedColumnFormula>
    </tableColumn>
    <tableColumn id="3" xr3:uid="{40A37404-BDA2-417B-AE3E-FEDDB08BA962}" name="coin" dataDxfId="28">
      <calculatedColumnFormula>IFERROR(INDEX(calculationstable[ticker],MATCH(F4,calculationstable[ROI],0)),"")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5555F8A-83AE-4EED-9EEF-E216F4C7F2BD}" name="heldsoldratio" displayName="heldsoldratio" ref="AY5:BC7" totalsRowShown="0" dataDxfId="27">
  <autoFilter ref="AY5:BC7" xr:uid="{75555F8A-83AE-4EED-9EEF-E216F4C7F2BD}"/>
  <tableColumns count="5">
    <tableColumn id="1" xr3:uid="{91C0F8A4-3747-4D6F-8FEE-254315BDDA5F}" name="% Sold" dataDxfId="26">
      <calculatedColumnFormula>IFERROR(SUBTOTAL(1,helper[Sold]),0)</calculatedColumnFormula>
    </tableColumn>
    <tableColumn id="2" xr3:uid="{F7B67930-79A8-4D66-8F06-F1DBB5375C50}" name="% Held" dataDxfId="25">
      <calculatedColumnFormula>IFERROR(SUBTOTAL(1,helper[% held]),"")</calculatedColumnFormula>
    </tableColumn>
    <tableColumn id="3" xr3:uid="{0BC55B59-76E7-43D1-A84C-68C423C2C78F}" name="% Over" dataDxfId="24">
      <calculatedColumnFormula>IFERROR(SUBTOTAL(1,helper[% Not in exit]),"")</calculatedColumnFormula>
    </tableColumn>
    <tableColumn id="4" xr3:uid="{1DD861A7-640F-4873-AB4D-2851F5ED391E}" name="% in Exit" dataDxfId="23">
      <calculatedColumnFormula>IFERROR(SUBTOTAL(1,helper[In Exit]),"")</calculatedColumnFormula>
    </tableColumn>
    <tableColumn id="5" xr3:uid="{69780F4B-1716-45C4-9631-17DAA56C9A30}" name="value of tokens over" dataDxfId="22">
      <calculatedColumnFormula>SUBTOTAL(9,calculationstable[Value of tokens over])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1D64D1-A428-45B2-B8EA-F30605825136}" name="ROI" displayName="ROI" ref="P2:S5" totalsRowShown="0">
  <autoFilter ref="P2:S5" xr:uid="{531D64D1-A428-45B2-B8EA-F30605825136}"/>
  <tableColumns count="4">
    <tableColumn id="1" xr3:uid="{0BDBEE17-24E0-4EB0-AB39-C053295A5922}" name="Column1"/>
    <tableColumn id="2" xr3:uid="{C878246D-3B46-4BC2-BC18-A84C89EF79C8}" name="Initial cap"/>
    <tableColumn id="3" xr3:uid="{F8F8FA91-B7D0-4FAF-B16E-76C1844A554C}" name="total pur"/>
    <tableColumn id="4" xr3:uid="{DC4039AD-0840-4013-8768-ED3F0312ACEC}" name="on coi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DBA424-3D44-457C-8733-B015C4F73A40}" name="url" displayName="url" ref="U2:V6" totalsRowShown="0">
  <autoFilter ref="U2:V6" xr:uid="{90DBA424-3D44-457C-8733-B015C4F73A40}"/>
  <tableColumns count="2">
    <tableColumn id="1" xr3:uid="{EFE5B005-D59F-47CC-B625-3538505987FE}" name="URL generator"/>
    <tableColumn id="2" xr3:uid="{B120A78F-2FB8-4C8E-B87C-D7FA9EA051D8}" name="part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389E86D-C203-42E3-B10E-E980E0083274}" name="Rurl" displayName="Rurl" ref="X2:X3" totalsRowShown="0">
  <autoFilter ref="X2:X3" xr:uid="{4389E86D-C203-42E3-B10E-E980E0083274}"/>
  <tableColumns count="1">
    <tableColumn id="1" xr3:uid="{E3EEB88F-84EC-43CF-98ED-D7A045066E02}" name="URL">
      <calculatedColumnFormula>V6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93E45B4-E4C2-442B-9C07-63EA7FFA6970}" name="extra" displayName="extra" ref="C7:G36" totalsRowShown="0" headerRowDxfId="21" headerRowBorderDxfId="20" tableBorderDxfId="19">
  <autoFilter ref="C7:G36" xr:uid="{893E45B4-E4C2-442B-9C07-63EA7FFA6970}"/>
  <tableColumns count="5">
    <tableColumn id="1" xr3:uid="{8F06EBD9-BE54-487D-A1F4-C80FF2B93F0A}" name="Sequence">
      <calculatedColumnFormula>C7+1</calculatedColumnFormula>
    </tableColumn>
    <tableColumn id="2" xr3:uid="{97894692-005A-43C3-BA98-B5C2F16E9F6C}" name="ticker" dataDxfId="18"/>
    <tableColumn id="3" xr3:uid="{BB651B49-DE94-4C71-BA22-ED894ABF129B}" name="ID" dataDxfId="17"/>
    <tableColumn id="4" xr3:uid="{CAF4F1AC-A450-47EE-93E9-6810ABF12ACC}" name="Name" dataDxfId="16"/>
    <tableColumn id="5" xr3:uid="{1B0C6713-75D8-418F-BEF9-A682F17A1661}" name="Url" dataDxfId="15">
      <calculatedColumnFormula>extra[[#This Row],[Name]]&amp;"%2C"&amp;G7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95207F-0D44-4BD8-B0CC-4D678984A856}" name="price_feed" displayName="price_feed" ref="A1:E280" tableType="queryTable" totalsRowShown="0" headerRowDxfId="14" dataDxfId="13">
  <autoFilter ref="A1:E280" xr:uid="{3495207F-0D44-4BD8-B0CC-4D678984A856}"/>
  <tableColumns count="5">
    <tableColumn id="1" xr3:uid="{155A0189-DF3E-47B3-B3E4-5A3F9E210657}" uniqueName="1" name="id" queryTableFieldId="6"/>
    <tableColumn id="2" xr3:uid="{FAD83198-CCC7-4DE3-B756-BA2677E45662}" uniqueName="2" name="symbol" queryTableFieldId="7" dataDxfId="12"/>
    <tableColumn id="3" xr3:uid="{EDE1C699-0129-42B0-BAF3-3B2F58953206}" uniqueName="3" name="name" queryTableFieldId="8"/>
    <tableColumn id="4" xr3:uid="{5F19F3A7-FEA7-4179-9B2C-A0AA1FB637A0}" uniqueName="4" name="current_price" queryTableFieldId="9"/>
    <tableColumn id="5" xr3:uid="{22F84EC8-A9D4-4419-8AE2-C30E029166BB}" uniqueName="5" name="price_change_percentage_24h" queryTableFieldId="10" dataDxfId="11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hyperlink" Target="https://api.coingecko.com/api/v3/simple/price?ids=" TargetMode="Externa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89970-95D3-4EB6-BCD0-81A9AFA2AC73}">
  <sheetPr codeName="Sheet5">
    <tabColor rgb="FFFFFF00"/>
  </sheetPr>
  <dimension ref="B1:P70"/>
  <sheetViews>
    <sheetView showGridLines="0" zoomScaleNormal="100" workbookViewId="0">
      <selection activeCell="D19" sqref="D19"/>
    </sheetView>
  </sheetViews>
  <sheetFormatPr baseColWidth="10" defaultColWidth="9.140625" defaultRowHeight="15" x14ac:dyDescent="0.25"/>
  <cols>
    <col min="1" max="1" width="2.85546875" style="11" customWidth="1"/>
    <col min="2" max="2" width="17.5703125" style="11" customWidth="1"/>
    <col min="3" max="3" width="13.28515625" style="38" customWidth="1"/>
    <col min="4" max="4" width="16.42578125" style="11" customWidth="1"/>
    <col min="5" max="5" width="28.7109375" style="11" customWidth="1"/>
    <col min="6" max="8" width="18.85546875" style="11" customWidth="1"/>
    <col min="9" max="9" width="31.28515625" style="11" customWidth="1"/>
    <col min="10" max="11" width="14.7109375" style="11" customWidth="1"/>
    <col min="12" max="12" width="17.140625" style="11" customWidth="1"/>
    <col min="13" max="13" width="18.28515625" style="11" customWidth="1"/>
    <col min="14" max="14" width="14.28515625" style="11" customWidth="1"/>
    <col min="15" max="15" width="15.85546875" style="11" customWidth="1"/>
    <col min="16" max="16" width="16" style="11" customWidth="1"/>
    <col min="17" max="18" width="9.140625" style="11"/>
    <col min="19" max="19" width="13" style="11" bestFit="1" customWidth="1"/>
    <col min="20" max="20" width="10.7109375" style="11" bestFit="1" customWidth="1"/>
    <col min="21" max="21" width="11.28515625" style="11" bestFit="1" customWidth="1"/>
    <col min="22" max="22" width="13.28515625" style="11" bestFit="1" customWidth="1"/>
    <col min="23" max="23" width="13" style="11" bestFit="1" customWidth="1"/>
    <col min="24" max="24" width="13.140625" style="11" bestFit="1" customWidth="1"/>
    <col min="25" max="16384" width="9.140625" style="11"/>
  </cols>
  <sheetData>
    <row r="1" spans="2:16" ht="38.25" customHeight="1" x14ac:dyDescent="0.3">
      <c r="E1" s="8" t="s">
        <v>847</v>
      </c>
      <c r="F1" s="113">
        <v>78276</v>
      </c>
      <c r="G1" s="8" t="s">
        <v>871</v>
      </c>
      <c r="H1" s="112">
        <v>98315</v>
      </c>
      <c r="I1" s="8" t="s">
        <v>846</v>
      </c>
      <c r="J1" s="32"/>
      <c r="L1" s="8" t="s">
        <v>592</v>
      </c>
      <c r="M1" s="21"/>
    </row>
    <row r="2" spans="2:16" ht="47.25" customHeight="1" x14ac:dyDescent="0.25"/>
    <row r="3" spans="2:16" ht="28.5" customHeight="1" x14ac:dyDescent="0.25"/>
    <row r="4" spans="2:16" ht="47.25" customHeight="1" x14ac:dyDescent="0.25">
      <c r="E4" s="39" t="s">
        <v>848</v>
      </c>
      <c r="F4" s="53" t="s">
        <v>838</v>
      </c>
      <c r="G4" s="66" t="s">
        <v>840</v>
      </c>
      <c r="H4" s="53" t="s">
        <v>936</v>
      </c>
      <c r="I4" s="39"/>
      <c r="L4" s="39"/>
      <c r="M4" s="39"/>
      <c r="N4" s="39"/>
      <c r="O4" s="39"/>
    </row>
    <row r="5" spans="2:16" ht="36.75" customHeight="1" x14ac:dyDescent="0.25"/>
    <row r="6" spans="2:16" ht="21" x14ac:dyDescent="0.25">
      <c r="B6" s="124" t="s">
        <v>370</v>
      </c>
      <c r="C6" s="124"/>
      <c r="D6" s="124"/>
      <c r="E6" s="124"/>
      <c r="F6" s="124"/>
      <c r="G6" s="72"/>
      <c r="I6" s="125" t="s">
        <v>371</v>
      </c>
      <c r="J6" s="125"/>
      <c r="K6" s="125"/>
      <c r="L6" s="125"/>
      <c r="M6" s="125"/>
      <c r="N6" s="125"/>
      <c r="O6" s="125"/>
      <c r="P6" s="125"/>
    </row>
    <row r="7" spans="2:16" ht="18.75" x14ac:dyDescent="0.25">
      <c r="B7" s="7" t="s">
        <v>356</v>
      </c>
      <c r="C7" s="7" t="s">
        <v>352</v>
      </c>
      <c r="D7" s="70" t="s">
        <v>355</v>
      </c>
      <c r="E7" s="7" t="s">
        <v>353</v>
      </c>
      <c r="F7" s="7" t="s">
        <v>354</v>
      </c>
      <c r="G7" s="73"/>
      <c r="I7" s="7" t="s">
        <v>357</v>
      </c>
      <c r="J7" s="7" t="s">
        <v>352</v>
      </c>
      <c r="K7" s="70" t="s">
        <v>362</v>
      </c>
      <c r="L7" s="68" t="s">
        <v>355</v>
      </c>
      <c r="M7" s="69" t="s">
        <v>358</v>
      </c>
      <c r="N7" s="70" t="s">
        <v>354</v>
      </c>
      <c r="O7" s="7" t="s">
        <v>367</v>
      </c>
      <c r="P7" s="7" t="s">
        <v>2</v>
      </c>
    </row>
    <row r="8" spans="2:16" ht="15.75" customHeight="1" x14ac:dyDescent="0.25">
      <c r="B8" s="111">
        <v>44612</v>
      </c>
      <c r="C8" s="50" t="s">
        <v>411</v>
      </c>
      <c r="D8" s="51">
        <v>2.83</v>
      </c>
      <c r="E8" s="103">
        <v>807</v>
      </c>
      <c r="F8" s="106">
        <f>IFERROR(Purchases[[#This Row],[Total Cost $]]/Purchases[[#This Row],[No. of coins]],"")</f>
        <v>285.15901060070672</v>
      </c>
      <c r="G8" s="74"/>
      <c r="I8" s="40">
        <v>44617</v>
      </c>
      <c r="J8" s="41" t="s">
        <v>385</v>
      </c>
      <c r="K8" s="41" t="s">
        <v>835</v>
      </c>
      <c r="L8" s="43">
        <f>IFERROR(INDEX(CO_entry[#All],MATCH(Sales[[#This Row],[Coin]],CO_entry[[#All],[ticker]],0),MATCH(Sales[[#This Row],[Sell Point]],CO_entry[#Headers],0)),"")</f>
        <v>5.8079999999999998</v>
      </c>
      <c r="M8" s="105">
        <v>529.80999999999995</v>
      </c>
      <c r="N8" s="107">
        <f>IFERROR(Sales[[#This Row],[Total Income]]/Sales[[#This Row],[No. of coins]],"")</f>
        <v>91.2207300275482</v>
      </c>
      <c r="O8" s="108">
        <f>IFERROR(AVERAGEIF(Purchases[Coin],Sales[[#This Row],[Coin]],Purchases[$ per coin])*Sales[[#This Row],[No. of coins]],"")</f>
        <v>279</v>
      </c>
      <c r="P8" s="108">
        <f>IFERROR(Sales[[#This Row],[Total Income]]-Sales[[#This Row],[cost]],"")</f>
        <v>250.80999999999995</v>
      </c>
    </row>
    <row r="9" spans="2:16" ht="15.75" customHeight="1" x14ac:dyDescent="0.25">
      <c r="B9" s="111">
        <v>44612</v>
      </c>
      <c r="C9" s="50" t="s">
        <v>338</v>
      </c>
      <c r="D9" s="51">
        <v>1029.6099999999999</v>
      </c>
      <c r="E9" s="103">
        <v>1867</v>
      </c>
      <c r="F9" s="106">
        <f>IFERROR(Purchases[[#This Row],[Total Cost $]]/Purchases[[#This Row],[No. of coins]],"")</f>
        <v>1.8133079515544723</v>
      </c>
      <c r="G9" s="74"/>
      <c r="I9" s="44">
        <v>44621</v>
      </c>
      <c r="J9" s="45" t="s">
        <v>765</v>
      </c>
      <c r="K9" s="46" t="s">
        <v>835</v>
      </c>
      <c r="L9" s="43">
        <v>3.56</v>
      </c>
      <c r="M9" s="105">
        <v>209.2</v>
      </c>
      <c r="N9" s="109">
        <f>IFERROR(Sales[[#This Row],[Total Income]]/Sales[[#This Row],[No. of coins]],"")</f>
        <v>58.764044943820224</v>
      </c>
      <c r="O9" s="110">
        <f>IFERROR(AVERAGEIF(Purchases[Coin],Sales[[#This Row],[Coin]],Purchases[$ per coin])*Sales[[#This Row],[No. of coins]],"")</f>
        <v>199.43977591036415</v>
      </c>
      <c r="P9" s="110">
        <f>IFERROR(Sales[[#This Row],[Total Income]]-Sales[[#This Row],[cost]],"")</f>
        <v>9.760224089635841</v>
      </c>
    </row>
    <row r="10" spans="2:16" ht="15.75" customHeight="1" x14ac:dyDescent="0.25">
      <c r="B10" s="111">
        <v>44612</v>
      </c>
      <c r="C10" s="50" t="s">
        <v>390</v>
      </c>
      <c r="D10" s="51">
        <v>199.76</v>
      </c>
      <c r="E10" s="103">
        <v>340</v>
      </c>
      <c r="F10" s="106">
        <f>IFERROR(Purchases[[#This Row],[Total Cost $]]/Purchases[[#This Row],[No. of coins]],"")</f>
        <v>1.7020424509411294</v>
      </c>
      <c r="G10" s="74"/>
      <c r="I10" s="44"/>
      <c r="J10" s="45"/>
      <c r="K10" s="46"/>
      <c r="L10" s="43" t="str">
        <f>IFERROR(INDEX(CO_entry[#All],MATCH(Sales[[#This Row],[Coin]],CO_entry[[#All],[ticker]],0),MATCH(Sales[[#This Row],[Sell Point]],CO_entry[#Headers],0)),"")</f>
        <v/>
      </c>
      <c r="M10" s="42"/>
      <c r="N10" s="48" t="str">
        <f>IFERROR(Sales[[#This Row],[Total Income]]/Sales[[#This Row],[No. of coins]],"")</f>
        <v/>
      </c>
      <c r="O10" s="49" t="str">
        <f>IFERROR(AVERAGEIF(Purchases[Coin],Sales[[#This Row],[Coin]],Purchases[$ per coin])*Sales[[#This Row],[No. of coins]],"")</f>
        <v/>
      </c>
      <c r="P10" s="49" t="str">
        <f>IFERROR(Sales[[#This Row],[Total Income]]-Sales[[#This Row],[cost]],"")</f>
        <v/>
      </c>
    </row>
    <row r="11" spans="2:16" ht="15.75" customHeight="1" x14ac:dyDescent="0.25">
      <c r="B11" s="111">
        <v>44612</v>
      </c>
      <c r="C11" s="50" t="s">
        <v>904</v>
      </c>
      <c r="D11" s="51">
        <v>1688.83</v>
      </c>
      <c r="E11" s="103">
        <v>330</v>
      </c>
      <c r="F11" s="106">
        <f>IFERROR(Purchases[[#This Row],[Total Cost $]]/Purchases[[#This Row],[No. of coins]],"")</f>
        <v>0.19540155018563149</v>
      </c>
      <c r="G11" s="74"/>
      <c r="I11" s="44"/>
      <c r="J11" s="45"/>
      <c r="K11" s="46"/>
      <c r="L11" s="43" t="str">
        <f>IFERROR(INDEX(CO_entry[#All],MATCH(Sales[[#This Row],[Coin]],CO_entry[[#All],[ticker]],0),MATCH(Sales[[#This Row],[Sell Point]],CO_entry[#Headers],0)),"")</f>
        <v/>
      </c>
      <c r="M11" s="42"/>
      <c r="N11" s="48" t="str">
        <f>IFERROR(Sales[[#This Row],[Total Income]]/Sales[[#This Row],[No. of coins]],"")</f>
        <v/>
      </c>
      <c r="O11" s="49" t="str">
        <f>IFERROR(AVERAGEIF(Purchases[Coin],Sales[[#This Row],[Coin]],Purchases[$ per coin])*Sales[[#This Row],[No. of coins]],"")</f>
        <v/>
      </c>
      <c r="P11" s="49" t="str">
        <f>IFERROR(Sales[[#This Row],[Total Income]]-Sales[[#This Row],[cost]],"")</f>
        <v/>
      </c>
    </row>
    <row r="12" spans="2:16" ht="15.75" customHeight="1" x14ac:dyDescent="0.25">
      <c r="B12" s="40">
        <v>44612</v>
      </c>
      <c r="C12" s="50" t="s">
        <v>770</v>
      </c>
      <c r="D12" s="51">
        <v>1387.18</v>
      </c>
      <c r="E12" s="103">
        <v>140</v>
      </c>
      <c r="F12" s="106">
        <f>IFERROR(Purchases[[#This Row],[Total Cost $]]/Purchases[[#This Row],[No. of coins]],"")</f>
        <v>0.10092417710751309</v>
      </c>
      <c r="G12" s="74"/>
      <c r="I12" s="44"/>
      <c r="J12" s="45"/>
      <c r="K12" s="46"/>
      <c r="L12" s="43" t="str">
        <f>IFERROR(INDEX(CO_entry[#All],MATCH(Sales[[#This Row],[Coin]],CO_entry[[#All],[ticker]],0),MATCH(Sales[[#This Row],[Sell Point]],CO_entry[#Headers],0)),"")</f>
        <v/>
      </c>
      <c r="M12" s="42"/>
      <c r="N12" s="48" t="str">
        <f>IFERROR(Sales[[#This Row],[Total Income]]/Sales[[#This Row],[No. of coins]],"")</f>
        <v/>
      </c>
      <c r="O12" s="49" t="str">
        <f>IFERROR(AVERAGEIF(Purchases[Coin],Sales[[#This Row],[Coin]],Purchases[$ per coin])*Sales[[#This Row],[No. of coins]],"")</f>
        <v/>
      </c>
      <c r="P12" s="49" t="str">
        <f>IFERROR(Sales[[#This Row],[Total Income]]-Sales[[#This Row],[cost]],"")</f>
        <v/>
      </c>
    </row>
    <row r="13" spans="2:16" ht="15.75" customHeight="1" x14ac:dyDescent="0.25">
      <c r="B13" s="40">
        <v>44612</v>
      </c>
      <c r="C13" s="45" t="s">
        <v>397</v>
      </c>
      <c r="D13" s="46">
        <v>26.76</v>
      </c>
      <c r="E13" s="104">
        <v>564</v>
      </c>
      <c r="F13" s="106">
        <f>IFERROR(Purchases[[#This Row],[Total Cost $]]/Purchases[[#This Row],[No. of coins]],"")</f>
        <v>21.076233183856502</v>
      </c>
      <c r="G13" s="74"/>
      <c r="I13" s="44"/>
      <c r="J13" s="45"/>
      <c r="K13" s="46"/>
      <c r="L13" s="43" t="str">
        <f>IFERROR(INDEX(CO_entry[#All],MATCH(Sales[[#This Row],[Coin]],CO_entry[[#All],[ticker]],0),MATCH(Sales[[#This Row],[Sell Point]],CO_entry[#Headers],0)),"")</f>
        <v/>
      </c>
      <c r="M13" s="47"/>
      <c r="N13" s="48" t="str">
        <f>IFERROR(Sales[[#This Row],[Total Income]]/Sales[[#This Row],[No. of coins]],"")</f>
        <v/>
      </c>
      <c r="O13" s="49" t="str">
        <f>IFERROR(AVERAGEIF(Purchases[Coin],Sales[[#This Row],[Coin]],Purchases[$ per coin])*Sales[[#This Row],[No. of coins]],"")</f>
        <v/>
      </c>
      <c r="P13" s="49" t="str">
        <f>IFERROR(Sales[[#This Row],[Total Income]]-Sales[[#This Row],[cost]],"")</f>
        <v/>
      </c>
    </row>
    <row r="14" spans="2:16" ht="15.75" customHeight="1" x14ac:dyDescent="0.25">
      <c r="B14" s="40">
        <v>44612</v>
      </c>
      <c r="C14" s="50" t="s">
        <v>772</v>
      </c>
      <c r="D14" s="51">
        <v>2.2799999999999998</v>
      </c>
      <c r="E14" s="103">
        <v>75</v>
      </c>
      <c r="F14" s="106">
        <f>IFERROR(Purchases[[#This Row],[Total Cost $]]/Purchases[[#This Row],[No. of coins]],"")</f>
        <v>32.894736842105267</v>
      </c>
      <c r="G14" s="74"/>
      <c r="I14" s="44"/>
      <c r="J14" s="45"/>
      <c r="K14" s="46"/>
      <c r="L14" s="43" t="str">
        <f>IFERROR(INDEX(CO_entry[#All],MATCH(Sales[[#This Row],[Coin]],CO_entry[[#All],[ticker]],0),MATCH(Sales[[#This Row],[Sell Point]],CO_entry[#Headers],0)),"")</f>
        <v/>
      </c>
      <c r="M14" s="47"/>
      <c r="N14" s="48" t="str">
        <f>IFERROR(Sales[[#This Row],[Total Income]]/Sales[[#This Row],[No. of coins]],"")</f>
        <v/>
      </c>
      <c r="O14" s="49" t="str">
        <f>IFERROR(AVERAGEIF(Purchases[Coin],Sales[[#This Row],[Coin]],Purchases[$ per coin])*Sales[[#This Row],[No. of coins]],"")</f>
        <v/>
      </c>
      <c r="P14" s="49" t="str">
        <f>IFERROR(Sales[[#This Row],[Total Income]]-Sales[[#This Row],[cost]],"")</f>
        <v/>
      </c>
    </row>
    <row r="15" spans="2:16" ht="15.75" customHeight="1" x14ac:dyDescent="0.25">
      <c r="B15" s="111">
        <v>44612</v>
      </c>
      <c r="C15" s="50" t="s">
        <v>849</v>
      </c>
      <c r="D15" s="51">
        <v>7033.39</v>
      </c>
      <c r="E15" s="103">
        <v>8429</v>
      </c>
      <c r="F15" s="106">
        <f>IFERROR(Purchases[[#This Row],[Total Cost $]]/Purchases[[#This Row],[No. of coins]],"")</f>
        <v>1.1984263633894892</v>
      </c>
      <c r="G15" s="74"/>
      <c r="I15" s="44"/>
      <c r="J15" s="45"/>
      <c r="K15" s="46"/>
      <c r="L15" s="43" t="str">
        <f>IFERROR(INDEX(CO_entry[#All],MATCH(Sales[[#This Row],[Coin]],CO_entry[[#All],[ticker]],0),MATCH(Sales[[#This Row],[Sell Point]],CO_entry[#Headers],0)),"")</f>
        <v/>
      </c>
      <c r="M15" s="47"/>
      <c r="N15" s="48" t="str">
        <f>IFERROR(Sales[[#This Row],[Total Income]]/Sales[[#This Row],[No. of coins]],"")</f>
        <v/>
      </c>
      <c r="O15" s="49" t="str">
        <f>IFERROR(AVERAGEIF(Purchases[Coin],Sales[[#This Row],[Coin]],Purchases[$ per coin])*Sales[[#This Row],[No. of coins]],"")</f>
        <v/>
      </c>
      <c r="P15" s="49" t="str">
        <f>IFERROR(Sales[[#This Row],[Total Income]]-Sales[[#This Row],[cost]],"")</f>
        <v/>
      </c>
    </row>
    <row r="16" spans="2:16" ht="15.75" customHeight="1" x14ac:dyDescent="0.25">
      <c r="B16" s="40">
        <v>44612</v>
      </c>
      <c r="C16" s="50" t="s">
        <v>61</v>
      </c>
      <c r="D16" s="51">
        <v>26.29</v>
      </c>
      <c r="E16" s="103">
        <v>1982</v>
      </c>
      <c r="F16" s="106">
        <f>IFERROR(Purchases[[#This Row],[Total Cost $]]/Purchases[[#This Row],[No. of coins]],"")</f>
        <v>75.38988208444276</v>
      </c>
      <c r="G16" s="74"/>
      <c r="I16" s="44"/>
      <c r="J16" s="45"/>
      <c r="K16" s="46"/>
      <c r="L16" s="43" t="str">
        <f>IFERROR(INDEX(CO_entry[#All],MATCH(Sales[[#This Row],[Coin]],CO_entry[[#All],[ticker]],0),MATCH(Sales[[#This Row],[Sell Point]],CO_entry[#Headers],0)),"")</f>
        <v/>
      </c>
      <c r="M16" s="47" t="e">
        <f>Sales[[#This Row],[No. of coins]]*'Sale points'!L37</f>
        <v>#VALUE!</v>
      </c>
      <c r="N16" s="48" t="str">
        <f>IFERROR(Sales[[#This Row],[Total Income]]/Sales[[#This Row],[No. of coins]],"")</f>
        <v/>
      </c>
      <c r="O16" s="49" t="str">
        <f>IFERROR(AVERAGEIF(Purchases[Coin],Sales[[#This Row],[Coin]],Purchases[$ per coin])*Sales[[#This Row],[No. of coins]],"")</f>
        <v/>
      </c>
      <c r="P16" s="49" t="str">
        <f>IFERROR(Sales[[#This Row],[Total Income]]-Sales[[#This Row],[cost]],"")</f>
        <v/>
      </c>
    </row>
    <row r="17" spans="2:16" ht="15.75" customHeight="1" x14ac:dyDescent="0.25">
      <c r="B17" s="111">
        <v>44612</v>
      </c>
      <c r="C17" s="50" t="s">
        <v>381</v>
      </c>
      <c r="D17" s="51">
        <v>0.89</v>
      </c>
      <c r="E17" s="103">
        <v>411</v>
      </c>
      <c r="F17" s="106">
        <f>IFERROR(Purchases[[#This Row],[Total Cost $]]/Purchases[[#This Row],[No. of coins]],"")</f>
        <v>461.79775280898878</v>
      </c>
      <c r="G17" s="74"/>
      <c r="I17" s="44"/>
      <c r="J17" s="45"/>
      <c r="K17" s="46"/>
      <c r="L17" s="43" t="str">
        <f>IFERROR(INDEX(CO_entry[#All],MATCH(Sales[[#This Row],[Coin]],CO_entry[[#All],[ticker]],0),MATCH(Sales[[#This Row],[Sell Point]],CO_entry[#Headers],0)),"")</f>
        <v/>
      </c>
      <c r="M17" s="47"/>
      <c r="N17" s="48" t="str">
        <f>IFERROR(Sales[[#This Row],[Total Income]]/Sales[[#This Row],[No. of coins]],"")</f>
        <v/>
      </c>
      <c r="O17" s="49" t="str">
        <f>IFERROR(AVERAGEIF(Purchases[Coin],Sales[[#This Row],[Coin]],Purchases[$ per coin])*Sales[[#This Row],[No. of coins]],"")</f>
        <v/>
      </c>
      <c r="P17" s="49" t="str">
        <f>IFERROR(Sales[[#This Row],[Total Income]]-Sales[[#This Row],[cost]],"")</f>
        <v/>
      </c>
    </row>
    <row r="18" spans="2:16" ht="15.75" customHeight="1" x14ac:dyDescent="0.25">
      <c r="B18" s="40">
        <v>44612</v>
      </c>
      <c r="C18" s="50" t="s">
        <v>762</v>
      </c>
      <c r="D18" s="51">
        <v>45.5</v>
      </c>
      <c r="E18" s="103">
        <v>331</v>
      </c>
      <c r="F18" s="106">
        <f>IFERROR(Purchases[[#This Row],[Total Cost $]]/Purchases[[#This Row],[No. of coins]],"")</f>
        <v>7.2747252747252746</v>
      </c>
      <c r="G18" s="75"/>
      <c r="I18" s="44"/>
      <c r="J18" s="45"/>
      <c r="K18" s="46"/>
      <c r="L18" s="43" t="str">
        <f>IFERROR(INDEX(CO_entry[#All],MATCH(Sales[[#This Row],[Coin]],CO_entry[[#All],[ticker]],0),MATCH(Sales[[#This Row],[Sell Point]],CO_entry[#Headers],0)),"")</f>
        <v/>
      </c>
      <c r="M18" s="47"/>
      <c r="N18" s="48" t="str">
        <f>IFERROR(Sales[[#This Row],[Total Income]]/Sales[[#This Row],[No. of coins]],"")</f>
        <v/>
      </c>
      <c r="O18" s="49" t="str">
        <f>IFERROR(AVERAGEIF(Purchases[Coin],Sales[[#This Row],[Coin]],Purchases[$ per coin])*Sales[[#This Row],[No. of coins]],"")</f>
        <v/>
      </c>
      <c r="P18" s="49" t="str">
        <f>IFERROR(Sales[[#This Row],[Total Income]]-Sales[[#This Row],[cost]],"")</f>
        <v/>
      </c>
    </row>
    <row r="19" spans="2:16" ht="15.75" customHeight="1" x14ac:dyDescent="0.25">
      <c r="B19" s="111">
        <v>44612</v>
      </c>
      <c r="C19" s="51" t="s">
        <v>1</v>
      </c>
      <c r="D19" s="51">
        <v>0.48589445999999997</v>
      </c>
      <c r="E19" s="103">
        <v>23023</v>
      </c>
      <c r="F19" s="107">
        <f>IFERROR(Purchases[[#This Row],[Total Cost $]]/Purchases[[#This Row],[No. of coins]],"")</f>
        <v>47382.717637900219</v>
      </c>
      <c r="G19" s="74"/>
    </row>
    <row r="20" spans="2:16" ht="15.75" customHeight="1" x14ac:dyDescent="0.25">
      <c r="B20" s="40">
        <v>44612</v>
      </c>
      <c r="C20" s="50" t="s">
        <v>761</v>
      </c>
      <c r="D20" s="51">
        <v>9.4</v>
      </c>
      <c r="E20" s="103">
        <v>300</v>
      </c>
      <c r="F20" s="106">
        <f>IFERROR(Purchases[[#This Row],[Total Cost $]]/Purchases[[#This Row],[No. of coins]],"")</f>
        <v>31.914893617021274</v>
      </c>
      <c r="G20" s="74"/>
    </row>
    <row r="21" spans="2:16" ht="15.75" customHeight="1" x14ac:dyDescent="0.25">
      <c r="B21" s="40">
        <v>44612</v>
      </c>
      <c r="C21" s="50" t="s">
        <v>409</v>
      </c>
      <c r="D21" s="51">
        <v>8.91</v>
      </c>
      <c r="E21" s="103">
        <v>200</v>
      </c>
      <c r="F21" s="106">
        <f>IFERROR(Purchases[[#This Row],[Total Cost $]]/Purchases[[#This Row],[No. of coins]],"")</f>
        <v>22.446689113355781</v>
      </c>
      <c r="G21" s="74"/>
    </row>
    <row r="22" spans="2:16" ht="15.75" customHeight="1" x14ac:dyDescent="0.25">
      <c r="B22" s="111">
        <v>44612</v>
      </c>
      <c r="C22" s="50" t="s">
        <v>822</v>
      </c>
      <c r="D22" s="51">
        <v>4220.42</v>
      </c>
      <c r="E22" s="103">
        <v>101</v>
      </c>
      <c r="F22" s="106">
        <f>IFERROR(Purchases[[#This Row],[Total Cost $]]/Purchases[[#This Row],[No. of coins]],"")</f>
        <v>2.3931267504182049E-2</v>
      </c>
      <c r="G22" s="74"/>
    </row>
    <row r="23" spans="2:16" ht="15.75" customHeight="1" x14ac:dyDescent="0.25">
      <c r="B23" s="40">
        <v>44612</v>
      </c>
      <c r="C23" s="50" t="s">
        <v>765</v>
      </c>
      <c r="D23" s="51">
        <v>3.57</v>
      </c>
      <c r="E23" s="103">
        <v>200</v>
      </c>
      <c r="F23" s="106">
        <f>IFERROR(Purchases[[#This Row],[Total Cost $]]/Purchases[[#This Row],[No. of coins]],"")</f>
        <v>56.022408963585434</v>
      </c>
      <c r="G23" s="74"/>
    </row>
    <row r="24" spans="2:16" ht="15.75" customHeight="1" x14ac:dyDescent="0.25">
      <c r="B24" s="40">
        <v>44612</v>
      </c>
      <c r="C24" s="50" t="s">
        <v>408</v>
      </c>
      <c r="D24" s="51">
        <v>767.09</v>
      </c>
      <c r="E24" s="103">
        <v>111</v>
      </c>
      <c r="F24" s="106">
        <f>IFERROR(Purchases[[#This Row],[Total Cost $]]/Purchases[[#This Row],[No. of coins]],"")</f>
        <v>0.14470270763534918</v>
      </c>
      <c r="G24" s="74"/>
    </row>
    <row r="25" spans="2:16" ht="15.75" customHeight="1" x14ac:dyDescent="0.25">
      <c r="B25" s="40">
        <v>44612</v>
      </c>
      <c r="C25" s="50" t="s">
        <v>4</v>
      </c>
      <c r="D25" s="51">
        <v>64.597700000000003</v>
      </c>
      <c r="E25" s="103">
        <v>1310</v>
      </c>
      <c r="F25" s="106">
        <f>IFERROR(Purchases[[#This Row],[Total Cost $]]/Purchases[[#This Row],[No. of coins]],"")</f>
        <v>20.279359791447682</v>
      </c>
      <c r="G25" s="74"/>
    </row>
    <row r="26" spans="2:16" ht="15.75" customHeight="1" x14ac:dyDescent="0.25">
      <c r="B26" s="40">
        <v>44612</v>
      </c>
      <c r="C26" s="50" t="s">
        <v>775</v>
      </c>
      <c r="D26" s="51">
        <v>49.56</v>
      </c>
      <c r="E26" s="103">
        <v>80</v>
      </c>
      <c r="F26" s="106">
        <f>IFERROR(Purchases[[#This Row],[Total Cost $]]/Purchases[[#This Row],[No. of coins]],"")</f>
        <v>1.6142050040355125</v>
      </c>
      <c r="G26" s="74"/>
    </row>
    <row r="27" spans="2:16" ht="15.75" customHeight="1" x14ac:dyDescent="0.25">
      <c r="B27" s="40">
        <v>44612</v>
      </c>
      <c r="C27" s="50" t="s">
        <v>342</v>
      </c>
      <c r="D27" s="51">
        <v>27.77</v>
      </c>
      <c r="E27" s="103">
        <v>100</v>
      </c>
      <c r="F27" s="106">
        <f>IFERROR(Purchases[[#This Row],[Total Cost $]]/Purchases[[#This Row],[No. of coins]],"")</f>
        <v>3.6010082823190492</v>
      </c>
      <c r="G27" s="74"/>
    </row>
    <row r="28" spans="2:16" ht="15.75" customHeight="1" x14ac:dyDescent="0.25">
      <c r="B28" s="40">
        <v>44612</v>
      </c>
      <c r="C28" s="50" t="s">
        <v>706</v>
      </c>
      <c r="D28" s="51">
        <v>19.100000000000001</v>
      </c>
      <c r="E28" s="103">
        <v>705</v>
      </c>
      <c r="F28" s="106">
        <f>IFERROR(Purchases[[#This Row],[Total Cost $]]/Purchases[[#This Row],[No. of coins]],"")</f>
        <v>36.910994764397905</v>
      </c>
      <c r="G28" s="74"/>
    </row>
    <row r="29" spans="2:16" ht="15.75" customHeight="1" x14ac:dyDescent="0.25">
      <c r="B29" s="40">
        <v>44612</v>
      </c>
      <c r="C29" s="50" t="s">
        <v>484</v>
      </c>
      <c r="D29" s="51">
        <v>6.6</v>
      </c>
      <c r="E29" s="103">
        <v>97</v>
      </c>
      <c r="F29" s="106">
        <f>IFERROR(Purchases[[#This Row],[Total Cost $]]/Purchases[[#This Row],[No. of coins]],"")</f>
        <v>14.696969696969697</v>
      </c>
      <c r="G29" s="74"/>
    </row>
    <row r="30" spans="2:16" ht="15.75" customHeight="1" x14ac:dyDescent="0.25">
      <c r="B30" s="40">
        <v>44612</v>
      </c>
      <c r="C30" s="51" t="s">
        <v>15</v>
      </c>
      <c r="D30" s="51">
        <v>6.7643000000000004</v>
      </c>
      <c r="E30" s="103">
        <v>22067</v>
      </c>
      <c r="F30" s="106">
        <f>IFERROR(Purchases[[#This Row],[Total Cost $]]/Purchases[[#This Row],[No. of coins]],"")</f>
        <v>3262.2739973094035</v>
      </c>
      <c r="G30" s="74"/>
    </row>
    <row r="31" spans="2:16" ht="15.75" customHeight="1" x14ac:dyDescent="0.25">
      <c r="B31" s="40">
        <v>44612</v>
      </c>
      <c r="C31" s="50" t="s">
        <v>415</v>
      </c>
      <c r="D31" s="51">
        <v>216</v>
      </c>
      <c r="E31" s="103">
        <v>298</v>
      </c>
      <c r="F31" s="106">
        <f>IFERROR(Purchases[[#This Row],[Total Cost $]]/Purchases[[#This Row],[No. of coins]],"")</f>
        <v>1.3796296296296295</v>
      </c>
      <c r="G31" s="74"/>
    </row>
    <row r="32" spans="2:16" ht="15.75" customHeight="1" x14ac:dyDescent="0.25">
      <c r="B32" s="40">
        <v>44612</v>
      </c>
      <c r="C32" s="50" t="s">
        <v>393</v>
      </c>
      <c r="D32" s="51">
        <v>25.16</v>
      </c>
      <c r="E32" s="103">
        <v>1584</v>
      </c>
      <c r="F32" s="106">
        <f>IFERROR(Purchases[[#This Row],[Total Cost $]]/Purchases[[#This Row],[No. of coins]],"")</f>
        <v>62.957074721780607</v>
      </c>
      <c r="G32" s="74"/>
      <c r="J32" s="52"/>
    </row>
    <row r="33" spans="2:10" ht="15.75" customHeight="1" x14ac:dyDescent="0.25">
      <c r="B33" s="111">
        <v>44634</v>
      </c>
      <c r="C33" s="50" t="s">
        <v>413</v>
      </c>
      <c r="D33" s="51">
        <v>285</v>
      </c>
      <c r="E33" s="103">
        <v>100</v>
      </c>
      <c r="F33" s="106">
        <f>IFERROR(Purchases[[#This Row],[Total Cost $]]/Purchases[[#This Row],[No. of coins]],"")</f>
        <v>0.35087719298245612</v>
      </c>
      <c r="G33" s="74"/>
      <c r="J33" s="52"/>
    </row>
    <row r="34" spans="2:10" ht="15.75" customHeight="1" x14ac:dyDescent="0.25">
      <c r="B34" s="40">
        <v>44612</v>
      </c>
      <c r="C34" s="50" t="s">
        <v>419</v>
      </c>
      <c r="D34" s="51">
        <v>200</v>
      </c>
      <c r="E34" s="103">
        <v>75</v>
      </c>
      <c r="F34" s="106">
        <f>IFERROR(Purchases[[#This Row],[Total Cost $]]/Purchases[[#This Row],[No. of coins]],"")</f>
        <v>0.375</v>
      </c>
      <c r="G34" s="74"/>
      <c r="J34" s="52"/>
    </row>
    <row r="35" spans="2:10" ht="15.75" customHeight="1" x14ac:dyDescent="0.25">
      <c r="B35" s="111">
        <v>44612</v>
      </c>
      <c r="C35" s="50" t="s">
        <v>500</v>
      </c>
      <c r="D35" s="51">
        <v>3239.02</v>
      </c>
      <c r="E35" s="103">
        <v>329</v>
      </c>
      <c r="F35" s="106">
        <f>IFERROR(Purchases[[#This Row],[Total Cost $]]/Purchases[[#This Row],[No. of coins]],"")</f>
        <v>0.1015739328562343</v>
      </c>
      <c r="G35" s="74"/>
      <c r="J35" s="52"/>
    </row>
    <row r="36" spans="2:10" ht="15.75" customHeight="1" x14ac:dyDescent="0.25">
      <c r="B36" s="111">
        <v>44612</v>
      </c>
      <c r="C36" s="50" t="s">
        <v>16</v>
      </c>
      <c r="D36" s="51">
        <v>0.53</v>
      </c>
      <c r="E36" s="103">
        <v>202</v>
      </c>
      <c r="F36" s="106">
        <f>IFERROR(Purchases[[#This Row],[Total Cost $]]/Purchases[[#This Row],[No. of coins]],"")</f>
        <v>381.1320754716981</v>
      </c>
      <c r="G36" s="74"/>
      <c r="J36" s="52"/>
    </row>
    <row r="37" spans="2:10" ht="15.75" customHeight="1" x14ac:dyDescent="0.25">
      <c r="B37" s="40">
        <v>44612</v>
      </c>
      <c r="C37" s="50" t="s">
        <v>778</v>
      </c>
      <c r="D37" s="51">
        <v>177.97</v>
      </c>
      <c r="E37" s="103">
        <v>80</v>
      </c>
      <c r="F37" s="106">
        <f>IFERROR(Purchases[[#This Row],[Total Cost $]]/Purchases[[#This Row],[No. of coins]],"")</f>
        <v>0.44951396302747654</v>
      </c>
      <c r="G37" s="74"/>
    </row>
    <row r="38" spans="2:10" ht="15.75" customHeight="1" x14ac:dyDescent="0.25">
      <c r="B38" s="40">
        <v>44612</v>
      </c>
      <c r="C38" s="50" t="s">
        <v>3</v>
      </c>
      <c r="D38" s="51">
        <v>18.920000000000002</v>
      </c>
      <c r="E38" s="103">
        <v>531</v>
      </c>
      <c r="F38" s="106">
        <f>IFERROR(Purchases[[#This Row],[Total Cost $]]/Purchases[[#This Row],[No. of coins]],"")</f>
        <v>28.065539112050736</v>
      </c>
      <c r="G38" s="74"/>
    </row>
    <row r="39" spans="2:10" ht="15.75" customHeight="1" x14ac:dyDescent="0.25">
      <c r="B39" s="40">
        <v>44612</v>
      </c>
      <c r="C39" s="50" t="s">
        <v>689</v>
      </c>
      <c r="D39" s="51">
        <v>58.32</v>
      </c>
      <c r="E39" s="103">
        <v>90</v>
      </c>
      <c r="F39" s="106">
        <f>IFERROR(Purchases[[#This Row],[Total Cost $]]/Purchases[[#This Row],[No. of coins]],"")</f>
        <v>1.5432098765432098</v>
      </c>
      <c r="G39" s="74"/>
    </row>
    <row r="40" spans="2:10" ht="15.75" customHeight="1" x14ac:dyDescent="0.25">
      <c r="B40" s="40">
        <v>44612</v>
      </c>
      <c r="C40" s="50" t="s">
        <v>385</v>
      </c>
      <c r="D40" s="51">
        <v>29.04</v>
      </c>
      <c r="E40" s="103">
        <v>1395</v>
      </c>
      <c r="F40" s="106">
        <f>IFERROR(Purchases[[#This Row],[Total Cost $]]/Purchases[[#This Row],[No. of coins]],"")</f>
        <v>48.037190082644628</v>
      </c>
      <c r="G40" s="74"/>
    </row>
    <row r="41" spans="2:10" ht="15.75" customHeight="1" x14ac:dyDescent="0.25">
      <c r="B41" s="111">
        <v>44612</v>
      </c>
      <c r="C41" s="50" t="s">
        <v>394</v>
      </c>
      <c r="D41" s="51">
        <v>88.16</v>
      </c>
      <c r="E41" s="103">
        <v>63</v>
      </c>
      <c r="F41" s="106">
        <f>IFERROR(Purchases[[#This Row],[Total Cost $]]/Purchases[[#This Row],[No. of coins]],"")</f>
        <v>0.71460980036297639</v>
      </c>
      <c r="G41" s="74"/>
    </row>
    <row r="42" spans="2:10" ht="15.75" customHeight="1" x14ac:dyDescent="0.25">
      <c r="B42" s="111">
        <v>44612</v>
      </c>
      <c r="C42" s="50" t="s">
        <v>606</v>
      </c>
      <c r="D42" s="51">
        <v>0.22500000000000001</v>
      </c>
      <c r="E42" s="103">
        <v>80</v>
      </c>
      <c r="F42" s="106">
        <f>IFERROR(Purchases[[#This Row],[Total Cost $]]/Purchases[[#This Row],[No. of coins]],"")</f>
        <v>355.55555555555554</v>
      </c>
      <c r="G42" s="74"/>
    </row>
    <row r="43" spans="2:10" ht="15.75" customHeight="1" x14ac:dyDescent="0.25">
      <c r="B43" s="111">
        <v>44612</v>
      </c>
      <c r="C43" s="50" t="s">
        <v>771</v>
      </c>
      <c r="D43" s="51">
        <v>4850</v>
      </c>
      <c r="E43" s="103">
        <v>80</v>
      </c>
      <c r="F43" s="106">
        <f>IFERROR(Purchases[[#This Row],[Total Cost $]]/Purchases[[#This Row],[No. of coins]],"")</f>
        <v>1.6494845360824743E-2</v>
      </c>
      <c r="G43" s="74"/>
    </row>
    <row r="44" spans="2:10" ht="15.75" customHeight="1" x14ac:dyDescent="0.25">
      <c r="B44" s="40">
        <v>44612</v>
      </c>
      <c r="C44" s="50" t="s">
        <v>412</v>
      </c>
      <c r="D44" s="51">
        <v>27.43</v>
      </c>
      <c r="E44" s="103">
        <v>389</v>
      </c>
      <c r="F44" s="106">
        <f>IFERROR(Purchases[[#This Row],[Total Cost $]]/Purchases[[#This Row],[No. of coins]],"")</f>
        <v>14.181553044112286</v>
      </c>
      <c r="G44" s="74"/>
    </row>
    <row r="45" spans="2:10" ht="15.75" customHeight="1" x14ac:dyDescent="0.25">
      <c r="B45" s="40">
        <v>44612</v>
      </c>
      <c r="C45" s="50" t="s">
        <v>768</v>
      </c>
      <c r="D45" s="51">
        <v>33.950000000000003</v>
      </c>
      <c r="E45" s="103">
        <v>94</v>
      </c>
      <c r="F45" s="106">
        <f>IFERROR(Purchases[[#This Row],[Total Cost $]]/Purchases[[#This Row],[No. of coins]],"")</f>
        <v>2.7687776141384388</v>
      </c>
      <c r="G45" s="74"/>
    </row>
    <row r="46" spans="2:10" ht="15.75" customHeight="1" x14ac:dyDescent="0.25">
      <c r="B46" s="111">
        <v>44634</v>
      </c>
      <c r="C46" s="50" t="s">
        <v>925</v>
      </c>
      <c r="D46" s="51">
        <v>216</v>
      </c>
      <c r="E46" s="103">
        <v>100</v>
      </c>
      <c r="F46" s="106">
        <f>IFERROR(Purchases[[#This Row],[Total Cost $]]/Purchases[[#This Row],[No. of coins]],"")</f>
        <v>0.46296296296296297</v>
      </c>
      <c r="G46" s="74"/>
    </row>
    <row r="47" spans="2:10" ht="15.75" customHeight="1" x14ac:dyDescent="0.25">
      <c r="B47" s="40">
        <v>44612</v>
      </c>
      <c r="C47" s="50" t="s">
        <v>766</v>
      </c>
      <c r="D47" s="51">
        <v>56.92</v>
      </c>
      <c r="E47" s="103">
        <v>100</v>
      </c>
      <c r="F47" s="106">
        <f>IFERROR(Purchases[[#This Row],[Total Cost $]]/Purchases[[#This Row],[No. of coins]],"")</f>
        <v>1.7568517217146873</v>
      </c>
      <c r="G47" s="74"/>
    </row>
    <row r="48" spans="2:10" ht="15.75" customHeight="1" x14ac:dyDescent="0.25">
      <c r="B48" s="40">
        <v>44612</v>
      </c>
      <c r="C48" s="50" t="s">
        <v>774</v>
      </c>
      <c r="D48" s="51">
        <v>4</v>
      </c>
      <c r="E48" s="103">
        <v>86</v>
      </c>
      <c r="F48" s="106">
        <f>IFERROR(Purchases[[#This Row],[Total Cost $]]/Purchases[[#This Row],[No. of coins]],"")</f>
        <v>21.5</v>
      </c>
      <c r="G48" s="74"/>
    </row>
    <row r="49" spans="2:7" ht="15.75" customHeight="1" x14ac:dyDescent="0.25">
      <c r="B49" s="40">
        <v>44612</v>
      </c>
      <c r="C49" s="50" t="s">
        <v>777</v>
      </c>
      <c r="D49" s="51">
        <v>43.47</v>
      </c>
      <c r="E49" s="103">
        <v>80</v>
      </c>
      <c r="F49" s="106">
        <f>IFERROR(Purchases[[#This Row],[Total Cost $]]/Purchases[[#This Row],[No. of coins]],"")</f>
        <v>1.840349666436623</v>
      </c>
      <c r="G49" s="74"/>
    </row>
    <row r="50" spans="2:7" ht="15.75" customHeight="1" x14ac:dyDescent="0.25">
      <c r="B50" s="40">
        <v>44612</v>
      </c>
      <c r="C50" s="50" t="s">
        <v>767</v>
      </c>
      <c r="D50" s="51">
        <v>44.85</v>
      </c>
      <c r="E50" s="103">
        <v>331</v>
      </c>
      <c r="F50" s="106">
        <f>IFERROR(Purchases[[#This Row],[Total Cost $]]/Purchases[[#This Row],[No. of coins]],"")</f>
        <v>7.3801560758082498</v>
      </c>
      <c r="G50" s="74"/>
    </row>
    <row r="51" spans="2:7" ht="15.75" customHeight="1" x14ac:dyDescent="0.25">
      <c r="B51" s="40">
        <v>44612</v>
      </c>
      <c r="C51" s="50" t="s">
        <v>625</v>
      </c>
      <c r="D51" s="51">
        <v>46.776400000000002</v>
      </c>
      <c r="E51" s="103">
        <v>753</v>
      </c>
      <c r="F51" s="106">
        <f>IFERROR(Purchases[[#This Row],[Total Cost $]]/Purchases[[#This Row],[No. of coins]],"")</f>
        <v>16.097861314680053</v>
      </c>
      <c r="G51" s="74"/>
    </row>
    <row r="52" spans="2:7" ht="15.75" customHeight="1" x14ac:dyDescent="0.25">
      <c r="B52" s="40">
        <v>44612</v>
      </c>
      <c r="C52" s="50" t="s">
        <v>410</v>
      </c>
      <c r="D52" s="51">
        <v>1.31</v>
      </c>
      <c r="E52" s="103">
        <v>395</v>
      </c>
      <c r="F52" s="106">
        <f>IFERROR(Purchases[[#This Row],[Total Cost $]]/Purchases[[#This Row],[No. of coins]],"")</f>
        <v>301.52671755725191</v>
      </c>
      <c r="G52" s="74"/>
    </row>
    <row r="53" spans="2:7" ht="15.75" customHeight="1" x14ac:dyDescent="0.25">
      <c r="B53" s="40">
        <v>44612</v>
      </c>
      <c r="C53" s="50" t="s">
        <v>463</v>
      </c>
      <c r="D53" s="51">
        <v>32.21</v>
      </c>
      <c r="E53" s="103">
        <v>280</v>
      </c>
      <c r="F53" s="106">
        <f>IFERROR(Purchases[[#This Row],[Total Cost $]]/Purchases[[#This Row],[No. of coins]],"")</f>
        <v>8.6929524992238427</v>
      </c>
      <c r="G53" s="74"/>
    </row>
    <row r="54" spans="2:7" ht="15.75" customHeight="1" x14ac:dyDescent="0.25">
      <c r="B54" s="40">
        <v>44612</v>
      </c>
      <c r="C54" s="50" t="s">
        <v>821</v>
      </c>
      <c r="D54" s="51">
        <v>28.58</v>
      </c>
      <c r="E54" s="103">
        <v>175</v>
      </c>
      <c r="F54" s="106">
        <f>IFERROR(Purchases[[#This Row],[Total Cost $]]/Purchases[[#This Row],[No. of coins]],"")</f>
        <v>6.1231630510846751</v>
      </c>
      <c r="G54" s="74"/>
    </row>
    <row r="55" spans="2:7" ht="15.75" customHeight="1" x14ac:dyDescent="0.25">
      <c r="B55" s="40">
        <v>44612</v>
      </c>
      <c r="C55" s="50" t="s">
        <v>763</v>
      </c>
      <c r="D55" s="51">
        <v>12</v>
      </c>
      <c r="E55" s="103">
        <v>229</v>
      </c>
      <c r="F55" s="106">
        <f>IFERROR(Purchases[[#This Row],[Total Cost $]]/Purchases[[#This Row],[No. of coins]],"")</f>
        <v>19.083333333333332</v>
      </c>
      <c r="G55" s="74"/>
    </row>
    <row r="56" spans="2:7" ht="15.75" customHeight="1" x14ac:dyDescent="0.25">
      <c r="B56" s="40">
        <v>44612</v>
      </c>
      <c r="C56" s="50" t="s">
        <v>624</v>
      </c>
      <c r="D56" s="51">
        <v>254.51</v>
      </c>
      <c r="E56" s="103">
        <v>774</v>
      </c>
      <c r="F56" s="106">
        <f>IFERROR(Purchases[[#This Row],[Total Cost $]]/Purchases[[#This Row],[No. of coins]],"")</f>
        <v>3.0411378727751366</v>
      </c>
      <c r="G56" s="74"/>
    </row>
    <row r="57" spans="2:7" ht="15.75" customHeight="1" x14ac:dyDescent="0.25">
      <c r="B57" s="111">
        <v>44612</v>
      </c>
      <c r="C57" s="50" t="s">
        <v>479</v>
      </c>
      <c r="D57" s="51">
        <v>27</v>
      </c>
      <c r="E57" s="103">
        <v>49</v>
      </c>
      <c r="F57" s="106">
        <f>IFERROR(Purchases[[#This Row],[Total Cost $]]/Purchases[[#This Row],[No. of coins]],"")</f>
        <v>1.8148148148148149</v>
      </c>
      <c r="G57" s="74"/>
    </row>
    <row r="58" spans="2:7" ht="15.75" customHeight="1" x14ac:dyDescent="0.25">
      <c r="B58" s="40">
        <v>44612</v>
      </c>
      <c r="C58" s="50" t="s">
        <v>769</v>
      </c>
      <c r="D58" s="51">
        <v>116.14</v>
      </c>
      <c r="E58" s="103">
        <v>202</v>
      </c>
      <c r="F58" s="106">
        <f>IFERROR(Purchases[[#This Row],[Total Cost $]]/Purchases[[#This Row],[No. of coins]],"")</f>
        <v>1.7392801790941967</v>
      </c>
      <c r="G58" s="74"/>
    </row>
    <row r="59" spans="2:7" ht="15.75" customHeight="1" x14ac:dyDescent="0.25">
      <c r="B59" s="40">
        <v>44612</v>
      </c>
      <c r="C59" s="45" t="s">
        <v>382</v>
      </c>
      <c r="D59" s="46">
        <v>49</v>
      </c>
      <c r="E59" s="104">
        <v>5740.15</v>
      </c>
      <c r="F59" s="106">
        <f>IFERROR(Purchases[[#This Row],[Total Cost $]]/Purchases[[#This Row],[No. of coins]],"")</f>
        <v>117.14591836734694</v>
      </c>
      <c r="G59" s="74"/>
    </row>
    <row r="60" spans="2:7" ht="15.75" customHeight="1" x14ac:dyDescent="0.25">
      <c r="B60" s="40">
        <v>44612</v>
      </c>
      <c r="C60" s="45" t="s">
        <v>498</v>
      </c>
      <c r="D60" s="46">
        <v>35.74</v>
      </c>
      <c r="E60" s="104">
        <v>320</v>
      </c>
      <c r="F60" s="106">
        <f>IFERROR(Purchases[[#This Row],[Total Cost $]]/Purchases[[#This Row],[No. of coins]],"")</f>
        <v>8.9535534415221036</v>
      </c>
      <c r="G60" s="74"/>
    </row>
    <row r="61" spans="2:7" ht="15.75" customHeight="1" x14ac:dyDescent="0.25">
      <c r="B61" s="40">
        <v>44612</v>
      </c>
      <c r="C61" s="45" t="s">
        <v>779</v>
      </c>
      <c r="D61" s="46">
        <v>60.75</v>
      </c>
      <c r="E61" s="104">
        <v>78</v>
      </c>
      <c r="F61" s="106">
        <f>IFERROR(Purchases[[#This Row],[Total Cost $]]/Purchases[[#This Row],[No. of coins]],"")</f>
        <v>1.2839506172839505</v>
      </c>
      <c r="G61" s="74"/>
    </row>
    <row r="62" spans="2:7" ht="15.75" customHeight="1" x14ac:dyDescent="0.25">
      <c r="B62" s="40">
        <v>44612</v>
      </c>
      <c r="C62" s="45" t="s">
        <v>697</v>
      </c>
      <c r="D62" s="46">
        <v>130</v>
      </c>
      <c r="E62" s="104">
        <v>99</v>
      </c>
      <c r="F62" s="106">
        <f>IFERROR(Purchases[[#This Row],[Total Cost $]]/Purchases[[#This Row],[No. of coins]],"")</f>
        <v>0.7615384615384615</v>
      </c>
      <c r="G62" s="74"/>
    </row>
    <row r="63" spans="2:7" ht="15.75" customHeight="1" x14ac:dyDescent="0.25">
      <c r="B63" s="111">
        <v>44612</v>
      </c>
      <c r="C63" s="45" t="s">
        <v>440</v>
      </c>
      <c r="D63" s="46">
        <v>118</v>
      </c>
      <c r="E63" s="104">
        <v>20</v>
      </c>
      <c r="F63" s="106">
        <f>IFERROR(Purchases[[#This Row],[Total Cost $]]/Purchases[[#This Row],[No. of coins]],"")</f>
        <v>0.16949152542372881</v>
      </c>
      <c r="G63" s="74"/>
    </row>
    <row r="64" spans="2:7" ht="15.75" customHeight="1" x14ac:dyDescent="0.25">
      <c r="B64" s="40">
        <v>44612</v>
      </c>
      <c r="C64" s="45" t="s">
        <v>399</v>
      </c>
      <c r="D64" s="46">
        <v>24.68</v>
      </c>
      <c r="E64" s="104">
        <v>228</v>
      </c>
      <c r="F64" s="106">
        <f>IFERROR(Purchases[[#This Row],[Total Cost $]]/Purchases[[#This Row],[No. of coins]],"")</f>
        <v>9.238249594813615</v>
      </c>
      <c r="G64" s="74"/>
    </row>
    <row r="65" spans="2:7" ht="15.75" customHeight="1" x14ac:dyDescent="0.25">
      <c r="B65" s="111">
        <v>44612</v>
      </c>
      <c r="C65" s="45" t="s">
        <v>380</v>
      </c>
      <c r="D65" s="46">
        <v>1212</v>
      </c>
      <c r="E65" s="104">
        <v>1212</v>
      </c>
      <c r="F65" s="106">
        <f>IFERROR(Purchases[[#This Row],[Total Cost $]]/Purchases[[#This Row],[No. of coins]],"")</f>
        <v>1</v>
      </c>
      <c r="G65" s="74"/>
    </row>
    <row r="66" spans="2:7" ht="15.75" customHeight="1" x14ac:dyDescent="0.25">
      <c r="B66" s="40">
        <v>44612</v>
      </c>
      <c r="C66" s="45" t="s">
        <v>427</v>
      </c>
      <c r="D66" s="46">
        <v>2.82</v>
      </c>
      <c r="E66" s="104">
        <v>3</v>
      </c>
      <c r="F66" s="106">
        <f>IFERROR(Purchases[[#This Row],[Total Cost $]]/Purchases[[#This Row],[No. of coins]],"")</f>
        <v>1.0638297872340425</v>
      </c>
      <c r="G66" s="74"/>
    </row>
    <row r="67" spans="2:7" ht="15.75" customHeight="1" x14ac:dyDescent="0.25">
      <c r="B67" s="44">
        <v>44612</v>
      </c>
      <c r="C67" s="45" t="s">
        <v>780</v>
      </c>
      <c r="D67" s="46">
        <v>1372.8</v>
      </c>
      <c r="E67" s="104">
        <v>86</v>
      </c>
      <c r="F67" s="106">
        <f>IFERROR(Purchases[[#This Row],[Total Cost $]]/Purchases[[#This Row],[No. of coins]],"")</f>
        <v>6.2645687645687648E-2</v>
      </c>
      <c r="G67" s="74"/>
    </row>
    <row r="68" spans="2:7" x14ac:dyDescent="0.25">
      <c r="B68" s="44">
        <v>44612</v>
      </c>
      <c r="C68" s="45" t="s">
        <v>773</v>
      </c>
      <c r="D68" s="46">
        <v>14.71</v>
      </c>
      <c r="E68" s="104">
        <v>81</v>
      </c>
      <c r="F68" s="106">
        <f>IFERROR(Purchases[[#This Row],[Total Cost $]]/Purchases[[#This Row],[No. of coins]],"")</f>
        <v>5.5064581917063222</v>
      </c>
    </row>
    <row r="69" spans="2:7" x14ac:dyDescent="0.25">
      <c r="B69" s="44">
        <v>44612</v>
      </c>
      <c r="C69" s="45" t="s">
        <v>776</v>
      </c>
      <c r="D69" s="46">
        <v>15.73</v>
      </c>
      <c r="E69" s="104">
        <v>80</v>
      </c>
      <c r="F69" s="106">
        <f>IFERROR(Purchases[[#This Row],[Total Cost $]]/Purchases[[#This Row],[No. of coins]],"")</f>
        <v>5.085823267641449</v>
      </c>
    </row>
    <row r="70" spans="2:7" x14ac:dyDescent="0.25">
      <c r="B70" s="44">
        <v>44612</v>
      </c>
      <c r="C70" s="45" t="s">
        <v>760</v>
      </c>
      <c r="D70" s="46">
        <v>65.89</v>
      </c>
      <c r="E70" s="104">
        <v>578</v>
      </c>
      <c r="F70" s="106">
        <f>IFERROR(Purchases[[#This Row],[Total Cost $]]/Purchases[[#This Row],[No. of coins]],"")</f>
        <v>8.7721960843830633</v>
      </c>
    </row>
  </sheetData>
  <sheetProtection selectLockedCells="1"/>
  <mergeCells count="2">
    <mergeCell ref="B6:F6"/>
    <mergeCell ref="I6:P6"/>
  </mergeCells>
  <dataValidations count="1">
    <dataValidation type="list" allowBlank="1" showInputMessage="1" showErrorMessage="1" sqref="K8:K18" xr:uid="{6473FA74-3C9F-45B8-8D6A-0558024B062B}">
      <formula1>"Tokens sold, Tokens sold2, Tokens sold3, Tokens sold4, Tokens sold5"</formula1>
    </dataValidation>
  </dataValidations>
  <pageMargins left="0.7" right="0.7" top="0.75" bottom="0.75" header="0.3" footer="0.3"/>
  <pageSetup orientation="portrait" horizontalDpi="4294967293" verticalDpi="4294967293" r:id="rId1"/>
  <ignoredErrors>
    <ignoredError sqref="L9:M9 M8" calculatedColumn="1"/>
  </ignoredError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A81FC-0107-4B92-82F6-501BF96DE51A}">
  <sheetPr codeName="Sheet21">
    <tabColor rgb="FF00FF00"/>
  </sheetPr>
  <dimension ref="A1:AX112"/>
  <sheetViews>
    <sheetView showGridLines="0" tabSelected="1" zoomScale="90" zoomScaleNormal="90" workbookViewId="0">
      <pane xSplit="11" ySplit="6" topLeftCell="L7" activePane="bottomRight" state="frozen"/>
      <selection pane="topRight" activeCell="H1" sqref="H1"/>
      <selection pane="bottomLeft" activeCell="A6" sqref="A6"/>
      <selection pane="bottomRight" activeCell="L9" sqref="L9"/>
    </sheetView>
  </sheetViews>
  <sheetFormatPr baseColWidth="10" defaultColWidth="8.7109375" defaultRowHeight="15" x14ac:dyDescent="0.25"/>
  <cols>
    <col min="1" max="1" width="22.7109375" style="1" bestFit="1" customWidth="1"/>
    <col min="2" max="2" width="9.28515625" style="1" bestFit="1" customWidth="1"/>
    <col min="3" max="3" width="15.7109375" style="1" bestFit="1" customWidth="1"/>
    <col min="4" max="4" width="17.85546875" style="1" bestFit="1" customWidth="1"/>
    <col min="5" max="5" width="17.5703125" style="1" bestFit="1" customWidth="1"/>
    <col min="6" max="6" width="15.28515625" style="1" bestFit="1" customWidth="1"/>
    <col min="7" max="7" width="15.42578125" style="1" bestFit="1" customWidth="1"/>
    <col min="8" max="8" width="13.42578125" bestFit="1" customWidth="1"/>
    <col min="9" max="9" width="1.7109375" customWidth="1"/>
    <col min="10" max="10" width="8.42578125" style="11" customWidth="1"/>
    <col min="11" max="11" width="28.42578125" style="1" customWidth="1"/>
    <col min="12" max="12" width="14.5703125" style="1" customWidth="1"/>
    <col min="13" max="13" width="13.42578125" style="1" customWidth="1"/>
    <col min="14" max="14" width="13.140625" style="1" customWidth="1"/>
    <col min="15" max="15" width="12" style="1" customWidth="1"/>
    <col min="16" max="16" width="8.85546875" style="1" customWidth="1"/>
    <col min="17" max="17" width="14.5703125" style="1" customWidth="1"/>
    <col min="18" max="18" width="12.5703125" style="1" customWidth="1"/>
    <col min="19" max="19" width="13.140625" style="1" customWidth="1"/>
    <col min="20" max="20" width="12" style="1" customWidth="1"/>
    <col min="21" max="21" width="8.85546875" style="1" customWidth="1"/>
    <col min="22" max="22" width="14.5703125" style="1" customWidth="1"/>
    <col min="23" max="23" width="12.5703125" style="1" customWidth="1"/>
    <col min="24" max="24" width="13" style="1" customWidth="1"/>
    <col min="25" max="25" width="12" style="1" customWidth="1"/>
    <col min="26" max="26" width="8.85546875" style="1" customWidth="1"/>
    <col min="27" max="27" width="14.5703125" style="1" customWidth="1"/>
    <col min="28" max="28" width="12.5703125" style="1" customWidth="1"/>
    <col min="29" max="29" width="13" style="1" customWidth="1"/>
    <col min="30" max="30" width="12" style="1" customWidth="1"/>
    <col min="31" max="31" width="8.85546875" style="1" customWidth="1"/>
    <col min="32" max="32" width="14.5703125" style="1" customWidth="1"/>
    <col min="33" max="33" width="12.5703125" style="1" customWidth="1"/>
    <col min="34" max="34" width="13.140625" style="1" customWidth="1"/>
    <col min="35" max="35" width="12" style="1" customWidth="1"/>
    <col min="36" max="36" width="8.85546875" style="1" customWidth="1"/>
    <col min="37" max="37" width="14.5703125" style="1" customWidth="1"/>
    <col min="38" max="38" width="12.5703125" style="1" customWidth="1"/>
    <col min="39" max="39" width="13.140625" style="1" customWidth="1"/>
    <col min="40" max="40" width="12" style="1" customWidth="1"/>
    <col min="41" max="41" width="8.85546875" style="1" customWidth="1"/>
    <col min="42" max="42" width="14.5703125" style="1" customWidth="1"/>
    <col min="43" max="43" width="12.5703125" style="1" customWidth="1"/>
    <col min="44" max="44" width="13.140625" style="1" customWidth="1"/>
    <col min="45" max="45" width="12" style="1" customWidth="1"/>
    <col min="46" max="46" width="8.85546875" style="1" customWidth="1"/>
    <col min="47" max="47" width="13" style="1" customWidth="1"/>
    <col min="48" max="48" width="17.7109375" style="1" customWidth="1"/>
    <col min="49" max="49" width="19.28515625" customWidth="1"/>
    <col min="50" max="16384" width="8.7109375" style="1"/>
  </cols>
  <sheetData>
    <row r="1" spans="1:50" ht="83.25" customHeight="1" x14ac:dyDescent="0.25">
      <c r="A1" s="129" t="s">
        <v>837</v>
      </c>
      <c r="B1" s="129"/>
      <c r="C1" s="129"/>
      <c r="D1" s="129"/>
      <c r="E1" s="129"/>
      <c r="F1" s="129"/>
      <c r="G1" s="129"/>
      <c r="M1" s="23" t="s">
        <v>898</v>
      </c>
      <c r="N1" s="20" t="s">
        <v>899</v>
      </c>
      <c r="O1" s="127" t="s">
        <v>598</v>
      </c>
      <c r="P1" s="127"/>
      <c r="Q1" s="56" t="s">
        <v>935</v>
      </c>
      <c r="R1" s="56" t="s">
        <v>945</v>
      </c>
      <c r="S1" s="56"/>
      <c r="T1" s="56"/>
      <c r="U1" s="67"/>
      <c r="Y1" s="76"/>
      <c r="AD1" s="56"/>
      <c r="AI1" s="76"/>
    </row>
    <row r="2" spans="1:50" ht="15.75" customHeight="1" x14ac:dyDescent="0.25">
      <c r="A2" s="129"/>
      <c r="B2" s="129"/>
      <c r="C2" s="129"/>
      <c r="D2" s="129"/>
      <c r="E2" s="129"/>
      <c r="F2" s="129"/>
      <c r="G2" s="129"/>
      <c r="M2"/>
      <c r="N2" s="20"/>
      <c r="O2" s="76"/>
      <c r="P2" s="20"/>
      <c r="Q2" s="20"/>
      <c r="R2" s="56"/>
      <c r="S2" s="56"/>
      <c r="Y2" s="76"/>
      <c r="AI2" s="76"/>
    </row>
    <row r="3" spans="1:50" customFormat="1" ht="17.25" customHeight="1" x14ac:dyDescent="0.25">
      <c r="M3" s="2" t="s">
        <v>841</v>
      </c>
      <c r="N3" s="1"/>
      <c r="O3" s="1"/>
      <c r="P3" s="2" t="s">
        <v>888</v>
      </c>
      <c r="Q3" s="1"/>
      <c r="R3" s="2" t="s">
        <v>841</v>
      </c>
      <c r="U3" s="2" t="s">
        <v>0</v>
      </c>
      <c r="W3" s="2" t="s">
        <v>841</v>
      </c>
      <c r="Y3" s="1"/>
      <c r="Z3" s="2" t="s">
        <v>0</v>
      </c>
      <c r="AB3" s="2" t="s">
        <v>841</v>
      </c>
      <c r="AE3" s="2" t="s">
        <v>0</v>
      </c>
      <c r="AG3" s="2" t="s">
        <v>841</v>
      </c>
      <c r="AI3" s="1"/>
      <c r="AJ3" s="2" t="s">
        <v>0</v>
      </c>
      <c r="AK3" s="2"/>
      <c r="AL3" s="2" t="s">
        <v>841</v>
      </c>
      <c r="AM3" s="2"/>
      <c r="AN3" s="2"/>
      <c r="AO3" s="2" t="s">
        <v>0</v>
      </c>
      <c r="AP3" s="2"/>
      <c r="AQ3" s="2" t="s">
        <v>841</v>
      </c>
      <c r="AR3" s="2"/>
      <c r="AS3" s="2"/>
      <c r="AT3" s="2"/>
      <c r="AU3" s="2" t="s">
        <v>900</v>
      </c>
      <c r="AW3" s="126" t="s">
        <v>842</v>
      </c>
      <c r="AX3" s="126"/>
    </row>
    <row r="4" spans="1:50" ht="18.600000000000001" customHeight="1" x14ac:dyDescent="0.25">
      <c r="A4" s="11"/>
      <c r="B4" s="11"/>
      <c r="C4" s="11"/>
      <c r="D4" s="11"/>
      <c r="E4" s="11"/>
      <c r="F4" s="11"/>
      <c r="G4" s="11"/>
      <c r="M4" s="9">
        <v>0.2</v>
      </c>
      <c r="P4" s="83">
        <f>SUBTOTAL(9,P7:P99)</f>
        <v>16103.065286744895</v>
      </c>
      <c r="R4" s="9">
        <v>0.2</v>
      </c>
      <c r="U4" s="83">
        <f>SUBTOTAL(9,U7:U99)</f>
        <v>32442.171309009795</v>
      </c>
      <c r="W4" s="9">
        <v>0.2</v>
      </c>
      <c r="Z4" s="83">
        <f>SUBTOTAL(9,Z7:Z99)</f>
        <v>36340.914959748574</v>
      </c>
      <c r="AB4" s="9">
        <v>0.2</v>
      </c>
      <c r="AE4" s="83">
        <f>SUBTOTAL(9,AE7:AE99)</f>
        <v>41514.613088217353</v>
      </c>
      <c r="AG4" s="9">
        <v>0.25</v>
      </c>
      <c r="AJ4" s="83">
        <f>SUBTOTAL(9,AJ7:AJ99)</f>
        <v>58099.999186336914</v>
      </c>
      <c r="AK4" s="81"/>
      <c r="AL4" s="9">
        <v>0.35</v>
      </c>
      <c r="AM4" s="81"/>
      <c r="AN4" s="81"/>
      <c r="AO4" s="83">
        <f>SUBTOTAL(9,AO7:AO99)</f>
        <v>78419.654548679289</v>
      </c>
      <c r="AP4" s="79"/>
      <c r="AQ4" s="9">
        <v>0.5</v>
      </c>
      <c r="AR4" s="81"/>
      <c r="AS4" s="81"/>
      <c r="AT4" s="83">
        <f>SUBTOTAL(9,AT7:AT99)</f>
        <v>89000.084130643983</v>
      </c>
      <c r="AU4" s="84">
        <f>SUBTOTAL(9,AU7:AU99)</f>
        <v>351920.50250938075</v>
      </c>
      <c r="AV4" s="85"/>
      <c r="AW4" s="86">
        <f>SUBTOTAL(9,AW7:AW99)</f>
        <v>97091.000869793468</v>
      </c>
    </row>
    <row r="5" spans="1:50" customFormat="1" ht="18.600000000000001" customHeight="1" x14ac:dyDescent="0.25">
      <c r="J5" s="11"/>
      <c r="AJ5" s="78"/>
      <c r="AK5" s="80"/>
      <c r="AL5" s="80"/>
      <c r="AM5" s="80"/>
      <c r="AN5" s="80"/>
      <c r="AO5" s="80"/>
      <c r="AP5" s="80"/>
      <c r="AQ5" s="80"/>
      <c r="AR5" s="80"/>
      <c r="AS5" s="80"/>
      <c r="AT5" s="80"/>
    </row>
    <row r="6" spans="1:50" s="3" customFormat="1" x14ac:dyDescent="0.25">
      <c r="A6" s="121" t="s">
        <v>345</v>
      </c>
      <c r="B6" s="121" t="s">
        <v>378</v>
      </c>
      <c r="C6" s="121" t="s">
        <v>14</v>
      </c>
      <c r="D6" s="121" t="s">
        <v>379</v>
      </c>
      <c r="E6" t="s">
        <v>361</v>
      </c>
      <c r="F6" s="122" t="s">
        <v>961</v>
      </c>
      <c r="G6" s="121" t="s">
        <v>934</v>
      </c>
      <c r="H6" s="121" t="s">
        <v>836</v>
      </c>
      <c r="I6" s="121"/>
      <c r="J6" s="55" t="s">
        <v>378</v>
      </c>
      <c r="K6" s="57" t="s">
        <v>20</v>
      </c>
      <c r="L6" s="35" t="s">
        <v>13</v>
      </c>
      <c r="M6" s="34" t="s">
        <v>8</v>
      </c>
      <c r="N6" s="34" t="s">
        <v>7</v>
      </c>
      <c r="O6" s="34" t="s">
        <v>883</v>
      </c>
      <c r="P6" s="34" t="s">
        <v>2</v>
      </c>
      <c r="Q6" s="37" t="s">
        <v>12</v>
      </c>
      <c r="R6" s="36" t="s">
        <v>348</v>
      </c>
      <c r="S6" s="36" t="s">
        <v>529</v>
      </c>
      <c r="T6" s="36" t="s">
        <v>884</v>
      </c>
      <c r="U6" s="36" t="s">
        <v>530</v>
      </c>
      <c r="V6" s="35" t="s">
        <v>11</v>
      </c>
      <c r="W6" s="34" t="s">
        <v>363</v>
      </c>
      <c r="X6" s="34" t="s">
        <v>349</v>
      </c>
      <c r="Y6" s="34" t="s">
        <v>885</v>
      </c>
      <c r="Z6" s="34" t="s">
        <v>531</v>
      </c>
      <c r="AA6" s="37" t="s">
        <v>10</v>
      </c>
      <c r="AB6" s="36" t="s">
        <v>364</v>
      </c>
      <c r="AC6" s="36" t="s">
        <v>532</v>
      </c>
      <c r="AD6" s="36" t="s">
        <v>886</v>
      </c>
      <c r="AE6" s="36" t="s">
        <v>350</v>
      </c>
      <c r="AF6" s="35" t="s">
        <v>9</v>
      </c>
      <c r="AG6" s="34" t="s">
        <v>351</v>
      </c>
      <c r="AH6" s="34" t="s">
        <v>533</v>
      </c>
      <c r="AI6" s="34" t="s">
        <v>887</v>
      </c>
      <c r="AJ6" s="34" t="s">
        <v>534</v>
      </c>
      <c r="AK6" s="35" t="s">
        <v>890</v>
      </c>
      <c r="AL6" s="34" t="s">
        <v>891</v>
      </c>
      <c r="AM6" s="34" t="s">
        <v>879</v>
      </c>
      <c r="AN6" s="34" t="s">
        <v>892</v>
      </c>
      <c r="AO6" s="34" t="s">
        <v>889</v>
      </c>
      <c r="AP6" s="35" t="s">
        <v>894</v>
      </c>
      <c r="AQ6" s="34" t="s">
        <v>895</v>
      </c>
      <c r="AR6" s="34" t="s">
        <v>896</v>
      </c>
      <c r="AS6" s="34" t="s">
        <v>897</v>
      </c>
      <c r="AT6" s="34" t="s">
        <v>893</v>
      </c>
      <c r="AU6" s="54" t="s">
        <v>0</v>
      </c>
      <c r="AV6" s="54" t="s">
        <v>6</v>
      </c>
      <c r="AW6" s="54" t="s">
        <v>18</v>
      </c>
    </row>
    <row r="7" spans="1:50" x14ac:dyDescent="0.25">
      <c r="A7" t="s">
        <v>22</v>
      </c>
      <c r="B7" t="s">
        <v>1</v>
      </c>
      <c r="C7">
        <v>0.48589445999999997</v>
      </c>
      <c r="D7" s="130">
        <v>47382.717600000004</v>
      </c>
      <c r="E7" s="130">
        <v>23023</v>
      </c>
      <c r="F7" s="130">
        <v>41302</v>
      </c>
      <c r="G7" s="130">
        <v>20068.413</v>
      </c>
      <c r="H7" s="13">
        <v>0.29314562306876901</v>
      </c>
      <c r="J7" s="58" t="s">
        <v>411</v>
      </c>
      <c r="K7" s="87">
        <f>IFERROR(VLOOKUP(J7,price_feed[[symbol]:[current_price]],3,FALSE),"")</f>
        <v>151.07</v>
      </c>
      <c r="L7" s="88">
        <f>IFERROR(VLOOKUP(J7,Portfolio_Overview[[#All],[ticker]:[average per coin]],3,FALSE)*2,"")</f>
        <v>570.31799999999998</v>
      </c>
      <c r="M7" s="25">
        <f>IFERROR(VLOOKUP(J7,Portfolio_Overview[[#All],[ticker]:[average per coin]],2,FALSE)*M$4,"")</f>
        <v>0.56600000000000006</v>
      </c>
      <c r="N7" s="26">
        <f>IFERROR(VLOOKUP(CO_entry[[#This Row],[ticker]],Portfolio_Overview[[#All],[ticker]:[average per coin]],2,FALSE)-CO_entry[[#This Row],[Tokens Sold]],"")</f>
        <v>2.2640000000000002</v>
      </c>
      <c r="O7" s="89">
        <f>IFERROR(CO_entry[[#This Row],[Tokens Sold]]*CO_entry[[#This Row],[Selling point 1]],"")</f>
        <v>322.79998800000004</v>
      </c>
      <c r="P7" s="90">
        <f>IFERROR((L7*M7)-(VLOOKUP(J7,Portfolio_Overview[[#All],[ticker]:[average per coin]],3,FALSE)*M7),"")</f>
        <v>161.39999400000002</v>
      </c>
      <c r="Q7" s="88">
        <f>IFERROR(VLOOKUP(J7,Portfolio_Overview[[#All],[ticker]:[average per coin]],3,FALSE)*3.5,"")</f>
        <v>998.05649999999991</v>
      </c>
      <c r="R7" s="27">
        <f t="shared" ref="R7:R38" si="0">IFERROR(N7*R$4,"")</f>
        <v>0.45280000000000009</v>
      </c>
      <c r="S7" s="28">
        <f t="shared" ref="S7:S38" si="1">IFERROR(N7-R7,"")</f>
        <v>1.8112000000000001</v>
      </c>
      <c r="T7" s="91">
        <f>IFERROR(CO_entry[[#This Row],[Tokens Sold2]]*CO_entry[[#This Row],[Selling point 2]],"")</f>
        <v>451.91998320000005</v>
      </c>
      <c r="U7" s="92">
        <f>IFERROR((Q7*R7)-(VLOOKUP(J7,Portfolio_Overview[[#All],[ticker]:[average per coin]],3,FALSE)*R7),"")</f>
        <v>322.79998799999998</v>
      </c>
      <c r="V7" s="88">
        <f>IFERROR(VLOOKUP(J7,Portfolio_Overview[[#All],[ticker]:[average per coin]],3,FALSE)*4.5,"")</f>
        <v>1283.2155</v>
      </c>
      <c r="W7" s="25">
        <f t="shared" ref="W7:W38" si="2">IFERROR(S7*W$4,"")</f>
        <v>0.36224000000000006</v>
      </c>
      <c r="X7" s="26">
        <f t="shared" ref="X7:X38" si="3">IFERROR(S7-W7,"")</f>
        <v>1.44896</v>
      </c>
      <c r="Y7" s="89">
        <f>IFERROR(CO_entry[[#This Row],[Tokens Sold3]]*CO_entry[[#This Row],[Selling point 3]],"")</f>
        <v>464.8319827200001</v>
      </c>
      <c r="Z7" s="90">
        <f>IFERROR((V7*W7)-(VLOOKUP(J7,Portfolio_Overview[[#All],[ticker]:[average per coin]],3,FALSE)*W7),"")</f>
        <v>361.53598656000008</v>
      </c>
      <c r="AA7" s="88">
        <f>IFERROR(VLOOKUP(J7,Portfolio_Overview[[#All],[ticker]:[average per coin]],3,FALSE)*6,"")</f>
        <v>1710.954</v>
      </c>
      <c r="AB7" s="27">
        <f t="shared" ref="AB7:AB38" si="4">IFERROR(X7*AB$4,"")</f>
        <v>0.28979199999999999</v>
      </c>
      <c r="AC7" s="28">
        <f t="shared" ref="AC7:AC38" si="5">IFERROR(X7-AB7,"")</f>
        <v>1.159168</v>
      </c>
      <c r="AD7" s="91">
        <f>IFERROR(CO_entry[[#This Row],[Tokens Sold4]]*CO_entry[[#This Row],[Selling point 4]],"")</f>
        <v>495.82078156799997</v>
      </c>
      <c r="AE7" s="92">
        <f>IFERROR((AA7*AB7)-(VLOOKUP(J7,Portfolio_Overview[[#All],[ticker]:[average per coin]],3,FALSE)*AB7),"")</f>
        <v>413.18398463999995</v>
      </c>
      <c r="AF7" s="97">
        <f>IFERROR(VLOOKUP(J7,Portfolio_Overview[[#All],[ticker]:[average per coin]],3,FALSE)*8,"")</f>
        <v>2281.2719999999999</v>
      </c>
      <c r="AG7" s="26">
        <f t="shared" ref="AG7:AG38" si="6">IFERROR(AC7*AG$4,"")</f>
        <v>0.28979199999999999</v>
      </c>
      <c r="AH7" s="26">
        <f t="shared" ref="AH7:AH38" si="7">IFERROR(AC7-AG7,"")</f>
        <v>0.86937599999999993</v>
      </c>
      <c r="AI7" s="89">
        <f>IFERROR(CO_entry[[#This Row],[Tokens Sold5]]*CO_entry[[#This Row],[Selling point 5]],"")</f>
        <v>661.09437542399996</v>
      </c>
      <c r="AJ7" s="90">
        <f>IFERROR((AF7*AG7)-(VLOOKUP(J7,Portfolio_Overview[[#All],[ticker]:[average per coin]],3,FALSE)*AG7),"")</f>
        <v>578.457578496</v>
      </c>
      <c r="AK7" s="97">
        <f>IFERROR(VLOOKUP(J7,Portfolio_Overview[[#All],[ticker]:[average per coin]],3,FALSE)*10,"")</f>
        <v>2851.59</v>
      </c>
      <c r="AL7" s="77">
        <f t="shared" ref="AL7:AL38" si="8">IFERROR(AH7*AL$4,"")</f>
        <v>0.30428159999999993</v>
      </c>
      <c r="AM7" s="77">
        <f t="shared" ref="AM7:AM38" si="9">IFERROR(AH7-AL7,"")</f>
        <v>0.5650944</v>
      </c>
      <c r="AN7" s="93">
        <f>IFERROR(CO_entry[[#This Row],[Tokens Sold6]]*CO_entry[[#This Row],[Selling point 6]],"")</f>
        <v>867.68636774399988</v>
      </c>
      <c r="AO7" s="96">
        <f>IFERROR((AK7*AL7)-(VLOOKUP(J7,Portfolio_Overview[[#All],[ticker]:[average per coin]],3,FALSE)*AL7),"")</f>
        <v>780.91773096959992</v>
      </c>
      <c r="AP7" s="97">
        <f>IFERROR(VLOOKUP(J7,Portfolio_Overview[[#All],[ticker]:[average per coin]],3,FALSE)*12,"")</f>
        <v>3421.9079999999999</v>
      </c>
      <c r="AQ7" s="26">
        <f t="shared" ref="AQ7:AQ38" si="10">IFERROR(AM7*AQ$4,"")</f>
        <v>0.2825472</v>
      </c>
      <c r="AR7" s="26">
        <f t="shared" ref="AR7:AR38" si="11">IFERROR(AM7-AQ7,"")</f>
        <v>0.2825472</v>
      </c>
      <c r="AS7" s="89">
        <f>IFERROR(CO_entry[[#This Row],[Tokens Sold7]]*CO_entry[[#This Row],[Selling point 7]],"")</f>
        <v>966.85052405759996</v>
      </c>
      <c r="AT7" s="95">
        <f>IFERROR((AP7*AQ7)-(VLOOKUP(J7,Portfolio_Overview[[#All],[ticker]:[average per coin]],3,FALSE)*AQ7),"")</f>
        <v>886.27964705279999</v>
      </c>
      <c r="AU7" s="94">
        <f>IFERROR(P7+U7+Z7+AE7+AJ7+AO7+AT7,"")</f>
        <v>3504.5749097183998</v>
      </c>
      <c r="AV7" s="29">
        <f>AR7</f>
        <v>0.2825472</v>
      </c>
      <c r="AW7" s="94">
        <f>IFERROR(AV7*AP7,"")</f>
        <v>966.85052405759996</v>
      </c>
    </row>
    <row r="8" spans="1:50" x14ac:dyDescent="0.25">
      <c r="A8" t="s">
        <v>24</v>
      </c>
      <c r="B8" t="s">
        <v>15</v>
      </c>
      <c r="C8">
        <v>6.7643000000000004</v>
      </c>
      <c r="D8" s="130">
        <v>3262.2739999999999</v>
      </c>
      <c r="E8" s="130">
        <v>22067</v>
      </c>
      <c r="F8" s="130">
        <v>2858.56</v>
      </c>
      <c r="G8" s="130">
        <v>19336.1574</v>
      </c>
      <c r="H8" s="13">
        <v>0.28244933512075798</v>
      </c>
      <c r="J8" s="59" t="s">
        <v>338</v>
      </c>
      <c r="K8" s="114">
        <f>IFERROR(VLOOKUP(J8,price_feed[[symbol]:[current_price]],3,FALSE),"")</f>
        <v>0.87888299999999997</v>
      </c>
      <c r="L8" s="88">
        <f>IFERROR(VLOOKUP(J8,Portfolio_Overview[[#All],[ticker]:[average per coin]],3,FALSE)*2,"")</f>
        <v>3.6265999999999998</v>
      </c>
      <c r="M8" s="25">
        <f>IFERROR(VLOOKUP(J8,Portfolio_Overview[[#All],[ticker]:[average per coin]],2,FALSE)*M$4,"")</f>
        <v>205.922</v>
      </c>
      <c r="N8" s="26">
        <f>IFERROR(VLOOKUP(CO_entry[[#This Row],[ticker]],Portfolio_Overview[[#All],[ticker]:[average per coin]],2,FALSE)-CO_entry[[#This Row],[Tokens Sold]],"")</f>
        <v>823.68799999999987</v>
      </c>
      <c r="O8" s="89">
        <f>IFERROR(CO_entry[[#This Row],[Tokens Sold]]*CO_entry[[#This Row],[Selling point 1]],"")</f>
        <v>746.79672519999997</v>
      </c>
      <c r="P8" s="90">
        <f>IFERROR((L8*M8)-(VLOOKUP(J8,Portfolio_Overview[[#All],[ticker]:[average per coin]],3,FALSE)*M8),"")</f>
        <v>373.39836259999998</v>
      </c>
      <c r="Q8" s="88">
        <f>IFERROR(VLOOKUP(J8,Portfolio_Overview[[#All],[ticker]:[average per coin]],3,FALSE)*3.5,"")</f>
        <v>6.3465499999999997</v>
      </c>
      <c r="R8" s="27">
        <f t="shared" si="0"/>
        <v>164.73759999999999</v>
      </c>
      <c r="S8" s="28">
        <f t="shared" si="1"/>
        <v>658.95039999999995</v>
      </c>
      <c r="T8" s="91">
        <f>IFERROR(CO_entry[[#This Row],[Tokens Sold2]]*CO_entry[[#This Row],[Selling point 2]],"")</f>
        <v>1045.5154152799998</v>
      </c>
      <c r="U8" s="92">
        <f>IFERROR((Q8*R8)-(VLOOKUP(J8,Portfolio_Overview[[#All],[ticker]:[average per coin]],3,FALSE)*R8),"")</f>
        <v>746.79672519999986</v>
      </c>
      <c r="V8" s="88">
        <f>IFERROR(VLOOKUP(J8,Portfolio_Overview[[#All],[ticker]:[average per coin]],3,FALSE)*4.5,"")</f>
        <v>8.1598499999999987</v>
      </c>
      <c r="W8" s="25">
        <f t="shared" si="2"/>
        <v>131.79007999999999</v>
      </c>
      <c r="X8" s="26">
        <f t="shared" si="3"/>
        <v>527.16031999999996</v>
      </c>
      <c r="Y8" s="89">
        <f>IFERROR(CO_entry[[#This Row],[Tokens Sold3]]*CO_entry[[#This Row],[Selling point 3]],"")</f>
        <v>1075.3872842879998</v>
      </c>
      <c r="Z8" s="90">
        <f>IFERROR((V8*W8)-(VLOOKUP(J8,Portfolio_Overview[[#All],[ticker]:[average per coin]],3,FALSE)*W8),"")</f>
        <v>836.41233222399978</v>
      </c>
      <c r="AA8" s="88">
        <f>IFERROR(VLOOKUP(J8,Portfolio_Overview[[#All],[ticker]:[average per coin]],3,FALSE)*6,"")</f>
        <v>10.879799999999999</v>
      </c>
      <c r="AB8" s="27">
        <f t="shared" si="4"/>
        <v>105.432064</v>
      </c>
      <c r="AC8" s="28">
        <f t="shared" si="5"/>
        <v>421.72825599999999</v>
      </c>
      <c r="AD8" s="91">
        <f>IFERROR(CO_entry[[#This Row],[Tokens Sold4]]*CO_entry[[#This Row],[Selling point 4]],"")</f>
        <v>1147.0797699072</v>
      </c>
      <c r="AE8" s="99">
        <f>IFERROR((AA8*AB8)-(VLOOKUP(J8,Portfolio_Overview[[#All],[ticker]:[average per coin]],3,FALSE)*AB8),"")</f>
        <v>955.89980825600003</v>
      </c>
      <c r="AF8" s="101">
        <f>IFERROR(VLOOKUP(J8,Portfolio_Overview[[#All],[ticker]:[average per coin]],3,FALSE)*8,"")</f>
        <v>14.506399999999999</v>
      </c>
      <c r="AG8" s="26">
        <f t="shared" si="6"/>
        <v>105.432064</v>
      </c>
      <c r="AH8" s="26">
        <f t="shared" si="7"/>
        <v>316.29619200000002</v>
      </c>
      <c r="AI8" s="89">
        <f>IFERROR(CO_entry[[#This Row],[Tokens Sold5]]*CO_entry[[#This Row],[Selling point 5]],"")</f>
        <v>1529.4396932095999</v>
      </c>
      <c r="AJ8" s="90">
        <f>IFERROR((AF8*AG8)-(VLOOKUP(J8,Portfolio_Overview[[#All],[ticker]:[average per coin]],3,FALSE)*AG8),"")</f>
        <v>1338.2597315583998</v>
      </c>
      <c r="AK8" s="97">
        <f>IFERROR(VLOOKUP(J8,Portfolio_Overview[[#All],[ticker]:[average per coin]],3,FALSE)*10,"")</f>
        <v>18.132999999999999</v>
      </c>
      <c r="AL8" s="77">
        <f t="shared" si="8"/>
        <v>110.7036672</v>
      </c>
      <c r="AM8" s="77">
        <f t="shared" si="9"/>
        <v>205.59252480000004</v>
      </c>
      <c r="AN8" s="93">
        <f>IFERROR(CO_entry[[#This Row],[Tokens Sold6]]*CO_entry[[#This Row],[Selling point 6]],"")</f>
        <v>2007.3895973376</v>
      </c>
      <c r="AO8" s="96">
        <f>IFERROR((AK8*AL8)-(VLOOKUP(J8,Portfolio_Overview[[#All],[ticker]:[average per coin]],3,FALSE)*AL8),"")</f>
        <v>1806.6506376038401</v>
      </c>
      <c r="AP8" s="97">
        <f>IFERROR(VLOOKUP(J8,Portfolio_Overview[[#All],[ticker]:[average per coin]],3,FALSE)*12,"")</f>
        <v>21.759599999999999</v>
      </c>
      <c r="AQ8" s="82">
        <f t="shared" si="10"/>
        <v>102.79626240000002</v>
      </c>
      <c r="AR8" s="26">
        <f t="shared" si="11"/>
        <v>102.79626240000002</v>
      </c>
      <c r="AS8" s="89">
        <f>IFERROR(CO_entry[[#This Row],[Tokens Sold7]]*CO_entry[[#This Row],[Selling point 7]],"")</f>
        <v>2236.8055513190402</v>
      </c>
      <c r="AT8" s="95">
        <f>IFERROR((AP8*AQ8)-(VLOOKUP(J8,Portfolio_Overview[[#All],[ticker]:[average per coin]],3,FALSE)*AQ8),"")</f>
        <v>2050.4050887091203</v>
      </c>
      <c r="AU8" s="94">
        <f t="shared" ref="AU8:AU69" si="12">IFERROR(P8+U8+Z8+AE8+AJ8+AO8+AT8,"")</f>
        <v>8107.8226861513594</v>
      </c>
      <c r="AV8" s="29">
        <f>AR8</f>
        <v>102.79626240000002</v>
      </c>
      <c r="AW8" s="94">
        <f t="shared" ref="AW8:AW69" si="13">IFERROR(AV8*AP8,"")</f>
        <v>2236.8055513190402</v>
      </c>
    </row>
    <row r="9" spans="1:50" x14ac:dyDescent="0.25">
      <c r="A9" t="s">
        <v>850</v>
      </c>
      <c r="B9" t="s">
        <v>849</v>
      </c>
      <c r="C9">
        <v>7033.39</v>
      </c>
      <c r="D9" s="130">
        <v>1.1983999999999999</v>
      </c>
      <c r="E9" s="130">
        <v>8428.8145999999997</v>
      </c>
      <c r="F9" s="130">
        <v>1.22</v>
      </c>
      <c r="G9" s="130">
        <v>8580.7358000000004</v>
      </c>
      <c r="H9" s="13">
        <v>0.12534150769567501</v>
      </c>
      <c r="J9" s="58" t="s">
        <v>390</v>
      </c>
      <c r="K9" s="114">
        <f>IFERROR(VLOOKUP(J9,price_feed[[symbol]:[current_price]],3,FALSE),"")</f>
        <v>0.73847499999999999</v>
      </c>
      <c r="L9" s="88">
        <f>IFERROR(VLOOKUP(J9,Portfolio_Overview[[#All],[ticker]:[average per coin]],3,FALSE)*2,"")</f>
        <v>3.4039999999999999</v>
      </c>
      <c r="M9" s="25">
        <f>IFERROR(VLOOKUP(J9,Portfolio_Overview[[#All],[ticker]:[average per coin]],2,FALSE)*M$4,"")</f>
        <v>39.951999999999998</v>
      </c>
      <c r="N9" s="26">
        <f>IFERROR(VLOOKUP(CO_entry[[#This Row],[ticker]],Portfolio_Overview[[#All],[ticker]:[average per coin]],2,FALSE)-CO_entry[[#This Row],[Tokens Sold]],"")</f>
        <v>159.80799999999999</v>
      </c>
      <c r="O9" s="89">
        <f>IFERROR(CO_entry[[#This Row],[Tokens Sold]]*CO_entry[[#This Row],[Selling point 1]],"")</f>
        <v>135.99660799999998</v>
      </c>
      <c r="P9" s="90">
        <f>IFERROR((L9*M9)-(VLOOKUP(J9,Portfolio_Overview[[#All],[ticker]:[average per coin]],3,FALSE)*M9),"")</f>
        <v>67.99830399999999</v>
      </c>
      <c r="Q9" s="88">
        <f>IFERROR(VLOOKUP(J9,Portfolio_Overview[[#All],[ticker]:[average per coin]],3,FALSE)*3.5,"")</f>
        <v>5.9569999999999999</v>
      </c>
      <c r="R9" s="27">
        <f t="shared" si="0"/>
        <v>31.961600000000001</v>
      </c>
      <c r="S9" s="28">
        <f t="shared" si="1"/>
        <v>127.84639999999999</v>
      </c>
      <c r="T9" s="91">
        <f>IFERROR(CO_entry[[#This Row],[Tokens Sold2]]*CO_entry[[#This Row],[Selling point 2]],"")</f>
        <v>190.39525119999999</v>
      </c>
      <c r="U9" s="92">
        <f>IFERROR((Q9*R9)-(VLOOKUP(J9,Portfolio_Overview[[#All],[ticker]:[average per coin]],3,FALSE)*R9),"")</f>
        <v>135.99660799999998</v>
      </c>
      <c r="V9" s="88">
        <f>IFERROR(VLOOKUP(J9,Portfolio_Overview[[#All],[ticker]:[average per coin]],3,FALSE)*4.5,"")</f>
        <v>7.6589999999999998</v>
      </c>
      <c r="W9" s="25">
        <f t="shared" si="2"/>
        <v>25.569279999999999</v>
      </c>
      <c r="X9" s="26">
        <f t="shared" si="3"/>
        <v>102.27712</v>
      </c>
      <c r="Y9" s="89">
        <f>IFERROR(CO_entry[[#This Row],[Tokens Sold3]]*CO_entry[[#This Row],[Selling point 3]],"")</f>
        <v>195.83511551999999</v>
      </c>
      <c r="Z9" s="90">
        <f>IFERROR((V9*W9)-(VLOOKUP(J9,Portfolio_Overview[[#All],[ticker]:[average per coin]],3,FALSE)*W9),"")</f>
        <v>152.31620096</v>
      </c>
      <c r="AA9" s="88">
        <f>IFERROR(VLOOKUP(J9,Portfolio_Overview[[#All],[ticker]:[average per coin]],3,FALSE)*6,"")</f>
        <v>10.212</v>
      </c>
      <c r="AB9" s="27">
        <f t="shared" si="4"/>
        <v>20.455424000000001</v>
      </c>
      <c r="AC9" s="28">
        <f t="shared" si="5"/>
        <v>81.821696000000003</v>
      </c>
      <c r="AD9" s="91">
        <f>IFERROR(CO_entry[[#This Row],[Tokens Sold4]]*CO_entry[[#This Row],[Selling point 4]],"")</f>
        <v>208.890789888</v>
      </c>
      <c r="AE9" s="99">
        <f>IFERROR((AA9*AB9)-(VLOOKUP(J9,Portfolio_Overview[[#All],[ticker]:[average per coin]],3,FALSE)*AB9),"")</f>
        <v>174.07565824</v>
      </c>
      <c r="AF9" s="102">
        <f>IFERROR(VLOOKUP(J9,Portfolio_Overview[[#All],[ticker]:[average per coin]],3,FALSE)*8,"")</f>
        <v>13.616</v>
      </c>
      <c r="AG9" s="25">
        <f t="shared" si="6"/>
        <v>20.455424000000001</v>
      </c>
      <c r="AH9" s="26">
        <f t="shared" si="7"/>
        <v>61.366272000000002</v>
      </c>
      <c r="AI9" s="89">
        <f>IFERROR(CO_entry[[#This Row],[Tokens Sold5]]*CO_entry[[#This Row],[Selling point 5]],"")</f>
        <v>278.52105318399998</v>
      </c>
      <c r="AJ9" s="90">
        <f>IFERROR((AF9*AG9)-(VLOOKUP(J9,Portfolio_Overview[[#All],[ticker]:[average per coin]],3,FALSE)*AG9),"")</f>
        <v>243.70592153599998</v>
      </c>
      <c r="AK9" s="98">
        <f>IFERROR(VLOOKUP(J9,Portfolio_Overview[[#All],[ticker]:[average per coin]],3,FALSE)*10,"")</f>
        <v>17.02</v>
      </c>
      <c r="AL9" s="77">
        <f t="shared" si="8"/>
        <v>21.478195199999998</v>
      </c>
      <c r="AM9" s="77">
        <f t="shared" si="9"/>
        <v>39.888076800000007</v>
      </c>
      <c r="AN9" s="93">
        <f>IFERROR(CO_entry[[#This Row],[Tokens Sold6]]*CO_entry[[#This Row],[Selling point 6]],"")</f>
        <v>365.55888230399995</v>
      </c>
      <c r="AO9" s="96">
        <f>IFERROR((AK9*AL9)-(VLOOKUP(J9,Portfolio_Overview[[#All],[ticker]:[average per coin]],3,FALSE)*AL9),"")</f>
        <v>329.00299407359995</v>
      </c>
      <c r="AP9" s="97">
        <f>IFERROR(VLOOKUP(J9,Portfolio_Overview[[#All],[ticker]:[average per coin]],3,FALSE)*12,"")</f>
        <v>20.423999999999999</v>
      </c>
      <c r="AQ9" s="26">
        <f t="shared" si="10"/>
        <v>19.944038400000004</v>
      </c>
      <c r="AR9" s="26">
        <f t="shared" si="11"/>
        <v>19.944038400000004</v>
      </c>
      <c r="AS9" s="89">
        <f>IFERROR(CO_entry[[#This Row],[Tokens Sold7]]*CO_entry[[#This Row],[Selling point 7]],"")</f>
        <v>407.33704028160008</v>
      </c>
      <c r="AT9" s="95">
        <f>IFERROR((AP9*AQ9)-(VLOOKUP(J9,Portfolio_Overview[[#All],[ticker]:[average per coin]],3,FALSE)*AQ9),"")</f>
        <v>373.39228692480009</v>
      </c>
      <c r="AU9" s="94">
        <f t="shared" si="12"/>
        <v>1476.4879737343999</v>
      </c>
      <c r="AV9" s="29">
        <f t="shared" ref="AV9:AV69" si="14">AR9</f>
        <v>19.944038400000004</v>
      </c>
      <c r="AW9" s="94">
        <f t="shared" si="13"/>
        <v>407.33704028160008</v>
      </c>
    </row>
    <row r="10" spans="1:50" x14ac:dyDescent="0.25">
      <c r="A10" t="s">
        <v>33</v>
      </c>
      <c r="B10" t="s">
        <v>382</v>
      </c>
      <c r="C10">
        <v>49</v>
      </c>
      <c r="D10" s="130">
        <v>117.1459</v>
      </c>
      <c r="E10" s="130">
        <v>5740.1490999999996</v>
      </c>
      <c r="F10" s="130">
        <v>88.33</v>
      </c>
      <c r="G10" s="130">
        <v>4328.17</v>
      </c>
      <c r="H10" s="13">
        <v>6.3222941016688905E-2</v>
      </c>
      <c r="J10" s="58" t="s">
        <v>904</v>
      </c>
      <c r="K10" s="114">
        <f>IFERROR(VLOOKUP(J10,price_feed[[symbol]:[current_price]],3,FALSE),"")</f>
        <v>4.2541710000000003E-2</v>
      </c>
      <c r="L10" s="88">
        <f>IFERROR(VLOOKUP(J10,Portfolio_Overview[[#All],[ticker]:[average per coin]],3,FALSE)*2,"")</f>
        <v>0.39079999999999998</v>
      </c>
      <c r="M10" s="25">
        <f>IFERROR(VLOOKUP(J10,Portfolio_Overview[[#All],[ticker]:[average per coin]],2,FALSE)*M$4,"")</f>
        <v>337.76600000000002</v>
      </c>
      <c r="N10" s="26">
        <f>IFERROR(VLOOKUP(CO_entry[[#This Row],[ticker]],Portfolio_Overview[[#All],[ticker]:[average per coin]],2,FALSE)-CO_entry[[#This Row],[Tokens Sold]],"")</f>
        <v>1351.0639999999999</v>
      </c>
      <c r="O10" s="89">
        <f>IFERROR(CO_entry[[#This Row],[Tokens Sold]]*CO_entry[[#This Row],[Selling point 1]],"")</f>
        <v>131.99895280000001</v>
      </c>
      <c r="P10" s="90">
        <f>IFERROR((L10*M10)-(VLOOKUP(J10,Portfolio_Overview[[#All],[ticker]:[average per coin]],3,FALSE)*M10),"")</f>
        <v>65.999476400000006</v>
      </c>
      <c r="Q10" s="88">
        <f>IFERROR(VLOOKUP(J10,Portfolio_Overview[[#All],[ticker]:[average per coin]],3,FALSE)*3.5,"")</f>
        <v>0.68389999999999995</v>
      </c>
      <c r="R10" s="27">
        <f t="shared" si="0"/>
        <v>270.21279999999996</v>
      </c>
      <c r="S10" s="28">
        <f t="shared" si="1"/>
        <v>1080.8511999999998</v>
      </c>
      <c r="T10" s="91">
        <f>IFERROR(CO_entry[[#This Row],[Tokens Sold2]]*CO_entry[[#This Row],[Selling point 2]],"")</f>
        <v>184.79853391999995</v>
      </c>
      <c r="U10" s="92">
        <f>IFERROR((Q10*R10)-(VLOOKUP(J10,Portfolio_Overview[[#All],[ticker]:[average per coin]],3,FALSE)*R10),"")</f>
        <v>131.99895279999996</v>
      </c>
      <c r="V10" s="88">
        <f>IFERROR(VLOOKUP(J10,Portfolio_Overview[[#All],[ticker]:[average per coin]],3,FALSE)*4.5,"")</f>
        <v>0.87929999999999997</v>
      </c>
      <c r="W10" s="25">
        <f t="shared" si="2"/>
        <v>216.17023999999998</v>
      </c>
      <c r="X10" s="26">
        <f t="shared" si="3"/>
        <v>864.68095999999991</v>
      </c>
      <c r="Y10" s="89">
        <f>IFERROR(CO_entry[[#This Row],[Tokens Sold3]]*CO_entry[[#This Row],[Selling point 3]],"")</f>
        <v>190.07849203199999</v>
      </c>
      <c r="Z10" s="90">
        <f>IFERROR((V10*W10)-(VLOOKUP(J10,Portfolio_Overview[[#All],[ticker]:[average per coin]],3,FALSE)*W10),"")</f>
        <v>147.83882713599999</v>
      </c>
      <c r="AA10" s="88">
        <f>IFERROR(VLOOKUP(J10,Portfolio_Overview[[#All],[ticker]:[average per coin]],3,FALSE)*6,"")</f>
        <v>1.1723999999999999</v>
      </c>
      <c r="AB10" s="27">
        <f t="shared" si="4"/>
        <v>172.93619200000001</v>
      </c>
      <c r="AC10" s="28">
        <f t="shared" si="5"/>
        <v>691.74476799999991</v>
      </c>
      <c r="AD10" s="91">
        <f>IFERROR(CO_entry[[#This Row],[Tokens Sold4]]*CO_entry[[#This Row],[Selling point 4]],"")</f>
        <v>202.75039150079999</v>
      </c>
      <c r="AE10" s="100">
        <f>IFERROR((AA10*AB10)-(VLOOKUP(J10,Portfolio_Overview[[#All],[ticker]:[average per coin]],3,FALSE)*AB10),"")</f>
        <v>168.958659584</v>
      </c>
      <c r="AF10" s="102">
        <f>IFERROR(VLOOKUP(J10,Portfolio_Overview[[#All],[ticker]:[average per coin]],3,FALSE)*8,"")</f>
        <v>1.5631999999999999</v>
      </c>
      <c r="AG10" s="25">
        <f t="shared" si="6"/>
        <v>172.93619199999998</v>
      </c>
      <c r="AH10" s="26">
        <f t="shared" si="7"/>
        <v>518.8085759999999</v>
      </c>
      <c r="AI10" s="89">
        <f>IFERROR(CO_entry[[#This Row],[Tokens Sold5]]*CO_entry[[#This Row],[Selling point 5]],"")</f>
        <v>270.33385533439997</v>
      </c>
      <c r="AJ10" s="90">
        <f>IFERROR((AF10*AG10)-(VLOOKUP(J10,Portfolio_Overview[[#All],[ticker]:[average per coin]],3,FALSE)*AG10),"")</f>
        <v>236.54212341759998</v>
      </c>
      <c r="AK10" s="98">
        <f>IFERROR(VLOOKUP(J10,Portfolio_Overview[[#All],[ticker]:[average per coin]],3,FALSE)*10,"")</f>
        <v>1.954</v>
      </c>
      <c r="AL10" s="77">
        <f t="shared" si="8"/>
        <v>181.58300159999996</v>
      </c>
      <c r="AM10" s="77">
        <f t="shared" si="9"/>
        <v>337.22557439999991</v>
      </c>
      <c r="AN10" s="93">
        <f>IFERROR(CO_entry[[#This Row],[Tokens Sold6]]*CO_entry[[#This Row],[Selling point 6]],"")</f>
        <v>354.8131851263999</v>
      </c>
      <c r="AO10" s="96">
        <f>IFERROR((AK10*AL10)-(VLOOKUP(J10,Portfolio_Overview[[#All],[ticker]:[average per coin]],3,FALSE)*AL10),"")</f>
        <v>319.33186661375993</v>
      </c>
      <c r="AP10" s="97">
        <f>IFERROR(VLOOKUP(J10,Portfolio_Overview[[#All],[ticker]:[average per coin]],3,FALSE)*12,"")</f>
        <v>2.3447999999999998</v>
      </c>
      <c r="AQ10" s="26">
        <f t="shared" si="10"/>
        <v>168.61278719999996</v>
      </c>
      <c r="AR10" s="26">
        <f t="shared" si="11"/>
        <v>168.61278719999996</v>
      </c>
      <c r="AS10" s="89">
        <f>IFERROR(CO_entry[[#This Row],[Tokens Sold7]]*CO_entry[[#This Row],[Selling point 7]],"")</f>
        <v>395.36326342655985</v>
      </c>
      <c r="AT10" s="95">
        <f>IFERROR((AP10*AQ10)-(VLOOKUP(J10,Portfolio_Overview[[#All],[ticker]:[average per coin]],3,FALSE)*AQ10),"")</f>
        <v>362.41632480767987</v>
      </c>
      <c r="AU10" s="94">
        <f t="shared" si="12"/>
        <v>1433.0862307590396</v>
      </c>
      <c r="AV10" s="29">
        <f t="shared" si="14"/>
        <v>168.61278719999996</v>
      </c>
      <c r="AW10" s="94">
        <f t="shared" si="13"/>
        <v>395.36326342655985</v>
      </c>
    </row>
    <row r="11" spans="1:50" x14ac:dyDescent="0.25">
      <c r="A11" t="s">
        <v>17</v>
      </c>
      <c r="B11" t="s">
        <v>385</v>
      </c>
      <c r="C11">
        <v>29.04</v>
      </c>
      <c r="D11" s="130">
        <v>48.037199999999999</v>
      </c>
      <c r="E11" s="130">
        <v>1395.0002999999999</v>
      </c>
      <c r="F11" s="130">
        <v>90.78</v>
      </c>
      <c r="G11" s="130">
        <v>2636.2512000000002</v>
      </c>
      <c r="H11" s="13">
        <v>3.8508550755348203E-2</v>
      </c>
      <c r="J11" s="58" t="s">
        <v>770</v>
      </c>
      <c r="K11" s="114">
        <f>IFERROR(VLOOKUP(J11,price_feed[[symbol]:[current_price]],3,FALSE),"")</f>
        <v>2.5427780000000001E-2</v>
      </c>
      <c r="L11" s="88">
        <f>IFERROR(VLOOKUP(J11,Portfolio_Overview[[#All],[ticker]:[average per coin]],3,FALSE)*2,"")</f>
        <v>0.20180000000000001</v>
      </c>
      <c r="M11" s="25">
        <f>IFERROR(VLOOKUP(J11,Portfolio_Overview[[#All],[ticker]:[average per coin]],2,FALSE)*M$4,"")</f>
        <v>277.43600000000004</v>
      </c>
      <c r="N11" s="26">
        <f>IFERROR(VLOOKUP(CO_entry[[#This Row],[ticker]],Portfolio_Overview[[#All],[ticker]:[average per coin]],2,FALSE)-CO_entry[[#This Row],[Tokens Sold]],"")</f>
        <v>1109.7440000000001</v>
      </c>
      <c r="O11" s="89">
        <f>IFERROR(CO_entry[[#This Row],[Tokens Sold]]*CO_entry[[#This Row],[Selling point 1]],"")</f>
        <v>55.98658480000001</v>
      </c>
      <c r="P11" s="90">
        <f>IFERROR((L11*M11)-(VLOOKUP(J11,Portfolio_Overview[[#All],[ticker]:[average per coin]],3,FALSE)*M11),"")</f>
        <v>27.993292400000005</v>
      </c>
      <c r="Q11" s="88">
        <f>IFERROR(VLOOKUP(J11,Portfolio_Overview[[#All],[ticker]:[average per coin]],3,FALSE)*3.5,"")</f>
        <v>0.35315000000000002</v>
      </c>
      <c r="R11" s="27">
        <f t="shared" si="0"/>
        <v>221.94880000000003</v>
      </c>
      <c r="S11" s="28">
        <f t="shared" si="1"/>
        <v>887.79520000000014</v>
      </c>
      <c r="T11" s="91">
        <f>IFERROR(CO_entry[[#This Row],[Tokens Sold2]]*CO_entry[[#This Row],[Selling point 2]],"")</f>
        <v>78.381218720000021</v>
      </c>
      <c r="U11" s="92">
        <f>IFERROR((Q11*R11)-(VLOOKUP(J11,Portfolio_Overview[[#All],[ticker]:[average per coin]],3,FALSE)*R11),"")</f>
        <v>55.986584800000017</v>
      </c>
      <c r="V11" s="88">
        <f>IFERROR(VLOOKUP(J11,Portfolio_Overview[[#All],[ticker]:[average per coin]],3,FALSE)*4.5,"")</f>
        <v>0.45405000000000001</v>
      </c>
      <c r="W11" s="25">
        <f t="shared" si="2"/>
        <v>177.55904000000004</v>
      </c>
      <c r="X11" s="26">
        <f t="shared" si="3"/>
        <v>710.23616000000015</v>
      </c>
      <c r="Y11" s="89">
        <f>IFERROR(CO_entry[[#This Row],[Tokens Sold3]]*CO_entry[[#This Row],[Selling point 3]],"")</f>
        <v>80.620682112000026</v>
      </c>
      <c r="Z11" s="90">
        <f>IFERROR((V11*W11)-(VLOOKUP(J11,Portfolio_Overview[[#All],[ticker]:[average per coin]],3,FALSE)*W11),"")</f>
        <v>62.704974976000017</v>
      </c>
      <c r="AA11" s="88">
        <f>IFERROR(VLOOKUP(J11,Portfolio_Overview[[#All],[ticker]:[average per coin]],3,FALSE)*6,"")</f>
        <v>0.60540000000000005</v>
      </c>
      <c r="AB11" s="27">
        <f t="shared" si="4"/>
        <v>142.04723200000004</v>
      </c>
      <c r="AC11" s="28">
        <f t="shared" si="5"/>
        <v>568.18892800000015</v>
      </c>
      <c r="AD11" s="91">
        <f>IFERROR(CO_entry[[#This Row],[Tokens Sold4]]*CO_entry[[#This Row],[Selling point 4]],"")</f>
        <v>85.995394252800025</v>
      </c>
      <c r="AE11" s="92">
        <f>IFERROR((AA11*AB11)-(VLOOKUP(J11,Portfolio_Overview[[#All],[ticker]:[average per coin]],3,FALSE)*AB11),"")</f>
        <v>71.662828544000021</v>
      </c>
      <c r="AF11" s="88">
        <f>IFERROR(VLOOKUP(J11,Portfolio_Overview[[#All],[ticker]:[average per coin]],3,FALSE)*8,"")</f>
        <v>0.80720000000000003</v>
      </c>
      <c r="AG11" s="25">
        <f t="shared" si="6"/>
        <v>142.04723200000004</v>
      </c>
      <c r="AH11" s="26">
        <f t="shared" si="7"/>
        <v>426.14169600000014</v>
      </c>
      <c r="AI11" s="89">
        <f>IFERROR(CO_entry[[#This Row],[Tokens Sold5]]*CO_entry[[#This Row],[Selling point 5]],"")</f>
        <v>114.66052567040003</v>
      </c>
      <c r="AJ11" s="90">
        <f>IFERROR((AF11*AG11)-(VLOOKUP(J11,Portfolio_Overview[[#All],[ticker]:[average per coin]],3,FALSE)*AG11),"")</f>
        <v>100.32795996160003</v>
      </c>
      <c r="AK11" s="98">
        <f>IFERROR(VLOOKUP(J11,Portfolio_Overview[[#All],[ticker]:[average per coin]],3,FALSE)*10,"")</f>
        <v>1.0090000000000001</v>
      </c>
      <c r="AL11" s="77">
        <f t="shared" si="8"/>
        <v>149.14959360000003</v>
      </c>
      <c r="AM11" s="77">
        <f t="shared" si="9"/>
        <v>276.99210240000014</v>
      </c>
      <c r="AN11" s="93">
        <f>IFERROR(CO_entry[[#This Row],[Tokens Sold6]]*CO_entry[[#This Row],[Selling point 6]],"")</f>
        <v>150.49193994240005</v>
      </c>
      <c r="AO11" s="96">
        <f>IFERROR((AK11*AL11)-(VLOOKUP(J11,Portfolio_Overview[[#All],[ticker]:[average per coin]],3,FALSE)*AL11),"")</f>
        <v>135.44274594816005</v>
      </c>
      <c r="AP11" s="97">
        <f>IFERROR(VLOOKUP(J11,Portfolio_Overview[[#All],[ticker]:[average per coin]],3,FALSE)*12,"")</f>
        <v>1.2108000000000001</v>
      </c>
      <c r="AQ11" s="26">
        <f t="shared" si="10"/>
        <v>138.49605120000007</v>
      </c>
      <c r="AR11" s="26">
        <f t="shared" si="11"/>
        <v>138.49605120000007</v>
      </c>
      <c r="AS11" s="89">
        <f>IFERROR(CO_entry[[#This Row],[Tokens Sold7]]*CO_entry[[#This Row],[Selling point 7]],"")</f>
        <v>167.69101879296011</v>
      </c>
      <c r="AT11" s="95">
        <f>IFERROR((AP11*AQ11)-(VLOOKUP(J11,Portfolio_Overview[[#All],[ticker]:[average per coin]],3,FALSE)*AQ11),"")</f>
        <v>153.71676722688011</v>
      </c>
      <c r="AU11" s="94">
        <f t="shared" si="12"/>
        <v>607.83515385664032</v>
      </c>
      <c r="AV11" s="29">
        <f t="shared" si="14"/>
        <v>138.49605120000007</v>
      </c>
      <c r="AW11" s="94">
        <f t="shared" si="13"/>
        <v>167.69101879296011</v>
      </c>
    </row>
    <row r="12" spans="1:50" x14ac:dyDescent="0.25">
      <c r="A12" t="s">
        <v>62</v>
      </c>
      <c r="B12" t="s">
        <v>61</v>
      </c>
      <c r="C12">
        <v>26.29</v>
      </c>
      <c r="D12" s="130">
        <v>75.389899999999997</v>
      </c>
      <c r="E12" s="130">
        <v>1982.0005000000001</v>
      </c>
      <c r="F12" s="130">
        <v>84.12</v>
      </c>
      <c r="G12" s="130">
        <v>2211.5147999999999</v>
      </c>
      <c r="H12" s="13">
        <v>3.23042925203803E-2</v>
      </c>
      <c r="J12" s="60" t="s">
        <v>397</v>
      </c>
      <c r="K12" s="87">
        <f>IFERROR(VLOOKUP(J12,price_feed[[symbol]:[current_price]],3,FALSE),"")</f>
        <v>27.81</v>
      </c>
      <c r="L12" s="88">
        <f>IFERROR(VLOOKUP(J12,Portfolio_Overview[[#All],[ticker]:[average per coin]],3,FALSE)*2,"")</f>
        <v>42.1524</v>
      </c>
      <c r="M12" s="25">
        <f>IFERROR(VLOOKUP(J12,Portfolio_Overview[[#All],[ticker]:[average per coin]],2,FALSE)*M$4,"")</f>
        <v>5.3520000000000003</v>
      </c>
      <c r="N12" s="26">
        <f>IFERROR(VLOOKUP(CO_entry[[#This Row],[ticker]],Portfolio_Overview[[#All],[ticker]:[average per coin]],2,FALSE)-CO_entry[[#This Row],[Tokens Sold]],"")</f>
        <v>21.408000000000001</v>
      </c>
      <c r="O12" s="89">
        <f>IFERROR(CO_entry[[#This Row],[Tokens Sold]]*CO_entry[[#This Row],[Selling point 1]],"")</f>
        <v>225.59964480000002</v>
      </c>
      <c r="P12" s="90">
        <f>IFERROR((L12*M12)-(VLOOKUP(J12,Portfolio_Overview[[#All],[ticker]:[average per coin]],3,FALSE)*M12),"")</f>
        <v>112.79982240000001</v>
      </c>
      <c r="Q12" s="88">
        <f>IFERROR(VLOOKUP(J12,Portfolio_Overview[[#All],[ticker]:[average per coin]],3,FALSE)*3.5,"")</f>
        <v>73.7667</v>
      </c>
      <c r="R12" s="27">
        <f t="shared" si="0"/>
        <v>4.2816000000000001</v>
      </c>
      <c r="S12" s="28">
        <f t="shared" si="1"/>
        <v>17.1264</v>
      </c>
      <c r="T12" s="91">
        <f>IFERROR(CO_entry[[#This Row],[Tokens Sold2]]*CO_entry[[#This Row],[Selling point 2]],"")</f>
        <v>315.83950271999998</v>
      </c>
      <c r="U12" s="92">
        <f>IFERROR((Q12*R12)-(VLOOKUP(J12,Portfolio_Overview[[#All],[ticker]:[average per coin]],3,FALSE)*R12),"")</f>
        <v>225.59964479999996</v>
      </c>
      <c r="V12" s="88">
        <f>IFERROR(VLOOKUP(J12,Portfolio_Overview[[#All],[ticker]:[average per coin]],3,FALSE)*4.5,"")</f>
        <v>94.8429</v>
      </c>
      <c r="W12" s="25">
        <f t="shared" si="2"/>
        <v>3.4252800000000003</v>
      </c>
      <c r="X12" s="26">
        <f t="shared" si="3"/>
        <v>13.70112</v>
      </c>
      <c r="Y12" s="89">
        <f>IFERROR(CO_entry[[#This Row],[Tokens Sold3]]*CO_entry[[#This Row],[Selling point 3]],"")</f>
        <v>324.863488512</v>
      </c>
      <c r="Z12" s="90">
        <f>IFERROR((V12*W12)-(VLOOKUP(J12,Portfolio_Overview[[#All],[ticker]:[average per coin]],3,FALSE)*W12),"")</f>
        <v>252.67160217599999</v>
      </c>
      <c r="AA12" s="88">
        <f>IFERROR(VLOOKUP(J12,Portfolio_Overview[[#All],[ticker]:[average per coin]],3,FALSE)*6,"")</f>
        <v>126.4572</v>
      </c>
      <c r="AB12" s="27">
        <f t="shared" si="4"/>
        <v>2.740224</v>
      </c>
      <c r="AC12" s="28">
        <f t="shared" si="5"/>
        <v>10.960896</v>
      </c>
      <c r="AD12" s="91">
        <f>IFERROR(CO_entry[[#This Row],[Tokens Sold4]]*CO_entry[[#This Row],[Selling point 4]],"")</f>
        <v>346.52105441280003</v>
      </c>
      <c r="AE12" s="92">
        <f>IFERROR((AA12*AB12)-(VLOOKUP(J12,Portfolio_Overview[[#All],[ticker]:[average per coin]],3,FALSE)*AB12),"")</f>
        <v>288.76754534400004</v>
      </c>
      <c r="AF12" s="88">
        <f>IFERROR(VLOOKUP(J12,Portfolio_Overview[[#All],[ticker]:[average per coin]],3,FALSE)*8,"")</f>
        <v>168.6096</v>
      </c>
      <c r="AG12" s="25">
        <f t="shared" si="6"/>
        <v>2.740224</v>
      </c>
      <c r="AH12" s="26">
        <f t="shared" si="7"/>
        <v>8.2206720000000004</v>
      </c>
      <c r="AI12" s="89">
        <f>IFERROR(CO_entry[[#This Row],[Tokens Sold5]]*CO_entry[[#This Row],[Selling point 5]],"")</f>
        <v>462.0280725504</v>
      </c>
      <c r="AJ12" s="90">
        <f>IFERROR((AF12*AG12)-(VLOOKUP(J12,Portfolio_Overview[[#All],[ticker]:[average per coin]],3,FALSE)*AG12),"")</f>
        <v>404.27456348160001</v>
      </c>
      <c r="AK12" s="98">
        <f>IFERROR(VLOOKUP(J12,Portfolio_Overview[[#All],[ticker]:[average per coin]],3,FALSE)*10,"")</f>
        <v>210.762</v>
      </c>
      <c r="AL12" s="77">
        <f t="shared" si="8"/>
        <v>2.8772351999999999</v>
      </c>
      <c r="AM12" s="77">
        <f t="shared" si="9"/>
        <v>5.343436800000001</v>
      </c>
      <c r="AN12" s="93">
        <f>IFERROR(CO_entry[[#This Row],[Tokens Sold6]]*CO_entry[[#This Row],[Selling point 6]],"")</f>
        <v>606.41184522239996</v>
      </c>
      <c r="AO12" s="96">
        <f>IFERROR((AK12*AL12)-(VLOOKUP(J12,Portfolio_Overview[[#All],[ticker]:[average per coin]],3,FALSE)*AL12),"")</f>
        <v>545.77066070015997</v>
      </c>
      <c r="AP12" s="98">
        <f>IFERROR(VLOOKUP(J12,Portfolio_Overview[[#All],[ticker]:[average per coin]],3,FALSE)*12,"")</f>
        <v>252.9144</v>
      </c>
      <c r="AQ12" s="26">
        <f t="shared" si="10"/>
        <v>2.6717184000000005</v>
      </c>
      <c r="AR12" s="26">
        <f t="shared" si="11"/>
        <v>2.6717184000000005</v>
      </c>
      <c r="AS12" s="89">
        <f>IFERROR(CO_entry[[#This Row],[Tokens Sold7]]*CO_entry[[#This Row],[Selling point 7]],"")</f>
        <v>675.7160561049601</v>
      </c>
      <c r="AT12" s="95">
        <f>IFERROR((AP12*AQ12)-(VLOOKUP(J12,Portfolio_Overview[[#All],[ticker]:[average per coin]],3,FALSE)*AQ12),"")</f>
        <v>619.40638476288007</v>
      </c>
      <c r="AU12" s="94">
        <f t="shared" si="12"/>
        <v>2449.2902236646401</v>
      </c>
      <c r="AV12" s="29">
        <f t="shared" si="14"/>
        <v>2.6717184000000005</v>
      </c>
      <c r="AW12" s="94">
        <f t="shared" si="13"/>
        <v>675.7160561049601</v>
      </c>
    </row>
    <row r="13" spans="1:50" x14ac:dyDescent="0.25">
      <c r="A13" t="s">
        <v>29</v>
      </c>
      <c r="B13" t="s">
        <v>380</v>
      </c>
      <c r="C13">
        <v>1212</v>
      </c>
      <c r="D13" s="130">
        <v>1</v>
      </c>
      <c r="E13" s="130">
        <v>1212</v>
      </c>
      <c r="F13" s="130">
        <v>1</v>
      </c>
      <c r="G13" s="130">
        <v>1212</v>
      </c>
      <c r="H13" s="13">
        <v>1.7704065346838702E-2</v>
      </c>
      <c r="J13" s="58" t="s">
        <v>772</v>
      </c>
      <c r="K13" s="87">
        <f>IFERROR(VLOOKUP(J13,price_feed[[symbol]:[current_price]],3,FALSE),"")</f>
        <v>16.899999999999999</v>
      </c>
      <c r="L13" s="88">
        <f>IFERROR(VLOOKUP(J13,Portfolio_Overview[[#All],[ticker]:[average per coin]],3,FALSE)*2,"")</f>
        <v>65.789400000000001</v>
      </c>
      <c r="M13" s="25">
        <f>IFERROR(VLOOKUP(J13,Portfolio_Overview[[#All],[ticker]:[average per coin]],2,FALSE)*M$4,"")</f>
        <v>0.45599999999999996</v>
      </c>
      <c r="N13" s="26">
        <f>IFERROR(VLOOKUP(CO_entry[[#This Row],[ticker]],Portfolio_Overview[[#All],[ticker]:[average per coin]],2,FALSE)-CO_entry[[#This Row],[Tokens Sold]],"")</f>
        <v>1.8239999999999998</v>
      </c>
      <c r="O13" s="89">
        <f>IFERROR(CO_entry[[#This Row],[Tokens Sold]]*CO_entry[[#This Row],[Selling point 1]],"")</f>
        <v>29.999966399999998</v>
      </c>
      <c r="P13" s="90">
        <f>IFERROR((L13*M13)-(VLOOKUP(J13,Portfolio_Overview[[#All],[ticker]:[average per coin]],3,FALSE)*M13),"")</f>
        <v>14.999983199999999</v>
      </c>
      <c r="Q13" s="88">
        <f>IFERROR(VLOOKUP(J13,Portfolio_Overview[[#All],[ticker]:[average per coin]],3,FALSE)*3.5,"")</f>
        <v>115.13145</v>
      </c>
      <c r="R13" s="27">
        <f t="shared" si="0"/>
        <v>0.36480000000000001</v>
      </c>
      <c r="S13" s="28">
        <f t="shared" si="1"/>
        <v>1.4591999999999998</v>
      </c>
      <c r="T13" s="91">
        <f>IFERROR(CO_entry[[#This Row],[Tokens Sold2]]*CO_entry[[#This Row],[Selling point 2]],"")</f>
        <v>41.999952960000002</v>
      </c>
      <c r="U13" s="92">
        <f>IFERROR((Q13*R13)-(VLOOKUP(J13,Portfolio_Overview[[#All],[ticker]:[average per coin]],3,FALSE)*R13),"")</f>
        <v>29.999966400000002</v>
      </c>
      <c r="V13" s="88">
        <f>IFERROR(VLOOKUP(J13,Portfolio_Overview[[#All],[ticker]:[average per coin]],3,FALSE)*4.5,"")</f>
        <v>148.02615</v>
      </c>
      <c r="W13" s="25">
        <f t="shared" si="2"/>
        <v>0.29183999999999999</v>
      </c>
      <c r="X13" s="26">
        <f t="shared" si="3"/>
        <v>1.16736</v>
      </c>
      <c r="Y13" s="89">
        <f>IFERROR(CO_entry[[#This Row],[Tokens Sold3]]*CO_entry[[#This Row],[Selling point 3]],"")</f>
        <v>43.199951616</v>
      </c>
      <c r="Z13" s="90">
        <f>IFERROR((V13*W13)-(VLOOKUP(J13,Portfolio_Overview[[#All],[ticker]:[average per coin]],3,FALSE)*W13),"")</f>
        <v>33.599962368</v>
      </c>
      <c r="AA13" s="88">
        <f>IFERROR(VLOOKUP(J13,Portfolio_Overview[[#All],[ticker]:[average per coin]],3,FALSE)*6,"")</f>
        <v>197.3682</v>
      </c>
      <c r="AB13" s="27">
        <f t="shared" si="4"/>
        <v>0.23347200000000001</v>
      </c>
      <c r="AC13" s="28">
        <f t="shared" si="5"/>
        <v>0.93388799999999994</v>
      </c>
      <c r="AD13" s="91">
        <f>IFERROR(CO_entry[[#This Row],[Tokens Sold4]]*CO_entry[[#This Row],[Selling point 4]],"")</f>
        <v>46.079948390400006</v>
      </c>
      <c r="AE13" s="92">
        <f>IFERROR((AA13*AB13)-(VLOOKUP(J13,Portfolio_Overview[[#All],[ticker]:[average per coin]],3,FALSE)*AB13),"")</f>
        <v>38.399956992000007</v>
      </c>
      <c r="AF13" s="97">
        <f>IFERROR(VLOOKUP(J13,Portfolio_Overview[[#All],[ticker]:[average per coin]],3,FALSE)*8,"")</f>
        <v>263.1576</v>
      </c>
      <c r="AG13" s="26">
        <f t="shared" si="6"/>
        <v>0.23347199999999999</v>
      </c>
      <c r="AH13" s="26">
        <f t="shared" si="7"/>
        <v>0.70041599999999993</v>
      </c>
      <c r="AI13" s="89">
        <f>IFERROR(CO_entry[[#This Row],[Tokens Sold5]]*CO_entry[[#This Row],[Selling point 5]],"")</f>
        <v>61.439931187199996</v>
      </c>
      <c r="AJ13" s="90">
        <f>IFERROR((AF13*AG13)-(VLOOKUP(J13,Portfolio_Overview[[#All],[ticker]:[average per coin]],3,FALSE)*AG13),"")</f>
        <v>53.759939788799997</v>
      </c>
      <c r="AK13" s="97">
        <f>IFERROR(VLOOKUP(J13,Portfolio_Overview[[#All],[ticker]:[average per coin]],3,FALSE)*10,"")</f>
        <v>328.947</v>
      </c>
      <c r="AL13" s="77">
        <f t="shared" si="8"/>
        <v>0.24514559999999996</v>
      </c>
      <c r="AM13" s="77">
        <f t="shared" si="9"/>
        <v>0.45527039999999996</v>
      </c>
      <c r="AN13" s="93">
        <f>IFERROR(CO_entry[[#This Row],[Tokens Sold6]]*CO_entry[[#This Row],[Selling point 6]],"")</f>
        <v>80.639909683199988</v>
      </c>
      <c r="AO13" s="96">
        <f>IFERROR((AK13*AL13)-(VLOOKUP(J13,Portfolio_Overview[[#All],[ticker]:[average per coin]],3,FALSE)*AL13),"")</f>
        <v>72.57591871487999</v>
      </c>
      <c r="AP13" s="97">
        <f>IFERROR(VLOOKUP(J13,Portfolio_Overview[[#All],[ticker]:[average per coin]],3,FALSE)*12,"")</f>
        <v>394.7364</v>
      </c>
      <c r="AQ13" s="26">
        <f t="shared" si="10"/>
        <v>0.22763519999999998</v>
      </c>
      <c r="AR13" s="26">
        <f t="shared" si="11"/>
        <v>0.22763519999999998</v>
      </c>
      <c r="AS13" s="89">
        <f>IFERROR(CO_entry[[#This Row],[Tokens Sold7]]*CO_entry[[#This Row],[Selling point 7]],"")</f>
        <v>89.855899361279995</v>
      </c>
      <c r="AT13" s="95">
        <f>IFERROR((AP13*AQ13)-(VLOOKUP(J13,Portfolio_Overview[[#All],[ticker]:[average per coin]],3,FALSE)*AQ13),"")</f>
        <v>82.367907747839993</v>
      </c>
      <c r="AU13" s="94">
        <f t="shared" si="12"/>
        <v>325.70363521152001</v>
      </c>
      <c r="AV13" s="29">
        <f t="shared" si="14"/>
        <v>0.22763519999999998</v>
      </c>
      <c r="AW13" s="94">
        <f t="shared" si="13"/>
        <v>89.855899361279995</v>
      </c>
    </row>
    <row r="14" spans="1:50" x14ac:dyDescent="0.25">
      <c r="A14" t="s">
        <v>37</v>
      </c>
      <c r="B14" t="s">
        <v>4</v>
      </c>
      <c r="C14">
        <v>64.597700000000003</v>
      </c>
      <c r="D14" s="130">
        <v>20.279399999999999</v>
      </c>
      <c r="E14" s="130">
        <v>1310.0026</v>
      </c>
      <c r="F14" s="130">
        <v>18.72</v>
      </c>
      <c r="G14" s="130">
        <v>1209.2689</v>
      </c>
      <c r="H14" s="13">
        <v>1.7664171309818299E-2</v>
      </c>
      <c r="J14" s="71" t="s">
        <v>849</v>
      </c>
      <c r="K14" s="87">
        <f>IFERROR(VLOOKUP(J14,price_feed[[symbol]:[current_price]],3,FALSE),"")</f>
        <v>1.22</v>
      </c>
      <c r="L14" s="88">
        <f>IFERROR(VLOOKUP(J14,Portfolio_Overview[[#All],[ticker]:[average per coin]],3,FALSE)*2,"")</f>
        <v>2.3967999999999998</v>
      </c>
      <c r="M14" s="25">
        <f>IFERROR(VLOOKUP(J14,Portfolio_Overview[[#All],[ticker]:[average per coin]],2,FALSE)*M$4,"")</f>
        <v>1406.6780000000001</v>
      </c>
      <c r="N14" s="26">
        <f>IFERROR(VLOOKUP(CO_entry[[#This Row],[ticker]],Portfolio_Overview[[#All],[ticker]:[average per coin]],2,FALSE)-CO_entry[[#This Row],[Tokens Sold]],"")</f>
        <v>5626.7120000000004</v>
      </c>
      <c r="O14" s="89">
        <f>IFERROR(CO_entry[[#This Row],[Tokens Sold]]*CO_entry[[#This Row],[Selling point 1]],"")</f>
        <v>3371.5258303999999</v>
      </c>
      <c r="P14" s="90">
        <f>IFERROR((L14*M14)-(VLOOKUP(J14,Portfolio_Overview[[#All],[ticker]:[average per coin]],3,FALSE)*M14),"")</f>
        <v>1685.7629152</v>
      </c>
      <c r="Q14" s="88">
        <f>IFERROR(VLOOKUP(J14,Portfolio_Overview[[#All],[ticker]:[average per coin]],3,FALSE)*3.5,"")</f>
        <v>4.1943999999999999</v>
      </c>
      <c r="R14" s="27">
        <f t="shared" si="0"/>
        <v>1125.3424000000002</v>
      </c>
      <c r="S14" s="28">
        <f t="shared" si="1"/>
        <v>4501.3696</v>
      </c>
      <c r="T14" s="91">
        <f>IFERROR(CO_entry[[#This Row],[Tokens Sold2]]*CO_entry[[#This Row],[Selling point 2]],"")</f>
        <v>4720.1361625600011</v>
      </c>
      <c r="U14" s="92">
        <f>IFERROR((Q14*R14)-(VLOOKUP(J14,Portfolio_Overview[[#All],[ticker]:[average per coin]],3,FALSE)*R14),"")</f>
        <v>3371.5258304000008</v>
      </c>
      <c r="V14" s="88">
        <f>IFERROR(VLOOKUP(J14,Portfolio_Overview[[#All],[ticker]:[average per coin]],3,FALSE)*4.5,"")</f>
        <v>5.3927999999999994</v>
      </c>
      <c r="W14" s="25">
        <f t="shared" si="2"/>
        <v>900.27392000000009</v>
      </c>
      <c r="X14" s="26">
        <f t="shared" si="3"/>
        <v>3601.0956799999999</v>
      </c>
      <c r="Y14" s="89">
        <f>IFERROR(CO_entry[[#This Row],[Tokens Sold3]]*CO_entry[[#This Row],[Selling point 3]],"")</f>
        <v>4854.9971957759999</v>
      </c>
      <c r="Z14" s="90">
        <f>IFERROR((V14*W14)-(VLOOKUP(J14,Portfolio_Overview[[#All],[ticker]:[average per coin]],3,FALSE)*W14),"")</f>
        <v>3776.1089300479998</v>
      </c>
      <c r="AA14" s="88">
        <f>IFERROR(VLOOKUP(J14,Portfolio_Overview[[#All],[ticker]:[average per coin]],3,FALSE)*6,"")</f>
        <v>7.1903999999999995</v>
      </c>
      <c r="AB14" s="27">
        <f t="shared" si="4"/>
        <v>720.21913600000005</v>
      </c>
      <c r="AC14" s="28">
        <f t="shared" si="5"/>
        <v>2880.8765439999997</v>
      </c>
      <c r="AD14" s="91">
        <f>IFERROR(CO_entry[[#This Row],[Tokens Sold4]]*CO_entry[[#This Row],[Selling point 4]],"")</f>
        <v>5178.6636754944002</v>
      </c>
      <c r="AE14" s="92">
        <f>IFERROR((AA14*AB14)-(VLOOKUP(J14,Portfolio_Overview[[#All],[ticker]:[average per coin]],3,FALSE)*AB14),"")</f>
        <v>4315.5530629120003</v>
      </c>
      <c r="AF14" s="97">
        <f>IFERROR(VLOOKUP(J14,Portfolio_Overview[[#All],[ticker]:[average per coin]],3,FALSE)*8,"")</f>
        <v>9.5871999999999993</v>
      </c>
      <c r="AG14" s="26">
        <f t="shared" si="6"/>
        <v>720.21913599999993</v>
      </c>
      <c r="AH14" s="26">
        <f t="shared" si="7"/>
        <v>2160.657408</v>
      </c>
      <c r="AI14" s="89">
        <f>IFERROR(CO_entry[[#This Row],[Tokens Sold5]]*CO_entry[[#This Row],[Selling point 5]],"")</f>
        <v>6904.884900659199</v>
      </c>
      <c r="AJ14" s="90">
        <f>IFERROR((AF14*AG14)-(VLOOKUP(J14,Portfolio_Overview[[#All],[ticker]:[average per coin]],3,FALSE)*AG14),"")</f>
        <v>6041.7742880767992</v>
      </c>
      <c r="AK14" s="97">
        <f>IFERROR(VLOOKUP(J14,Portfolio_Overview[[#All],[ticker]:[average per coin]],3,FALSE)*10,"")</f>
        <v>11.983999999999998</v>
      </c>
      <c r="AL14" s="77">
        <f t="shared" si="8"/>
        <v>756.23009279999997</v>
      </c>
      <c r="AM14" s="77">
        <f t="shared" si="9"/>
        <v>1404.4273152000001</v>
      </c>
      <c r="AN14" s="93">
        <f>IFERROR(CO_entry[[#This Row],[Tokens Sold6]]*CO_entry[[#This Row],[Selling point 6]],"")</f>
        <v>9062.6614321151974</v>
      </c>
      <c r="AO14" s="96">
        <f>IFERROR((AK14*AL14)-(VLOOKUP(J14,Portfolio_Overview[[#All],[ticker]:[average per coin]],3,FALSE)*AL14),"")</f>
        <v>8156.3952889036773</v>
      </c>
      <c r="AP14" s="97">
        <f>IFERROR(VLOOKUP(J14,Portfolio_Overview[[#All],[ticker]:[average per coin]],3,FALSE)*12,"")</f>
        <v>14.380799999999999</v>
      </c>
      <c r="AQ14" s="26">
        <f t="shared" si="10"/>
        <v>702.21365760000003</v>
      </c>
      <c r="AR14" s="26">
        <f t="shared" si="11"/>
        <v>702.21365760000003</v>
      </c>
      <c r="AS14" s="89">
        <f>IFERROR(CO_entry[[#This Row],[Tokens Sold7]]*CO_entry[[#This Row],[Selling point 7]],"")</f>
        <v>10098.394167214079</v>
      </c>
      <c r="AT14" s="95">
        <f>IFERROR((AP14*AQ14)-(VLOOKUP(J14,Portfolio_Overview[[#All],[ticker]:[average per coin]],3,FALSE)*AQ14),"")</f>
        <v>9256.8613199462397</v>
      </c>
      <c r="AU14" s="94">
        <f t="shared" si="12"/>
        <v>36603.981635486714</v>
      </c>
      <c r="AV14" s="29">
        <f t="shared" si="14"/>
        <v>702.21365760000003</v>
      </c>
      <c r="AW14" s="94">
        <f t="shared" si="13"/>
        <v>10098.394167214079</v>
      </c>
    </row>
    <row r="15" spans="1:50" x14ac:dyDescent="0.25">
      <c r="A15" t="s">
        <v>72</v>
      </c>
      <c r="B15" t="s">
        <v>393</v>
      </c>
      <c r="C15">
        <v>25.16</v>
      </c>
      <c r="D15" s="130">
        <v>62.957099999999997</v>
      </c>
      <c r="E15" s="130">
        <v>1584.0006000000001</v>
      </c>
      <c r="F15" s="130">
        <v>44.02</v>
      </c>
      <c r="G15" s="130">
        <v>1107.5432000000001</v>
      </c>
      <c r="H15" s="13">
        <v>1.6178232002678899E-2</v>
      </c>
      <c r="J15" s="61" t="s">
        <v>61</v>
      </c>
      <c r="K15" s="87">
        <f>IFERROR(VLOOKUP(J15,price_feed[[symbol]:[current_price]],3,FALSE),"")</f>
        <v>84.12</v>
      </c>
      <c r="L15" s="88">
        <f>IFERROR(VLOOKUP(J15,Portfolio_Overview[[#All],[ticker]:[average per coin]],3,FALSE)*2,"")</f>
        <v>150.77979999999999</v>
      </c>
      <c r="M15" s="25">
        <f>IFERROR(VLOOKUP(J15,Portfolio_Overview[[#All],[ticker]:[average per coin]],2,FALSE)*M$4,"")</f>
        <v>5.258</v>
      </c>
      <c r="N15" s="26">
        <f>IFERROR(VLOOKUP(CO_entry[[#This Row],[ticker]],Portfolio_Overview[[#All],[ticker]:[average per coin]],2,FALSE)-CO_entry[[#This Row],[Tokens Sold]],"")</f>
        <v>21.032</v>
      </c>
      <c r="O15" s="89">
        <f>IFERROR(CO_entry[[#This Row],[Tokens Sold]]*CO_entry[[#This Row],[Selling point 1]],"")</f>
        <v>792.80018840000002</v>
      </c>
      <c r="P15" s="90">
        <f>IFERROR((L15*M15)-(VLOOKUP(J15,Portfolio_Overview[[#All],[ticker]:[average per coin]],3,FALSE)*M15),"")</f>
        <v>396.40009420000001</v>
      </c>
      <c r="Q15" s="88">
        <f>IFERROR(VLOOKUP(J15,Portfolio_Overview[[#All],[ticker]:[average per coin]],3,FALSE)*3.5,"")</f>
        <v>263.86464999999998</v>
      </c>
      <c r="R15" s="27">
        <f t="shared" si="0"/>
        <v>4.2064000000000004</v>
      </c>
      <c r="S15" s="28">
        <f t="shared" si="1"/>
        <v>16.825600000000001</v>
      </c>
      <c r="T15" s="91">
        <f>IFERROR(CO_entry[[#This Row],[Tokens Sold2]]*CO_entry[[#This Row],[Selling point 2]],"")</f>
        <v>1109.9202637600001</v>
      </c>
      <c r="U15" s="92">
        <f>IFERROR((Q15*R15)-(VLOOKUP(J15,Portfolio_Overview[[#All],[ticker]:[average per coin]],3,FALSE)*R15),"")</f>
        <v>792.80018840000002</v>
      </c>
      <c r="V15" s="88">
        <f>IFERROR(VLOOKUP(J15,Portfolio_Overview[[#All],[ticker]:[average per coin]],3,FALSE)*4.5,"")</f>
        <v>339.25454999999999</v>
      </c>
      <c r="W15" s="25">
        <f t="shared" si="2"/>
        <v>3.3651200000000006</v>
      </c>
      <c r="X15" s="26">
        <f t="shared" si="3"/>
        <v>13.46048</v>
      </c>
      <c r="Y15" s="89">
        <f>IFERROR(CO_entry[[#This Row],[Tokens Sold3]]*CO_entry[[#This Row],[Selling point 3]],"")</f>
        <v>1141.6322712960002</v>
      </c>
      <c r="Z15" s="90">
        <f>IFERROR((V15*W15)-(VLOOKUP(J15,Portfolio_Overview[[#All],[ticker]:[average per coin]],3,FALSE)*W15),"")</f>
        <v>887.93621100800021</v>
      </c>
      <c r="AA15" s="88">
        <f>IFERROR(VLOOKUP(J15,Portfolio_Overview[[#All],[ticker]:[average per coin]],3,FALSE)*6,"")</f>
        <v>452.33939999999996</v>
      </c>
      <c r="AB15" s="27">
        <f t="shared" si="4"/>
        <v>2.6920960000000003</v>
      </c>
      <c r="AC15" s="28">
        <f t="shared" si="5"/>
        <v>10.768384000000001</v>
      </c>
      <c r="AD15" s="91">
        <f>IFERROR(CO_entry[[#This Row],[Tokens Sold4]]*CO_entry[[#This Row],[Selling point 4]],"")</f>
        <v>1217.7410893824001</v>
      </c>
      <c r="AE15" s="92">
        <f>IFERROR((AA15*AB15)-(VLOOKUP(J15,Portfolio_Overview[[#All],[ticker]:[average per coin]],3,FALSE)*AB15),"")</f>
        <v>1014.784241152</v>
      </c>
      <c r="AF15" s="97">
        <f>IFERROR(VLOOKUP(J15,Portfolio_Overview[[#All],[ticker]:[average per coin]],3,FALSE)*8,"")</f>
        <v>603.11919999999998</v>
      </c>
      <c r="AG15" s="26">
        <f t="shared" si="6"/>
        <v>2.6920960000000003</v>
      </c>
      <c r="AH15" s="26">
        <f t="shared" si="7"/>
        <v>8.0762880000000017</v>
      </c>
      <c r="AI15" s="89">
        <f>IFERROR(CO_entry[[#This Row],[Tokens Sold5]]*CO_entry[[#This Row],[Selling point 5]],"")</f>
        <v>1623.6547858432</v>
      </c>
      <c r="AJ15" s="90">
        <f>IFERROR((AF15*AG15)-(VLOOKUP(J15,Portfolio_Overview[[#All],[ticker]:[average per coin]],3,FALSE)*AG15),"")</f>
        <v>1420.6979376127999</v>
      </c>
      <c r="AK15" s="97">
        <f>IFERROR(VLOOKUP(J15,Portfolio_Overview[[#All],[ticker]:[average per coin]],3,FALSE)*10,"")</f>
        <v>753.899</v>
      </c>
      <c r="AL15" s="77">
        <f t="shared" si="8"/>
        <v>2.8267008000000002</v>
      </c>
      <c r="AM15" s="77">
        <f t="shared" si="9"/>
        <v>5.2495872000000015</v>
      </c>
      <c r="AN15" s="93">
        <f>IFERROR(CO_entry[[#This Row],[Tokens Sold6]]*CO_entry[[#This Row],[Selling point 6]],"")</f>
        <v>2131.0469064192002</v>
      </c>
      <c r="AO15" s="96">
        <f>IFERROR((AK15*AL15)-(VLOOKUP(J15,Portfolio_Overview[[#All],[ticker]:[average per coin]],3,FALSE)*AL15),"")</f>
        <v>1917.9422157772801</v>
      </c>
      <c r="AP15" s="97">
        <f>IFERROR(VLOOKUP(J15,Portfolio_Overview[[#All],[ticker]:[average per coin]],3,FALSE)*12,"")</f>
        <v>904.67879999999991</v>
      </c>
      <c r="AQ15" s="26">
        <f t="shared" si="10"/>
        <v>2.6247936000000007</v>
      </c>
      <c r="AR15" s="26">
        <f t="shared" si="11"/>
        <v>2.6247936000000007</v>
      </c>
      <c r="AS15" s="89">
        <f>IFERROR(CO_entry[[#This Row],[Tokens Sold7]]*CO_entry[[#This Row],[Selling point 7]],"")</f>
        <v>2374.5951242956803</v>
      </c>
      <c r="AT15" s="95">
        <f>IFERROR((AP15*AQ15)-(VLOOKUP(J15,Portfolio_Overview[[#All],[ticker]:[average per coin]],3,FALSE)*AQ15),"")</f>
        <v>2176.7121972710402</v>
      </c>
      <c r="AU15" s="94">
        <f t="shared" si="12"/>
        <v>8607.2730854211222</v>
      </c>
      <c r="AV15" s="29">
        <f t="shared" si="14"/>
        <v>2.6247936000000007</v>
      </c>
      <c r="AW15" s="94">
        <f t="shared" si="13"/>
        <v>2374.5951242956803</v>
      </c>
    </row>
    <row r="16" spans="1:50" x14ac:dyDescent="0.25">
      <c r="A16" t="s">
        <v>26</v>
      </c>
      <c r="B16" t="s">
        <v>338</v>
      </c>
      <c r="C16">
        <v>1029.6099999999999</v>
      </c>
      <c r="D16" s="130">
        <v>1.8132999999999999</v>
      </c>
      <c r="E16" s="130">
        <v>1866.9918</v>
      </c>
      <c r="F16" s="130">
        <v>0.87890000000000001</v>
      </c>
      <c r="G16" s="130">
        <v>904.92420000000004</v>
      </c>
      <c r="H16" s="13">
        <v>1.32185125171087E-2</v>
      </c>
      <c r="J16" s="119" t="s">
        <v>381</v>
      </c>
      <c r="K16" s="87">
        <f>IFERROR(VLOOKUP(J16,price_feed[[symbol]:[current_price]],3,FALSE),"")</f>
        <v>389.89</v>
      </c>
      <c r="L16" s="88">
        <f>IFERROR(VLOOKUP(J16,Portfolio_Overview[[#All],[ticker]:[average per coin]],3,FALSE)*2,"")</f>
        <v>923.59559999999999</v>
      </c>
      <c r="M16" s="25">
        <f>IFERROR(VLOOKUP(J16,Portfolio_Overview[[#All],[ticker]:[average per coin]],2,FALSE)*M$4,"")</f>
        <v>0.17800000000000002</v>
      </c>
      <c r="N16" s="26">
        <f>IFERROR(VLOOKUP(CO_entry[[#This Row],[ticker]],Portfolio_Overview[[#All],[ticker]:[average per coin]],2,FALSE)-CO_entry[[#This Row],[Tokens Sold]],"")</f>
        <v>0.71199999999999997</v>
      </c>
      <c r="O16" s="89">
        <f>IFERROR(CO_entry[[#This Row],[Tokens Sold]]*CO_entry[[#This Row],[Selling point 1]],"")</f>
        <v>164.4000168</v>
      </c>
      <c r="P16" s="90">
        <f>IFERROR((L16*M16)-(VLOOKUP(J16,Portfolio_Overview[[#All],[ticker]:[average per coin]],3,FALSE)*M16),"")</f>
        <v>82.200008400000002</v>
      </c>
      <c r="Q16" s="88">
        <f>IFERROR(VLOOKUP(J16,Portfolio_Overview[[#All],[ticker]:[average per coin]],3,FALSE)*3.5,"")</f>
        <v>1616.2923000000001</v>
      </c>
      <c r="R16" s="27">
        <f t="shared" si="0"/>
        <v>0.1424</v>
      </c>
      <c r="S16" s="28">
        <f t="shared" si="1"/>
        <v>0.5696</v>
      </c>
      <c r="T16" s="91">
        <f>IFERROR(CO_entry[[#This Row],[Tokens Sold2]]*CO_entry[[#This Row],[Selling point 2]],"")</f>
        <v>230.16002352000001</v>
      </c>
      <c r="U16" s="92">
        <f>IFERROR((Q16*R16)-(VLOOKUP(J16,Portfolio_Overview[[#All],[ticker]:[average per coin]],3,FALSE)*R16),"")</f>
        <v>164.4000168</v>
      </c>
      <c r="V16" s="88">
        <f>IFERROR(VLOOKUP(J16,Portfolio_Overview[[#All],[ticker]:[average per coin]],3,FALSE)*4.5,"")</f>
        <v>2078.0900999999999</v>
      </c>
      <c r="W16" s="25">
        <f t="shared" si="2"/>
        <v>0.11392000000000001</v>
      </c>
      <c r="X16" s="26">
        <f t="shared" si="3"/>
        <v>0.45567999999999997</v>
      </c>
      <c r="Y16" s="89">
        <f>IFERROR(CO_entry[[#This Row],[Tokens Sold3]]*CO_entry[[#This Row],[Selling point 3]],"")</f>
        <v>236.736024192</v>
      </c>
      <c r="Z16" s="90">
        <f>IFERROR((V16*W16)-(VLOOKUP(J16,Portfolio_Overview[[#All],[ticker]:[average per coin]],3,FALSE)*W16),"")</f>
        <v>184.12801881600001</v>
      </c>
      <c r="AA16" s="88">
        <f>IFERROR(VLOOKUP(J16,Portfolio_Overview[[#All],[ticker]:[average per coin]],3,FALSE)*6,"")</f>
        <v>2770.7867999999999</v>
      </c>
      <c r="AB16" s="27">
        <f t="shared" si="4"/>
        <v>9.1135999999999995E-2</v>
      </c>
      <c r="AC16" s="28">
        <f t="shared" si="5"/>
        <v>0.36454399999999998</v>
      </c>
      <c r="AD16" s="91">
        <f>IFERROR(CO_entry[[#This Row],[Tokens Sold4]]*CO_entry[[#This Row],[Selling point 4]],"")</f>
        <v>252.51842580479996</v>
      </c>
      <c r="AE16" s="92">
        <f>IFERROR((AA16*AB16)-(VLOOKUP(J16,Portfolio_Overview[[#All],[ticker]:[average per coin]],3,FALSE)*AB16),"")</f>
        <v>210.43202150399998</v>
      </c>
      <c r="AF16" s="98">
        <f>IFERROR(VLOOKUP(J16,Portfolio_Overview[[#All],[ticker]:[average per coin]],3,FALSE)*8,"")</f>
        <v>3694.3824</v>
      </c>
      <c r="AG16" s="26">
        <f t="shared" si="6"/>
        <v>9.1135999999999995E-2</v>
      </c>
      <c r="AH16" s="26">
        <f t="shared" si="7"/>
        <v>0.27340799999999998</v>
      </c>
      <c r="AI16" s="89">
        <f>IFERROR(CO_entry[[#This Row],[Tokens Sold5]]*CO_entry[[#This Row],[Selling point 5]],"")</f>
        <v>336.69123440639999</v>
      </c>
      <c r="AJ16" s="90">
        <f>IFERROR((AF16*AG16)-(VLOOKUP(J16,Portfolio_Overview[[#All],[ticker]:[average per coin]],3,FALSE)*AG16),"")</f>
        <v>294.6048301056</v>
      </c>
      <c r="AK16" s="97">
        <f>IFERROR(VLOOKUP(J16,Portfolio_Overview[[#All],[ticker]:[average per coin]],3,FALSE)*10,"")</f>
        <v>4617.9780000000001</v>
      </c>
      <c r="AL16" s="77">
        <f t="shared" si="8"/>
        <v>9.5692799999999995E-2</v>
      </c>
      <c r="AM16" s="77">
        <f t="shared" si="9"/>
        <v>0.17771519999999999</v>
      </c>
      <c r="AN16" s="93">
        <f>IFERROR(CO_entry[[#This Row],[Tokens Sold6]]*CO_entry[[#This Row],[Selling point 6]],"")</f>
        <v>441.90724515839997</v>
      </c>
      <c r="AO16" s="96">
        <f>IFERROR((AK16*AL16)-(VLOOKUP(J16,Portfolio_Overview[[#All],[ticker]:[average per coin]],3,FALSE)*AL16),"")</f>
        <v>397.71652064256</v>
      </c>
      <c r="AP16" s="97">
        <f>IFERROR(VLOOKUP(J16,Portfolio_Overview[[#All],[ticker]:[average per coin]],3,FALSE)*12,"")</f>
        <v>5541.5735999999997</v>
      </c>
      <c r="AQ16" s="26">
        <f t="shared" si="10"/>
        <v>8.8857599999999995E-2</v>
      </c>
      <c r="AR16" s="26">
        <f t="shared" si="11"/>
        <v>8.8857599999999995E-2</v>
      </c>
      <c r="AS16" s="89">
        <f>IFERROR(CO_entry[[#This Row],[Tokens Sold7]]*CO_entry[[#This Row],[Selling point 7]],"")</f>
        <v>492.41093031935992</v>
      </c>
      <c r="AT16" s="95">
        <f>IFERROR((AP16*AQ16)-(VLOOKUP(J16,Portfolio_Overview[[#All],[ticker]:[average per coin]],3,FALSE)*AQ16),"")</f>
        <v>451.3766861260799</v>
      </c>
      <c r="AU16" s="94">
        <f t="shared" si="12"/>
        <v>1784.8581023942399</v>
      </c>
      <c r="AV16" s="29">
        <f t="shared" si="14"/>
        <v>8.8857599999999995E-2</v>
      </c>
      <c r="AW16" s="94">
        <f t="shared" si="13"/>
        <v>492.41093031935992</v>
      </c>
    </row>
    <row r="17" spans="1:49" x14ac:dyDescent="0.25">
      <c r="A17" t="s">
        <v>872</v>
      </c>
      <c r="B17" t="s">
        <v>397</v>
      </c>
      <c r="C17">
        <v>26.76</v>
      </c>
      <c r="D17" s="130">
        <v>21.0762</v>
      </c>
      <c r="E17" s="130">
        <v>563.9991</v>
      </c>
      <c r="F17" s="130">
        <v>27.81</v>
      </c>
      <c r="G17" s="130">
        <v>744.19560000000001</v>
      </c>
      <c r="H17" s="13">
        <v>1.08706992848431E-2</v>
      </c>
      <c r="J17" s="58" t="s">
        <v>762</v>
      </c>
      <c r="K17" s="87">
        <f>IFERROR(VLOOKUP(J17,price_feed[[symbol]:[current_price]],3,FALSE),"")</f>
        <v>3.97</v>
      </c>
      <c r="L17" s="88">
        <f>IFERROR(VLOOKUP(J17,Portfolio_Overview[[#All],[ticker]:[average per coin]],3,FALSE)*2,"")</f>
        <v>14.5494</v>
      </c>
      <c r="M17" s="25">
        <f>IFERROR(VLOOKUP(J17,Portfolio_Overview[[#All],[ticker]:[average per coin]],2,FALSE)*M$4,"")</f>
        <v>9.1</v>
      </c>
      <c r="N17" s="26">
        <f>IFERROR(VLOOKUP(CO_entry[[#This Row],[ticker]],Portfolio_Overview[[#All],[ticker]:[average per coin]],2,FALSE)-CO_entry[[#This Row],[Tokens Sold]],"")</f>
        <v>36.4</v>
      </c>
      <c r="O17" s="89">
        <f>IFERROR(CO_entry[[#This Row],[Tokens Sold]]*CO_entry[[#This Row],[Selling point 1]],"")</f>
        <v>132.39954</v>
      </c>
      <c r="P17" s="90">
        <f>IFERROR((L17*M17)-(VLOOKUP(J17,Portfolio_Overview[[#All],[ticker]:[average per coin]],3,FALSE)*M17),"")</f>
        <v>66.199770000000001</v>
      </c>
      <c r="Q17" s="88">
        <f>IFERROR(VLOOKUP(J17,Portfolio_Overview[[#All],[ticker]:[average per coin]],3,FALSE)*3.5,"")</f>
        <v>25.461449999999999</v>
      </c>
      <c r="R17" s="27">
        <f t="shared" si="0"/>
        <v>7.28</v>
      </c>
      <c r="S17" s="28">
        <f t="shared" si="1"/>
        <v>29.119999999999997</v>
      </c>
      <c r="T17" s="91">
        <f>IFERROR(CO_entry[[#This Row],[Tokens Sold2]]*CO_entry[[#This Row],[Selling point 2]],"")</f>
        <v>185.35935599999999</v>
      </c>
      <c r="U17" s="92">
        <f>IFERROR((Q17*R17)-(VLOOKUP(J17,Portfolio_Overview[[#All],[ticker]:[average per coin]],3,FALSE)*R17),"")</f>
        <v>132.39954</v>
      </c>
      <c r="V17" s="88">
        <f>IFERROR(VLOOKUP(J17,Portfolio_Overview[[#All],[ticker]:[average per coin]],3,FALSE)*4.5,"")</f>
        <v>32.736150000000002</v>
      </c>
      <c r="W17" s="25">
        <f t="shared" si="2"/>
        <v>5.8239999999999998</v>
      </c>
      <c r="X17" s="26">
        <f t="shared" si="3"/>
        <v>23.295999999999999</v>
      </c>
      <c r="Y17" s="89">
        <f>IFERROR(CO_entry[[#This Row],[Tokens Sold3]]*CO_entry[[#This Row],[Selling point 3]],"")</f>
        <v>190.6553376</v>
      </c>
      <c r="Z17" s="90">
        <f>IFERROR((V17*W17)-(VLOOKUP(J17,Portfolio_Overview[[#All],[ticker]:[average per coin]],3,FALSE)*W17),"")</f>
        <v>148.28748479999999</v>
      </c>
      <c r="AA17" s="88">
        <f>IFERROR(VLOOKUP(J17,Portfolio_Overview[[#All],[ticker]:[average per coin]],3,FALSE)*6,"")</f>
        <v>43.648200000000003</v>
      </c>
      <c r="AB17" s="27">
        <f t="shared" si="4"/>
        <v>4.6592000000000002</v>
      </c>
      <c r="AC17" s="28">
        <f t="shared" si="5"/>
        <v>18.636800000000001</v>
      </c>
      <c r="AD17" s="91">
        <f>IFERROR(CO_entry[[#This Row],[Tokens Sold4]]*CO_entry[[#This Row],[Selling point 4]],"")</f>
        <v>203.36569344000003</v>
      </c>
      <c r="AE17" s="92">
        <f>IFERROR((AA17*AB17)-(VLOOKUP(J17,Portfolio_Overview[[#All],[ticker]:[average per coin]],3,FALSE)*AB17),"")</f>
        <v>169.47141120000003</v>
      </c>
      <c r="AF17" s="97">
        <f>IFERROR(VLOOKUP(J17,Portfolio_Overview[[#All],[ticker]:[average per coin]],3,FALSE)*8,"")</f>
        <v>58.197600000000001</v>
      </c>
      <c r="AG17" s="26">
        <f t="shared" si="6"/>
        <v>4.6592000000000002</v>
      </c>
      <c r="AH17" s="26">
        <f t="shared" si="7"/>
        <v>13.977600000000001</v>
      </c>
      <c r="AI17" s="89">
        <f>IFERROR(CO_entry[[#This Row],[Tokens Sold5]]*CO_entry[[#This Row],[Selling point 5]],"")</f>
        <v>271.15425792000002</v>
      </c>
      <c r="AJ17" s="90">
        <f>IFERROR((AF17*AG17)-(VLOOKUP(J17,Portfolio_Overview[[#All],[ticker]:[average per coin]],3,FALSE)*AG17),"")</f>
        <v>237.25997568000003</v>
      </c>
      <c r="AK17" s="97">
        <f>IFERROR(VLOOKUP(J17,Portfolio_Overview[[#All],[ticker]:[average per coin]],3,FALSE)*10,"")</f>
        <v>72.747</v>
      </c>
      <c r="AL17" s="77">
        <f t="shared" si="8"/>
        <v>4.8921599999999996</v>
      </c>
      <c r="AM17" s="77">
        <f t="shared" si="9"/>
        <v>9.085440000000002</v>
      </c>
      <c r="AN17" s="93">
        <f>IFERROR(CO_entry[[#This Row],[Tokens Sold6]]*CO_entry[[#This Row],[Selling point 6]],"")</f>
        <v>355.88996351999998</v>
      </c>
      <c r="AO17" s="96">
        <f>IFERROR((AK17*AL17)-(VLOOKUP(J17,Portfolio_Overview[[#All],[ticker]:[average per coin]],3,FALSE)*AL17),"")</f>
        <v>320.300967168</v>
      </c>
      <c r="AP17" s="97">
        <f>IFERROR(VLOOKUP(J17,Portfolio_Overview[[#All],[ticker]:[average per coin]],3,FALSE)*12,"")</f>
        <v>87.296400000000006</v>
      </c>
      <c r="AQ17" s="26">
        <f t="shared" si="10"/>
        <v>4.542720000000001</v>
      </c>
      <c r="AR17" s="26">
        <f t="shared" si="11"/>
        <v>4.542720000000001</v>
      </c>
      <c r="AS17" s="89">
        <f>IFERROR(CO_entry[[#This Row],[Tokens Sold7]]*CO_entry[[#This Row],[Selling point 7]],"")</f>
        <v>396.56310220800009</v>
      </c>
      <c r="AT17" s="95">
        <f>IFERROR((AP17*AQ17)-(VLOOKUP(J17,Portfolio_Overview[[#All],[ticker]:[average per coin]],3,FALSE)*AQ17),"")</f>
        <v>363.51617702400006</v>
      </c>
      <c r="AU17" s="94">
        <f t="shared" si="12"/>
        <v>1437.4353258720002</v>
      </c>
      <c r="AV17" s="29">
        <f t="shared" si="14"/>
        <v>4.542720000000001</v>
      </c>
      <c r="AW17" s="94">
        <f t="shared" si="13"/>
        <v>396.56310220800009</v>
      </c>
    </row>
    <row r="18" spans="1:49" x14ac:dyDescent="0.25">
      <c r="A18" t="s">
        <v>695</v>
      </c>
      <c r="B18" t="s">
        <v>624</v>
      </c>
      <c r="C18">
        <v>254.51</v>
      </c>
      <c r="D18" s="130">
        <v>3.0411000000000001</v>
      </c>
      <c r="E18" s="130">
        <v>773.99040000000002</v>
      </c>
      <c r="F18" s="130">
        <v>2.6</v>
      </c>
      <c r="G18" s="130">
        <v>661.726</v>
      </c>
      <c r="H18" s="13">
        <v>9.6660398891932394E-3</v>
      </c>
      <c r="J18" s="62" t="s">
        <v>1</v>
      </c>
      <c r="K18" s="87">
        <f>IFERROR(VLOOKUP(J18,price_feed[[symbol]:[current_price]],3,FALSE),"")</f>
        <v>41302</v>
      </c>
      <c r="L18" s="88">
        <f>IFERROR(VLOOKUP(J18,Portfolio_Overview[[#All],[ticker]:[average per coin]],3,FALSE)*2,"")</f>
        <v>94765.435200000007</v>
      </c>
      <c r="M18" s="25">
        <f>IFERROR(VLOOKUP(J18,Portfolio_Overview[[#All],[ticker]:[average per coin]],2,FALSE)*M$4,"")</f>
        <v>9.7178892000000003E-2</v>
      </c>
      <c r="N18" s="26">
        <f>IFERROR(VLOOKUP(CO_entry[[#This Row],[ticker]],Portfolio_Overview[[#All],[ticker]:[average per coin]],2,FALSE)-CO_entry[[#This Row],[Tokens Sold]],"")</f>
        <v>0.38871556799999996</v>
      </c>
      <c r="O18" s="89">
        <f>IFERROR(CO_entry[[#This Row],[Tokens Sold]]*CO_entry[[#This Row],[Selling point 1]],"")</f>
        <v>9209.1999926337994</v>
      </c>
      <c r="P18" s="90">
        <f>IFERROR((L18*M18)-(VLOOKUP(J18,Portfolio_Overview[[#All],[ticker]:[average per coin]],3,FALSE)*M18),"")</f>
        <v>4604.5999963168997</v>
      </c>
      <c r="Q18" s="88">
        <f>IFERROR(VLOOKUP(J18,Portfolio_Overview[[#All],[ticker]:[average per coin]],3,FALSE)*3.5,"")</f>
        <v>165839.51160000003</v>
      </c>
      <c r="R18" s="27">
        <f t="shared" si="0"/>
        <v>7.7743113599999997E-2</v>
      </c>
      <c r="S18" s="28">
        <f t="shared" si="1"/>
        <v>0.31097245439999999</v>
      </c>
      <c r="T18" s="91">
        <f>IFERROR(CO_entry[[#This Row],[Tokens Sold2]]*CO_entry[[#This Row],[Selling point 2]],"")</f>
        <v>12892.879989687319</v>
      </c>
      <c r="U18" s="92">
        <f>IFERROR((Q18*R18)-(VLOOKUP(J18,Portfolio_Overview[[#All],[ticker]:[average per coin]],3,FALSE)*R18),"")</f>
        <v>9209.1999926337994</v>
      </c>
      <c r="V18" s="88">
        <f>IFERROR(VLOOKUP(J18,Portfolio_Overview[[#All],[ticker]:[average per coin]],3,FALSE)*4.5,"")</f>
        <v>213222.2292</v>
      </c>
      <c r="W18" s="25">
        <f t="shared" si="2"/>
        <v>6.2194490880000002E-2</v>
      </c>
      <c r="X18" s="26">
        <f t="shared" si="3"/>
        <v>0.24877796351999998</v>
      </c>
      <c r="Y18" s="89">
        <f>IFERROR(CO_entry[[#This Row],[Tokens Sold3]]*CO_entry[[#This Row],[Selling point 3]],"")</f>
        <v>13261.24798939267</v>
      </c>
      <c r="Z18" s="90">
        <f>IFERROR((V18*W18)-(VLOOKUP(J18,Portfolio_Overview[[#All],[ticker]:[average per coin]],3,FALSE)*W18),"")</f>
        <v>10314.303991749854</v>
      </c>
      <c r="AA18" s="88">
        <f>IFERROR(VLOOKUP(J18,Portfolio_Overview[[#All],[ticker]:[average per coin]],3,FALSE)*6,"")</f>
        <v>284296.30560000002</v>
      </c>
      <c r="AB18" s="27">
        <f t="shared" si="4"/>
        <v>4.9755592703999998E-2</v>
      </c>
      <c r="AC18" s="28">
        <f t="shared" si="5"/>
        <v>0.19902237081599999</v>
      </c>
      <c r="AD18" s="91">
        <f>IFERROR(CO_entry[[#This Row],[Tokens Sold4]]*CO_entry[[#This Row],[Selling point 4]],"")</f>
        <v>14145.331188685515</v>
      </c>
      <c r="AE18" s="92">
        <f>IFERROR((AA18*AB18)-(VLOOKUP(J18,Portfolio_Overview[[#All],[ticker]:[average per coin]],3,FALSE)*AB18),"")</f>
        <v>11787.775990571263</v>
      </c>
      <c r="AF18" s="97">
        <f>IFERROR(VLOOKUP(J18,Portfolio_Overview[[#All],[ticker]:[average per coin]],3,FALSE)*8,"")</f>
        <v>379061.74080000003</v>
      </c>
      <c r="AG18" s="26">
        <f t="shared" si="6"/>
        <v>4.9755592703999998E-2</v>
      </c>
      <c r="AH18" s="26">
        <f t="shared" si="7"/>
        <v>0.14926677811200001</v>
      </c>
      <c r="AI18" s="89">
        <f>IFERROR(CO_entry[[#This Row],[Tokens Sold5]]*CO_entry[[#This Row],[Selling point 5]],"")</f>
        <v>18860.44158491402</v>
      </c>
      <c r="AJ18" s="90">
        <f>IFERROR((AF18*AG18)-(VLOOKUP(J18,Portfolio_Overview[[#All],[ticker]:[average per coin]],3,FALSE)*AG18),"")</f>
        <v>16502.886386799768</v>
      </c>
      <c r="AK18" s="97">
        <f>IFERROR(VLOOKUP(J18,Portfolio_Overview[[#All],[ticker]:[average per coin]],3,FALSE)*10,"")</f>
        <v>473827.17600000004</v>
      </c>
      <c r="AL18" s="77">
        <f t="shared" si="8"/>
        <v>5.2243372339199998E-2</v>
      </c>
      <c r="AM18" s="77">
        <f t="shared" si="9"/>
        <v>9.7023405772800012E-2</v>
      </c>
      <c r="AN18" s="93">
        <f>IFERROR(CO_entry[[#This Row],[Tokens Sold6]]*CO_entry[[#This Row],[Selling point 6]],"")</f>
        <v>24754.32958019965</v>
      </c>
      <c r="AO18" s="96">
        <f>IFERROR((AK18*AL18)-(VLOOKUP(J18,Portfolio_Overview[[#All],[ticker]:[average per coin]],3,FALSE)*AL18),"")</f>
        <v>22278.896622179684</v>
      </c>
      <c r="AP18" s="97">
        <f>IFERROR(VLOOKUP(J18,Portfolio_Overview[[#All],[ticker]:[average per coin]],3,FALSE)*12,"")</f>
        <v>568592.61120000004</v>
      </c>
      <c r="AQ18" s="26">
        <f t="shared" si="10"/>
        <v>4.8511702886400006E-2</v>
      </c>
      <c r="AR18" s="26">
        <f t="shared" si="11"/>
        <v>4.8511702886400006E-2</v>
      </c>
      <c r="AS18" s="89">
        <f>IFERROR(CO_entry[[#This Row],[Tokens Sold7]]*CO_entry[[#This Row],[Selling point 7]],"")</f>
        <v>27583.395817936758</v>
      </c>
      <c r="AT18" s="95">
        <f>IFERROR((AP18*AQ18)-(VLOOKUP(J18,Portfolio_Overview[[#All],[ticker]:[average per coin]],3,FALSE)*AQ18),"")</f>
        <v>25284.779499775363</v>
      </c>
      <c r="AU18" s="94">
        <f t="shared" si="12"/>
        <v>99982.442480026642</v>
      </c>
      <c r="AV18" s="29">
        <f t="shared" si="14"/>
        <v>4.8511702886400006E-2</v>
      </c>
      <c r="AW18" s="94">
        <f t="shared" si="13"/>
        <v>27583.395817936758</v>
      </c>
    </row>
    <row r="19" spans="1:49" x14ac:dyDescent="0.25">
      <c r="A19" t="s">
        <v>91</v>
      </c>
      <c r="B19" t="s">
        <v>411</v>
      </c>
      <c r="C19">
        <v>2.83</v>
      </c>
      <c r="D19" s="130">
        <v>285.15899999999999</v>
      </c>
      <c r="E19" s="130">
        <v>807</v>
      </c>
      <c r="F19" s="130">
        <v>151.07</v>
      </c>
      <c r="G19" s="130">
        <v>427.52809999999999</v>
      </c>
      <c r="H19" s="13">
        <v>6.2450374752556102E-3</v>
      </c>
      <c r="J19" s="58" t="s">
        <v>761</v>
      </c>
      <c r="K19" s="87">
        <f>IFERROR(VLOOKUP(J19,price_feed[[symbol]:[current_price]],3,FALSE),"")</f>
        <v>21.64</v>
      </c>
      <c r="L19" s="88">
        <f>IFERROR(VLOOKUP(J19,Portfolio_Overview[[#All],[ticker]:[average per coin]],3,FALSE)*2,"")</f>
        <v>63.829799999999999</v>
      </c>
      <c r="M19" s="25">
        <f>IFERROR(VLOOKUP(J19,Portfolio_Overview[[#All],[ticker]:[average per coin]],2,FALSE)*M$4,"")</f>
        <v>1.8800000000000001</v>
      </c>
      <c r="N19" s="26">
        <f>IFERROR(VLOOKUP(CO_entry[[#This Row],[ticker]],Portfolio_Overview[[#All],[ticker]:[average per coin]],2,FALSE)-CO_entry[[#This Row],[Tokens Sold]],"")</f>
        <v>7.5200000000000005</v>
      </c>
      <c r="O19" s="89">
        <f>IFERROR(CO_entry[[#This Row],[Tokens Sold]]*CO_entry[[#This Row],[Selling point 1]],"")</f>
        <v>120.00002400000001</v>
      </c>
      <c r="P19" s="90">
        <f>IFERROR((L19*M19)-(VLOOKUP(J19,Portfolio_Overview[[#All],[ticker]:[average per coin]],3,FALSE)*M19),"")</f>
        <v>60.000012000000005</v>
      </c>
      <c r="Q19" s="88">
        <f>IFERROR(VLOOKUP(J19,Portfolio_Overview[[#All],[ticker]:[average per coin]],3,FALSE)*3.5,"")</f>
        <v>111.70215</v>
      </c>
      <c r="R19" s="27">
        <f t="shared" si="0"/>
        <v>1.5040000000000002</v>
      </c>
      <c r="S19" s="28">
        <f t="shared" si="1"/>
        <v>6.016</v>
      </c>
      <c r="T19" s="91">
        <f>IFERROR(CO_entry[[#This Row],[Tokens Sold2]]*CO_entry[[#This Row],[Selling point 2]],"")</f>
        <v>168.00003360000002</v>
      </c>
      <c r="U19" s="92">
        <f>IFERROR((Q19*R19)-(VLOOKUP(J19,Portfolio_Overview[[#All],[ticker]:[average per coin]],3,FALSE)*R19),"")</f>
        <v>120.00002400000002</v>
      </c>
      <c r="V19" s="88">
        <f>IFERROR(VLOOKUP(J19,Portfolio_Overview[[#All],[ticker]:[average per coin]],3,FALSE)*4.5,"")</f>
        <v>143.61705000000001</v>
      </c>
      <c r="W19" s="25">
        <f t="shared" si="2"/>
        <v>1.2032</v>
      </c>
      <c r="X19" s="26">
        <f t="shared" si="3"/>
        <v>4.8128000000000002</v>
      </c>
      <c r="Y19" s="89">
        <f>IFERROR(CO_entry[[#This Row],[Tokens Sold3]]*CO_entry[[#This Row],[Selling point 3]],"")</f>
        <v>172.80003456</v>
      </c>
      <c r="Z19" s="90">
        <f>IFERROR((V19*W19)-(VLOOKUP(J19,Portfolio_Overview[[#All],[ticker]:[average per coin]],3,FALSE)*W19),"")</f>
        <v>134.40002687999998</v>
      </c>
      <c r="AA19" s="88">
        <f>IFERROR(VLOOKUP(J19,Portfolio_Overview[[#All],[ticker]:[average per coin]],3,FALSE)*6,"")</f>
        <v>191.48939999999999</v>
      </c>
      <c r="AB19" s="27">
        <f t="shared" si="4"/>
        <v>0.96256000000000008</v>
      </c>
      <c r="AC19" s="28">
        <f t="shared" si="5"/>
        <v>3.8502400000000003</v>
      </c>
      <c r="AD19" s="91">
        <f>IFERROR(CO_entry[[#This Row],[Tokens Sold4]]*CO_entry[[#This Row],[Selling point 4]],"")</f>
        <v>184.320036864</v>
      </c>
      <c r="AE19" s="92">
        <f>IFERROR((AA19*AB19)-(VLOOKUP(J19,Portfolio_Overview[[#All],[ticker]:[average per coin]],3,FALSE)*AB19),"")</f>
        <v>153.60003072000001</v>
      </c>
      <c r="AF19" s="97">
        <f>IFERROR(VLOOKUP(J19,Portfolio_Overview[[#All],[ticker]:[average per coin]],3,FALSE)*8,"")</f>
        <v>255.3192</v>
      </c>
      <c r="AG19" s="26">
        <f t="shared" si="6"/>
        <v>0.96256000000000008</v>
      </c>
      <c r="AH19" s="26">
        <f t="shared" si="7"/>
        <v>2.8876800000000005</v>
      </c>
      <c r="AI19" s="89">
        <f>IFERROR(CO_entry[[#This Row],[Tokens Sold5]]*CO_entry[[#This Row],[Selling point 5]],"")</f>
        <v>245.76004915200002</v>
      </c>
      <c r="AJ19" s="90">
        <f>IFERROR((AF19*AG19)-(VLOOKUP(J19,Portfolio_Overview[[#All],[ticker]:[average per coin]],3,FALSE)*AG19),"")</f>
        <v>215.04004300800003</v>
      </c>
      <c r="AK19" s="97">
        <f>IFERROR(VLOOKUP(J19,Portfolio_Overview[[#All],[ticker]:[average per coin]],3,FALSE)*10,"")</f>
        <v>319.149</v>
      </c>
      <c r="AL19" s="77">
        <f t="shared" si="8"/>
        <v>1.010688</v>
      </c>
      <c r="AM19" s="77">
        <f t="shared" si="9"/>
        <v>1.8769920000000004</v>
      </c>
      <c r="AN19" s="93">
        <f>IFERROR(CO_entry[[#This Row],[Tokens Sold6]]*CO_entry[[#This Row],[Selling point 6]],"")</f>
        <v>322.560064512</v>
      </c>
      <c r="AO19" s="96">
        <f>IFERROR((AK19*AL19)-(VLOOKUP(J19,Portfolio_Overview[[#All],[ticker]:[average per coin]],3,FALSE)*AL19),"")</f>
        <v>290.3040580608</v>
      </c>
      <c r="AP19" s="97">
        <f>IFERROR(VLOOKUP(J19,Portfolio_Overview[[#All],[ticker]:[average per coin]],3,FALSE)*12,"")</f>
        <v>382.97879999999998</v>
      </c>
      <c r="AQ19" s="26">
        <f t="shared" si="10"/>
        <v>0.93849600000000022</v>
      </c>
      <c r="AR19" s="26">
        <f t="shared" si="11"/>
        <v>0.93849600000000022</v>
      </c>
      <c r="AS19" s="89">
        <f>IFERROR(CO_entry[[#This Row],[Tokens Sold7]]*CO_entry[[#This Row],[Selling point 7]],"")</f>
        <v>359.42407188480007</v>
      </c>
      <c r="AT19" s="95">
        <f>IFERROR((AP19*AQ19)-(VLOOKUP(J19,Portfolio_Overview[[#All],[ticker]:[average per coin]],3,FALSE)*AQ19),"")</f>
        <v>329.47206589440009</v>
      </c>
      <c r="AU19" s="94">
        <f t="shared" si="12"/>
        <v>1302.8162605632001</v>
      </c>
      <c r="AV19" s="29">
        <f t="shared" si="14"/>
        <v>0.93849600000000022</v>
      </c>
      <c r="AW19" s="94">
        <f t="shared" si="13"/>
        <v>359.42407188480007</v>
      </c>
    </row>
    <row r="20" spans="1:49" x14ac:dyDescent="0.25">
      <c r="A20" t="s">
        <v>381</v>
      </c>
      <c r="B20" t="s">
        <v>381</v>
      </c>
      <c r="C20">
        <v>0.89</v>
      </c>
      <c r="D20" s="130">
        <v>461.7978</v>
      </c>
      <c r="E20" s="130">
        <v>411</v>
      </c>
      <c r="F20" s="130">
        <v>389.89</v>
      </c>
      <c r="G20" s="130">
        <v>347.00209999999998</v>
      </c>
      <c r="H20" s="13">
        <v>5.0687688563451003E-3</v>
      </c>
      <c r="J20" s="58" t="s">
        <v>409</v>
      </c>
      <c r="K20" s="87">
        <f>IFERROR(VLOOKUP(J20,price_feed[[symbol]:[current_price]],3,FALSE),"")</f>
        <v>6.25</v>
      </c>
      <c r="L20" s="88">
        <f>IFERROR(VLOOKUP(J20,Portfolio_Overview[[#All],[ticker]:[average per coin]],3,FALSE)*2,"")</f>
        <v>44.8934</v>
      </c>
      <c r="M20" s="25">
        <f>IFERROR(VLOOKUP(J20,Portfolio_Overview[[#All],[ticker]:[average per coin]],2,FALSE)*M$4,"")</f>
        <v>1.782</v>
      </c>
      <c r="N20" s="26">
        <f>IFERROR(VLOOKUP(CO_entry[[#This Row],[ticker]],Portfolio_Overview[[#All],[ticker]:[average per coin]],2,FALSE)-CO_entry[[#This Row],[Tokens Sold]],"")</f>
        <v>7.1280000000000001</v>
      </c>
      <c r="O20" s="89">
        <f>IFERROR(CO_entry[[#This Row],[Tokens Sold]]*CO_entry[[#This Row],[Selling point 1]],"")</f>
        <v>80.000038799999999</v>
      </c>
      <c r="P20" s="90">
        <f>IFERROR((L20*M20)-(VLOOKUP(J20,Portfolio_Overview[[#All],[ticker]:[average per coin]],3,FALSE)*M20),"")</f>
        <v>40.000019399999999</v>
      </c>
      <c r="Q20" s="88">
        <f>IFERROR(VLOOKUP(J20,Portfolio_Overview[[#All],[ticker]:[average per coin]],3,FALSE)*3.5,"")</f>
        <v>78.563450000000003</v>
      </c>
      <c r="R20" s="27">
        <f t="shared" si="0"/>
        <v>1.4256000000000002</v>
      </c>
      <c r="S20" s="28">
        <f t="shared" si="1"/>
        <v>5.7023999999999999</v>
      </c>
      <c r="T20" s="91">
        <f>IFERROR(CO_entry[[#This Row],[Tokens Sold2]]*CO_entry[[#This Row],[Selling point 2]],"")</f>
        <v>112.00005432000002</v>
      </c>
      <c r="U20" s="92">
        <f>IFERROR((Q20*R20)-(VLOOKUP(J20,Portfolio_Overview[[#All],[ticker]:[average per coin]],3,FALSE)*R20),"")</f>
        <v>80.000038800000013</v>
      </c>
      <c r="V20" s="88">
        <f>IFERROR(VLOOKUP(J20,Portfolio_Overview[[#All],[ticker]:[average per coin]],3,FALSE)*4.5,"")</f>
        <v>101.01015</v>
      </c>
      <c r="W20" s="25">
        <f t="shared" si="2"/>
        <v>1.1404799999999999</v>
      </c>
      <c r="X20" s="26">
        <f t="shared" si="3"/>
        <v>4.5619199999999998</v>
      </c>
      <c r="Y20" s="89">
        <f>IFERROR(CO_entry[[#This Row],[Tokens Sold3]]*CO_entry[[#This Row],[Selling point 3]],"")</f>
        <v>115.20005587199999</v>
      </c>
      <c r="Z20" s="90">
        <f>IFERROR((V20*W20)-(VLOOKUP(J20,Portfolio_Overview[[#All],[ticker]:[average per coin]],3,FALSE)*W20),"")</f>
        <v>89.600043455999995</v>
      </c>
      <c r="AA20" s="88">
        <f>IFERROR(VLOOKUP(J20,Portfolio_Overview[[#All],[ticker]:[average per coin]],3,FALSE)*6,"")</f>
        <v>134.68020000000001</v>
      </c>
      <c r="AB20" s="27">
        <f t="shared" si="4"/>
        <v>0.91238399999999997</v>
      </c>
      <c r="AC20" s="28">
        <f t="shared" si="5"/>
        <v>3.6495359999999999</v>
      </c>
      <c r="AD20" s="91">
        <f>IFERROR(CO_entry[[#This Row],[Tokens Sold4]]*CO_entry[[#This Row],[Selling point 4]],"")</f>
        <v>122.88005959680001</v>
      </c>
      <c r="AE20" s="92">
        <f>IFERROR((AA20*AB20)-(VLOOKUP(J20,Portfolio_Overview[[#All],[ticker]:[average per coin]],3,FALSE)*AB20),"")</f>
        <v>102.40004966400001</v>
      </c>
      <c r="AF20" s="97">
        <f>IFERROR(VLOOKUP(J20,Portfolio_Overview[[#All],[ticker]:[average per coin]],3,FALSE)*8,"")</f>
        <v>179.5736</v>
      </c>
      <c r="AG20" s="26">
        <f t="shared" si="6"/>
        <v>0.91238399999999997</v>
      </c>
      <c r="AH20" s="26">
        <f t="shared" si="7"/>
        <v>2.737152</v>
      </c>
      <c r="AI20" s="89">
        <f>IFERROR(CO_entry[[#This Row],[Tokens Sold5]]*CO_entry[[#This Row],[Selling point 5]],"")</f>
        <v>163.84007946239998</v>
      </c>
      <c r="AJ20" s="90">
        <f>IFERROR((AF20*AG20)-(VLOOKUP(J20,Portfolio_Overview[[#All],[ticker]:[average per coin]],3,FALSE)*AG20),"")</f>
        <v>143.3600695296</v>
      </c>
      <c r="AK20" s="97">
        <f>IFERROR(VLOOKUP(J20,Portfolio_Overview[[#All],[ticker]:[average per coin]],3,FALSE)*10,"")</f>
        <v>224.46699999999998</v>
      </c>
      <c r="AL20" s="77">
        <f t="shared" si="8"/>
        <v>0.95800319999999994</v>
      </c>
      <c r="AM20" s="77">
        <f t="shared" si="9"/>
        <v>1.7791488000000002</v>
      </c>
      <c r="AN20" s="93">
        <f>IFERROR(CO_entry[[#This Row],[Tokens Sold6]]*CO_entry[[#This Row],[Selling point 6]],"")</f>
        <v>215.04010429439998</v>
      </c>
      <c r="AO20" s="96">
        <f>IFERROR((AK20*AL20)-(VLOOKUP(J20,Portfolio_Overview[[#All],[ticker]:[average per coin]],3,FALSE)*AL20),"")</f>
        <v>193.53609386495998</v>
      </c>
      <c r="AP20" s="97">
        <f>IFERROR(VLOOKUP(J20,Portfolio_Overview[[#All],[ticker]:[average per coin]],3,FALSE)*12,"")</f>
        <v>269.36040000000003</v>
      </c>
      <c r="AQ20" s="26">
        <f t="shared" si="10"/>
        <v>0.8895744000000001</v>
      </c>
      <c r="AR20" s="26">
        <f t="shared" si="11"/>
        <v>0.8895744000000001</v>
      </c>
      <c r="AS20" s="89">
        <f>IFERROR(CO_entry[[#This Row],[Tokens Sold7]]*CO_entry[[#This Row],[Selling point 7]],"")</f>
        <v>239.61611621376005</v>
      </c>
      <c r="AT20" s="95">
        <f>IFERROR((AP20*AQ20)-(VLOOKUP(J20,Portfolio_Overview[[#All],[ticker]:[average per coin]],3,FALSE)*AQ20),"")</f>
        <v>219.64810652928006</v>
      </c>
      <c r="AU20" s="94">
        <f t="shared" si="12"/>
        <v>868.54442124384002</v>
      </c>
      <c r="AV20" s="29">
        <f t="shared" si="14"/>
        <v>0.8895744000000001</v>
      </c>
      <c r="AW20" s="94">
        <f t="shared" si="13"/>
        <v>239.61611621376005</v>
      </c>
    </row>
    <row r="21" spans="1:49" x14ac:dyDescent="0.25">
      <c r="A21" t="s">
        <v>626</v>
      </c>
      <c r="B21" t="s">
        <v>408</v>
      </c>
      <c r="C21">
        <v>767.09</v>
      </c>
      <c r="D21" s="130">
        <v>0.1447</v>
      </c>
      <c r="E21" s="130">
        <v>110.9979</v>
      </c>
      <c r="F21" s="130">
        <v>0.4052</v>
      </c>
      <c r="G21" s="130">
        <v>310.82490000000001</v>
      </c>
      <c r="H21" s="13">
        <v>4.5403171130566104E-3</v>
      </c>
      <c r="J21" s="58" t="s">
        <v>822</v>
      </c>
      <c r="K21" s="114">
        <f>IFERROR(VLOOKUP(J21,price_feed[[symbol]:[current_price]],3,FALSE),"")</f>
        <v>5.5769499999999998E-3</v>
      </c>
      <c r="L21" s="88">
        <f>IFERROR(VLOOKUP(J21,Portfolio_Overview[[#All],[ticker]:[average per coin]],3,FALSE)*2,"")</f>
        <v>4.7800000000000002E-2</v>
      </c>
      <c r="M21" s="25">
        <f>IFERROR(VLOOKUP(J21,Portfolio_Overview[[#All],[ticker]:[average per coin]],2,FALSE)*M$4,"")</f>
        <v>844.08400000000006</v>
      </c>
      <c r="N21" s="26">
        <f>IFERROR(VLOOKUP(CO_entry[[#This Row],[ticker]],Portfolio_Overview[[#All],[ticker]:[average per coin]],2,FALSE)-CO_entry[[#This Row],[Tokens Sold]],"")</f>
        <v>3376.3360000000002</v>
      </c>
      <c r="O21" s="89">
        <f>IFERROR(CO_entry[[#This Row],[Tokens Sold]]*CO_entry[[#This Row],[Selling point 1]],"")</f>
        <v>40.347215200000008</v>
      </c>
      <c r="P21" s="90">
        <f>IFERROR((L21*M21)-(VLOOKUP(J21,Portfolio_Overview[[#All],[ticker]:[average per coin]],3,FALSE)*M21),"")</f>
        <v>20.173607600000004</v>
      </c>
      <c r="Q21" s="88">
        <f>IFERROR(VLOOKUP(J21,Portfolio_Overview[[#All],[ticker]:[average per coin]],3,FALSE)*3.5,"")</f>
        <v>8.3650000000000002E-2</v>
      </c>
      <c r="R21" s="27">
        <f t="shared" si="0"/>
        <v>675.26720000000012</v>
      </c>
      <c r="S21" s="28">
        <f t="shared" si="1"/>
        <v>2701.0688</v>
      </c>
      <c r="T21" s="91">
        <f>IFERROR(CO_entry[[#This Row],[Tokens Sold2]]*CO_entry[[#This Row],[Selling point 2]],"")</f>
        <v>56.486101280000014</v>
      </c>
      <c r="U21" s="92">
        <f>IFERROR((Q21*R21)-(VLOOKUP(J21,Portfolio_Overview[[#All],[ticker]:[average per coin]],3,FALSE)*R21),"")</f>
        <v>40.347215200000008</v>
      </c>
      <c r="V21" s="88">
        <f>IFERROR(VLOOKUP(J21,Portfolio_Overview[[#All],[ticker]:[average per coin]],3,FALSE)*4.5,"")</f>
        <v>0.10755000000000001</v>
      </c>
      <c r="W21" s="25">
        <f t="shared" si="2"/>
        <v>540.21375999999998</v>
      </c>
      <c r="X21" s="26">
        <f t="shared" si="3"/>
        <v>2160.8550399999999</v>
      </c>
      <c r="Y21" s="89">
        <f>IFERROR(CO_entry[[#This Row],[Tokens Sold3]]*CO_entry[[#This Row],[Selling point 3]],"")</f>
        <v>58.099989888000003</v>
      </c>
      <c r="Z21" s="90">
        <f>IFERROR((V21*W21)-(VLOOKUP(J21,Portfolio_Overview[[#All],[ticker]:[average per coin]],3,FALSE)*W21),"")</f>
        <v>45.188881024000004</v>
      </c>
      <c r="AA21" s="88">
        <f>IFERROR(VLOOKUP(J21,Portfolio_Overview[[#All],[ticker]:[average per coin]],3,FALSE)*6,"")</f>
        <v>0.1434</v>
      </c>
      <c r="AB21" s="27">
        <f t="shared" si="4"/>
        <v>432.17100800000003</v>
      </c>
      <c r="AC21" s="28">
        <f t="shared" si="5"/>
        <v>1728.6840319999999</v>
      </c>
      <c r="AD21" s="91">
        <f>IFERROR(CO_entry[[#This Row],[Tokens Sold4]]*CO_entry[[#This Row],[Selling point 4]],"")</f>
        <v>61.973322547200006</v>
      </c>
      <c r="AE21" s="92">
        <f>IFERROR((AA21*AB21)-(VLOOKUP(J21,Portfolio_Overview[[#All],[ticker]:[average per coin]],3,FALSE)*AB21),"")</f>
        <v>51.644435456000004</v>
      </c>
      <c r="AF21" s="97">
        <f>IFERROR(VLOOKUP(J21,Portfolio_Overview[[#All],[ticker]:[average per coin]],3,FALSE)*8,"")</f>
        <v>0.19120000000000001</v>
      </c>
      <c r="AG21" s="26">
        <f t="shared" si="6"/>
        <v>432.17100799999997</v>
      </c>
      <c r="AH21" s="26">
        <f t="shared" si="7"/>
        <v>1296.5130239999999</v>
      </c>
      <c r="AI21" s="89">
        <f>IFERROR(CO_entry[[#This Row],[Tokens Sold5]]*CO_entry[[#This Row],[Selling point 5]],"")</f>
        <v>82.631096729600003</v>
      </c>
      <c r="AJ21" s="90">
        <f>IFERROR((AF21*AG21)-(VLOOKUP(J21,Portfolio_Overview[[#All],[ticker]:[average per coin]],3,FALSE)*AG21),"")</f>
        <v>72.302209638400001</v>
      </c>
      <c r="AK21" s="97">
        <f>IFERROR(VLOOKUP(J21,Portfolio_Overview[[#All],[ticker]:[average per coin]],3,FALSE)*10,"")</f>
        <v>0.23900000000000002</v>
      </c>
      <c r="AL21" s="77">
        <f t="shared" si="8"/>
        <v>453.77955839999993</v>
      </c>
      <c r="AM21" s="77">
        <f t="shared" si="9"/>
        <v>842.73346559999993</v>
      </c>
      <c r="AN21" s="93">
        <f>IFERROR(CO_entry[[#This Row],[Tokens Sold6]]*CO_entry[[#This Row],[Selling point 6]],"")</f>
        <v>108.45331445759999</v>
      </c>
      <c r="AO21" s="96">
        <f>IFERROR((AK21*AL21)-(VLOOKUP(J21,Portfolio_Overview[[#All],[ticker]:[average per coin]],3,FALSE)*AL21),"")</f>
        <v>97.607983011839991</v>
      </c>
      <c r="AP21" s="97">
        <f>IFERROR(VLOOKUP(J21,Portfolio_Overview[[#All],[ticker]:[average per coin]],3,FALSE)*12,"")</f>
        <v>0.2868</v>
      </c>
      <c r="AQ21" s="26">
        <f t="shared" si="10"/>
        <v>421.36673279999997</v>
      </c>
      <c r="AR21" s="26">
        <f t="shared" si="11"/>
        <v>421.36673279999997</v>
      </c>
      <c r="AS21" s="89">
        <f>IFERROR(CO_entry[[#This Row],[Tokens Sold7]]*CO_entry[[#This Row],[Selling point 7]],"")</f>
        <v>120.84797896703999</v>
      </c>
      <c r="AT21" s="95">
        <f>IFERROR((AP21*AQ21)-(VLOOKUP(J21,Portfolio_Overview[[#All],[ticker]:[average per coin]],3,FALSE)*AQ21),"")</f>
        <v>110.77731405311999</v>
      </c>
      <c r="AU21" s="94">
        <f t="shared" si="12"/>
        <v>438.04164598336001</v>
      </c>
      <c r="AV21" s="29">
        <f t="shared" si="14"/>
        <v>421.36673279999997</v>
      </c>
      <c r="AW21" s="94">
        <f t="shared" si="13"/>
        <v>120.84797896703999</v>
      </c>
    </row>
    <row r="22" spans="1:49" x14ac:dyDescent="0.25">
      <c r="A22" t="s">
        <v>707</v>
      </c>
      <c r="B22" t="s">
        <v>706</v>
      </c>
      <c r="C22">
        <v>19.100000000000001</v>
      </c>
      <c r="D22" s="130">
        <v>36.911000000000001</v>
      </c>
      <c r="E22" s="130">
        <v>705.00009999999997</v>
      </c>
      <c r="F22" s="130">
        <v>15.93</v>
      </c>
      <c r="G22" s="130">
        <v>304.26299999999998</v>
      </c>
      <c r="H22" s="13">
        <v>4.4444653751032903E-3</v>
      </c>
      <c r="J22" s="58" t="s">
        <v>765</v>
      </c>
      <c r="K22" s="87">
        <f>IFERROR(VLOOKUP(J22,price_feed[[symbol]:[current_price]],3,FALSE),"")</f>
        <v>45.64</v>
      </c>
      <c r="L22" s="88">
        <f>IFERROR(VLOOKUP(J22,Portfolio_Overview[[#All],[ticker]:[average per coin]],3,FALSE)*2,"")</f>
        <v>112.0448</v>
      </c>
      <c r="M22" s="25">
        <f>IFERROR(VLOOKUP(J22,Portfolio_Overview[[#All],[ticker]:[average per coin]],2,FALSE)*M$4,"")</f>
        <v>0.71399999999999997</v>
      </c>
      <c r="N22" s="26">
        <f>IFERROR(VLOOKUP(CO_entry[[#This Row],[ticker]],Portfolio_Overview[[#All],[ticker]:[average per coin]],2,FALSE)-CO_entry[[#This Row],[Tokens Sold]],"")</f>
        <v>2.8559999999999999</v>
      </c>
      <c r="O22" s="89">
        <f>IFERROR(CO_entry[[#This Row],[Tokens Sold]]*CO_entry[[#This Row],[Selling point 1]],"")</f>
        <v>79.999987199999993</v>
      </c>
      <c r="P22" s="90">
        <f>IFERROR((L22*M22)-(VLOOKUP(J22,Portfolio_Overview[[#All],[ticker]:[average per coin]],3,FALSE)*M22),"")</f>
        <v>39.999993599999996</v>
      </c>
      <c r="Q22" s="88">
        <f>IFERROR(VLOOKUP(J22,Portfolio_Overview[[#All],[ticker]:[average per coin]],3,FALSE)*3.5,"")</f>
        <v>196.07839999999999</v>
      </c>
      <c r="R22" s="27">
        <f t="shared" si="0"/>
        <v>0.57120000000000004</v>
      </c>
      <c r="S22" s="28">
        <f t="shared" si="1"/>
        <v>2.2847999999999997</v>
      </c>
      <c r="T22" s="91">
        <f>IFERROR(CO_entry[[#This Row],[Tokens Sold2]]*CO_entry[[#This Row],[Selling point 2]],"")</f>
        <v>111.99998208</v>
      </c>
      <c r="U22" s="92">
        <f>IFERROR((Q22*R22)-(VLOOKUP(J22,Portfolio_Overview[[#All],[ticker]:[average per coin]],3,FALSE)*R22),"")</f>
        <v>79.999987199999993</v>
      </c>
      <c r="V22" s="88">
        <f>IFERROR(VLOOKUP(J22,Portfolio_Overview[[#All],[ticker]:[average per coin]],3,FALSE)*4.5,"")</f>
        <v>252.10079999999999</v>
      </c>
      <c r="W22" s="25">
        <f t="shared" si="2"/>
        <v>0.45695999999999998</v>
      </c>
      <c r="X22" s="26">
        <f t="shared" si="3"/>
        <v>1.8278399999999997</v>
      </c>
      <c r="Y22" s="89">
        <f>IFERROR(CO_entry[[#This Row],[Tokens Sold3]]*CO_entry[[#This Row],[Selling point 3]],"")</f>
        <v>115.19998156799998</v>
      </c>
      <c r="Z22" s="90">
        <f>IFERROR((V22*W22)-(VLOOKUP(J22,Portfolio_Overview[[#All],[ticker]:[average per coin]],3,FALSE)*W22),"")</f>
        <v>89.599985663999988</v>
      </c>
      <c r="AA22" s="88">
        <f>IFERROR(VLOOKUP(J22,Portfolio_Overview[[#All],[ticker]:[average per coin]],3,FALSE)*6,"")</f>
        <v>336.13439999999997</v>
      </c>
      <c r="AB22" s="27">
        <f t="shared" si="4"/>
        <v>0.36556799999999995</v>
      </c>
      <c r="AC22" s="28">
        <f t="shared" si="5"/>
        <v>1.4622719999999998</v>
      </c>
      <c r="AD22" s="91">
        <f>IFERROR(CO_entry[[#This Row],[Tokens Sold4]]*CO_entry[[#This Row],[Selling point 4]],"")</f>
        <v>122.87998033919997</v>
      </c>
      <c r="AE22" s="92">
        <f>IFERROR((AA22*AB22)-(VLOOKUP(J22,Portfolio_Overview[[#All],[ticker]:[average per coin]],3,FALSE)*AB22),"")</f>
        <v>102.39998361599999</v>
      </c>
      <c r="AF22" s="97">
        <f>IFERROR(VLOOKUP(J22,Portfolio_Overview[[#All],[ticker]:[average per coin]],3,FALSE)*8,"")</f>
        <v>448.17919999999998</v>
      </c>
      <c r="AG22" s="26">
        <f t="shared" si="6"/>
        <v>0.36556799999999995</v>
      </c>
      <c r="AH22" s="26">
        <f t="shared" si="7"/>
        <v>1.0967039999999999</v>
      </c>
      <c r="AI22" s="89">
        <f>IFERROR(CO_entry[[#This Row],[Tokens Sold5]]*CO_entry[[#This Row],[Selling point 5]],"")</f>
        <v>163.83997378559997</v>
      </c>
      <c r="AJ22" s="90">
        <f>IFERROR((AF22*AG22)-(VLOOKUP(J22,Portfolio_Overview[[#All],[ticker]:[average per coin]],3,FALSE)*AG22),"")</f>
        <v>143.35997706239996</v>
      </c>
      <c r="AK22" s="97">
        <f>IFERROR(VLOOKUP(J22,Portfolio_Overview[[#All],[ticker]:[average per coin]],3,FALSE)*10,"")</f>
        <v>560.22399999999993</v>
      </c>
      <c r="AL22" s="77">
        <f t="shared" si="8"/>
        <v>0.38384639999999992</v>
      </c>
      <c r="AM22" s="77">
        <f t="shared" si="9"/>
        <v>0.71285759999999998</v>
      </c>
      <c r="AN22" s="93">
        <f>IFERROR(CO_entry[[#This Row],[Tokens Sold6]]*CO_entry[[#This Row],[Selling point 6]],"")</f>
        <v>215.03996559359993</v>
      </c>
      <c r="AO22" s="96">
        <f>IFERROR((AK22*AL22)-(VLOOKUP(J22,Portfolio_Overview[[#All],[ticker]:[average per coin]],3,FALSE)*AL22),"")</f>
        <v>193.53596903423994</v>
      </c>
      <c r="AP22" s="97">
        <f>IFERROR(VLOOKUP(J22,Portfolio_Overview[[#All],[ticker]:[average per coin]],3,FALSE)*12,"")</f>
        <v>672.26879999999994</v>
      </c>
      <c r="AQ22" s="26">
        <f t="shared" si="10"/>
        <v>0.35642879999999999</v>
      </c>
      <c r="AR22" s="26">
        <f t="shared" si="11"/>
        <v>0.35642879999999999</v>
      </c>
      <c r="AS22" s="89">
        <f>IFERROR(CO_entry[[#This Row],[Tokens Sold7]]*CO_entry[[#This Row],[Selling point 7]],"")</f>
        <v>239.61596166143997</v>
      </c>
      <c r="AT22" s="95">
        <f>IFERROR((AP22*AQ22)-(VLOOKUP(J22,Portfolio_Overview[[#All],[ticker]:[average per coin]],3,FALSE)*AQ22),"")</f>
        <v>219.64796485631996</v>
      </c>
      <c r="AU22" s="94">
        <f t="shared" si="12"/>
        <v>868.54386103295974</v>
      </c>
      <c r="AV22" s="29">
        <f t="shared" si="14"/>
        <v>0.35642879999999999</v>
      </c>
      <c r="AW22" s="94">
        <f t="shared" si="13"/>
        <v>239.61596166143997</v>
      </c>
    </row>
    <row r="23" spans="1:49" x14ac:dyDescent="0.25">
      <c r="A23" t="s">
        <v>129</v>
      </c>
      <c r="B23" t="s">
        <v>412</v>
      </c>
      <c r="C23">
        <v>27.43</v>
      </c>
      <c r="D23" s="130">
        <v>14.1816</v>
      </c>
      <c r="E23" s="130">
        <v>389.00130000000001</v>
      </c>
      <c r="F23" s="130">
        <v>10.6</v>
      </c>
      <c r="G23" s="130">
        <v>290.75799999999998</v>
      </c>
      <c r="H23" s="13">
        <v>4.2471935908549004E-3</v>
      </c>
      <c r="J23" s="58" t="s">
        <v>408</v>
      </c>
      <c r="K23" s="114">
        <f>IFERROR(VLOOKUP(J23,price_feed[[symbol]:[current_price]],3,FALSE),"")</f>
        <v>0.40515000000000001</v>
      </c>
      <c r="L23" s="88">
        <f>IFERROR(VLOOKUP(J23,Portfolio_Overview[[#All],[ticker]:[average per coin]],3,FALSE)*3,"")</f>
        <v>0.43409999999999999</v>
      </c>
      <c r="M23" s="25">
        <f>IFERROR(VLOOKUP(J23,Portfolio_Overview[[#All],[ticker]:[average per coin]],2,FALSE)*M$4,"")</f>
        <v>153.41800000000001</v>
      </c>
      <c r="N23" s="26">
        <f>IFERROR(VLOOKUP(CO_entry[[#This Row],[ticker]],Portfolio_Overview[[#All],[ticker]:[average per coin]],2,FALSE)-CO_entry[[#This Row],[Tokens Sold]],"")</f>
        <v>613.67200000000003</v>
      </c>
      <c r="O23" s="89">
        <f>IFERROR(CO_entry[[#This Row],[Tokens Sold]]*CO_entry[[#This Row],[Selling point 1]],"")</f>
        <v>66.598753799999997</v>
      </c>
      <c r="P23" s="90">
        <f>IFERROR((L23*M23)-(VLOOKUP(J23,Portfolio_Overview[[#All],[ticker]:[average per coin]],3,FALSE)*M23),"")</f>
        <v>44.399169199999996</v>
      </c>
      <c r="Q23" s="88">
        <f>IFERROR(VLOOKUP(J23,Portfolio_Overview[[#All],[ticker]:[average per coin]],3,FALSE)*5,"")</f>
        <v>0.72350000000000003</v>
      </c>
      <c r="R23" s="27">
        <f t="shared" si="0"/>
        <v>122.73440000000001</v>
      </c>
      <c r="S23" s="28">
        <f t="shared" si="1"/>
        <v>490.93760000000003</v>
      </c>
      <c r="T23" s="91">
        <f>IFERROR(CO_entry[[#This Row],[Tokens Sold2]]*CO_entry[[#This Row],[Selling point 2]],"")</f>
        <v>88.798338400000006</v>
      </c>
      <c r="U23" s="92">
        <f>IFERROR((Q23*R23)-(VLOOKUP(J23,Portfolio_Overview[[#All],[ticker]:[average per coin]],3,FALSE)*R23),"")</f>
        <v>71.038670719999999</v>
      </c>
      <c r="V23" s="88">
        <f>IFERROR(VLOOKUP(J23,Portfolio_Overview[[#All],[ticker]:[average per coin]],3,FALSE)*7,"")</f>
        <v>1.0128999999999999</v>
      </c>
      <c r="W23" s="25">
        <f t="shared" si="2"/>
        <v>98.187520000000006</v>
      </c>
      <c r="X23" s="26">
        <f t="shared" si="3"/>
        <v>392.75008000000003</v>
      </c>
      <c r="Y23" s="89">
        <f>IFERROR(CO_entry[[#This Row],[Tokens Sold3]]*CO_entry[[#This Row],[Selling point 3]],"")</f>
        <v>99.454139007999999</v>
      </c>
      <c r="Z23" s="90">
        <f>IFERROR((V23*W23)-(VLOOKUP(J23,Portfolio_Overview[[#All],[ticker]:[average per coin]],3,FALSE)*W23),"")</f>
        <v>85.246404863999999</v>
      </c>
      <c r="AA23" s="88">
        <f>IFERROR(VLOOKUP(J23,Portfolio_Overview[[#All],[ticker]:[average per coin]],3,FALSE)*8,"")</f>
        <v>1.1576</v>
      </c>
      <c r="AB23" s="27">
        <f t="shared" si="4"/>
        <v>78.550016000000014</v>
      </c>
      <c r="AC23" s="28">
        <f t="shared" si="5"/>
        <v>314.200064</v>
      </c>
      <c r="AD23" s="91">
        <f>IFERROR(CO_entry[[#This Row],[Tokens Sold4]]*CO_entry[[#This Row],[Selling point 4]],"")</f>
        <v>90.92949852160001</v>
      </c>
      <c r="AE23" s="92">
        <f>IFERROR((AA23*AB23)-(VLOOKUP(J23,Portfolio_Overview[[#All],[ticker]:[average per coin]],3,FALSE)*AB23),"")</f>
        <v>79.563311206400016</v>
      </c>
      <c r="AF23" s="98">
        <f>IFERROR(VLOOKUP(J23,Portfolio_Overview[[#All],[ticker]:[average per coin]],3,FALSE)*9,"")</f>
        <v>1.3023</v>
      </c>
      <c r="AG23" s="26">
        <f t="shared" si="6"/>
        <v>78.550015999999999</v>
      </c>
      <c r="AH23" s="26">
        <f t="shared" si="7"/>
        <v>235.650048</v>
      </c>
      <c r="AI23" s="89">
        <f>IFERROR(CO_entry[[#This Row],[Tokens Sold5]]*CO_entry[[#This Row],[Selling point 5]],"")</f>
        <v>102.2956858368</v>
      </c>
      <c r="AJ23" s="90">
        <f>IFERROR((AF23*AG23)-(VLOOKUP(J23,Portfolio_Overview[[#All],[ticker]:[average per coin]],3,FALSE)*AG23),"")</f>
        <v>90.92949852160001</v>
      </c>
      <c r="AK23" s="97">
        <f>IFERROR(VLOOKUP(J23,Portfolio_Overview[[#All],[ticker]:[average per coin]],3,FALSE)*10,"")</f>
        <v>1.4470000000000001</v>
      </c>
      <c r="AL23" s="77">
        <f t="shared" si="8"/>
        <v>82.477516799999989</v>
      </c>
      <c r="AM23" s="77">
        <f t="shared" si="9"/>
        <v>153.17253120000001</v>
      </c>
      <c r="AN23" s="93">
        <f>IFERROR(CO_entry[[#This Row],[Tokens Sold6]]*CO_entry[[#This Row],[Selling point 6]],"")</f>
        <v>119.3449668096</v>
      </c>
      <c r="AO23" s="96">
        <f>IFERROR((AK23*AL23)-(VLOOKUP(J23,Portfolio_Overview[[#All],[ticker]:[average per coin]],3,FALSE)*AL23),"")</f>
        <v>107.41047012864</v>
      </c>
      <c r="AP23" s="97">
        <f>IFERROR(VLOOKUP(J23,Portfolio_Overview[[#All],[ticker]:[average per coin]],3,FALSE)*12,"")</f>
        <v>1.7363999999999999</v>
      </c>
      <c r="AQ23" s="26">
        <f t="shared" si="10"/>
        <v>76.586265600000004</v>
      </c>
      <c r="AR23" s="26">
        <f t="shared" si="11"/>
        <v>76.586265600000004</v>
      </c>
      <c r="AS23" s="89">
        <f>IFERROR(CO_entry[[#This Row],[Tokens Sold7]]*CO_entry[[#This Row],[Selling point 7]],"")</f>
        <v>132.98439158784001</v>
      </c>
      <c r="AT23" s="95">
        <f>IFERROR((AP23*AQ23)-(VLOOKUP(J23,Portfolio_Overview[[#All],[ticker]:[average per coin]],3,FALSE)*AQ23),"")</f>
        <v>121.90235895552001</v>
      </c>
      <c r="AU23" s="94">
        <f t="shared" si="12"/>
        <v>600.48988359615998</v>
      </c>
      <c r="AV23" s="29">
        <f t="shared" si="14"/>
        <v>76.586265600000004</v>
      </c>
      <c r="AW23" s="94">
        <f t="shared" si="13"/>
        <v>132.98439158784001</v>
      </c>
    </row>
    <row r="24" spans="1:49" x14ac:dyDescent="0.25">
      <c r="A24" t="s">
        <v>42</v>
      </c>
      <c r="B24" t="s">
        <v>3</v>
      </c>
      <c r="C24">
        <v>18.920000000000002</v>
      </c>
      <c r="D24" s="130">
        <v>28.0655</v>
      </c>
      <c r="E24" s="130">
        <v>530.99929999999995</v>
      </c>
      <c r="F24" s="130">
        <v>14.5</v>
      </c>
      <c r="G24" s="130">
        <v>274.33999999999997</v>
      </c>
      <c r="H24" s="13">
        <v>4.0073706990525898E-3</v>
      </c>
      <c r="J24" s="118" t="s">
        <v>4</v>
      </c>
      <c r="K24" s="87">
        <f>IFERROR(VLOOKUP(J24,price_feed[[symbol]:[current_price]],3,FALSE),"")</f>
        <v>18.72</v>
      </c>
      <c r="L24" s="88">
        <f>IFERROR(VLOOKUP(J24,Portfolio_Overview[[#All],[ticker]:[average per coin]],3,FALSE)*2,"")</f>
        <v>40.558799999999998</v>
      </c>
      <c r="M24" s="25">
        <f>IFERROR(VLOOKUP(J24,Portfolio_Overview[[#All],[ticker]:[average per coin]],2,FALSE)*M$4,"")</f>
        <v>12.919540000000001</v>
      </c>
      <c r="N24" s="26">
        <f>IFERROR(VLOOKUP(CO_entry[[#This Row],[ticker]],Portfolio_Overview[[#All],[ticker]:[average per coin]],2,FALSE)-CO_entry[[#This Row],[Tokens Sold]],"")</f>
        <v>51.678160000000005</v>
      </c>
      <c r="O24" s="89">
        <f>IFERROR(CO_entry[[#This Row],[Tokens Sold]]*CO_entry[[#This Row],[Selling point 1]],"")</f>
        <v>524.00103895200004</v>
      </c>
      <c r="P24" s="90">
        <f>IFERROR((L24*M24)-(VLOOKUP(J24,Portfolio_Overview[[#All],[ticker]:[average per coin]],3,FALSE)*M24),"")</f>
        <v>262.00051947600002</v>
      </c>
      <c r="Q24" s="88">
        <f>IFERROR(VLOOKUP(J24,Portfolio_Overview[[#All],[ticker]:[average per coin]],3,FALSE)*3.5,"")</f>
        <v>70.977899999999991</v>
      </c>
      <c r="R24" s="27">
        <f t="shared" si="0"/>
        <v>10.335632000000002</v>
      </c>
      <c r="S24" s="28">
        <f t="shared" si="1"/>
        <v>41.342528000000001</v>
      </c>
      <c r="T24" s="91">
        <f>IFERROR(CO_entry[[#This Row],[Tokens Sold2]]*CO_entry[[#This Row],[Selling point 2]],"")</f>
        <v>733.60145453280006</v>
      </c>
      <c r="U24" s="92">
        <f>IFERROR((Q24*R24)-(VLOOKUP(J24,Portfolio_Overview[[#All],[ticker]:[average per coin]],3,FALSE)*R24),"")</f>
        <v>524.00103895200004</v>
      </c>
      <c r="V24" s="88">
        <f>IFERROR(VLOOKUP(J24,Portfolio_Overview[[#All],[ticker]:[average per coin]],3,FALSE)*4.5,"")</f>
        <v>91.257300000000001</v>
      </c>
      <c r="W24" s="25">
        <f t="shared" si="2"/>
        <v>8.268505600000001</v>
      </c>
      <c r="X24" s="26">
        <f t="shared" si="3"/>
        <v>33.074022400000004</v>
      </c>
      <c r="Y24" s="89">
        <f>IFERROR(CO_entry[[#This Row],[Tokens Sold3]]*CO_entry[[#This Row],[Selling point 3]],"")</f>
        <v>754.56149609088015</v>
      </c>
      <c r="Z24" s="90">
        <f>IFERROR((V24*W24)-(VLOOKUP(J24,Portfolio_Overview[[#All],[ticker]:[average per coin]],3,FALSE)*W24),"")</f>
        <v>586.8811636262401</v>
      </c>
      <c r="AA24" s="88">
        <f>IFERROR(VLOOKUP(J24,Portfolio_Overview[[#All],[ticker]:[average per coin]],3,FALSE)*6,"")</f>
        <v>121.6764</v>
      </c>
      <c r="AB24" s="27">
        <f t="shared" si="4"/>
        <v>6.614804480000001</v>
      </c>
      <c r="AC24" s="28">
        <f t="shared" si="5"/>
        <v>26.459217920000004</v>
      </c>
      <c r="AD24" s="91">
        <f>IFERROR(CO_entry[[#This Row],[Tokens Sold4]]*CO_entry[[#This Row],[Selling point 4]],"")</f>
        <v>804.86559583027213</v>
      </c>
      <c r="AE24" s="92">
        <f>IFERROR((AA24*AB24)-(VLOOKUP(J24,Portfolio_Overview[[#All],[ticker]:[average per coin]],3,FALSE)*AB24),"")</f>
        <v>670.72132985856013</v>
      </c>
      <c r="AF24" s="88">
        <f>IFERROR(VLOOKUP(J24,Portfolio_Overview[[#All],[ticker]:[average per coin]],3,FALSE)*8,"")</f>
        <v>162.23519999999999</v>
      </c>
      <c r="AG24" s="25">
        <f t="shared" si="6"/>
        <v>6.614804480000001</v>
      </c>
      <c r="AH24" s="26">
        <f t="shared" si="7"/>
        <v>19.844413440000004</v>
      </c>
      <c r="AI24" s="89">
        <f>IFERROR(CO_entry[[#This Row],[Tokens Sold5]]*CO_entry[[#This Row],[Selling point 5]],"")</f>
        <v>1073.154127773696</v>
      </c>
      <c r="AJ24" s="90">
        <f>IFERROR((AF24*AG24)-(VLOOKUP(J24,Portfolio_Overview[[#All],[ticker]:[average per coin]],3,FALSE)*AG24),"")</f>
        <v>939.00986180198402</v>
      </c>
      <c r="AK24" s="97">
        <f>IFERROR(VLOOKUP(J24,Portfolio_Overview[[#All],[ticker]:[average per coin]],3,FALSE)*10,"")</f>
        <v>202.79399999999998</v>
      </c>
      <c r="AL24" s="77">
        <f t="shared" si="8"/>
        <v>6.9455447040000013</v>
      </c>
      <c r="AM24" s="77">
        <f t="shared" si="9"/>
        <v>12.898868736000002</v>
      </c>
      <c r="AN24" s="93">
        <f>IFERROR(CO_entry[[#This Row],[Tokens Sold6]]*CO_entry[[#This Row],[Selling point 6]],"")</f>
        <v>1408.5147927029761</v>
      </c>
      <c r="AO24" s="96">
        <f>IFERROR((AK24*AL24)-(VLOOKUP(J24,Portfolio_Overview[[#All],[ticker]:[average per coin]],3,FALSE)*AL24),"")</f>
        <v>1267.6633134326785</v>
      </c>
      <c r="AP24" s="97">
        <f>IFERROR(VLOOKUP(J24,Portfolio_Overview[[#All],[ticker]:[average per coin]],3,FALSE)*12,"")</f>
        <v>243.3528</v>
      </c>
      <c r="AQ24" s="26">
        <f t="shared" si="10"/>
        <v>6.4494343680000012</v>
      </c>
      <c r="AR24" s="26">
        <f t="shared" si="11"/>
        <v>6.4494343680000012</v>
      </c>
      <c r="AS24" s="89">
        <f>IFERROR(CO_entry[[#This Row],[Tokens Sold7]]*CO_entry[[#This Row],[Selling point 7]],"")</f>
        <v>1569.4879118690308</v>
      </c>
      <c r="AT24" s="95">
        <f>IFERROR((AP24*AQ24)-(VLOOKUP(J24,Portfolio_Overview[[#All],[ticker]:[average per coin]],3,FALSE)*AQ24),"")</f>
        <v>1438.6972525466115</v>
      </c>
      <c r="AU24" s="94">
        <f t="shared" si="12"/>
        <v>5688.9744796940749</v>
      </c>
      <c r="AV24" s="29">
        <f t="shared" si="14"/>
        <v>6.4494343680000012</v>
      </c>
      <c r="AW24" s="94">
        <f t="shared" si="13"/>
        <v>1569.4879118690308</v>
      </c>
    </row>
    <row r="25" spans="1:49" x14ac:dyDescent="0.25">
      <c r="A25" t="s">
        <v>106</v>
      </c>
      <c r="B25" t="s">
        <v>415</v>
      </c>
      <c r="C25">
        <v>216</v>
      </c>
      <c r="D25" s="130">
        <v>1.3795999999999999</v>
      </c>
      <c r="E25" s="130">
        <v>297.99360000000001</v>
      </c>
      <c r="F25" s="130">
        <v>1.24</v>
      </c>
      <c r="G25" s="130">
        <v>267.83999999999997</v>
      </c>
      <c r="H25" s="13">
        <v>3.91242315387565E-3</v>
      </c>
      <c r="J25" s="58" t="s">
        <v>775</v>
      </c>
      <c r="K25" s="114">
        <f>IFERROR(VLOOKUP(J25,price_feed[[symbol]:[current_price]],3,FALSE),"")</f>
        <v>0.43635600000000002</v>
      </c>
      <c r="L25" s="88">
        <f>IFERROR(VLOOKUP(J25,Portfolio_Overview[[#All],[ticker]:[average per coin]],3,FALSE)*2,"")</f>
        <v>3.2284000000000002</v>
      </c>
      <c r="M25" s="25">
        <f>IFERROR(VLOOKUP(J25,Portfolio_Overview[[#All],[ticker]:[average per coin]],2,FALSE)*M$4,"")</f>
        <v>9.9120000000000008</v>
      </c>
      <c r="N25" s="26">
        <f>IFERROR(VLOOKUP(CO_entry[[#This Row],[ticker]],Portfolio_Overview[[#All],[ticker]:[average per coin]],2,FALSE)-CO_entry[[#This Row],[Tokens Sold]],"")</f>
        <v>39.648000000000003</v>
      </c>
      <c r="O25" s="89">
        <f>IFERROR(CO_entry[[#This Row],[Tokens Sold]]*CO_entry[[#This Row],[Selling point 1]],"")</f>
        <v>31.999900800000002</v>
      </c>
      <c r="P25" s="90">
        <f>IFERROR((L25*M25)-(VLOOKUP(J25,Portfolio_Overview[[#All],[ticker]:[average per coin]],3,FALSE)*M25),"")</f>
        <v>15.999950400000001</v>
      </c>
      <c r="Q25" s="88">
        <f>IFERROR(VLOOKUP(J25,Portfolio_Overview[[#All],[ticker]:[average per coin]],3,FALSE)*3.5,"")</f>
        <v>5.6497000000000002</v>
      </c>
      <c r="R25" s="27">
        <f t="shared" si="0"/>
        <v>7.9296000000000006</v>
      </c>
      <c r="S25" s="28">
        <f t="shared" si="1"/>
        <v>31.718400000000003</v>
      </c>
      <c r="T25" s="91">
        <f>IFERROR(CO_entry[[#This Row],[Tokens Sold2]]*CO_entry[[#This Row],[Selling point 2]],"")</f>
        <v>44.799861120000003</v>
      </c>
      <c r="U25" s="92">
        <f>IFERROR((Q25*R25)-(VLOOKUP(J25,Portfolio_Overview[[#All],[ticker]:[average per coin]],3,FALSE)*R25),"")</f>
        <v>31.999900799999999</v>
      </c>
      <c r="V25" s="88">
        <f>IFERROR(VLOOKUP(J25,Portfolio_Overview[[#All],[ticker]:[average per coin]],3,FALSE)*4.5,"")</f>
        <v>7.2639000000000005</v>
      </c>
      <c r="W25" s="25">
        <f t="shared" si="2"/>
        <v>6.3436800000000009</v>
      </c>
      <c r="X25" s="26">
        <f t="shared" si="3"/>
        <v>25.374720000000003</v>
      </c>
      <c r="Y25" s="89">
        <f>IFERROR(CO_entry[[#This Row],[Tokens Sold3]]*CO_entry[[#This Row],[Selling point 3]],"")</f>
        <v>46.07985715200001</v>
      </c>
      <c r="Z25" s="90">
        <f>IFERROR((V25*W25)-(VLOOKUP(J25,Portfolio_Overview[[#All],[ticker]:[average per coin]],3,FALSE)*W25),"")</f>
        <v>35.839888896000005</v>
      </c>
      <c r="AA25" s="88">
        <f>IFERROR(VLOOKUP(J25,Portfolio_Overview[[#All],[ticker]:[average per coin]],3,FALSE)*6,"")</f>
        <v>9.6852</v>
      </c>
      <c r="AB25" s="27">
        <f t="shared" si="4"/>
        <v>5.0749440000000012</v>
      </c>
      <c r="AC25" s="28">
        <f t="shared" si="5"/>
        <v>20.299776000000001</v>
      </c>
      <c r="AD25" s="91">
        <f>IFERROR(CO_entry[[#This Row],[Tokens Sold4]]*CO_entry[[#This Row],[Selling point 4]],"")</f>
        <v>49.151847628800013</v>
      </c>
      <c r="AE25" s="92">
        <f>IFERROR((AA25*AB25)-(VLOOKUP(J25,Portfolio_Overview[[#All],[ticker]:[average per coin]],3,FALSE)*AB25),"")</f>
        <v>40.959873024000011</v>
      </c>
      <c r="AF25" s="88">
        <f>IFERROR(VLOOKUP(J25,Portfolio_Overview[[#All],[ticker]:[average per coin]],3,FALSE)*8,"")</f>
        <v>12.913600000000001</v>
      </c>
      <c r="AG25" s="25">
        <f t="shared" si="6"/>
        <v>5.0749440000000003</v>
      </c>
      <c r="AH25" s="26">
        <f t="shared" si="7"/>
        <v>15.224832000000001</v>
      </c>
      <c r="AI25" s="89">
        <f>IFERROR(CO_entry[[#This Row],[Tokens Sold5]]*CO_entry[[#This Row],[Selling point 5]],"")</f>
        <v>65.535796838400003</v>
      </c>
      <c r="AJ25" s="90">
        <f>IFERROR((AF25*AG25)-(VLOOKUP(J25,Portfolio_Overview[[#All],[ticker]:[average per coin]],3,FALSE)*AG25),"")</f>
        <v>57.343822233600001</v>
      </c>
      <c r="AK25" s="97">
        <f>IFERROR(VLOOKUP(J25,Portfolio_Overview[[#All],[ticker]:[average per coin]],3,FALSE)*10,"")</f>
        <v>16.141999999999999</v>
      </c>
      <c r="AL25" s="77">
        <f t="shared" si="8"/>
        <v>5.3286911999999997</v>
      </c>
      <c r="AM25" s="77">
        <f t="shared" si="9"/>
        <v>9.8961408000000013</v>
      </c>
      <c r="AN25" s="93">
        <f>IFERROR(CO_entry[[#This Row],[Tokens Sold6]]*CO_entry[[#This Row],[Selling point 6]],"")</f>
        <v>86.015733350399998</v>
      </c>
      <c r="AO25" s="96">
        <f>IFERROR((AK25*AL25)-(VLOOKUP(J25,Portfolio_Overview[[#All],[ticker]:[average per coin]],3,FALSE)*AL25),"")</f>
        <v>77.414160015359997</v>
      </c>
      <c r="AP25" s="97">
        <f>IFERROR(VLOOKUP(J25,Portfolio_Overview[[#All],[ticker]:[average per coin]],3,FALSE)*12,"")</f>
        <v>19.3704</v>
      </c>
      <c r="AQ25" s="26">
        <f t="shared" si="10"/>
        <v>4.9480704000000006</v>
      </c>
      <c r="AR25" s="26">
        <f t="shared" si="11"/>
        <v>4.9480704000000006</v>
      </c>
      <c r="AS25" s="89">
        <f>IFERROR(CO_entry[[#This Row],[Tokens Sold7]]*CO_entry[[#This Row],[Selling point 7]],"")</f>
        <v>95.846102876160018</v>
      </c>
      <c r="AT25" s="95">
        <f>IFERROR((AP25*AQ25)-(VLOOKUP(J25,Portfolio_Overview[[#All],[ticker]:[average per coin]],3,FALSE)*AQ25),"")</f>
        <v>87.858927636480018</v>
      </c>
      <c r="AU25" s="94">
        <f t="shared" si="12"/>
        <v>347.41652300544007</v>
      </c>
      <c r="AV25" s="29">
        <f t="shared" si="14"/>
        <v>4.9480704000000006</v>
      </c>
      <c r="AW25" s="94">
        <f t="shared" si="13"/>
        <v>95.846102876160018</v>
      </c>
    </row>
    <row r="26" spans="1:49" x14ac:dyDescent="0.25">
      <c r="A26" t="s">
        <v>798</v>
      </c>
      <c r="B26" t="s">
        <v>760</v>
      </c>
      <c r="C26">
        <v>65.89</v>
      </c>
      <c r="D26" s="130">
        <v>8.7721999999999998</v>
      </c>
      <c r="E26" s="130">
        <v>578.00030000000004</v>
      </c>
      <c r="F26" s="130">
        <v>3.99</v>
      </c>
      <c r="G26" s="130">
        <v>262.90109999999999</v>
      </c>
      <c r="H26" s="13">
        <v>3.8402790875872801E-3</v>
      </c>
      <c r="J26" s="58" t="s">
        <v>342</v>
      </c>
      <c r="K26" s="87">
        <f>IFERROR(VLOOKUP(J26,price_feed[[symbol]:[current_price]],3,FALSE),"")</f>
        <v>1.44</v>
      </c>
      <c r="L26" s="88">
        <f>IFERROR(VLOOKUP(J26,Portfolio_Overview[[#All],[ticker]:[average per coin]],3,FALSE)*2,"")</f>
        <v>7.202</v>
      </c>
      <c r="M26" s="25">
        <f>IFERROR(VLOOKUP(J26,Portfolio_Overview[[#All],[ticker]:[average per coin]],2,FALSE)*M$4,"")</f>
        <v>5.5540000000000003</v>
      </c>
      <c r="N26" s="26">
        <f>IFERROR(VLOOKUP(CO_entry[[#This Row],[ticker]],Portfolio_Overview[[#All],[ticker]:[average per coin]],2,FALSE)-CO_entry[[#This Row],[Tokens Sold]],"")</f>
        <v>22.216000000000001</v>
      </c>
      <c r="O26" s="89">
        <f>IFERROR(CO_entry[[#This Row],[Tokens Sold]]*CO_entry[[#This Row],[Selling point 1]],"")</f>
        <v>39.999908000000005</v>
      </c>
      <c r="P26" s="90">
        <f>IFERROR((L26*M26)-(VLOOKUP(J26,Portfolio_Overview[[#All],[ticker]:[average per coin]],3,FALSE)*M26),"")</f>
        <v>19.999954000000002</v>
      </c>
      <c r="Q26" s="88">
        <f>IFERROR(VLOOKUP(J26,Portfolio_Overview[[#All],[ticker]:[average per coin]],3,FALSE)*3.5,"")</f>
        <v>12.6035</v>
      </c>
      <c r="R26" s="27">
        <f t="shared" si="0"/>
        <v>4.4432</v>
      </c>
      <c r="S26" s="28">
        <f t="shared" si="1"/>
        <v>17.7728</v>
      </c>
      <c r="T26" s="91">
        <f>IFERROR(CO_entry[[#This Row],[Tokens Sold2]]*CO_entry[[#This Row],[Selling point 2]],"")</f>
        <v>55.999871200000001</v>
      </c>
      <c r="U26" s="92">
        <f>IFERROR((Q26*R26)-(VLOOKUP(J26,Portfolio_Overview[[#All],[ticker]:[average per coin]],3,FALSE)*R26),"")</f>
        <v>39.999908000000005</v>
      </c>
      <c r="V26" s="88">
        <f>IFERROR(VLOOKUP(J26,Portfolio_Overview[[#All],[ticker]:[average per coin]],3,FALSE)*4.5,"")</f>
        <v>16.204499999999999</v>
      </c>
      <c r="W26" s="25">
        <f t="shared" si="2"/>
        <v>3.5545600000000004</v>
      </c>
      <c r="X26" s="26">
        <f t="shared" si="3"/>
        <v>14.21824</v>
      </c>
      <c r="Y26" s="89">
        <f>IFERROR(CO_entry[[#This Row],[Tokens Sold3]]*CO_entry[[#This Row],[Selling point 3]],"")</f>
        <v>57.599867520000004</v>
      </c>
      <c r="Z26" s="90">
        <f>IFERROR((V26*W26)-(VLOOKUP(J26,Portfolio_Overview[[#All],[ticker]:[average per coin]],3,FALSE)*W26),"")</f>
        <v>44.799896959999998</v>
      </c>
      <c r="AA26" s="88">
        <f>IFERROR(VLOOKUP(J26,Portfolio_Overview[[#All],[ticker]:[average per coin]],3,FALSE)*6,"")</f>
        <v>21.606000000000002</v>
      </c>
      <c r="AB26" s="27">
        <f t="shared" si="4"/>
        <v>2.843648</v>
      </c>
      <c r="AC26" s="28">
        <f t="shared" si="5"/>
        <v>11.374592</v>
      </c>
      <c r="AD26" s="91">
        <f>IFERROR(CO_entry[[#This Row],[Tokens Sold4]]*CO_entry[[#This Row],[Selling point 4]],"")</f>
        <v>61.439858688000001</v>
      </c>
      <c r="AE26" s="92">
        <f>IFERROR((AA26*AB26)-(VLOOKUP(J26,Portfolio_Overview[[#All],[ticker]:[average per coin]],3,FALSE)*AB26),"")</f>
        <v>51.199882240000001</v>
      </c>
      <c r="AF26" s="88">
        <f>IFERROR(VLOOKUP(J26,Portfolio_Overview[[#All],[ticker]:[average per coin]],3,FALSE)*8,"")</f>
        <v>28.808</v>
      </c>
      <c r="AG26" s="25">
        <f t="shared" si="6"/>
        <v>2.843648</v>
      </c>
      <c r="AH26" s="26">
        <f t="shared" si="7"/>
        <v>8.5309439999999999</v>
      </c>
      <c r="AI26" s="89">
        <f>IFERROR(CO_entry[[#This Row],[Tokens Sold5]]*CO_entry[[#This Row],[Selling point 5]],"")</f>
        <v>81.919811584000001</v>
      </c>
      <c r="AJ26" s="90">
        <f>IFERROR((AF26*AG26)-(VLOOKUP(J26,Portfolio_Overview[[#All],[ticker]:[average per coin]],3,FALSE)*AG26),"")</f>
        <v>71.679835136000008</v>
      </c>
      <c r="AK26" s="97">
        <f>IFERROR(VLOOKUP(J26,Portfolio_Overview[[#All],[ticker]:[average per coin]],3,FALSE)*10,"")</f>
        <v>36.01</v>
      </c>
      <c r="AL26" s="77">
        <f t="shared" si="8"/>
        <v>2.9858303999999998</v>
      </c>
      <c r="AM26" s="77">
        <f t="shared" si="9"/>
        <v>5.5451136000000005</v>
      </c>
      <c r="AN26" s="93">
        <f>IFERROR(CO_entry[[#This Row],[Tokens Sold6]]*CO_entry[[#This Row],[Selling point 6]],"")</f>
        <v>107.51975270399998</v>
      </c>
      <c r="AO26" s="96">
        <f>IFERROR((AK26*AL26)-(VLOOKUP(J26,Portfolio_Overview[[#All],[ticker]:[average per coin]],3,FALSE)*AL26),"")</f>
        <v>96.767777433599989</v>
      </c>
      <c r="AP26" s="97">
        <f>IFERROR(VLOOKUP(J26,Portfolio_Overview[[#All],[ticker]:[average per coin]],3,FALSE)*12,"")</f>
        <v>43.212000000000003</v>
      </c>
      <c r="AQ26" s="26">
        <f t="shared" si="10"/>
        <v>2.7725568000000003</v>
      </c>
      <c r="AR26" s="26">
        <f t="shared" si="11"/>
        <v>2.7725568000000003</v>
      </c>
      <c r="AS26" s="89">
        <f>IFERROR(CO_entry[[#This Row],[Tokens Sold7]]*CO_entry[[#This Row],[Selling point 7]],"")</f>
        <v>119.80772444160002</v>
      </c>
      <c r="AT26" s="95">
        <f>IFERROR((AP26*AQ26)-(VLOOKUP(J26,Portfolio_Overview[[#All],[ticker]:[average per coin]],3,FALSE)*AQ26),"")</f>
        <v>109.82374740480002</v>
      </c>
      <c r="AU26" s="94">
        <f t="shared" si="12"/>
        <v>434.27100117440006</v>
      </c>
      <c r="AV26" s="29">
        <f t="shared" si="14"/>
        <v>2.7725568000000003</v>
      </c>
      <c r="AW26" s="94">
        <f t="shared" si="13"/>
        <v>119.80772444160002</v>
      </c>
    </row>
    <row r="27" spans="1:49" x14ac:dyDescent="0.25">
      <c r="A27" t="s">
        <v>782</v>
      </c>
      <c r="B27" t="s">
        <v>761</v>
      </c>
      <c r="C27">
        <v>9.4</v>
      </c>
      <c r="D27" s="130">
        <v>31.914899999999999</v>
      </c>
      <c r="E27" s="130">
        <v>300.00009999999997</v>
      </c>
      <c r="F27" s="130">
        <v>21.64</v>
      </c>
      <c r="G27" s="130">
        <v>203.416</v>
      </c>
      <c r="H27" s="13">
        <v>2.9713615153403798E-3</v>
      </c>
      <c r="J27" s="58" t="s">
        <v>706</v>
      </c>
      <c r="K27" s="87">
        <f>IFERROR(VLOOKUP(J27,price_feed[[symbol]:[current_price]],3,FALSE),"")</f>
        <v>15.93</v>
      </c>
      <c r="L27" s="88">
        <f>IFERROR(VLOOKUP(J27,Portfolio_Overview[[#All],[ticker]:[average per coin]],3,FALSE)*2,"")</f>
        <v>73.822000000000003</v>
      </c>
      <c r="M27" s="25">
        <f>IFERROR(VLOOKUP(J27,Portfolio_Overview[[#All],[ticker]:[average per coin]],2,FALSE)*M$4,"")</f>
        <v>3.8200000000000003</v>
      </c>
      <c r="N27" s="26">
        <f>IFERROR(VLOOKUP(CO_entry[[#This Row],[ticker]],Portfolio_Overview[[#All],[ticker]:[average per coin]],2,FALSE)-CO_entry[[#This Row],[Tokens Sold]],"")</f>
        <v>15.280000000000001</v>
      </c>
      <c r="O27" s="89">
        <f>IFERROR(CO_entry[[#This Row],[Tokens Sold]]*CO_entry[[#This Row],[Selling point 1]],"")</f>
        <v>282.00004000000001</v>
      </c>
      <c r="P27" s="90">
        <f>IFERROR((L27*M27)-(VLOOKUP(J27,Portfolio_Overview[[#All],[ticker]:[average per coin]],3,FALSE)*M27),"")</f>
        <v>141.00002000000001</v>
      </c>
      <c r="Q27" s="88">
        <f>IFERROR(VLOOKUP(J27,Portfolio_Overview[[#All],[ticker]:[average per coin]],3,FALSE)*3.5,"")</f>
        <v>129.1885</v>
      </c>
      <c r="R27" s="27">
        <f t="shared" si="0"/>
        <v>3.0560000000000005</v>
      </c>
      <c r="S27" s="28">
        <f t="shared" si="1"/>
        <v>12.224</v>
      </c>
      <c r="T27" s="91">
        <f>IFERROR(CO_entry[[#This Row],[Tokens Sold2]]*CO_entry[[#This Row],[Selling point 2]],"")</f>
        <v>394.8000560000001</v>
      </c>
      <c r="U27" s="92">
        <f>IFERROR((Q27*R27)-(VLOOKUP(J27,Portfolio_Overview[[#All],[ticker]:[average per coin]],3,FALSE)*R27),"")</f>
        <v>282.00004000000007</v>
      </c>
      <c r="V27" s="88">
        <f>IFERROR(VLOOKUP(J27,Portfolio_Overview[[#All],[ticker]:[average per coin]],3,FALSE)*4.5,"")</f>
        <v>166.09950000000001</v>
      </c>
      <c r="W27" s="25">
        <f t="shared" si="2"/>
        <v>2.4448000000000003</v>
      </c>
      <c r="X27" s="26">
        <f t="shared" si="3"/>
        <v>9.7791999999999994</v>
      </c>
      <c r="Y27" s="89">
        <f>IFERROR(CO_entry[[#This Row],[Tokens Sold3]]*CO_entry[[#This Row],[Selling point 3]],"")</f>
        <v>406.08005760000009</v>
      </c>
      <c r="Z27" s="90">
        <f>IFERROR((V27*W27)-(VLOOKUP(J27,Portfolio_Overview[[#All],[ticker]:[average per coin]],3,FALSE)*W27),"")</f>
        <v>315.8400448000001</v>
      </c>
      <c r="AA27" s="88">
        <f>IFERROR(VLOOKUP(J27,Portfolio_Overview[[#All],[ticker]:[average per coin]],3,FALSE)*6,"")</f>
        <v>221.46600000000001</v>
      </c>
      <c r="AB27" s="27">
        <f t="shared" si="4"/>
        <v>1.95584</v>
      </c>
      <c r="AC27" s="28">
        <f t="shared" si="5"/>
        <v>7.8233599999999992</v>
      </c>
      <c r="AD27" s="91">
        <f>IFERROR(CO_entry[[#This Row],[Tokens Sold4]]*CO_entry[[#This Row],[Selling point 4]],"")</f>
        <v>433.15206144000001</v>
      </c>
      <c r="AE27" s="92">
        <f>IFERROR((AA27*AB27)-(VLOOKUP(J27,Portfolio_Overview[[#All],[ticker]:[average per coin]],3,FALSE)*AB27),"")</f>
        <v>360.96005120000001</v>
      </c>
      <c r="AF27" s="88">
        <f>IFERROR(VLOOKUP(J27,Portfolio_Overview[[#All],[ticker]:[average per coin]],3,FALSE)*8,"")</f>
        <v>295.28800000000001</v>
      </c>
      <c r="AG27" s="25">
        <f t="shared" si="6"/>
        <v>1.9558399999999998</v>
      </c>
      <c r="AH27" s="26">
        <f t="shared" si="7"/>
        <v>5.867519999999999</v>
      </c>
      <c r="AI27" s="89">
        <f>IFERROR(CO_entry[[#This Row],[Tokens Sold5]]*CO_entry[[#This Row],[Selling point 5]],"")</f>
        <v>577.53608192000002</v>
      </c>
      <c r="AJ27" s="90">
        <f>IFERROR((AF27*AG27)-(VLOOKUP(J27,Portfolio_Overview[[#All],[ticker]:[average per coin]],3,FALSE)*AG27),"")</f>
        <v>505.34407168000001</v>
      </c>
      <c r="AK27" s="97">
        <f>IFERROR(VLOOKUP(J27,Portfolio_Overview[[#All],[ticker]:[average per coin]],3,FALSE)*10,"")</f>
        <v>369.11</v>
      </c>
      <c r="AL27" s="77">
        <f t="shared" si="8"/>
        <v>2.0536319999999995</v>
      </c>
      <c r="AM27" s="77">
        <f t="shared" si="9"/>
        <v>3.8138879999999995</v>
      </c>
      <c r="AN27" s="93">
        <f>IFERROR(CO_entry[[#This Row],[Tokens Sold6]]*CO_entry[[#This Row],[Selling point 6]],"")</f>
        <v>758.01610751999988</v>
      </c>
      <c r="AO27" s="96">
        <f>IFERROR((AK27*AL27)-(VLOOKUP(J27,Portfolio_Overview[[#All],[ticker]:[average per coin]],3,FALSE)*AL27),"")</f>
        <v>682.21449676799989</v>
      </c>
      <c r="AP27" s="97">
        <f>IFERROR(VLOOKUP(J27,Portfolio_Overview[[#All],[ticker]:[average per coin]],3,FALSE)*12,"")</f>
        <v>442.93200000000002</v>
      </c>
      <c r="AQ27" s="26">
        <f t="shared" si="10"/>
        <v>1.9069439999999998</v>
      </c>
      <c r="AR27" s="26">
        <f t="shared" si="11"/>
        <v>1.9069439999999998</v>
      </c>
      <c r="AS27" s="89">
        <f>IFERROR(CO_entry[[#This Row],[Tokens Sold7]]*CO_entry[[#This Row],[Selling point 7]],"")</f>
        <v>844.64651980799988</v>
      </c>
      <c r="AT27" s="95">
        <f>IFERROR((AP27*AQ27)-(VLOOKUP(J27,Portfolio_Overview[[#All],[ticker]:[average per coin]],3,FALSE)*AQ27),"")</f>
        <v>774.25930982399984</v>
      </c>
      <c r="AU27" s="94">
        <f t="shared" si="12"/>
        <v>3061.6180342720004</v>
      </c>
      <c r="AV27" s="29">
        <f t="shared" si="14"/>
        <v>1.9069439999999998</v>
      </c>
      <c r="AW27" s="94">
        <f t="shared" si="13"/>
        <v>844.64651980799988</v>
      </c>
    </row>
    <row r="28" spans="1:49" x14ac:dyDescent="0.25">
      <c r="A28" t="s">
        <v>784</v>
      </c>
      <c r="B28" t="s">
        <v>762</v>
      </c>
      <c r="C28">
        <v>45.5</v>
      </c>
      <c r="D28" s="130">
        <v>7.2747000000000002</v>
      </c>
      <c r="E28" s="130">
        <v>330.99880000000002</v>
      </c>
      <c r="F28" s="130">
        <v>3.97</v>
      </c>
      <c r="G28" s="130">
        <v>180.63499999999999</v>
      </c>
      <c r="H28" s="13">
        <v>2.6385922804671698E-3</v>
      </c>
      <c r="J28" s="58" t="s">
        <v>484</v>
      </c>
      <c r="K28" s="87">
        <f>IFERROR(VLOOKUP(J28,price_feed[[symbol]:[current_price]],3,FALSE),"")</f>
        <v>3.31</v>
      </c>
      <c r="L28" s="88">
        <f>IFERROR(VLOOKUP(J28,Portfolio_Overview[[#All],[ticker]:[average per coin]],3,FALSE)*2,"")</f>
        <v>29.393999999999998</v>
      </c>
      <c r="M28" s="25">
        <f>IFERROR(VLOOKUP(J28,Portfolio_Overview[[#All],[ticker]:[average per coin]],2,FALSE)*M$4,"")</f>
        <v>1.32</v>
      </c>
      <c r="N28" s="26">
        <f>IFERROR(VLOOKUP(CO_entry[[#This Row],[ticker]],Portfolio_Overview[[#All],[ticker]:[average per coin]],2,FALSE)-CO_entry[[#This Row],[Tokens Sold]],"")</f>
        <v>5.2799999999999994</v>
      </c>
      <c r="O28" s="89">
        <f>IFERROR(CO_entry[[#This Row],[Tokens Sold]]*CO_entry[[#This Row],[Selling point 1]],"")</f>
        <v>38.800080000000001</v>
      </c>
      <c r="P28" s="90">
        <f>IFERROR((L28*M28)-(VLOOKUP(J28,Portfolio_Overview[[#All],[ticker]:[average per coin]],3,FALSE)*M28),"")</f>
        <v>19.400040000000001</v>
      </c>
      <c r="Q28" s="88">
        <f>IFERROR(VLOOKUP(J28,Portfolio_Overview[[#All],[ticker]:[average per coin]],3,FALSE)*3.5,"")</f>
        <v>51.439499999999995</v>
      </c>
      <c r="R28" s="27">
        <f t="shared" si="0"/>
        <v>1.0559999999999998</v>
      </c>
      <c r="S28" s="28">
        <f t="shared" si="1"/>
        <v>4.2239999999999993</v>
      </c>
      <c r="T28" s="91">
        <f>IFERROR(CO_entry[[#This Row],[Tokens Sold2]]*CO_entry[[#This Row],[Selling point 2]],"")</f>
        <v>54.320111999999988</v>
      </c>
      <c r="U28" s="92">
        <f>IFERROR((Q28*R28)-(VLOOKUP(J28,Portfolio_Overview[[#All],[ticker]:[average per coin]],3,FALSE)*R28),"")</f>
        <v>38.800079999999994</v>
      </c>
      <c r="V28" s="88">
        <f>IFERROR(VLOOKUP(J28,Portfolio_Overview[[#All],[ticker]:[average per coin]],3,FALSE)*4.5,"")</f>
        <v>66.136499999999998</v>
      </c>
      <c r="W28" s="25">
        <f t="shared" si="2"/>
        <v>0.84479999999999988</v>
      </c>
      <c r="X28" s="26">
        <f t="shared" si="3"/>
        <v>3.3791999999999995</v>
      </c>
      <c r="Y28" s="89">
        <f>IFERROR(CO_entry[[#This Row],[Tokens Sold3]]*CO_entry[[#This Row],[Selling point 3]],"")</f>
        <v>55.872115199999989</v>
      </c>
      <c r="Z28" s="90">
        <f>IFERROR((V28*W28)-(VLOOKUP(J28,Portfolio_Overview[[#All],[ticker]:[average per coin]],3,FALSE)*W28),"")</f>
        <v>43.456089599999991</v>
      </c>
      <c r="AA28" s="88">
        <f>IFERROR(VLOOKUP(J28,Portfolio_Overview[[#All],[ticker]:[average per coin]],3,FALSE)*6,"")</f>
        <v>88.181999999999988</v>
      </c>
      <c r="AB28" s="27">
        <f t="shared" si="4"/>
        <v>0.67584</v>
      </c>
      <c r="AC28" s="28">
        <f t="shared" si="5"/>
        <v>2.7033599999999995</v>
      </c>
      <c r="AD28" s="91">
        <f>IFERROR(CO_entry[[#This Row],[Tokens Sold4]]*CO_entry[[#This Row],[Selling point 4]],"")</f>
        <v>59.596922879999994</v>
      </c>
      <c r="AE28" s="92">
        <f>IFERROR((AA28*AB28)-(VLOOKUP(J28,Portfolio_Overview[[#All],[ticker]:[average per coin]],3,FALSE)*AB28),"")</f>
        <v>49.66410239999999</v>
      </c>
      <c r="AF28" s="88">
        <f>IFERROR(VLOOKUP(J28,Portfolio_Overview[[#All],[ticker]:[average per coin]],3,FALSE)*8,"")</f>
        <v>117.57599999999999</v>
      </c>
      <c r="AG28" s="25">
        <f t="shared" si="6"/>
        <v>0.67583999999999989</v>
      </c>
      <c r="AH28" s="26">
        <f t="shared" si="7"/>
        <v>2.0275199999999995</v>
      </c>
      <c r="AI28" s="89">
        <f>IFERROR(CO_entry[[#This Row],[Tokens Sold5]]*CO_entry[[#This Row],[Selling point 5]],"")</f>
        <v>79.462563839999987</v>
      </c>
      <c r="AJ28" s="90">
        <f>IFERROR((AF28*AG28)-(VLOOKUP(J28,Portfolio_Overview[[#All],[ticker]:[average per coin]],3,FALSE)*AG28),"")</f>
        <v>69.529743359999983</v>
      </c>
      <c r="AK28" s="97">
        <f>IFERROR(VLOOKUP(J28,Portfolio_Overview[[#All],[ticker]:[average per coin]],3,FALSE)*10,"")</f>
        <v>146.97</v>
      </c>
      <c r="AL28" s="77">
        <f t="shared" si="8"/>
        <v>0.70963199999999982</v>
      </c>
      <c r="AM28" s="77">
        <f t="shared" si="9"/>
        <v>1.3178879999999997</v>
      </c>
      <c r="AN28" s="93">
        <f>IFERROR(CO_entry[[#This Row],[Tokens Sold6]]*CO_entry[[#This Row],[Selling point 6]],"")</f>
        <v>104.29461503999997</v>
      </c>
      <c r="AO28" s="96">
        <f>IFERROR((AK28*AL28)-(VLOOKUP(J28,Portfolio_Overview[[#All],[ticker]:[average per coin]],3,FALSE)*AL28),"")</f>
        <v>93.865153535999966</v>
      </c>
      <c r="AP28" s="97">
        <f>IFERROR(VLOOKUP(J28,Portfolio_Overview[[#All],[ticker]:[average per coin]],3,FALSE)*12,"")</f>
        <v>176.36399999999998</v>
      </c>
      <c r="AQ28" s="26">
        <f t="shared" si="10"/>
        <v>0.65894399999999986</v>
      </c>
      <c r="AR28" s="26">
        <f t="shared" si="11"/>
        <v>0.65894399999999986</v>
      </c>
      <c r="AS28" s="89">
        <f>IFERROR(CO_entry[[#This Row],[Tokens Sold7]]*CO_entry[[#This Row],[Selling point 7]],"")</f>
        <v>116.21399961599997</v>
      </c>
      <c r="AT28" s="95">
        <f>IFERROR((AP28*AQ28)-(VLOOKUP(J28,Portfolio_Overview[[#All],[ticker]:[average per coin]],3,FALSE)*AQ28),"")</f>
        <v>106.52949964799997</v>
      </c>
      <c r="AU28" s="94">
        <f t="shared" si="12"/>
        <v>421.24470854399988</v>
      </c>
      <c r="AV28" s="29">
        <f t="shared" si="14"/>
        <v>0.65894399999999986</v>
      </c>
      <c r="AW28" s="94">
        <f t="shared" si="13"/>
        <v>116.21399961599997</v>
      </c>
    </row>
    <row r="29" spans="1:49" x14ac:dyDescent="0.25">
      <c r="A29" t="s">
        <v>927</v>
      </c>
      <c r="B29" t="s">
        <v>925</v>
      </c>
      <c r="C29">
        <v>216</v>
      </c>
      <c r="D29" s="130">
        <v>0.46300000000000002</v>
      </c>
      <c r="E29" s="130">
        <v>100.008</v>
      </c>
      <c r="F29" s="130">
        <v>0.78900000000000003</v>
      </c>
      <c r="G29" s="130">
        <v>170.42400000000001</v>
      </c>
      <c r="H29" s="13">
        <v>2.4894369906515198E-3</v>
      </c>
      <c r="J29" s="117" t="s">
        <v>15</v>
      </c>
      <c r="K29" s="87">
        <f>IFERROR(VLOOKUP(J29,price_feed[[symbol]:[current_price]],3,FALSE),"")</f>
        <v>2858.56</v>
      </c>
      <c r="L29" s="88">
        <f>IFERROR(VLOOKUP(J29,Portfolio_Overview[[#All],[ticker]:[average per coin]],3,FALSE)*2,"")</f>
        <v>6524.5479999999998</v>
      </c>
      <c r="M29" s="25">
        <f>IFERROR(VLOOKUP(J29,Portfolio_Overview[[#All],[ticker]:[average per coin]],2,FALSE)*M$4,"")</f>
        <v>1.3528600000000002</v>
      </c>
      <c r="N29" s="26">
        <f>IFERROR(VLOOKUP(CO_entry[[#This Row],[ticker]],Portfolio_Overview[[#All],[ticker]:[average per coin]],2,FALSE)-CO_entry[[#This Row],[Tokens Sold]],"")</f>
        <v>5.4114400000000007</v>
      </c>
      <c r="O29" s="89">
        <f>IFERROR(CO_entry[[#This Row],[Tokens Sold]]*CO_entry[[#This Row],[Selling point 1]],"")</f>
        <v>8826.8000072800005</v>
      </c>
      <c r="P29" s="90">
        <f>IFERROR((L29*M29)-(VLOOKUP(J29,Portfolio_Overview[[#All],[ticker]:[average per coin]],3,FALSE)*M29),"")</f>
        <v>4413.4000036400003</v>
      </c>
      <c r="Q29" s="88">
        <f>IFERROR(VLOOKUP(J29,Portfolio_Overview[[#All],[ticker]:[average per coin]],3,FALSE)*3.5,"")</f>
        <v>11417.958999999999</v>
      </c>
      <c r="R29" s="27">
        <f t="shared" si="0"/>
        <v>1.0822880000000001</v>
      </c>
      <c r="S29" s="28">
        <f t="shared" si="1"/>
        <v>4.3291520000000006</v>
      </c>
      <c r="T29" s="91">
        <f>IFERROR(CO_entry[[#This Row],[Tokens Sold2]]*CO_entry[[#This Row],[Selling point 2]],"")</f>
        <v>12357.520010192</v>
      </c>
      <c r="U29" s="92">
        <f>IFERROR((Q29*R29)-(VLOOKUP(J29,Portfolio_Overview[[#All],[ticker]:[average per coin]],3,FALSE)*R29),"")</f>
        <v>8826.8000072799987</v>
      </c>
      <c r="V29" s="88">
        <f>IFERROR(VLOOKUP(J29,Portfolio_Overview[[#All],[ticker]:[average per coin]],3,FALSE)*4.5,"")</f>
        <v>14680.233</v>
      </c>
      <c r="W29" s="25">
        <f t="shared" si="2"/>
        <v>0.86583040000000011</v>
      </c>
      <c r="X29" s="26">
        <f t="shared" si="3"/>
        <v>3.4633216000000004</v>
      </c>
      <c r="Y29" s="89">
        <f>IFERROR(CO_entry[[#This Row],[Tokens Sold3]]*CO_entry[[#This Row],[Selling point 3]],"")</f>
        <v>12710.592010483202</v>
      </c>
      <c r="Z29" s="90">
        <f>IFERROR((V29*W29)-(VLOOKUP(J29,Portfolio_Overview[[#All],[ticker]:[average per coin]],3,FALSE)*W29),"")</f>
        <v>9886.0160081536014</v>
      </c>
      <c r="AA29" s="88">
        <f>IFERROR(VLOOKUP(J29,Portfolio_Overview[[#All],[ticker]:[average per coin]],3,FALSE)*6,"")</f>
        <v>19573.644</v>
      </c>
      <c r="AB29" s="27">
        <f t="shared" si="4"/>
        <v>0.69266432000000011</v>
      </c>
      <c r="AC29" s="28">
        <f t="shared" si="5"/>
        <v>2.7706572800000004</v>
      </c>
      <c r="AD29" s="91">
        <f>IFERROR(CO_entry[[#This Row],[Tokens Sold4]]*CO_entry[[#This Row],[Selling point 4]],"")</f>
        <v>13557.964811182082</v>
      </c>
      <c r="AE29" s="92">
        <f>IFERROR((AA29*AB29)-(VLOOKUP(J29,Portfolio_Overview[[#All],[ticker]:[average per coin]],3,FALSE)*AB29),"")</f>
        <v>11298.304009318403</v>
      </c>
      <c r="AF29" s="88">
        <f>IFERROR(VLOOKUP(J29,Portfolio_Overview[[#All],[ticker]:[average per coin]],3,FALSE)*8,"")</f>
        <v>26098.191999999999</v>
      </c>
      <c r="AG29" s="25">
        <f t="shared" si="6"/>
        <v>0.69266432000000011</v>
      </c>
      <c r="AH29" s="26">
        <f t="shared" si="7"/>
        <v>2.0779929600000004</v>
      </c>
      <c r="AI29" s="89">
        <f>IFERROR(CO_entry[[#This Row],[Tokens Sold5]]*CO_entry[[#This Row],[Selling point 5]],"")</f>
        <v>18077.286414909442</v>
      </c>
      <c r="AJ29" s="90">
        <f>IFERROR((AF29*AG29)-(VLOOKUP(J29,Portfolio_Overview[[#All],[ticker]:[average per coin]],3,FALSE)*AG29),"")</f>
        <v>15817.625613045762</v>
      </c>
      <c r="AK29" s="97">
        <f>IFERROR(VLOOKUP(J29,Portfolio_Overview[[#All],[ticker]:[average per coin]],3,FALSE)*10,"")</f>
        <v>32622.739999999998</v>
      </c>
      <c r="AL29" s="77">
        <f t="shared" si="8"/>
        <v>0.72729753600000013</v>
      </c>
      <c r="AM29" s="77">
        <f t="shared" si="9"/>
        <v>1.3506954240000004</v>
      </c>
      <c r="AN29" s="93">
        <f>IFERROR(CO_entry[[#This Row],[Tokens Sold6]]*CO_entry[[#This Row],[Selling point 6]],"")</f>
        <v>23726.438419568643</v>
      </c>
      <c r="AO29" s="96">
        <f>IFERROR((AK29*AL29)-(VLOOKUP(J29,Portfolio_Overview[[#All],[ticker]:[average per coin]],3,FALSE)*AL29),"")</f>
        <v>21353.794577611778</v>
      </c>
      <c r="AP29" s="97">
        <f>IFERROR(VLOOKUP(J29,Portfolio_Overview[[#All],[ticker]:[average per coin]],3,FALSE)*12,"")</f>
        <v>39147.288</v>
      </c>
      <c r="AQ29" s="26">
        <f t="shared" si="10"/>
        <v>0.67534771200000021</v>
      </c>
      <c r="AR29" s="26">
        <f t="shared" si="11"/>
        <v>0.67534771200000021</v>
      </c>
      <c r="AS29" s="89">
        <f>IFERROR(CO_entry[[#This Row],[Tokens Sold7]]*CO_entry[[#This Row],[Selling point 7]],"")</f>
        <v>26438.031381805064</v>
      </c>
      <c r="AT29" s="95">
        <f>IFERROR((AP29*AQ29)-(VLOOKUP(J29,Portfolio_Overview[[#All],[ticker]:[average per coin]],3,FALSE)*AQ29),"")</f>
        <v>24234.862099987975</v>
      </c>
      <c r="AU29" s="94">
        <f t="shared" si="12"/>
        <v>95830.802319037524</v>
      </c>
      <c r="AV29" s="29">
        <f t="shared" si="14"/>
        <v>0.67534771200000021</v>
      </c>
      <c r="AW29" s="94">
        <f t="shared" si="13"/>
        <v>26438.031381805064</v>
      </c>
    </row>
    <row r="30" spans="1:49" x14ac:dyDescent="0.25">
      <c r="A30" t="s">
        <v>763</v>
      </c>
      <c r="B30" t="s">
        <v>763</v>
      </c>
      <c r="C30">
        <v>12</v>
      </c>
      <c r="D30" s="130">
        <v>19.083300000000001</v>
      </c>
      <c r="E30" s="130">
        <v>228.99959999999999</v>
      </c>
      <c r="F30" s="130">
        <v>14.05</v>
      </c>
      <c r="G30" s="130">
        <v>168.6</v>
      </c>
      <c r="H30" s="13">
        <v>2.46279324874341E-3</v>
      </c>
      <c r="J30" s="58" t="s">
        <v>415</v>
      </c>
      <c r="K30" s="87">
        <f>IFERROR(VLOOKUP(J30,price_feed[[symbol]:[current_price]],3,FALSE),"")</f>
        <v>1.24</v>
      </c>
      <c r="L30" s="88">
        <f>IFERROR(VLOOKUP(J30,Portfolio_Overview[[#All],[ticker]:[average per coin]],3,FALSE)*2,"")</f>
        <v>2.7591999999999999</v>
      </c>
      <c r="M30" s="25">
        <f>IFERROR(VLOOKUP(J30,Portfolio_Overview[[#All],[ticker]:[average per coin]],2,FALSE)*M$4,"")</f>
        <v>43.2</v>
      </c>
      <c r="N30" s="26">
        <f>IFERROR(VLOOKUP(CO_entry[[#This Row],[ticker]],Portfolio_Overview[[#All],[ticker]:[average per coin]],2,FALSE)-CO_entry[[#This Row],[Tokens Sold]],"")</f>
        <v>172.8</v>
      </c>
      <c r="O30" s="89">
        <f>IFERROR(CO_entry[[#This Row],[Tokens Sold]]*CO_entry[[#This Row],[Selling point 1]],"")</f>
        <v>119.19744</v>
      </c>
      <c r="P30" s="90">
        <f>IFERROR((L30*M30)-(VLOOKUP(J30,Portfolio_Overview[[#All],[ticker]:[average per coin]],3,FALSE)*M30),"")</f>
        <v>59.59872</v>
      </c>
      <c r="Q30" s="88">
        <f>IFERROR(VLOOKUP(J30,Portfolio_Overview[[#All],[ticker]:[average per coin]],3,FALSE)*3.5,"")</f>
        <v>4.8285999999999998</v>
      </c>
      <c r="R30" s="27">
        <f t="shared" si="0"/>
        <v>34.56</v>
      </c>
      <c r="S30" s="28">
        <f t="shared" si="1"/>
        <v>138.24</v>
      </c>
      <c r="T30" s="91">
        <f>IFERROR(CO_entry[[#This Row],[Tokens Sold2]]*CO_entry[[#This Row],[Selling point 2]],"")</f>
        <v>166.87641600000001</v>
      </c>
      <c r="U30" s="92">
        <f>IFERROR((Q30*R30)-(VLOOKUP(J30,Portfolio_Overview[[#All],[ticker]:[average per coin]],3,FALSE)*R30),"")</f>
        <v>119.19744</v>
      </c>
      <c r="V30" s="88">
        <f>IFERROR(VLOOKUP(J30,Portfolio_Overview[[#All],[ticker]:[average per coin]],3,FALSE)*4.5,"")</f>
        <v>6.2081999999999997</v>
      </c>
      <c r="W30" s="25">
        <f t="shared" si="2"/>
        <v>27.648000000000003</v>
      </c>
      <c r="X30" s="26">
        <f t="shared" si="3"/>
        <v>110.59200000000001</v>
      </c>
      <c r="Y30" s="89">
        <f>IFERROR(CO_entry[[#This Row],[Tokens Sold3]]*CO_entry[[#This Row],[Selling point 3]],"")</f>
        <v>171.6443136</v>
      </c>
      <c r="Z30" s="90">
        <f>IFERROR((V30*W30)-(VLOOKUP(J30,Portfolio_Overview[[#All],[ticker]:[average per coin]],3,FALSE)*W30),"")</f>
        <v>133.50113279999999</v>
      </c>
      <c r="AA30" s="88">
        <f>IFERROR(VLOOKUP(J30,Portfolio_Overview[[#All],[ticker]:[average per coin]],3,FALSE)*6,"")</f>
        <v>8.2775999999999996</v>
      </c>
      <c r="AB30" s="27">
        <f t="shared" si="4"/>
        <v>22.118400000000005</v>
      </c>
      <c r="AC30" s="28">
        <f t="shared" si="5"/>
        <v>88.473600000000005</v>
      </c>
      <c r="AD30" s="91">
        <f>IFERROR(CO_entry[[#This Row],[Tokens Sold4]]*CO_entry[[#This Row],[Selling point 4]],"")</f>
        <v>183.08726784000004</v>
      </c>
      <c r="AE30" s="92">
        <f>IFERROR((AA30*AB30)-(VLOOKUP(J30,Portfolio_Overview[[#All],[ticker]:[average per coin]],3,FALSE)*AB30),"")</f>
        <v>152.57272320000004</v>
      </c>
      <c r="AF30" s="88">
        <f>IFERROR(VLOOKUP(J30,Portfolio_Overview[[#All],[ticker]:[average per coin]],3,FALSE)*8,"")</f>
        <v>11.036799999999999</v>
      </c>
      <c r="AG30" s="25">
        <f t="shared" si="6"/>
        <v>22.118400000000001</v>
      </c>
      <c r="AH30" s="26">
        <f t="shared" si="7"/>
        <v>66.355199999999996</v>
      </c>
      <c r="AI30" s="89">
        <f>IFERROR(CO_entry[[#This Row],[Tokens Sold5]]*CO_entry[[#This Row],[Selling point 5]],"")</f>
        <v>244.11635712</v>
      </c>
      <c r="AJ30" s="90">
        <f>IFERROR((AF30*AG30)-(VLOOKUP(J30,Portfolio_Overview[[#All],[ticker]:[average per coin]],3,FALSE)*AG30),"")</f>
        <v>213.60181248000001</v>
      </c>
      <c r="AK30" s="97">
        <f>IFERROR(VLOOKUP(J30,Portfolio_Overview[[#All],[ticker]:[average per coin]],3,FALSE)*10,"")</f>
        <v>13.795999999999999</v>
      </c>
      <c r="AL30" s="77">
        <f t="shared" si="8"/>
        <v>23.224319999999999</v>
      </c>
      <c r="AM30" s="77">
        <f t="shared" si="9"/>
        <v>43.130879999999998</v>
      </c>
      <c r="AN30" s="93">
        <f>IFERROR(CO_entry[[#This Row],[Tokens Sold6]]*CO_entry[[#This Row],[Selling point 6]],"")</f>
        <v>320.40271872</v>
      </c>
      <c r="AO30" s="96">
        <f>IFERROR((AK30*AL30)-(VLOOKUP(J30,Portfolio_Overview[[#All],[ticker]:[average per coin]],3,FALSE)*AL30),"")</f>
        <v>288.36244684799999</v>
      </c>
      <c r="AP30" s="97">
        <f>IFERROR(VLOOKUP(J30,Portfolio_Overview[[#All],[ticker]:[average per coin]],3,FALSE)*12,"")</f>
        <v>16.555199999999999</v>
      </c>
      <c r="AQ30" s="26">
        <f t="shared" si="10"/>
        <v>21.565439999999999</v>
      </c>
      <c r="AR30" s="26">
        <f t="shared" si="11"/>
        <v>21.565439999999999</v>
      </c>
      <c r="AS30" s="89">
        <f>IFERROR(CO_entry[[#This Row],[Tokens Sold7]]*CO_entry[[#This Row],[Selling point 7]],"")</f>
        <v>357.02017228799997</v>
      </c>
      <c r="AT30" s="95">
        <f>IFERROR((AP30*AQ30)-(VLOOKUP(J30,Portfolio_Overview[[#All],[ticker]:[average per coin]],3,FALSE)*AQ30),"")</f>
        <v>327.26849126399998</v>
      </c>
      <c r="AU30" s="94">
        <f t="shared" si="12"/>
        <v>1294.1027665920001</v>
      </c>
      <c r="AV30" s="29">
        <f t="shared" si="14"/>
        <v>21.565439999999999</v>
      </c>
      <c r="AW30" s="94">
        <f t="shared" si="13"/>
        <v>357.02017228799997</v>
      </c>
    </row>
    <row r="31" spans="1:49" x14ac:dyDescent="0.25">
      <c r="A31" t="s">
        <v>818</v>
      </c>
      <c r="B31" t="s">
        <v>765</v>
      </c>
      <c r="C31">
        <v>3.57</v>
      </c>
      <c r="D31" s="130">
        <v>56.022399999999998</v>
      </c>
      <c r="E31" s="130">
        <v>200</v>
      </c>
      <c r="F31" s="130">
        <v>45.64</v>
      </c>
      <c r="G31" s="130">
        <v>162.9348</v>
      </c>
      <c r="H31" s="13">
        <v>2.3800398898301098E-3</v>
      </c>
      <c r="J31" s="63" t="s">
        <v>393</v>
      </c>
      <c r="K31" s="87">
        <f>IFERROR(VLOOKUP(J31,price_feed[[symbol]:[current_price]],3,FALSE),"")</f>
        <v>44.02</v>
      </c>
      <c r="L31" s="88">
        <f>IFERROR(VLOOKUP(J31,Portfolio_Overview[[#All],[ticker]:[average per coin]],3,FALSE)*2,"")</f>
        <v>125.91419999999999</v>
      </c>
      <c r="M31" s="25">
        <f>IFERROR(VLOOKUP(J31,Portfolio_Overview[[#All],[ticker]:[average per coin]],2,FALSE)*M$4,"")</f>
        <v>5.032</v>
      </c>
      <c r="N31" s="26">
        <f>IFERROR(VLOOKUP(CO_entry[[#This Row],[ticker]],Portfolio_Overview[[#All],[ticker]:[average per coin]],2,FALSE)-CO_entry[[#This Row],[Tokens Sold]],"")</f>
        <v>20.128</v>
      </c>
      <c r="O31" s="89">
        <f>IFERROR(CO_entry[[#This Row],[Tokens Sold]]*CO_entry[[#This Row],[Selling point 1]],"")</f>
        <v>633.60025439999993</v>
      </c>
      <c r="P31" s="90">
        <f>IFERROR((L31*M31)-(VLOOKUP(J31,Portfolio_Overview[[#All],[ticker]:[average per coin]],3,FALSE)*M31),"")</f>
        <v>316.80012719999996</v>
      </c>
      <c r="Q31" s="88">
        <f>IFERROR(VLOOKUP(J31,Portfolio_Overview[[#All],[ticker]:[average per coin]],3,FALSE)*3.5,"")</f>
        <v>220.34985</v>
      </c>
      <c r="R31" s="27">
        <f t="shared" si="0"/>
        <v>4.0255999999999998</v>
      </c>
      <c r="S31" s="28">
        <f t="shared" si="1"/>
        <v>16.102399999999999</v>
      </c>
      <c r="T31" s="91">
        <f>IFERROR(CO_entry[[#This Row],[Tokens Sold2]]*CO_entry[[#This Row],[Selling point 2]],"")</f>
        <v>887.04035615999999</v>
      </c>
      <c r="U31" s="92">
        <f>IFERROR((Q31*R31)-(VLOOKUP(J31,Portfolio_Overview[[#All],[ticker]:[average per coin]],3,FALSE)*R31),"")</f>
        <v>633.60025440000004</v>
      </c>
      <c r="V31" s="88">
        <f>IFERROR(VLOOKUP(J31,Portfolio_Overview[[#All],[ticker]:[average per coin]],3,FALSE)*4.5,"")</f>
        <v>283.30694999999997</v>
      </c>
      <c r="W31" s="25">
        <f t="shared" si="2"/>
        <v>3.2204800000000002</v>
      </c>
      <c r="X31" s="26">
        <f t="shared" si="3"/>
        <v>12.881919999999999</v>
      </c>
      <c r="Y31" s="89">
        <f>IFERROR(CO_entry[[#This Row],[Tokens Sold3]]*CO_entry[[#This Row],[Selling point 3]],"")</f>
        <v>912.38436633599997</v>
      </c>
      <c r="Z31" s="90">
        <f>IFERROR((V31*W31)-(VLOOKUP(J31,Portfolio_Overview[[#All],[ticker]:[average per coin]],3,FALSE)*W31),"")</f>
        <v>709.63228492799999</v>
      </c>
      <c r="AA31" s="88">
        <f>IFERROR(VLOOKUP(J31,Portfolio_Overview[[#All],[ticker]:[average per coin]],3,FALSE)*6,"")</f>
        <v>377.74259999999998</v>
      </c>
      <c r="AB31" s="27">
        <f t="shared" si="4"/>
        <v>2.576384</v>
      </c>
      <c r="AC31" s="28">
        <f t="shared" si="5"/>
        <v>10.305536</v>
      </c>
      <c r="AD31" s="91">
        <f>IFERROR(CO_entry[[#This Row],[Tokens Sold4]]*CO_entry[[#This Row],[Selling point 4]],"")</f>
        <v>973.20999075839995</v>
      </c>
      <c r="AE31" s="92">
        <f>IFERROR((AA31*AB31)-(VLOOKUP(J31,Portfolio_Overview[[#All],[ticker]:[average per coin]],3,FALSE)*AB31),"")</f>
        <v>811.00832563199992</v>
      </c>
      <c r="AF31" s="88">
        <f>IFERROR(VLOOKUP(J31,Portfolio_Overview[[#All],[ticker]:[average per coin]],3,FALSE)*8,"")</f>
        <v>503.65679999999998</v>
      </c>
      <c r="AG31" s="25">
        <f t="shared" si="6"/>
        <v>2.576384</v>
      </c>
      <c r="AH31" s="26">
        <f t="shared" si="7"/>
        <v>7.729152</v>
      </c>
      <c r="AI31" s="89">
        <f>IFERROR(CO_entry[[#This Row],[Tokens Sold5]]*CO_entry[[#This Row],[Selling point 5]],"")</f>
        <v>1297.6133210112</v>
      </c>
      <c r="AJ31" s="90">
        <f>IFERROR((AF31*AG31)-(VLOOKUP(J31,Portfolio_Overview[[#All],[ticker]:[average per coin]],3,FALSE)*AG31),"")</f>
        <v>1135.4116558848</v>
      </c>
      <c r="AK31" s="97">
        <f>IFERROR(VLOOKUP(J31,Portfolio_Overview[[#All],[ticker]:[average per coin]],3,FALSE)*10,"")</f>
        <v>629.57099999999991</v>
      </c>
      <c r="AL31" s="77">
        <f t="shared" si="8"/>
        <v>2.7052031999999997</v>
      </c>
      <c r="AM31" s="77">
        <f t="shared" si="9"/>
        <v>5.0239488000000003</v>
      </c>
      <c r="AN31" s="93">
        <f>IFERROR(CO_entry[[#This Row],[Tokens Sold6]]*CO_entry[[#This Row],[Selling point 6]],"")</f>
        <v>1703.1174838271995</v>
      </c>
      <c r="AO31" s="96">
        <f>IFERROR((AK31*AL31)-(VLOOKUP(J31,Portfolio_Overview[[#All],[ticker]:[average per coin]],3,FALSE)*AL31),"")</f>
        <v>1532.8057354444795</v>
      </c>
      <c r="AP31" s="97">
        <f>IFERROR(VLOOKUP(J31,Portfolio_Overview[[#All],[ticker]:[average per coin]],3,FALSE)*12,"")</f>
        <v>755.48519999999996</v>
      </c>
      <c r="AQ31" s="26">
        <f t="shared" si="10"/>
        <v>2.5119744000000002</v>
      </c>
      <c r="AR31" s="26">
        <f t="shared" si="11"/>
        <v>2.5119744000000002</v>
      </c>
      <c r="AS31" s="89">
        <f>IFERROR(CO_entry[[#This Row],[Tokens Sold7]]*CO_entry[[#This Row],[Selling point 7]],"")</f>
        <v>1897.7594819788801</v>
      </c>
      <c r="AT31" s="95">
        <f>IFERROR((AP31*AQ31)-(VLOOKUP(J31,Portfolio_Overview[[#All],[ticker]:[average per coin]],3,FALSE)*AQ31),"")</f>
        <v>1739.6128584806402</v>
      </c>
      <c r="AU31" s="94">
        <f t="shared" si="12"/>
        <v>6878.8712419699195</v>
      </c>
      <c r="AV31" s="29">
        <f t="shared" si="14"/>
        <v>2.5119744000000002</v>
      </c>
      <c r="AW31" s="94">
        <f t="shared" si="13"/>
        <v>1897.7594819788801</v>
      </c>
    </row>
    <row r="32" spans="1:49" x14ac:dyDescent="0.25">
      <c r="A32" t="s">
        <v>114</v>
      </c>
      <c r="B32" t="s">
        <v>410</v>
      </c>
      <c r="C32">
        <v>1.31</v>
      </c>
      <c r="D32" s="130">
        <v>301.52670000000001</v>
      </c>
      <c r="E32" s="130">
        <v>395</v>
      </c>
      <c r="F32" s="130">
        <v>118.36</v>
      </c>
      <c r="G32" s="130">
        <v>155.05160000000001</v>
      </c>
      <c r="H32" s="13">
        <v>2.2648875070395199E-3</v>
      </c>
      <c r="J32" s="58" t="s">
        <v>413</v>
      </c>
      <c r="K32" s="114">
        <f>IFERROR(VLOOKUP(J32,price_feed[[symbol]:[current_price]],3,FALSE),"")</f>
        <v>0.38774199999999998</v>
      </c>
      <c r="L32" s="88">
        <f>IFERROR(VLOOKUP(J32,Portfolio_Overview[[#All],[ticker]:[average per coin]],3,FALSE)*2,"")</f>
        <v>0.70179999999999998</v>
      </c>
      <c r="M32" s="25">
        <f>IFERROR(VLOOKUP(J32,Portfolio_Overview[[#All],[ticker]:[average per coin]],2,FALSE)*M$4,"")</f>
        <v>57</v>
      </c>
      <c r="N32" s="26">
        <f>IFERROR(VLOOKUP(CO_entry[[#This Row],[ticker]],Portfolio_Overview[[#All],[ticker]:[average per coin]],2,FALSE)-CO_entry[[#This Row],[Tokens Sold]],"")</f>
        <v>228</v>
      </c>
      <c r="O32" s="89">
        <f>IFERROR(CO_entry[[#This Row],[Tokens Sold]]*CO_entry[[#This Row],[Selling point 1]],"")</f>
        <v>40.002600000000001</v>
      </c>
      <c r="P32" s="90">
        <f>IFERROR((L32*M32)-(VLOOKUP(J32,Portfolio_Overview[[#All],[ticker]:[average per coin]],3,FALSE)*M32),"")</f>
        <v>20.001300000000001</v>
      </c>
      <c r="Q32" s="88">
        <f>IFERROR(VLOOKUP(J32,Portfolio_Overview[[#All],[ticker]:[average per coin]],3,FALSE)*3.5,"")</f>
        <v>1.2281499999999999</v>
      </c>
      <c r="R32" s="27">
        <f t="shared" si="0"/>
        <v>45.6</v>
      </c>
      <c r="S32" s="28">
        <f t="shared" si="1"/>
        <v>182.4</v>
      </c>
      <c r="T32" s="91">
        <f>IFERROR(CO_entry[[#This Row],[Tokens Sold2]]*CO_entry[[#This Row],[Selling point 2]],"")</f>
        <v>56.003639999999997</v>
      </c>
      <c r="U32" s="92">
        <f>IFERROR((Q32*R32)-(VLOOKUP(J32,Portfolio_Overview[[#All],[ticker]:[average per coin]],3,FALSE)*R32),"")</f>
        <v>40.002600000000001</v>
      </c>
      <c r="V32" s="88">
        <f>IFERROR(VLOOKUP(J32,Portfolio_Overview[[#All],[ticker]:[average per coin]],3,FALSE)*4.5,"")</f>
        <v>1.5790500000000001</v>
      </c>
      <c r="W32" s="25">
        <f t="shared" si="2"/>
        <v>36.480000000000004</v>
      </c>
      <c r="X32" s="26">
        <f t="shared" si="3"/>
        <v>145.92000000000002</v>
      </c>
      <c r="Y32" s="89">
        <f>IFERROR(CO_entry[[#This Row],[Tokens Sold3]]*CO_entry[[#This Row],[Selling point 3]],"")</f>
        <v>57.603744000000006</v>
      </c>
      <c r="Z32" s="90">
        <f>IFERROR((V32*W32)-(VLOOKUP(J32,Portfolio_Overview[[#All],[ticker]:[average per coin]],3,FALSE)*W32),"")</f>
        <v>44.802912000000006</v>
      </c>
      <c r="AA32" s="88">
        <f>IFERROR(VLOOKUP(J32,Portfolio_Overview[[#All],[ticker]:[average per coin]],3,FALSE)*6,"")</f>
        <v>2.1053999999999999</v>
      </c>
      <c r="AB32" s="27">
        <f t="shared" si="4"/>
        <v>29.184000000000005</v>
      </c>
      <c r="AC32" s="28">
        <f t="shared" si="5"/>
        <v>116.73600000000002</v>
      </c>
      <c r="AD32" s="91">
        <f>IFERROR(CO_entry[[#This Row],[Tokens Sold4]]*CO_entry[[#This Row],[Selling point 4]],"")</f>
        <v>61.443993600000006</v>
      </c>
      <c r="AE32" s="92">
        <f>IFERROR((AA32*AB32)-(VLOOKUP(J32,Portfolio_Overview[[#All],[ticker]:[average per coin]],3,FALSE)*AB32),"")</f>
        <v>51.203328000000006</v>
      </c>
      <c r="AF32" s="88">
        <f>IFERROR(VLOOKUP(J32,Portfolio_Overview[[#All],[ticker]:[average per coin]],3,FALSE)*8,"")</f>
        <v>2.8071999999999999</v>
      </c>
      <c r="AG32" s="25">
        <f t="shared" si="6"/>
        <v>29.184000000000005</v>
      </c>
      <c r="AH32" s="26">
        <f t="shared" si="7"/>
        <v>87.552000000000021</v>
      </c>
      <c r="AI32" s="89">
        <f>IFERROR(CO_entry[[#This Row],[Tokens Sold5]]*CO_entry[[#This Row],[Selling point 5]],"")</f>
        <v>81.925324800000013</v>
      </c>
      <c r="AJ32" s="90">
        <f>IFERROR((AF32*AG32)-(VLOOKUP(J32,Portfolio_Overview[[#All],[ticker]:[average per coin]],3,FALSE)*AG32),"")</f>
        <v>71.684659200000013</v>
      </c>
      <c r="AK32" s="97">
        <f>IFERROR(VLOOKUP(J32,Portfolio_Overview[[#All],[ticker]:[average per coin]],3,FALSE)*10,"")</f>
        <v>3.5089999999999999</v>
      </c>
      <c r="AL32" s="77">
        <f t="shared" si="8"/>
        <v>30.643200000000004</v>
      </c>
      <c r="AM32" s="77">
        <f t="shared" si="9"/>
        <v>56.908800000000014</v>
      </c>
      <c r="AN32" s="93">
        <f>IFERROR(CO_entry[[#This Row],[Tokens Sold6]]*CO_entry[[#This Row],[Selling point 6]],"")</f>
        <v>107.52698880000001</v>
      </c>
      <c r="AO32" s="96">
        <f>IFERROR((AK32*AL32)-(VLOOKUP(J32,Portfolio_Overview[[#All],[ticker]:[average per coin]],3,FALSE)*AL32),"")</f>
        <v>96.774289920000015</v>
      </c>
      <c r="AP32" s="97">
        <f>IFERROR(VLOOKUP(J32,Portfolio_Overview[[#All],[ticker]:[average per coin]],3,FALSE)*12,"")</f>
        <v>4.2107999999999999</v>
      </c>
      <c r="AQ32" s="26">
        <f t="shared" si="10"/>
        <v>28.454400000000007</v>
      </c>
      <c r="AR32" s="26">
        <f t="shared" si="11"/>
        <v>28.454400000000007</v>
      </c>
      <c r="AS32" s="89">
        <f>IFERROR(CO_entry[[#This Row],[Tokens Sold7]]*CO_entry[[#This Row],[Selling point 7]],"")</f>
        <v>119.81578752000003</v>
      </c>
      <c r="AT32" s="95">
        <f>IFERROR((AP32*AQ32)-(VLOOKUP(J32,Portfolio_Overview[[#All],[ticker]:[average per coin]],3,FALSE)*AQ32),"")</f>
        <v>109.83113856000003</v>
      </c>
      <c r="AU32" s="94">
        <f t="shared" si="12"/>
        <v>434.30022768000003</v>
      </c>
      <c r="AV32" s="29">
        <f t="shared" si="14"/>
        <v>28.454400000000007</v>
      </c>
      <c r="AW32" s="94">
        <f t="shared" si="13"/>
        <v>119.81578752000003</v>
      </c>
    </row>
    <row r="33" spans="1:49" x14ac:dyDescent="0.25">
      <c r="A33" t="s">
        <v>95</v>
      </c>
      <c r="B33" t="s">
        <v>390</v>
      </c>
      <c r="C33">
        <v>199.76</v>
      </c>
      <c r="D33" s="130">
        <v>1.702</v>
      </c>
      <c r="E33" s="130">
        <v>339.99149999999997</v>
      </c>
      <c r="F33" s="130">
        <v>0.73850000000000005</v>
      </c>
      <c r="G33" s="130">
        <v>147.52279999999999</v>
      </c>
      <c r="H33" s="13">
        <v>2.1549119565582699E-3</v>
      </c>
      <c r="J33" s="58" t="s">
        <v>419</v>
      </c>
      <c r="K33" s="114">
        <f>IFERROR(VLOOKUP(J33,price_feed[[symbol]:[current_price]],3,FALSE),"")</f>
        <v>0.20865600000000001</v>
      </c>
      <c r="L33" s="88">
        <f>IFERROR(VLOOKUP(J33,Portfolio_Overview[[#All],[ticker]:[average per coin]],3,FALSE)*2,"")</f>
        <v>0.75</v>
      </c>
      <c r="M33" s="25">
        <f>IFERROR(VLOOKUP(J33,Portfolio_Overview[[#All],[ticker]:[average per coin]],2,FALSE)*M$4,"")</f>
        <v>40</v>
      </c>
      <c r="N33" s="26">
        <f>IFERROR(VLOOKUP(CO_entry[[#This Row],[ticker]],Portfolio_Overview[[#All],[ticker]:[average per coin]],2,FALSE)-CO_entry[[#This Row],[Tokens Sold]],"")</f>
        <v>160</v>
      </c>
      <c r="O33" s="89">
        <f>IFERROR(CO_entry[[#This Row],[Tokens Sold]]*CO_entry[[#This Row],[Selling point 1]],"")</f>
        <v>30</v>
      </c>
      <c r="P33" s="90">
        <f>IFERROR((L33*M33)-(VLOOKUP(J33,Portfolio_Overview[[#All],[ticker]:[average per coin]],3,FALSE)*M33),"")</f>
        <v>15</v>
      </c>
      <c r="Q33" s="88">
        <f>IFERROR(VLOOKUP(J33,Portfolio_Overview[[#All],[ticker]:[average per coin]],3,FALSE)*3.5,"")</f>
        <v>1.3125</v>
      </c>
      <c r="R33" s="27">
        <f t="shared" si="0"/>
        <v>32</v>
      </c>
      <c r="S33" s="28">
        <f t="shared" si="1"/>
        <v>128</v>
      </c>
      <c r="T33" s="91">
        <f>IFERROR(CO_entry[[#This Row],[Tokens Sold2]]*CO_entry[[#This Row],[Selling point 2]],"")</f>
        <v>42</v>
      </c>
      <c r="U33" s="92">
        <f>IFERROR((Q33*R33)-(VLOOKUP(J33,Portfolio_Overview[[#All],[ticker]:[average per coin]],3,FALSE)*R33),"")</f>
        <v>30</v>
      </c>
      <c r="V33" s="88">
        <f>IFERROR(VLOOKUP(J33,Portfolio_Overview[[#All],[ticker]:[average per coin]],3,FALSE)*4.5,"")</f>
        <v>1.6875</v>
      </c>
      <c r="W33" s="25">
        <f t="shared" si="2"/>
        <v>25.6</v>
      </c>
      <c r="X33" s="26">
        <f t="shared" si="3"/>
        <v>102.4</v>
      </c>
      <c r="Y33" s="89">
        <f>IFERROR(CO_entry[[#This Row],[Tokens Sold3]]*CO_entry[[#This Row],[Selling point 3]],"")</f>
        <v>43.2</v>
      </c>
      <c r="Z33" s="90">
        <f>IFERROR((V33*W33)-(VLOOKUP(J33,Portfolio_Overview[[#All],[ticker]:[average per coin]],3,FALSE)*W33),"")</f>
        <v>33.6</v>
      </c>
      <c r="AA33" s="88">
        <f>IFERROR(VLOOKUP(J33,Portfolio_Overview[[#All],[ticker]:[average per coin]],3,FALSE)*6,"")</f>
        <v>2.25</v>
      </c>
      <c r="AB33" s="27">
        <f t="shared" si="4"/>
        <v>20.480000000000004</v>
      </c>
      <c r="AC33" s="28">
        <f t="shared" si="5"/>
        <v>81.92</v>
      </c>
      <c r="AD33" s="91">
        <f>IFERROR(CO_entry[[#This Row],[Tokens Sold4]]*CO_entry[[#This Row],[Selling point 4]],"")</f>
        <v>46.080000000000013</v>
      </c>
      <c r="AE33" s="92">
        <f>IFERROR((AA33*AB33)-(VLOOKUP(J33,Portfolio_Overview[[#All],[ticker]:[average per coin]],3,FALSE)*AB33),"")</f>
        <v>38.400000000000013</v>
      </c>
      <c r="AF33" s="88">
        <f>IFERROR(VLOOKUP(J33,Portfolio_Overview[[#All],[ticker]:[average per coin]],3,FALSE)*8,"")</f>
        <v>3</v>
      </c>
      <c r="AG33" s="25">
        <f t="shared" si="6"/>
        <v>20.48</v>
      </c>
      <c r="AH33" s="26">
        <f t="shared" si="7"/>
        <v>61.44</v>
      </c>
      <c r="AI33" s="89">
        <f>IFERROR(CO_entry[[#This Row],[Tokens Sold5]]*CO_entry[[#This Row],[Selling point 5]],"")</f>
        <v>61.44</v>
      </c>
      <c r="AJ33" s="90">
        <f>IFERROR((AF33*AG33)-(VLOOKUP(J33,Portfolio_Overview[[#All],[ticker]:[average per coin]],3,FALSE)*AG33),"")</f>
        <v>53.76</v>
      </c>
      <c r="AK33" s="97">
        <f>IFERROR(VLOOKUP(J33,Portfolio_Overview[[#All],[ticker]:[average per coin]],3,FALSE)*10,"")</f>
        <v>3.75</v>
      </c>
      <c r="AL33" s="77">
        <f t="shared" si="8"/>
        <v>21.503999999999998</v>
      </c>
      <c r="AM33" s="77">
        <f t="shared" si="9"/>
        <v>39.936</v>
      </c>
      <c r="AN33" s="93">
        <f>IFERROR(CO_entry[[#This Row],[Tokens Sold6]]*CO_entry[[#This Row],[Selling point 6]],"")</f>
        <v>80.639999999999986</v>
      </c>
      <c r="AO33" s="96">
        <f>IFERROR((AK33*AL33)-(VLOOKUP(J33,Portfolio_Overview[[#All],[ticker]:[average per coin]],3,FALSE)*AL33),"")</f>
        <v>72.575999999999993</v>
      </c>
      <c r="AP33" s="97">
        <f>IFERROR(VLOOKUP(J33,Portfolio_Overview[[#All],[ticker]:[average per coin]],3,FALSE)*12,"")</f>
        <v>4.5</v>
      </c>
      <c r="AQ33" s="26">
        <f t="shared" si="10"/>
        <v>19.968</v>
      </c>
      <c r="AR33" s="26">
        <f t="shared" si="11"/>
        <v>19.968</v>
      </c>
      <c r="AS33" s="89">
        <f>IFERROR(CO_entry[[#This Row],[Tokens Sold7]]*CO_entry[[#This Row],[Selling point 7]],"")</f>
        <v>89.855999999999995</v>
      </c>
      <c r="AT33" s="95">
        <f>IFERROR((AP33*AQ33)-(VLOOKUP(J33,Portfolio_Overview[[#All],[ticker]:[average per coin]],3,FALSE)*AQ33),"")</f>
        <v>82.367999999999995</v>
      </c>
      <c r="AU33" s="94">
        <f t="shared" si="12"/>
        <v>325.70399999999995</v>
      </c>
      <c r="AV33" s="29">
        <f t="shared" si="14"/>
        <v>19.968</v>
      </c>
      <c r="AW33" s="94">
        <f t="shared" si="13"/>
        <v>89.855999999999995</v>
      </c>
    </row>
    <row r="34" spans="1:49" x14ac:dyDescent="0.25">
      <c r="A34" t="s">
        <v>312</v>
      </c>
      <c r="B34" t="s">
        <v>500</v>
      </c>
      <c r="C34">
        <v>3239.02</v>
      </c>
      <c r="D34" s="130">
        <v>0.1016</v>
      </c>
      <c r="E34" s="130">
        <v>329.08440000000002</v>
      </c>
      <c r="F34" s="130">
        <v>4.53E-2</v>
      </c>
      <c r="G34" s="130">
        <v>146.7276</v>
      </c>
      <c r="H34" s="13">
        <v>2.1432962199544698E-3</v>
      </c>
      <c r="J34" s="58" t="s">
        <v>500</v>
      </c>
      <c r="K34" s="114">
        <f>IFERROR(VLOOKUP(J34,price_feed[[symbol]:[current_price]],3,FALSE),"")</f>
        <v>4.5345450000000002E-2</v>
      </c>
      <c r="L34" s="88">
        <f>IFERROR(VLOOKUP(J34,Portfolio_Overview[[#All],[ticker]:[average per coin]],3,FALSE)*2,"")</f>
        <v>0.20319999999999999</v>
      </c>
      <c r="M34" s="25">
        <f>IFERROR(VLOOKUP(J34,Portfolio_Overview[[#All],[ticker]:[average per coin]],2,FALSE)*M$4,"")</f>
        <v>647.80400000000009</v>
      </c>
      <c r="N34" s="26">
        <f>IFERROR(VLOOKUP(CO_entry[[#This Row],[ticker]],Portfolio_Overview[[#All],[ticker]:[average per coin]],2,FALSE)-CO_entry[[#This Row],[Tokens Sold]],"")</f>
        <v>2591.2159999999999</v>
      </c>
      <c r="O34" s="89">
        <f>IFERROR(CO_entry[[#This Row],[Tokens Sold]]*CO_entry[[#This Row],[Selling point 1]],"")</f>
        <v>131.6337728</v>
      </c>
      <c r="P34" s="90">
        <f>IFERROR((L34*M34)-(VLOOKUP(J34,Portfolio_Overview[[#All],[ticker]:[average per coin]],3,FALSE)*M34),"")</f>
        <v>65.816886400000001</v>
      </c>
      <c r="Q34" s="88">
        <f>IFERROR(VLOOKUP(J34,Portfolio_Overview[[#All],[ticker]:[average per coin]],3,FALSE)*3.5,"")</f>
        <v>0.35559999999999997</v>
      </c>
      <c r="R34" s="27">
        <f t="shared" si="0"/>
        <v>518.2432</v>
      </c>
      <c r="S34" s="28">
        <f t="shared" si="1"/>
        <v>2072.9728</v>
      </c>
      <c r="T34" s="91">
        <f>IFERROR(CO_entry[[#This Row],[Tokens Sold2]]*CO_entry[[#This Row],[Selling point 2]],"")</f>
        <v>184.28728192</v>
      </c>
      <c r="U34" s="92">
        <f>IFERROR((Q34*R34)-(VLOOKUP(J34,Portfolio_Overview[[#All],[ticker]:[average per coin]],3,FALSE)*R34),"")</f>
        <v>131.6337728</v>
      </c>
      <c r="V34" s="88">
        <f>IFERROR(VLOOKUP(J34,Portfolio_Overview[[#All],[ticker]:[average per coin]],3,FALSE)*4.5,"")</f>
        <v>0.4572</v>
      </c>
      <c r="W34" s="25">
        <f t="shared" si="2"/>
        <v>414.59456</v>
      </c>
      <c r="X34" s="26">
        <f t="shared" si="3"/>
        <v>1658.37824</v>
      </c>
      <c r="Y34" s="89">
        <f>IFERROR(CO_entry[[#This Row],[Tokens Sold3]]*CO_entry[[#This Row],[Selling point 3]],"")</f>
        <v>189.552632832</v>
      </c>
      <c r="Z34" s="90">
        <f>IFERROR((V34*W34)-(VLOOKUP(J34,Portfolio_Overview[[#All],[ticker]:[average per coin]],3,FALSE)*W34),"")</f>
        <v>147.42982553600001</v>
      </c>
      <c r="AA34" s="88">
        <f>IFERROR(VLOOKUP(J34,Portfolio_Overview[[#All],[ticker]:[average per coin]],3,FALSE)*6,"")</f>
        <v>0.60959999999999992</v>
      </c>
      <c r="AB34" s="27">
        <f t="shared" si="4"/>
        <v>331.67564800000002</v>
      </c>
      <c r="AC34" s="28">
        <f t="shared" si="5"/>
        <v>1326.7025920000001</v>
      </c>
      <c r="AD34" s="91">
        <f>IFERROR(CO_entry[[#This Row],[Tokens Sold4]]*CO_entry[[#This Row],[Selling point 4]],"")</f>
        <v>202.18947502079999</v>
      </c>
      <c r="AE34" s="92">
        <f>IFERROR((AA34*AB34)-(VLOOKUP(J34,Portfolio_Overview[[#All],[ticker]:[average per coin]],3,FALSE)*AB34),"")</f>
        <v>168.49122918399999</v>
      </c>
      <c r="AF34" s="88">
        <f>IFERROR(VLOOKUP(J34,Portfolio_Overview[[#All],[ticker]:[average per coin]],3,FALSE)*8,"")</f>
        <v>0.81279999999999997</v>
      </c>
      <c r="AG34" s="25">
        <f t="shared" si="6"/>
        <v>331.67564800000002</v>
      </c>
      <c r="AH34" s="26">
        <f t="shared" si="7"/>
        <v>995.02694400000007</v>
      </c>
      <c r="AI34" s="89">
        <f>IFERROR(CO_entry[[#This Row],[Tokens Sold5]]*CO_entry[[#This Row],[Selling point 5]],"")</f>
        <v>269.58596669439999</v>
      </c>
      <c r="AJ34" s="90">
        <f>IFERROR((AF34*AG34)-(VLOOKUP(J34,Portfolio_Overview[[#All],[ticker]:[average per coin]],3,FALSE)*AG34),"")</f>
        <v>235.88772085759999</v>
      </c>
      <c r="AK34" s="98">
        <f>IFERROR(VLOOKUP(J34,Portfolio_Overview[[#All],[ticker]:[average per coin]],3,FALSE)*10,"")</f>
        <v>1.016</v>
      </c>
      <c r="AL34" s="77">
        <f t="shared" si="8"/>
        <v>348.25943039999999</v>
      </c>
      <c r="AM34" s="77">
        <f t="shared" si="9"/>
        <v>646.76751360000003</v>
      </c>
      <c r="AN34" s="93">
        <f>IFERROR(CO_entry[[#This Row],[Tokens Sold6]]*CO_entry[[#This Row],[Selling point 6]],"")</f>
        <v>353.83158128639997</v>
      </c>
      <c r="AO34" s="96">
        <f>IFERROR((AK34*AL34)-(VLOOKUP(J34,Portfolio_Overview[[#All],[ticker]:[average per coin]],3,FALSE)*AL34),"")</f>
        <v>318.44842315775998</v>
      </c>
      <c r="AP34" s="97">
        <f>IFERROR(VLOOKUP(J34,Portfolio_Overview[[#All],[ticker]:[average per coin]],3,FALSE)*12,"")</f>
        <v>1.2191999999999998</v>
      </c>
      <c r="AQ34" s="26">
        <f t="shared" si="10"/>
        <v>323.38375680000001</v>
      </c>
      <c r="AR34" s="26">
        <f t="shared" si="11"/>
        <v>323.38375680000001</v>
      </c>
      <c r="AS34" s="89">
        <f>IFERROR(CO_entry[[#This Row],[Tokens Sold7]]*CO_entry[[#This Row],[Selling point 7]],"")</f>
        <v>394.26947629055996</v>
      </c>
      <c r="AT34" s="95">
        <f>IFERROR((AP34*AQ34)-(VLOOKUP(J34,Portfolio_Overview[[#All],[ticker]:[average per coin]],3,FALSE)*AQ34),"")</f>
        <v>361.41368659967998</v>
      </c>
      <c r="AU34" s="94">
        <f t="shared" si="12"/>
        <v>1429.1215445350401</v>
      </c>
      <c r="AV34" s="29">
        <f t="shared" si="14"/>
        <v>323.38375680000001</v>
      </c>
      <c r="AW34" s="94">
        <f t="shared" si="13"/>
        <v>394.26947629055996</v>
      </c>
    </row>
    <row r="35" spans="1:49" x14ac:dyDescent="0.25">
      <c r="A35" t="s">
        <v>59</v>
      </c>
      <c r="B35" t="s">
        <v>394</v>
      </c>
      <c r="C35">
        <v>88.16</v>
      </c>
      <c r="D35" s="130">
        <v>0.71460000000000001</v>
      </c>
      <c r="E35" s="130">
        <v>62.999099999999999</v>
      </c>
      <c r="F35" s="130">
        <v>1.46</v>
      </c>
      <c r="G35" s="130">
        <v>128.71360000000001</v>
      </c>
      <c r="H35" s="13">
        <v>1.88016005398256E-3</v>
      </c>
      <c r="J35" s="58" t="s">
        <v>16</v>
      </c>
      <c r="K35" s="87">
        <f>IFERROR(VLOOKUP(J35,price_feed[[symbol]:[current_price]],3,FALSE),"")</f>
        <v>148.57</v>
      </c>
      <c r="L35" s="88">
        <f>IFERROR(VLOOKUP(J35,Portfolio_Overview[[#All],[ticker]:[average per coin]],3,FALSE)*2,"")</f>
        <v>762.26419999999996</v>
      </c>
      <c r="M35" s="25">
        <f>IFERROR(VLOOKUP(J35,Portfolio_Overview[[#All],[ticker]:[average per coin]],2,FALSE)*M$4,"")</f>
        <v>0.10600000000000001</v>
      </c>
      <c r="N35" s="26">
        <f>IFERROR(VLOOKUP(CO_entry[[#This Row],[ticker]],Portfolio_Overview[[#All],[ticker]:[average per coin]],2,FALSE)-CO_entry[[#This Row],[Tokens Sold]],"")</f>
        <v>0.42400000000000004</v>
      </c>
      <c r="O35" s="89">
        <f>IFERROR(CO_entry[[#This Row],[Tokens Sold]]*CO_entry[[#This Row],[Selling point 1]],"")</f>
        <v>80.800005200000001</v>
      </c>
      <c r="P35" s="90">
        <f>IFERROR((L35*M35)-(VLOOKUP(J35,Portfolio_Overview[[#All],[ticker]:[average per coin]],3,FALSE)*M35),"")</f>
        <v>40.400002600000001</v>
      </c>
      <c r="Q35" s="88">
        <f>IFERROR(VLOOKUP(J35,Portfolio_Overview[[#All],[ticker]:[average per coin]],3,FALSE)*3.5,"")</f>
        <v>1333.96235</v>
      </c>
      <c r="R35" s="27">
        <f t="shared" si="0"/>
        <v>8.4800000000000014E-2</v>
      </c>
      <c r="S35" s="28">
        <f t="shared" si="1"/>
        <v>0.33920000000000006</v>
      </c>
      <c r="T35" s="91">
        <f>IFERROR(CO_entry[[#This Row],[Tokens Sold2]]*CO_entry[[#This Row],[Selling point 2]],"")</f>
        <v>113.12000728000002</v>
      </c>
      <c r="U35" s="92">
        <f>IFERROR((Q35*R35)-(VLOOKUP(J35,Portfolio_Overview[[#All],[ticker]:[average per coin]],3,FALSE)*R35),"")</f>
        <v>80.800005200000015</v>
      </c>
      <c r="V35" s="88">
        <f>IFERROR(VLOOKUP(J35,Portfolio_Overview[[#All],[ticker]:[average per coin]],3,FALSE)*4.5,"")</f>
        <v>1715.0944499999998</v>
      </c>
      <c r="W35" s="25">
        <f t="shared" si="2"/>
        <v>6.7840000000000011E-2</v>
      </c>
      <c r="X35" s="26">
        <f t="shared" si="3"/>
        <v>0.27136000000000005</v>
      </c>
      <c r="Y35" s="89">
        <f>IFERROR(CO_entry[[#This Row],[Tokens Sold3]]*CO_entry[[#This Row],[Selling point 3]],"")</f>
        <v>116.35200748800001</v>
      </c>
      <c r="Z35" s="90">
        <f>IFERROR((V35*W35)-(VLOOKUP(J35,Portfolio_Overview[[#All],[ticker]:[average per coin]],3,FALSE)*W35),"")</f>
        <v>90.496005824000008</v>
      </c>
      <c r="AA35" s="88">
        <f>IFERROR(VLOOKUP(J35,Portfolio_Overview[[#All],[ticker]:[average per coin]],3,FALSE)*6,"")</f>
        <v>2286.7925999999998</v>
      </c>
      <c r="AB35" s="27">
        <f t="shared" si="4"/>
        <v>5.4272000000000015E-2</v>
      </c>
      <c r="AC35" s="28">
        <f t="shared" si="5"/>
        <v>0.21708800000000003</v>
      </c>
      <c r="AD35" s="91">
        <f>IFERROR(CO_entry[[#This Row],[Tokens Sold4]]*CO_entry[[#This Row],[Selling point 4]],"")</f>
        <v>124.10880798720002</v>
      </c>
      <c r="AE35" s="92">
        <f>IFERROR((AA35*AB35)-(VLOOKUP(J35,Portfolio_Overview[[#All],[ticker]:[average per coin]],3,FALSE)*AB35),"")</f>
        <v>103.42400665600002</v>
      </c>
      <c r="AF35" s="88">
        <f>IFERROR(VLOOKUP(J35,Portfolio_Overview[[#All],[ticker]:[average per coin]],3,FALSE)*8,"")</f>
        <v>3049.0567999999998</v>
      </c>
      <c r="AG35" s="25">
        <f t="shared" si="6"/>
        <v>5.4272000000000008E-2</v>
      </c>
      <c r="AH35" s="26">
        <f t="shared" si="7"/>
        <v>0.16281600000000002</v>
      </c>
      <c r="AI35" s="89">
        <f>IFERROR(CO_entry[[#This Row],[Tokens Sold5]]*CO_entry[[#This Row],[Selling point 5]],"")</f>
        <v>165.47841064960002</v>
      </c>
      <c r="AJ35" s="90">
        <f>IFERROR((AF35*AG35)-(VLOOKUP(J35,Portfolio_Overview[[#All],[ticker]:[average per coin]],3,FALSE)*AG35),"")</f>
        <v>144.79360931840003</v>
      </c>
      <c r="AK35" s="97">
        <f>IFERROR(VLOOKUP(J35,Portfolio_Overview[[#All],[ticker]:[average per coin]],3,FALSE)*10,"")</f>
        <v>3811.3209999999999</v>
      </c>
      <c r="AL35" s="77">
        <f t="shared" si="8"/>
        <v>5.6985600000000004E-2</v>
      </c>
      <c r="AM35" s="77">
        <f t="shared" si="9"/>
        <v>0.10583040000000002</v>
      </c>
      <c r="AN35" s="93">
        <f>IFERROR(CO_entry[[#This Row],[Tokens Sold6]]*CO_entry[[#This Row],[Selling point 6]],"")</f>
        <v>217.1904139776</v>
      </c>
      <c r="AO35" s="96">
        <f>IFERROR((AK35*AL35)-(VLOOKUP(J35,Portfolio_Overview[[#All],[ticker]:[average per coin]],3,FALSE)*AL35),"")</f>
        <v>195.47137257983999</v>
      </c>
      <c r="AP35" s="97">
        <f>IFERROR(VLOOKUP(J35,Portfolio_Overview[[#All],[ticker]:[average per coin]],3,FALSE)*12,"")</f>
        <v>4573.5851999999995</v>
      </c>
      <c r="AQ35" s="26">
        <f t="shared" si="10"/>
        <v>5.2915200000000009E-2</v>
      </c>
      <c r="AR35" s="26">
        <f t="shared" si="11"/>
        <v>5.2915200000000009E-2</v>
      </c>
      <c r="AS35" s="89">
        <f>IFERROR(CO_entry[[#This Row],[Tokens Sold7]]*CO_entry[[#This Row],[Selling point 7]],"")</f>
        <v>242.01217557504003</v>
      </c>
      <c r="AT35" s="95">
        <f>IFERROR((AP35*AQ35)-(VLOOKUP(J35,Portfolio_Overview[[#All],[ticker]:[average per coin]],3,FALSE)*AQ35),"")</f>
        <v>221.84449427712002</v>
      </c>
      <c r="AU35" s="94">
        <f t="shared" si="12"/>
        <v>877.22949645536016</v>
      </c>
      <c r="AV35" s="29">
        <f t="shared" si="14"/>
        <v>5.2915200000000009E-2</v>
      </c>
      <c r="AW35" s="94">
        <f t="shared" si="13"/>
        <v>242.01217557504003</v>
      </c>
    </row>
    <row r="36" spans="1:49" x14ac:dyDescent="0.25">
      <c r="A36" t="s">
        <v>97</v>
      </c>
      <c r="B36" t="s">
        <v>413</v>
      </c>
      <c r="C36">
        <v>285</v>
      </c>
      <c r="D36" s="130">
        <v>0.35089999999999999</v>
      </c>
      <c r="E36" s="130">
        <v>100.0065</v>
      </c>
      <c r="F36" s="130">
        <v>0.38769999999999999</v>
      </c>
      <c r="G36" s="130">
        <v>110.4945</v>
      </c>
      <c r="H36" s="13">
        <v>1.61402792777745E-3</v>
      </c>
      <c r="J36" s="58" t="s">
        <v>778</v>
      </c>
      <c r="K36" s="114">
        <f>IFERROR(VLOOKUP(J36,price_feed[[symbol]:[current_price]],3,FALSE),"")</f>
        <v>6.2569E-2</v>
      </c>
      <c r="L36" s="88">
        <f>IFERROR(VLOOKUP(J36,Portfolio_Overview[[#All],[ticker]:[average per coin]],3,FALSE)*2,"")</f>
        <v>0.89900000000000002</v>
      </c>
      <c r="M36" s="25">
        <f>IFERROR(VLOOKUP(J36,Portfolio_Overview[[#All],[ticker]:[average per coin]],2,FALSE)*M$4,"")</f>
        <v>35.594000000000001</v>
      </c>
      <c r="N36" s="26">
        <f>IFERROR(VLOOKUP(CO_entry[[#This Row],[ticker]],Portfolio_Overview[[#All],[ticker]:[average per coin]],2,FALSE)-CO_entry[[#This Row],[Tokens Sold]],"")</f>
        <v>142.376</v>
      </c>
      <c r="O36" s="89">
        <f>IFERROR(CO_entry[[#This Row],[Tokens Sold]]*CO_entry[[#This Row],[Selling point 1]],"")</f>
        <v>31.999006000000001</v>
      </c>
      <c r="P36" s="90">
        <f>IFERROR((L36*M36)-(VLOOKUP(J36,Portfolio_Overview[[#All],[ticker]:[average per coin]],3,FALSE)*M36),"")</f>
        <v>15.999503000000001</v>
      </c>
      <c r="Q36" s="88">
        <f>IFERROR(VLOOKUP(J36,Portfolio_Overview[[#All],[ticker]:[average per coin]],3,FALSE)*3.5,"")</f>
        <v>1.57325</v>
      </c>
      <c r="R36" s="27">
        <f t="shared" si="0"/>
        <v>28.475200000000001</v>
      </c>
      <c r="S36" s="28">
        <f t="shared" si="1"/>
        <v>113.9008</v>
      </c>
      <c r="T36" s="91">
        <f>IFERROR(CO_entry[[#This Row],[Tokens Sold2]]*CO_entry[[#This Row],[Selling point 2]],"")</f>
        <v>44.798608399999999</v>
      </c>
      <c r="U36" s="92">
        <f>IFERROR((Q36*R36)-(VLOOKUP(J36,Portfolio_Overview[[#All],[ticker]:[average per coin]],3,FALSE)*R36),"")</f>
        <v>31.999005999999998</v>
      </c>
      <c r="V36" s="88">
        <f>IFERROR(VLOOKUP(J36,Portfolio_Overview[[#All],[ticker]:[average per coin]],3,FALSE)*4.5,"")</f>
        <v>2.0227500000000003</v>
      </c>
      <c r="W36" s="25">
        <f t="shared" si="2"/>
        <v>22.780160000000002</v>
      </c>
      <c r="X36" s="26">
        <f t="shared" si="3"/>
        <v>91.120640000000009</v>
      </c>
      <c r="Y36" s="89">
        <f>IFERROR(CO_entry[[#This Row],[Tokens Sold3]]*CO_entry[[#This Row],[Selling point 3]],"")</f>
        <v>46.078568640000007</v>
      </c>
      <c r="Z36" s="90">
        <f>IFERROR((V36*W36)-(VLOOKUP(J36,Portfolio_Overview[[#All],[ticker]:[average per coin]],3,FALSE)*W36),"")</f>
        <v>35.838886720000005</v>
      </c>
      <c r="AA36" s="88">
        <f>IFERROR(VLOOKUP(J36,Portfolio_Overview[[#All],[ticker]:[average per coin]],3,FALSE)*6,"")</f>
        <v>2.6970000000000001</v>
      </c>
      <c r="AB36" s="27">
        <f t="shared" si="4"/>
        <v>18.224128000000004</v>
      </c>
      <c r="AC36" s="28">
        <f t="shared" si="5"/>
        <v>72.896512000000001</v>
      </c>
      <c r="AD36" s="91">
        <f>IFERROR(CO_entry[[#This Row],[Tokens Sold4]]*CO_entry[[#This Row],[Selling point 4]],"")</f>
        <v>49.150473216000009</v>
      </c>
      <c r="AE36" s="92">
        <f>IFERROR((AA36*AB36)-(VLOOKUP(J36,Portfolio_Overview[[#All],[ticker]:[average per coin]],3,FALSE)*AB36),"")</f>
        <v>40.95872768000001</v>
      </c>
      <c r="AF36" s="88">
        <f>IFERROR(VLOOKUP(J36,Portfolio_Overview[[#All],[ticker]:[average per coin]],3,FALSE)*8,"")</f>
        <v>3.5960000000000001</v>
      </c>
      <c r="AG36" s="25">
        <f t="shared" si="6"/>
        <v>18.224128</v>
      </c>
      <c r="AH36" s="26">
        <f t="shared" si="7"/>
        <v>54.672384000000001</v>
      </c>
      <c r="AI36" s="89">
        <f>IFERROR(CO_entry[[#This Row],[Tokens Sold5]]*CO_entry[[#This Row],[Selling point 5]],"")</f>
        <v>65.533964288000007</v>
      </c>
      <c r="AJ36" s="90">
        <f>IFERROR((AF36*AG36)-(VLOOKUP(J36,Portfolio_Overview[[#All],[ticker]:[average per coin]],3,FALSE)*AG36),"")</f>
        <v>57.342218752000008</v>
      </c>
      <c r="AK36" s="97">
        <f>IFERROR(VLOOKUP(J36,Portfolio_Overview[[#All],[ticker]:[average per coin]],3,FALSE)*10,"")</f>
        <v>4.4950000000000001</v>
      </c>
      <c r="AL36" s="77">
        <f t="shared" si="8"/>
        <v>19.135334399999998</v>
      </c>
      <c r="AM36" s="77">
        <f t="shared" si="9"/>
        <v>35.537049600000003</v>
      </c>
      <c r="AN36" s="93">
        <f>IFERROR(CO_entry[[#This Row],[Tokens Sold6]]*CO_entry[[#This Row],[Selling point 6]],"")</f>
        <v>86.013328127999998</v>
      </c>
      <c r="AO36" s="96">
        <f>IFERROR((AK36*AL36)-(VLOOKUP(J36,Portfolio_Overview[[#All],[ticker]:[average per coin]],3,FALSE)*AL36),"")</f>
        <v>77.411995315200002</v>
      </c>
      <c r="AP36" s="97">
        <f>IFERROR(VLOOKUP(J36,Portfolio_Overview[[#All],[ticker]:[average per coin]],3,FALSE)*12,"")</f>
        <v>5.3940000000000001</v>
      </c>
      <c r="AQ36" s="26">
        <f t="shared" si="10"/>
        <v>17.768524800000002</v>
      </c>
      <c r="AR36" s="26">
        <f t="shared" si="11"/>
        <v>17.768524800000002</v>
      </c>
      <c r="AS36" s="89">
        <f>IFERROR(CO_entry[[#This Row],[Tokens Sold7]]*CO_entry[[#This Row],[Selling point 7]],"")</f>
        <v>95.843422771200011</v>
      </c>
      <c r="AT36" s="95">
        <f>IFERROR((AP36*AQ36)-(VLOOKUP(J36,Portfolio_Overview[[#All],[ticker]:[average per coin]],3,FALSE)*AQ36),"")</f>
        <v>87.856470873600017</v>
      </c>
      <c r="AU36" s="94">
        <f t="shared" si="12"/>
        <v>347.40680834080001</v>
      </c>
      <c r="AV36" s="29">
        <f t="shared" si="14"/>
        <v>17.768524800000002</v>
      </c>
      <c r="AW36" s="94">
        <f t="shared" si="13"/>
        <v>95.843422771200011</v>
      </c>
    </row>
    <row r="37" spans="1:49" x14ac:dyDescent="0.25">
      <c r="A37" t="s">
        <v>295</v>
      </c>
      <c r="B37" t="s">
        <v>498</v>
      </c>
      <c r="C37">
        <v>35.74</v>
      </c>
      <c r="D37" s="130">
        <v>8.9535999999999998</v>
      </c>
      <c r="E37" s="130">
        <v>320.00170000000003</v>
      </c>
      <c r="F37" s="130">
        <v>2.64</v>
      </c>
      <c r="G37" s="130">
        <v>94.3536</v>
      </c>
      <c r="H37" s="13">
        <v>1.37825272286261E-3</v>
      </c>
      <c r="J37" s="58" t="s">
        <v>3</v>
      </c>
      <c r="K37" s="87">
        <f>IFERROR(VLOOKUP(J37,price_feed[[symbol]:[current_price]],3,FALSE),"")</f>
        <v>14.5</v>
      </c>
      <c r="L37" s="88">
        <f>IFERROR(VLOOKUP(J37,Portfolio_Overview[[#All],[ticker]:[average per coin]],3,FALSE)*2,"")</f>
        <v>56.131</v>
      </c>
      <c r="M37" s="25">
        <f>IFERROR(VLOOKUP(J37,Portfolio_Overview[[#All],[ticker]:[average per coin]],2,FALSE)*M$4,"")</f>
        <v>3.7840000000000007</v>
      </c>
      <c r="N37" s="26">
        <f>IFERROR(VLOOKUP(CO_entry[[#This Row],[ticker]],Portfolio_Overview[[#All],[ticker]:[average per coin]],2,FALSE)-CO_entry[[#This Row],[Tokens Sold]],"")</f>
        <v>15.136000000000001</v>
      </c>
      <c r="O37" s="89">
        <f>IFERROR(CO_entry[[#This Row],[Tokens Sold]]*CO_entry[[#This Row],[Selling point 1]],"")</f>
        <v>212.39970400000004</v>
      </c>
      <c r="P37" s="90">
        <f>IFERROR((L37*M37)-(VLOOKUP(J37,Portfolio_Overview[[#All],[ticker]:[average per coin]],3,FALSE)*M37),"")</f>
        <v>106.19985200000002</v>
      </c>
      <c r="Q37" s="88">
        <f>IFERROR(VLOOKUP(J37,Portfolio_Overview[[#All],[ticker]:[average per coin]],3,FALSE)*3.5,"")</f>
        <v>98.229250000000008</v>
      </c>
      <c r="R37" s="27">
        <f t="shared" si="0"/>
        <v>3.0272000000000006</v>
      </c>
      <c r="S37" s="28">
        <f t="shared" si="1"/>
        <v>12.1088</v>
      </c>
      <c r="T37" s="91">
        <f>IFERROR(CO_entry[[#This Row],[Tokens Sold2]]*CO_entry[[#This Row],[Selling point 2]],"")</f>
        <v>297.35958560000006</v>
      </c>
      <c r="U37" s="92">
        <f>IFERROR((Q37*R37)-(VLOOKUP(J37,Portfolio_Overview[[#All],[ticker]:[average per coin]],3,FALSE)*R37),"")</f>
        <v>212.39970400000004</v>
      </c>
      <c r="V37" s="88">
        <f>IFERROR(VLOOKUP(J37,Portfolio_Overview[[#All],[ticker]:[average per coin]],3,FALSE)*4.5,"")</f>
        <v>126.29474999999999</v>
      </c>
      <c r="W37" s="25">
        <f t="shared" si="2"/>
        <v>2.4217600000000004</v>
      </c>
      <c r="X37" s="26">
        <f t="shared" si="3"/>
        <v>9.6870399999999997</v>
      </c>
      <c r="Y37" s="89">
        <f>IFERROR(CO_entry[[#This Row],[Tokens Sold3]]*CO_entry[[#This Row],[Selling point 3]],"")</f>
        <v>305.85557376000003</v>
      </c>
      <c r="Z37" s="90">
        <f>IFERROR((V37*W37)-(VLOOKUP(J37,Portfolio_Overview[[#All],[ticker]:[average per coin]],3,FALSE)*W37),"")</f>
        <v>237.88766848</v>
      </c>
      <c r="AA37" s="88">
        <f>IFERROR(VLOOKUP(J37,Portfolio_Overview[[#All],[ticker]:[average per coin]],3,FALSE)*6,"")</f>
        <v>168.393</v>
      </c>
      <c r="AB37" s="27">
        <f t="shared" si="4"/>
        <v>1.937408</v>
      </c>
      <c r="AC37" s="28">
        <f t="shared" si="5"/>
        <v>7.7496320000000001</v>
      </c>
      <c r="AD37" s="91">
        <f>IFERROR(CO_entry[[#This Row],[Tokens Sold4]]*CO_entry[[#This Row],[Selling point 4]],"")</f>
        <v>326.24594534400001</v>
      </c>
      <c r="AE37" s="92">
        <f>IFERROR((AA37*AB37)-(VLOOKUP(J37,Portfolio_Overview[[#All],[ticker]:[average per coin]],3,FALSE)*AB37),"")</f>
        <v>271.87162111999999</v>
      </c>
      <c r="AF37" s="88">
        <f>IFERROR(VLOOKUP(J37,Portfolio_Overview[[#All],[ticker]:[average per coin]],3,FALSE)*8,"")</f>
        <v>224.524</v>
      </c>
      <c r="AG37" s="25">
        <f t="shared" si="6"/>
        <v>1.937408</v>
      </c>
      <c r="AH37" s="26">
        <f t="shared" si="7"/>
        <v>5.8122240000000005</v>
      </c>
      <c r="AI37" s="89">
        <f>IFERROR(CO_entry[[#This Row],[Tokens Sold5]]*CO_entry[[#This Row],[Selling point 5]],"")</f>
        <v>434.99459379199999</v>
      </c>
      <c r="AJ37" s="90">
        <f>IFERROR((AF37*AG37)-(VLOOKUP(J37,Portfolio_Overview[[#All],[ticker]:[average per coin]],3,FALSE)*AG37),"")</f>
        <v>380.62026956799997</v>
      </c>
      <c r="AK37" s="97">
        <f>IFERROR(VLOOKUP(J37,Portfolio_Overview[[#All],[ticker]:[average per coin]],3,FALSE)*10,"")</f>
        <v>280.65499999999997</v>
      </c>
      <c r="AL37" s="77">
        <f t="shared" si="8"/>
        <v>2.0342784000000003</v>
      </c>
      <c r="AM37" s="77">
        <f t="shared" si="9"/>
        <v>3.7779456000000002</v>
      </c>
      <c r="AN37" s="93">
        <f>IFERROR(CO_entry[[#This Row],[Tokens Sold6]]*CO_entry[[#This Row],[Selling point 6]],"")</f>
        <v>570.93040435199998</v>
      </c>
      <c r="AO37" s="96">
        <f>IFERROR((AK37*AL37)-(VLOOKUP(J37,Portfolio_Overview[[#All],[ticker]:[average per coin]],3,FALSE)*AL37),"")</f>
        <v>513.83736391679997</v>
      </c>
      <c r="AP37" s="97">
        <f>IFERROR(VLOOKUP(J37,Portfolio_Overview[[#All],[ticker]:[average per coin]],3,FALSE)*12,"")</f>
        <v>336.786</v>
      </c>
      <c r="AQ37" s="26">
        <f t="shared" si="10"/>
        <v>1.8889728000000001</v>
      </c>
      <c r="AR37" s="26">
        <f t="shared" si="11"/>
        <v>1.8889728000000001</v>
      </c>
      <c r="AS37" s="89">
        <f>IFERROR(CO_entry[[#This Row],[Tokens Sold7]]*CO_entry[[#This Row],[Selling point 7]],"")</f>
        <v>636.17959342080007</v>
      </c>
      <c r="AT37" s="95">
        <f>IFERROR((AP37*AQ37)-(VLOOKUP(J37,Portfolio_Overview[[#All],[ticker]:[average per coin]],3,FALSE)*AQ37),"")</f>
        <v>583.16462730240005</v>
      </c>
      <c r="AU37" s="94">
        <f t="shared" si="12"/>
        <v>2305.9811063872003</v>
      </c>
      <c r="AV37" s="29">
        <f t="shared" si="14"/>
        <v>1.8889728000000001</v>
      </c>
      <c r="AW37" s="94">
        <f t="shared" si="13"/>
        <v>636.17959342080007</v>
      </c>
    </row>
    <row r="38" spans="1:49" x14ac:dyDescent="0.25">
      <c r="A38" t="s">
        <v>793</v>
      </c>
      <c r="B38" t="s">
        <v>766</v>
      </c>
      <c r="C38">
        <v>56.92</v>
      </c>
      <c r="D38" s="130">
        <v>1.7568999999999999</v>
      </c>
      <c r="E38" s="130">
        <v>100.0027</v>
      </c>
      <c r="F38" s="130">
        <v>1.54</v>
      </c>
      <c r="G38" s="130">
        <v>87.656800000000004</v>
      </c>
      <c r="H38" s="13">
        <v>1.2804304581639999E-3</v>
      </c>
      <c r="J38" s="58" t="s">
        <v>689</v>
      </c>
      <c r="K38" s="87">
        <f>IFERROR(VLOOKUP(J38,price_feed[[symbol]:[current_price]],3,FALSE),"")</f>
        <v>1.49</v>
      </c>
      <c r="L38" s="88">
        <f>IFERROR(VLOOKUP(J38,Portfolio_Overview[[#All],[ticker]:[average per coin]],3,FALSE)*2,"")</f>
        <v>3.0863999999999998</v>
      </c>
      <c r="M38" s="25">
        <f>IFERROR(VLOOKUP(J38,Portfolio_Overview[[#All],[ticker]:[average per coin]],2,FALSE)*M$4,"")</f>
        <v>11.664000000000001</v>
      </c>
      <c r="N38" s="26">
        <f>IFERROR(VLOOKUP(CO_entry[[#This Row],[ticker]],Portfolio_Overview[[#All],[ticker]:[average per coin]],2,FALSE)-CO_entry[[#This Row],[Tokens Sold]],"")</f>
        <v>46.655999999999999</v>
      </c>
      <c r="O38" s="89">
        <f>IFERROR(CO_entry[[#This Row],[Tokens Sold]]*CO_entry[[#This Row],[Selling point 1]],"")</f>
        <v>35.9997696</v>
      </c>
      <c r="P38" s="90">
        <f>IFERROR((L38*M38)-(VLOOKUP(J38,Portfolio_Overview[[#All],[ticker]:[average per coin]],3,FALSE)*M38),"")</f>
        <v>17.9998848</v>
      </c>
      <c r="Q38" s="88">
        <f>IFERROR(VLOOKUP(J38,Portfolio_Overview[[#All],[ticker]:[average per coin]],3,FALSE)*3.5,"")</f>
        <v>5.4011999999999993</v>
      </c>
      <c r="R38" s="27">
        <f t="shared" si="0"/>
        <v>9.3312000000000008</v>
      </c>
      <c r="S38" s="28">
        <f t="shared" si="1"/>
        <v>37.324799999999996</v>
      </c>
      <c r="T38" s="91">
        <f>IFERROR(CO_entry[[#This Row],[Tokens Sold2]]*CO_entry[[#This Row],[Selling point 2]],"")</f>
        <v>50.399677439999998</v>
      </c>
      <c r="U38" s="92">
        <f>IFERROR((Q38*R38)-(VLOOKUP(J38,Portfolio_Overview[[#All],[ticker]:[average per coin]],3,FALSE)*R38),"")</f>
        <v>35.999769599999993</v>
      </c>
      <c r="V38" s="88">
        <f>IFERROR(VLOOKUP(J38,Portfolio_Overview[[#All],[ticker]:[average per coin]],3,FALSE)*4.5,"")</f>
        <v>6.9443999999999999</v>
      </c>
      <c r="W38" s="25">
        <f t="shared" si="2"/>
        <v>7.4649599999999996</v>
      </c>
      <c r="X38" s="26">
        <f t="shared" si="3"/>
        <v>29.859839999999998</v>
      </c>
      <c r="Y38" s="89">
        <f>IFERROR(CO_entry[[#This Row],[Tokens Sold3]]*CO_entry[[#This Row],[Selling point 3]],"")</f>
        <v>51.839668223999993</v>
      </c>
      <c r="Z38" s="90">
        <f>IFERROR((V38*W38)-(VLOOKUP(J38,Portfolio_Overview[[#All],[ticker]:[average per coin]],3,FALSE)*W38),"")</f>
        <v>40.319741951999994</v>
      </c>
      <c r="AA38" s="88">
        <f>IFERROR(VLOOKUP(J38,Portfolio_Overview[[#All],[ticker]:[average per coin]],3,FALSE)*6,"")</f>
        <v>9.2591999999999999</v>
      </c>
      <c r="AB38" s="27">
        <f t="shared" si="4"/>
        <v>5.9719680000000004</v>
      </c>
      <c r="AC38" s="28">
        <f t="shared" si="5"/>
        <v>23.887871999999998</v>
      </c>
      <c r="AD38" s="91">
        <f>IFERROR(CO_entry[[#This Row],[Tokens Sold4]]*CO_entry[[#This Row],[Selling point 4]],"")</f>
        <v>55.295646105599999</v>
      </c>
      <c r="AE38" s="92">
        <f>IFERROR((AA38*AB38)-(VLOOKUP(J38,Portfolio_Overview[[#All],[ticker]:[average per coin]],3,FALSE)*AB38),"")</f>
        <v>46.079705087999997</v>
      </c>
      <c r="AF38" s="88">
        <f>IFERROR(VLOOKUP(J38,Portfolio_Overview[[#All],[ticker]:[average per coin]],3,FALSE)*8,"")</f>
        <v>12.345599999999999</v>
      </c>
      <c r="AG38" s="25">
        <f t="shared" si="6"/>
        <v>5.9719679999999995</v>
      </c>
      <c r="AH38" s="26">
        <f t="shared" si="7"/>
        <v>17.915903999999998</v>
      </c>
      <c r="AI38" s="89">
        <f>IFERROR(CO_entry[[#This Row],[Tokens Sold5]]*CO_entry[[#This Row],[Selling point 5]],"")</f>
        <v>73.72752814079999</v>
      </c>
      <c r="AJ38" s="90">
        <f>IFERROR((AF38*AG38)-(VLOOKUP(J38,Portfolio_Overview[[#All],[ticker]:[average per coin]],3,FALSE)*AG38),"")</f>
        <v>64.511587123199988</v>
      </c>
      <c r="AK38" s="97">
        <f>IFERROR(VLOOKUP(J38,Portfolio_Overview[[#All],[ticker]:[average per coin]],3,FALSE)*10,"")</f>
        <v>15.431999999999999</v>
      </c>
      <c r="AL38" s="77">
        <f t="shared" si="8"/>
        <v>6.270566399999999</v>
      </c>
      <c r="AM38" s="77">
        <f t="shared" si="9"/>
        <v>11.645337599999998</v>
      </c>
      <c r="AN38" s="93">
        <f>IFERROR(CO_entry[[#This Row],[Tokens Sold6]]*CO_entry[[#This Row],[Selling point 6]],"")</f>
        <v>96.767380684799974</v>
      </c>
      <c r="AO38" s="96">
        <f>IFERROR((AK38*AL38)-(VLOOKUP(J38,Portfolio_Overview[[#All],[ticker]:[average per coin]],3,FALSE)*AL38),"")</f>
        <v>87.090642616319982</v>
      </c>
      <c r="AP38" s="97">
        <f>IFERROR(VLOOKUP(J38,Portfolio_Overview[[#All],[ticker]:[average per coin]],3,FALSE)*12,"")</f>
        <v>18.5184</v>
      </c>
      <c r="AQ38" s="26">
        <f t="shared" si="10"/>
        <v>5.8226687999999989</v>
      </c>
      <c r="AR38" s="26">
        <f t="shared" si="11"/>
        <v>5.8226687999999989</v>
      </c>
      <c r="AS38" s="89">
        <f>IFERROR(CO_entry[[#This Row],[Tokens Sold7]]*CO_entry[[#This Row],[Selling point 7]],"")</f>
        <v>107.82650990591998</v>
      </c>
      <c r="AT38" s="95">
        <f>IFERROR((AP38*AQ38)-(VLOOKUP(J38,Portfolio_Overview[[#All],[ticker]:[average per coin]],3,FALSE)*AQ38),"")</f>
        <v>98.840967413759984</v>
      </c>
      <c r="AU38" s="94">
        <f t="shared" si="12"/>
        <v>390.84229859327996</v>
      </c>
      <c r="AV38" s="29">
        <f t="shared" si="14"/>
        <v>5.8226687999999989</v>
      </c>
      <c r="AW38" s="94">
        <f t="shared" si="13"/>
        <v>107.82650990591998</v>
      </c>
    </row>
    <row r="39" spans="1:49" x14ac:dyDescent="0.25">
      <c r="A39" t="s">
        <v>231</v>
      </c>
      <c r="B39" t="s">
        <v>463</v>
      </c>
      <c r="C39">
        <v>32.21</v>
      </c>
      <c r="D39" s="130">
        <v>8.6929999999999996</v>
      </c>
      <c r="E39" s="130">
        <v>280.00150000000002</v>
      </c>
      <c r="F39" s="130">
        <v>2.7</v>
      </c>
      <c r="G39" s="130">
        <v>86.966999999999999</v>
      </c>
      <c r="H39" s="13">
        <v>1.27035433252353E-3</v>
      </c>
      <c r="J39" s="64" t="s">
        <v>385</v>
      </c>
      <c r="K39" s="87">
        <f>IFERROR(VLOOKUP(J39,price_feed[[symbol]:[current_price]],3,FALSE),"")</f>
        <v>90.78</v>
      </c>
      <c r="L39" s="88">
        <f>IFERROR(VLOOKUP(J39,Portfolio_Overview[[#All],[ticker]:[average per coin]],3,FALSE)*1.5,"")</f>
        <v>72.055800000000005</v>
      </c>
      <c r="M39" s="25">
        <f>IFERROR(VLOOKUP(J39,Portfolio_Overview[[#All],[ticker]:[average per coin]],2,FALSE)*M$4,"")</f>
        <v>5.8079999999999998</v>
      </c>
      <c r="N39" s="26">
        <f>IFERROR(VLOOKUP(CO_entry[[#This Row],[ticker]],Portfolio_Overview[[#All],[ticker]:[average per coin]],2,FALSE)-CO_entry[[#This Row],[Tokens Sold]],"")</f>
        <v>23.231999999999999</v>
      </c>
      <c r="O39" s="89">
        <f>IFERROR(CO_entry[[#This Row],[Tokens Sold]]*CO_entry[[#This Row],[Selling point 1]],"")</f>
        <v>418.50008640000004</v>
      </c>
      <c r="P39" s="90">
        <f>IFERROR((L39*M39)-(VLOOKUP(J39,Portfolio_Overview[[#All],[ticker]:[average per coin]],3,FALSE)*M39),"")</f>
        <v>139.50002880000005</v>
      </c>
      <c r="Q39" s="88">
        <f>IFERROR(VLOOKUP(J39,Portfolio_Overview[[#All],[ticker]:[average per coin]],3,FALSE)*3.5,"")</f>
        <v>168.1302</v>
      </c>
      <c r="R39" s="27">
        <f t="shared" ref="R39:R69" si="15">IFERROR(N39*R$4,"")</f>
        <v>4.6463999999999999</v>
      </c>
      <c r="S39" s="28">
        <f t="shared" ref="S39:S69" si="16">IFERROR(N39-R39,"")</f>
        <v>18.585599999999999</v>
      </c>
      <c r="T39" s="91">
        <f>IFERROR(CO_entry[[#This Row],[Tokens Sold2]]*CO_entry[[#This Row],[Selling point 2]],"")</f>
        <v>781.20016127999997</v>
      </c>
      <c r="U39" s="92">
        <f>IFERROR((Q39*R39)-(VLOOKUP(J39,Portfolio_Overview[[#All],[ticker]:[average per coin]],3,FALSE)*R39),"")</f>
        <v>558.00011519999998</v>
      </c>
      <c r="V39" s="88">
        <f>IFERROR(VLOOKUP(J39,Portfolio_Overview[[#All],[ticker]:[average per coin]],3,FALSE)*4.5,"")</f>
        <v>216.16739999999999</v>
      </c>
      <c r="W39" s="25">
        <f t="shared" ref="W39:W69" si="17">IFERROR(S39*W$4,"")</f>
        <v>3.71712</v>
      </c>
      <c r="X39" s="26">
        <f t="shared" ref="X39:X69" si="18">IFERROR(S39-W39,"")</f>
        <v>14.86848</v>
      </c>
      <c r="Y39" s="89">
        <f>IFERROR(CO_entry[[#This Row],[Tokens Sold3]]*CO_entry[[#This Row],[Selling point 3]],"")</f>
        <v>803.52016588799995</v>
      </c>
      <c r="Z39" s="90">
        <f>IFERROR((V39*W39)-(VLOOKUP(J39,Portfolio_Overview[[#All],[ticker]:[average per coin]],3,FALSE)*W39),"")</f>
        <v>624.96012902400003</v>
      </c>
      <c r="AA39" s="88">
        <f>IFERROR(VLOOKUP(J39,Portfolio_Overview[[#All],[ticker]:[average per coin]],3,FALSE)*6,"")</f>
        <v>288.22320000000002</v>
      </c>
      <c r="AB39" s="27">
        <f t="shared" ref="AB39:AB69" si="19">IFERROR(X39*AB$4,"")</f>
        <v>2.9736960000000003</v>
      </c>
      <c r="AC39" s="28">
        <f t="shared" ref="AC39:AC69" si="20">IFERROR(X39-AB39,"")</f>
        <v>11.894784</v>
      </c>
      <c r="AD39" s="91">
        <f>IFERROR(CO_entry[[#This Row],[Tokens Sold4]]*CO_entry[[#This Row],[Selling point 4]],"")</f>
        <v>857.08817694720017</v>
      </c>
      <c r="AE39" s="92">
        <f>IFERROR((AA39*AB39)-(VLOOKUP(J39,Portfolio_Overview[[#All],[ticker]:[average per coin]],3,FALSE)*AB39),"")</f>
        <v>714.24014745600016</v>
      </c>
      <c r="AF39" s="88">
        <f>IFERROR(VLOOKUP(J39,Portfolio_Overview[[#All],[ticker]:[average per coin]],3,FALSE)*8,"")</f>
        <v>384.29759999999999</v>
      </c>
      <c r="AG39" s="25">
        <f t="shared" ref="AG39:AG69" si="21">IFERROR(AC39*AG$4,"")</f>
        <v>2.9736959999999999</v>
      </c>
      <c r="AH39" s="26">
        <f t="shared" ref="AH39:AH69" si="22">IFERROR(AC39-AG39,"")</f>
        <v>8.9210879999999992</v>
      </c>
      <c r="AI39" s="89">
        <f>IFERROR(CO_entry[[#This Row],[Tokens Sold5]]*CO_entry[[#This Row],[Selling point 5]],"")</f>
        <v>1142.7842359295998</v>
      </c>
      <c r="AJ39" s="90">
        <f>IFERROR((AF39*AG39)-(VLOOKUP(J39,Portfolio_Overview[[#All],[ticker]:[average per coin]],3,FALSE)*AG39),"")</f>
        <v>999.93620643839984</v>
      </c>
      <c r="AK39" s="97">
        <f>IFERROR(VLOOKUP(J39,Portfolio_Overview[[#All],[ticker]:[average per coin]],3,FALSE)*10,"")</f>
        <v>480.37199999999996</v>
      </c>
      <c r="AL39" s="77">
        <f t="shared" ref="AL39:AL69" si="23">IFERROR(AH39*AL$4,"")</f>
        <v>3.1223807999999997</v>
      </c>
      <c r="AM39" s="77">
        <f t="shared" ref="AM39:AM69" si="24">IFERROR(AH39-AL39,"")</f>
        <v>5.7987071999999991</v>
      </c>
      <c r="AN39" s="93">
        <f>IFERROR(CO_entry[[#This Row],[Tokens Sold6]]*CO_entry[[#This Row],[Selling point 6]],"")</f>
        <v>1499.9043096575997</v>
      </c>
      <c r="AO39" s="96">
        <f>IFERROR((AK39*AL39)-(VLOOKUP(J39,Portfolio_Overview[[#All],[ticker]:[average per coin]],3,FALSE)*AL39),"")</f>
        <v>1349.9138786918397</v>
      </c>
      <c r="AP39" s="97">
        <f>IFERROR(VLOOKUP(J39,Portfolio_Overview[[#All],[ticker]:[average per coin]],3,FALSE)*12,"")</f>
        <v>576.44640000000004</v>
      </c>
      <c r="AQ39" s="26">
        <f t="shared" ref="AQ39:AQ69" si="25">IFERROR(AM39*AQ$4,"")</f>
        <v>2.8993535999999995</v>
      </c>
      <c r="AR39" s="26">
        <f t="shared" ref="AR39:AR69" si="26">IFERROR(AM39-AQ39,"")</f>
        <v>2.8993535999999995</v>
      </c>
      <c r="AS39" s="89">
        <f>IFERROR(CO_entry[[#This Row],[Tokens Sold7]]*CO_entry[[#This Row],[Selling point 7]],"")</f>
        <v>1671.3219450470399</v>
      </c>
      <c r="AT39" s="95">
        <f>IFERROR((AP39*AQ39)-(VLOOKUP(J39,Portfolio_Overview[[#All],[ticker]:[average per coin]],3,FALSE)*AQ39),"")</f>
        <v>1532.0451162931199</v>
      </c>
      <c r="AU39" s="94">
        <f t="shared" si="12"/>
        <v>5918.5956219033596</v>
      </c>
      <c r="AV39" s="29">
        <f t="shared" si="14"/>
        <v>2.8993535999999995</v>
      </c>
      <c r="AW39" s="94">
        <f t="shared" si="13"/>
        <v>1671.3219450470399</v>
      </c>
    </row>
    <row r="40" spans="1:49" x14ac:dyDescent="0.25">
      <c r="A40" t="s">
        <v>690</v>
      </c>
      <c r="B40" t="s">
        <v>689</v>
      </c>
      <c r="C40">
        <v>58.32</v>
      </c>
      <c r="D40" s="130">
        <v>1.5431999999999999</v>
      </c>
      <c r="E40" s="130">
        <v>89.999399999999994</v>
      </c>
      <c r="F40" s="130">
        <v>1.49</v>
      </c>
      <c r="G40" s="130">
        <v>86.896799999999999</v>
      </c>
      <c r="H40" s="13">
        <v>1.2693288990356199E-3</v>
      </c>
      <c r="J40" s="58" t="s">
        <v>394</v>
      </c>
      <c r="K40" s="87">
        <f>IFERROR(VLOOKUP(J40,price_feed[[symbol]:[current_price]],3,FALSE),"")</f>
        <v>1.46</v>
      </c>
      <c r="L40" s="88">
        <f>IFERROR(VLOOKUP(J40,Portfolio_Overview[[#All],[ticker]:[average per coin]],3,FALSE)*3,"")</f>
        <v>2.1438000000000001</v>
      </c>
      <c r="M40" s="25">
        <f>IFERROR(VLOOKUP(J40,Portfolio_Overview[[#All],[ticker]:[average per coin]],2,FALSE)*M$4,"")</f>
        <v>17.632000000000001</v>
      </c>
      <c r="N40" s="26">
        <f>IFERROR(VLOOKUP(CO_entry[[#This Row],[ticker]],Portfolio_Overview[[#All],[ticker]:[average per coin]],2,FALSE)-CO_entry[[#This Row],[Tokens Sold]],"")</f>
        <v>70.527999999999992</v>
      </c>
      <c r="O40" s="89">
        <f>IFERROR(CO_entry[[#This Row],[Tokens Sold]]*CO_entry[[#This Row],[Selling point 1]],"")</f>
        <v>37.799481600000007</v>
      </c>
      <c r="P40" s="90">
        <f>IFERROR((L40*M40)-(VLOOKUP(J40,Portfolio_Overview[[#All],[ticker]:[average per coin]],3,FALSE)*M40),"")</f>
        <v>25.199654400000007</v>
      </c>
      <c r="Q40" s="88">
        <f>IFERROR(VLOOKUP(J40,Portfolio_Overview[[#All],[ticker]:[average per coin]],3,FALSE)*3.5,"")</f>
        <v>2.5011000000000001</v>
      </c>
      <c r="R40" s="27">
        <f t="shared" si="15"/>
        <v>14.105599999999999</v>
      </c>
      <c r="S40" s="28">
        <f t="shared" si="16"/>
        <v>56.422399999999996</v>
      </c>
      <c r="T40" s="91">
        <f>IFERROR(CO_entry[[#This Row],[Tokens Sold2]]*CO_entry[[#This Row],[Selling point 2]],"")</f>
        <v>35.27951616</v>
      </c>
      <c r="U40" s="92">
        <f>IFERROR((Q40*R40)-(VLOOKUP(J40,Portfolio_Overview[[#All],[ticker]:[average per coin]],3,FALSE)*R40),"")</f>
        <v>25.1996544</v>
      </c>
      <c r="V40" s="88">
        <f>IFERROR(VLOOKUP(J40,Portfolio_Overview[[#All],[ticker]:[average per coin]],3,FALSE)*4.5,"")</f>
        <v>3.2157</v>
      </c>
      <c r="W40" s="25">
        <f t="shared" si="17"/>
        <v>11.28448</v>
      </c>
      <c r="X40" s="26">
        <f t="shared" si="18"/>
        <v>45.137919999999994</v>
      </c>
      <c r="Y40" s="89">
        <f>IFERROR(CO_entry[[#This Row],[Tokens Sold3]]*CO_entry[[#This Row],[Selling point 3]],"")</f>
        <v>36.287502336000003</v>
      </c>
      <c r="Z40" s="90">
        <f>IFERROR((V40*W40)-(VLOOKUP(J40,Portfolio_Overview[[#All],[ticker]:[average per coin]],3,FALSE)*W40),"")</f>
        <v>28.223612928000001</v>
      </c>
      <c r="AA40" s="88">
        <f>IFERROR(VLOOKUP(J40,Portfolio_Overview[[#All],[ticker]:[average per coin]],3,FALSE)*6,"")</f>
        <v>4.2876000000000003</v>
      </c>
      <c r="AB40" s="27">
        <f t="shared" si="19"/>
        <v>9.0275839999999992</v>
      </c>
      <c r="AC40" s="28">
        <f t="shared" si="20"/>
        <v>36.110335999999997</v>
      </c>
      <c r="AD40" s="91">
        <f>IFERROR(CO_entry[[#This Row],[Tokens Sold4]]*CO_entry[[#This Row],[Selling point 4]],"")</f>
        <v>38.706669158399997</v>
      </c>
      <c r="AE40" s="92">
        <f>IFERROR((AA40*AB40)-(VLOOKUP(J40,Portfolio_Overview[[#All],[ticker]:[average per coin]],3,FALSE)*AB40),"")</f>
        <v>32.255557631999999</v>
      </c>
      <c r="AF40" s="88">
        <f>IFERROR(VLOOKUP(J40,Portfolio_Overview[[#All],[ticker]:[average per coin]],3,FALSE)*8,"")</f>
        <v>5.7168000000000001</v>
      </c>
      <c r="AG40" s="25">
        <f t="shared" si="21"/>
        <v>9.0275839999999992</v>
      </c>
      <c r="AH40" s="26">
        <f t="shared" si="22"/>
        <v>27.082751999999999</v>
      </c>
      <c r="AI40" s="89">
        <f>IFERROR(CO_entry[[#This Row],[Tokens Sold5]]*CO_entry[[#This Row],[Selling point 5]],"")</f>
        <v>51.608892211199993</v>
      </c>
      <c r="AJ40" s="90">
        <f>IFERROR((AF40*AG40)-(VLOOKUP(J40,Portfolio_Overview[[#All],[ticker]:[average per coin]],3,FALSE)*AG40),"")</f>
        <v>45.157780684799995</v>
      </c>
      <c r="AK40" s="97">
        <f>IFERROR(VLOOKUP(J40,Portfolio_Overview[[#All],[ticker]:[average per coin]],3,FALSE)*10,"")</f>
        <v>7.1459999999999999</v>
      </c>
      <c r="AL40" s="77">
        <f t="shared" si="23"/>
        <v>9.478963199999999</v>
      </c>
      <c r="AM40" s="77">
        <f t="shared" si="24"/>
        <v>17.6037888</v>
      </c>
      <c r="AN40" s="93">
        <f>IFERROR(CO_entry[[#This Row],[Tokens Sold6]]*CO_entry[[#This Row],[Selling point 6]],"")</f>
        <v>67.736671027199989</v>
      </c>
      <c r="AO40" s="96">
        <f>IFERROR((AK40*AL40)-(VLOOKUP(J40,Portfolio_Overview[[#All],[ticker]:[average per coin]],3,FALSE)*AL40),"")</f>
        <v>60.963003924479992</v>
      </c>
      <c r="AP40" s="97">
        <f>IFERROR(VLOOKUP(J40,Portfolio_Overview[[#All],[ticker]:[average per coin]],3,FALSE)*12,"")</f>
        <v>8.5752000000000006</v>
      </c>
      <c r="AQ40" s="26">
        <f t="shared" si="25"/>
        <v>8.8018944000000001</v>
      </c>
      <c r="AR40" s="26">
        <f t="shared" si="26"/>
        <v>8.8018944000000001</v>
      </c>
      <c r="AS40" s="89">
        <f>IFERROR(CO_entry[[#This Row],[Tokens Sold7]]*CO_entry[[#This Row],[Selling point 7]],"")</f>
        <v>75.478004858880013</v>
      </c>
      <c r="AT40" s="95">
        <f>IFERROR((AP40*AQ40)-(VLOOKUP(J40,Portfolio_Overview[[#All],[ticker]:[average per coin]],3,FALSE)*AQ40),"")</f>
        <v>69.188171120640007</v>
      </c>
      <c r="AU40" s="94">
        <f t="shared" si="12"/>
        <v>286.18743508991997</v>
      </c>
      <c r="AV40" s="29">
        <f t="shared" si="14"/>
        <v>8.8018944000000001</v>
      </c>
      <c r="AW40" s="94">
        <f t="shared" si="13"/>
        <v>75.478004858880013</v>
      </c>
    </row>
    <row r="41" spans="1:49" x14ac:dyDescent="0.25">
      <c r="A41" t="s">
        <v>249</v>
      </c>
      <c r="B41" t="s">
        <v>479</v>
      </c>
      <c r="C41">
        <v>27</v>
      </c>
      <c r="D41" s="130">
        <v>1.8148</v>
      </c>
      <c r="E41" s="130">
        <v>48.999600000000001</v>
      </c>
      <c r="F41" s="130">
        <v>3.08</v>
      </c>
      <c r="G41" s="130">
        <v>83.16</v>
      </c>
      <c r="H41" s="13">
        <v>1.2147442856791299E-3</v>
      </c>
      <c r="J41" s="58" t="s">
        <v>606</v>
      </c>
      <c r="K41" s="87">
        <f>IFERROR(VLOOKUP(J41,price_feed[[symbol]:[current_price]],3,FALSE),"")</f>
        <v>59.08</v>
      </c>
      <c r="L41" s="88">
        <f>IFERROR(VLOOKUP(J41,Portfolio_Overview[[#All],[ticker]:[average per coin]],3,FALSE)*2,"")</f>
        <v>711.11120000000005</v>
      </c>
      <c r="M41" s="25">
        <f>IFERROR(VLOOKUP(J41,Portfolio_Overview[[#All],[ticker]:[average per coin]],2,FALSE)*M$4,"")</f>
        <v>4.5000000000000005E-2</v>
      </c>
      <c r="N41" s="26">
        <f>IFERROR(VLOOKUP(CO_entry[[#This Row],[ticker]],Portfolio_Overview[[#All],[ticker]:[average per coin]],2,FALSE)-CO_entry[[#This Row],[Tokens Sold]],"")</f>
        <v>0.18</v>
      </c>
      <c r="O41" s="89">
        <f>IFERROR(CO_entry[[#This Row],[Tokens Sold]]*CO_entry[[#This Row],[Selling point 1]],"")</f>
        <v>32.000004000000004</v>
      </c>
      <c r="P41" s="90">
        <f>IFERROR((L41*M41)-(VLOOKUP(J41,Portfolio_Overview[[#All],[ticker]:[average per coin]],3,FALSE)*M41),"")</f>
        <v>16.000002000000002</v>
      </c>
      <c r="Q41" s="88">
        <f>IFERROR(VLOOKUP(J41,Portfolio_Overview[[#All],[ticker]:[average per coin]],3,FALSE)*3.5,"")</f>
        <v>1244.4446</v>
      </c>
      <c r="R41" s="27">
        <f t="shared" si="15"/>
        <v>3.5999999999999997E-2</v>
      </c>
      <c r="S41" s="28">
        <f t="shared" si="16"/>
        <v>0.14399999999999999</v>
      </c>
      <c r="T41" s="91">
        <f>IFERROR(CO_entry[[#This Row],[Tokens Sold2]]*CO_entry[[#This Row],[Selling point 2]],"")</f>
        <v>44.800005599999999</v>
      </c>
      <c r="U41" s="92">
        <f>IFERROR((Q41*R41)-(VLOOKUP(J41,Portfolio_Overview[[#All],[ticker]:[average per coin]],3,FALSE)*R41),"")</f>
        <v>32.000003999999997</v>
      </c>
      <c r="V41" s="88">
        <f>IFERROR(VLOOKUP(J41,Portfolio_Overview[[#All],[ticker]:[average per coin]],3,FALSE)*4.5,"")</f>
        <v>1600.0002000000002</v>
      </c>
      <c r="W41" s="25">
        <f t="shared" si="17"/>
        <v>2.8799999999999999E-2</v>
      </c>
      <c r="X41" s="26">
        <f t="shared" si="18"/>
        <v>0.1152</v>
      </c>
      <c r="Y41" s="89">
        <f>IFERROR(CO_entry[[#This Row],[Tokens Sold3]]*CO_entry[[#This Row],[Selling point 3]],"")</f>
        <v>46.080005760000006</v>
      </c>
      <c r="Z41" s="90">
        <f>IFERROR((V41*W41)-(VLOOKUP(J41,Portfolio_Overview[[#All],[ticker]:[average per coin]],3,FALSE)*W41),"")</f>
        <v>35.840004480000005</v>
      </c>
      <c r="AA41" s="88">
        <f>IFERROR(VLOOKUP(J41,Portfolio_Overview[[#All],[ticker]:[average per coin]],3,FALSE)*6,"")</f>
        <v>2133.3335999999999</v>
      </c>
      <c r="AB41" s="27">
        <f t="shared" si="19"/>
        <v>2.3040000000000001E-2</v>
      </c>
      <c r="AC41" s="28">
        <f t="shared" si="20"/>
        <v>9.2159999999999992E-2</v>
      </c>
      <c r="AD41" s="91">
        <f>IFERROR(CO_entry[[#This Row],[Tokens Sold4]]*CO_entry[[#This Row],[Selling point 4]],"")</f>
        <v>49.152006144000005</v>
      </c>
      <c r="AE41" s="92">
        <f>IFERROR((AA41*AB41)-(VLOOKUP(J41,Portfolio_Overview[[#All],[ticker]:[average per coin]],3,FALSE)*AB41),"")</f>
        <v>40.960005120000005</v>
      </c>
      <c r="AF41" s="88">
        <f>IFERROR(VLOOKUP(J41,Portfolio_Overview[[#All],[ticker]:[average per coin]],3,FALSE)*8,"")</f>
        <v>2844.4448000000002</v>
      </c>
      <c r="AG41" s="25">
        <f t="shared" si="21"/>
        <v>2.3039999999999998E-2</v>
      </c>
      <c r="AH41" s="26">
        <f t="shared" si="22"/>
        <v>6.9119999999999987E-2</v>
      </c>
      <c r="AI41" s="89">
        <f>IFERROR(CO_entry[[#This Row],[Tokens Sold5]]*CO_entry[[#This Row],[Selling point 5]],"")</f>
        <v>65.536008191999997</v>
      </c>
      <c r="AJ41" s="90">
        <f>IFERROR((AF41*AG41)-(VLOOKUP(J41,Portfolio_Overview[[#All],[ticker]:[average per coin]],3,FALSE)*AG41),"")</f>
        <v>57.344007167999997</v>
      </c>
      <c r="AK41" s="97">
        <f>IFERROR(VLOOKUP(J41,Portfolio_Overview[[#All],[ticker]:[average per coin]],3,FALSE)*10,"")</f>
        <v>3555.5560000000005</v>
      </c>
      <c r="AL41" s="77">
        <f t="shared" si="23"/>
        <v>2.4191999999999995E-2</v>
      </c>
      <c r="AM41" s="77">
        <f t="shared" si="24"/>
        <v>4.4927999999999996E-2</v>
      </c>
      <c r="AN41" s="93">
        <f>IFERROR(CO_entry[[#This Row],[Tokens Sold6]]*CO_entry[[#This Row],[Selling point 6]],"")</f>
        <v>86.016010752</v>
      </c>
      <c r="AO41" s="96">
        <f>IFERROR((AK41*AL41)-(VLOOKUP(J41,Portfolio_Overview[[#All],[ticker]:[average per coin]],3,FALSE)*AL41),"")</f>
        <v>77.414409676800005</v>
      </c>
      <c r="AP41" s="97">
        <f>IFERROR(VLOOKUP(J41,Portfolio_Overview[[#All],[ticker]:[average per coin]],3,FALSE)*12,"")</f>
        <v>4266.6671999999999</v>
      </c>
      <c r="AQ41" s="26">
        <f t="shared" si="25"/>
        <v>2.2463999999999998E-2</v>
      </c>
      <c r="AR41" s="26">
        <f t="shared" si="26"/>
        <v>2.2463999999999998E-2</v>
      </c>
      <c r="AS41" s="89">
        <f>IFERROR(CO_entry[[#This Row],[Tokens Sold7]]*CO_entry[[#This Row],[Selling point 7]],"")</f>
        <v>95.846411980799985</v>
      </c>
      <c r="AT41" s="95">
        <f>IFERROR((AP41*AQ41)-(VLOOKUP(J41,Portfolio_Overview[[#All],[ticker]:[average per coin]],3,FALSE)*AQ41),"")</f>
        <v>87.859210982399986</v>
      </c>
      <c r="AU41" s="94">
        <f t="shared" si="12"/>
        <v>347.41764342720001</v>
      </c>
      <c r="AV41" s="29">
        <f t="shared" si="14"/>
        <v>2.2463999999999998E-2</v>
      </c>
      <c r="AW41" s="94">
        <f t="shared" si="13"/>
        <v>95.846411980799985</v>
      </c>
    </row>
    <row r="42" spans="1:49" x14ac:dyDescent="0.25">
      <c r="A42" t="s">
        <v>807</v>
      </c>
      <c r="B42" t="s">
        <v>769</v>
      </c>
      <c r="C42">
        <v>116.14</v>
      </c>
      <c r="D42" s="130">
        <v>1.7393000000000001</v>
      </c>
      <c r="E42" s="130">
        <v>202.00229999999999</v>
      </c>
      <c r="F42" s="130">
        <v>0.70730000000000004</v>
      </c>
      <c r="G42" s="130">
        <v>82.145799999999994</v>
      </c>
      <c r="H42" s="13">
        <v>1.1999295471685999E-3</v>
      </c>
      <c r="J42" s="58" t="s">
        <v>771</v>
      </c>
      <c r="K42" s="114">
        <f>IFERROR(VLOOKUP(J42,price_feed[[symbol]:[current_price]],3,FALSE),"")</f>
        <v>5.7569500000000003E-3</v>
      </c>
      <c r="L42" s="88">
        <f>IFERROR(VLOOKUP(J42,Portfolio_Overview[[#All],[ticker]:[average per coin]],3,FALSE)*2,"")</f>
        <v>3.3000000000000002E-2</v>
      </c>
      <c r="M42" s="25">
        <f>IFERROR(VLOOKUP(J42,Portfolio_Overview[[#All],[ticker]:[average per coin]],2,FALSE)*M$4,"")</f>
        <v>970</v>
      </c>
      <c r="N42" s="26">
        <f>IFERROR(VLOOKUP(CO_entry[[#This Row],[ticker]],Portfolio_Overview[[#All],[ticker]:[average per coin]],2,FALSE)-CO_entry[[#This Row],[Tokens Sold]],"")</f>
        <v>3880</v>
      </c>
      <c r="O42" s="89">
        <f>IFERROR(CO_entry[[#This Row],[Tokens Sold]]*CO_entry[[#This Row],[Selling point 1]],"")</f>
        <v>32.01</v>
      </c>
      <c r="P42" s="90">
        <f>IFERROR((L42*M42)-(VLOOKUP(J42,Portfolio_Overview[[#All],[ticker]:[average per coin]],3,FALSE)*M42),"")</f>
        <v>16.004999999999999</v>
      </c>
      <c r="Q42" s="88">
        <f>IFERROR(VLOOKUP(J42,Portfolio_Overview[[#All],[ticker]:[average per coin]],3,FALSE)*3.5,"")</f>
        <v>5.7750000000000003E-2</v>
      </c>
      <c r="R42" s="27">
        <f t="shared" si="15"/>
        <v>776</v>
      </c>
      <c r="S42" s="28">
        <f t="shared" si="16"/>
        <v>3104</v>
      </c>
      <c r="T42" s="91">
        <f>IFERROR(CO_entry[[#This Row],[Tokens Sold2]]*CO_entry[[#This Row],[Selling point 2]],"")</f>
        <v>44.814</v>
      </c>
      <c r="U42" s="92">
        <f>IFERROR((Q42*R42)-(VLOOKUP(J42,Portfolio_Overview[[#All],[ticker]:[average per coin]],3,FALSE)*R42),"")</f>
        <v>32.01</v>
      </c>
      <c r="V42" s="88">
        <f>IFERROR(VLOOKUP(J42,Portfolio_Overview[[#All],[ticker]:[average per coin]],3,FALSE)*4.5,"")</f>
        <v>7.425000000000001E-2</v>
      </c>
      <c r="W42" s="25">
        <f t="shared" si="17"/>
        <v>620.80000000000007</v>
      </c>
      <c r="X42" s="26">
        <f t="shared" si="18"/>
        <v>2483.1999999999998</v>
      </c>
      <c r="Y42" s="89">
        <f>IFERROR(CO_entry[[#This Row],[Tokens Sold3]]*CO_entry[[#This Row],[Selling point 3]],"")</f>
        <v>46.094400000000014</v>
      </c>
      <c r="Z42" s="90">
        <f>IFERROR((V42*W42)-(VLOOKUP(J42,Portfolio_Overview[[#All],[ticker]:[average per coin]],3,FALSE)*W42),"")</f>
        <v>35.851200000000013</v>
      </c>
      <c r="AA42" s="88">
        <f>IFERROR(VLOOKUP(J42,Portfolio_Overview[[#All],[ticker]:[average per coin]],3,FALSE)*6,"")</f>
        <v>9.9000000000000005E-2</v>
      </c>
      <c r="AB42" s="27">
        <f t="shared" si="19"/>
        <v>496.64</v>
      </c>
      <c r="AC42" s="28">
        <f t="shared" si="20"/>
        <v>1986.56</v>
      </c>
      <c r="AD42" s="91">
        <f>IFERROR(CO_entry[[#This Row],[Tokens Sold4]]*CO_entry[[#This Row],[Selling point 4]],"")</f>
        <v>49.167360000000002</v>
      </c>
      <c r="AE42" s="92">
        <f>IFERROR((AA42*AB42)-(VLOOKUP(J42,Portfolio_Overview[[#All],[ticker]:[average per coin]],3,FALSE)*AB42),"")</f>
        <v>40.972799999999999</v>
      </c>
      <c r="AF42" s="88">
        <f>IFERROR(VLOOKUP(J42,Portfolio_Overview[[#All],[ticker]:[average per coin]],3,FALSE)*8,"")</f>
        <v>0.13200000000000001</v>
      </c>
      <c r="AG42" s="25">
        <f t="shared" si="21"/>
        <v>496.64</v>
      </c>
      <c r="AH42" s="26">
        <f t="shared" si="22"/>
        <v>1489.92</v>
      </c>
      <c r="AI42" s="89">
        <f>IFERROR(CO_entry[[#This Row],[Tokens Sold5]]*CO_entry[[#This Row],[Selling point 5]],"")</f>
        <v>65.556480000000008</v>
      </c>
      <c r="AJ42" s="90">
        <f>IFERROR((AF42*AG42)-(VLOOKUP(J42,Portfolio_Overview[[#All],[ticker]:[average per coin]],3,FALSE)*AG42),"")</f>
        <v>57.361920000000005</v>
      </c>
      <c r="AK42" s="97">
        <f>IFERROR(VLOOKUP(J42,Portfolio_Overview[[#All],[ticker]:[average per coin]],3,FALSE)*10,"")</f>
        <v>0.16500000000000001</v>
      </c>
      <c r="AL42" s="77">
        <f t="shared" si="23"/>
        <v>521.47199999999998</v>
      </c>
      <c r="AM42" s="77">
        <f t="shared" si="24"/>
        <v>968.44800000000009</v>
      </c>
      <c r="AN42" s="93">
        <f>IFERROR(CO_entry[[#This Row],[Tokens Sold6]]*CO_entry[[#This Row],[Selling point 6]],"")</f>
        <v>86.042879999999997</v>
      </c>
      <c r="AO42" s="96">
        <f>IFERROR((AK42*AL42)-(VLOOKUP(J42,Portfolio_Overview[[#All],[ticker]:[average per coin]],3,FALSE)*AL42),"")</f>
        <v>77.438592</v>
      </c>
      <c r="AP42" s="97">
        <f>IFERROR(VLOOKUP(J42,Portfolio_Overview[[#All],[ticker]:[average per coin]],3,FALSE)*12,"")</f>
        <v>0.19800000000000001</v>
      </c>
      <c r="AQ42" s="26">
        <f t="shared" si="25"/>
        <v>484.22400000000005</v>
      </c>
      <c r="AR42" s="26">
        <f t="shared" si="26"/>
        <v>484.22400000000005</v>
      </c>
      <c r="AS42" s="89">
        <f>IFERROR(CO_entry[[#This Row],[Tokens Sold7]]*CO_entry[[#This Row],[Selling point 7]],"")</f>
        <v>95.876352000000011</v>
      </c>
      <c r="AT42" s="95">
        <f>IFERROR((AP42*AQ42)-(VLOOKUP(J42,Portfolio_Overview[[#All],[ticker]:[average per coin]],3,FALSE)*AQ42),"")</f>
        <v>87.886656000000016</v>
      </c>
      <c r="AU42" s="94">
        <f t="shared" si="12"/>
        <v>347.52616800000004</v>
      </c>
      <c r="AV42" s="29">
        <f t="shared" si="14"/>
        <v>484.22400000000005</v>
      </c>
      <c r="AW42" s="94">
        <f t="shared" si="13"/>
        <v>95.876352000000011</v>
      </c>
    </row>
    <row r="43" spans="1:49" x14ac:dyDescent="0.25">
      <c r="A43" t="s">
        <v>124</v>
      </c>
      <c r="B43" t="s">
        <v>16</v>
      </c>
      <c r="C43">
        <v>0.53</v>
      </c>
      <c r="D43" s="130">
        <v>381.13209999999998</v>
      </c>
      <c r="E43" s="130">
        <v>202</v>
      </c>
      <c r="F43" s="130">
        <v>148.57</v>
      </c>
      <c r="G43" s="130">
        <v>78.742099999999994</v>
      </c>
      <c r="H43" s="13">
        <v>1.15021063031956E-3</v>
      </c>
      <c r="J43" s="58" t="s">
        <v>412</v>
      </c>
      <c r="K43" s="87">
        <f>IFERROR(VLOOKUP(J43,price_feed[[symbol]:[current_price]],3,FALSE),"")</f>
        <v>10.6</v>
      </c>
      <c r="L43" s="88">
        <f>IFERROR(VLOOKUP(J43,Portfolio_Overview[[#All],[ticker]:[average per coin]],3,FALSE)*2,"")</f>
        <v>28.363199999999999</v>
      </c>
      <c r="M43" s="25">
        <f>IFERROR(VLOOKUP(J43,Portfolio_Overview[[#All],[ticker]:[average per coin]],2,FALSE)*M$4,"")</f>
        <v>5.4860000000000007</v>
      </c>
      <c r="N43" s="26">
        <f>IFERROR(VLOOKUP(CO_entry[[#This Row],[ticker]],Portfolio_Overview[[#All],[ticker]:[average per coin]],2,FALSE)-CO_entry[[#This Row],[Tokens Sold]],"")</f>
        <v>21.943999999999999</v>
      </c>
      <c r="O43" s="89">
        <f>IFERROR(CO_entry[[#This Row],[Tokens Sold]]*CO_entry[[#This Row],[Selling point 1]],"")</f>
        <v>155.60051520000002</v>
      </c>
      <c r="P43" s="90">
        <f>IFERROR((L43*M43)-(VLOOKUP(J43,Portfolio_Overview[[#All],[ticker]:[average per coin]],3,FALSE)*M43),"")</f>
        <v>77.800257600000009</v>
      </c>
      <c r="Q43" s="88">
        <f>IFERROR(VLOOKUP(J43,Portfolio_Overview[[#All],[ticker]:[average per coin]],3,FALSE)*3.5,"")</f>
        <v>49.635599999999997</v>
      </c>
      <c r="R43" s="27">
        <f t="shared" si="15"/>
        <v>4.3887999999999998</v>
      </c>
      <c r="S43" s="28">
        <f t="shared" si="16"/>
        <v>17.555199999999999</v>
      </c>
      <c r="T43" s="91">
        <f>IFERROR(CO_entry[[#This Row],[Tokens Sold2]]*CO_entry[[#This Row],[Selling point 2]],"")</f>
        <v>217.84072127999997</v>
      </c>
      <c r="U43" s="92">
        <f>IFERROR((Q43*R43)-(VLOOKUP(J43,Portfolio_Overview[[#All],[ticker]:[average per coin]],3,FALSE)*R43),"")</f>
        <v>155.60051519999996</v>
      </c>
      <c r="V43" s="88">
        <f>IFERROR(VLOOKUP(J43,Portfolio_Overview[[#All],[ticker]:[average per coin]],3,FALSE)*4.5,"")</f>
        <v>63.8172</v>
      </c>
      <c r="W43" s="25">
        <f t="shared" si="17"/>
        <v>3.5110399999999999</v>
      </c>
      <c r="X43" s="26">
        <f t="shared" si="18"/>
        <v>14.04416</v>
      </c>
      <c r="Y43" s="89">
        <f>IFERROR(CO_entry[[#This Row],[Tokens Sold3]]*CO_entry[[#This Row],[Selling point 3]],"")</f>
        <v>224.06474188799999</v>
      </c>
      <c r="Z43" s="90">
        <f>IFERROR((V43*W43)-(VLOOKUP(J43,Portfolio_Overview[[#All],[ticker]:[average per coin]],3,FALSE)*W43),"")</f>
        <v>174.27257702399999</v>
      </c>
      <c r="AA43" s="88">
        <f>IFERROR(VLOOKUP(J43,Portfolio_Overview[[#All],[ticker]:[average per coin]],3,FALSE)*6,"")</f>
        <v>85.08959999999999</v>
      </c>
      <c r="AB43" s="27">
        <f t="shared" si="19"/>
        <v>2.8088320000000002</v>
      </c>
      <c r="AC43" s="28">
        <f t="shared" si="20"/>
        <v>11.235327999999999</v>
      </c>
      <c r="AD43" s="91">
        <f>IFERROR(CO_entry[[#This Row],[Tokens Sold4]]*CO_entry[[#This Row],[Selling point 4]],"")</f>
        <v>239.00239134719999</v>
      </c>
      <c r="AE43" s="92">
        <f>IFERROR((AA43*AB43)-(VLOOKUP(J43,Portfolio_Overview[[#All],[ticker]:[average per coin]],3,FALSE)*AB43),"")</f>
        <v>199.168659456</v>
      </c>
      <c r="AF43" s="88">
        <f>IFERROR(VLOOKUP(J43,Portfolio_Overview[[#All],[ticker]:[average per coin]],3,FALSE)*8,"")</f>
        <v>113.4528</v>
      </c>
      <c r="AG43" s="25">
        <f t="shared" si="21"/>
        <v>2.8088319999999998</v>
      </c>
      <c r="AH43" s="26">
        <f t="shared" si="22"/>
        <v>8.4264960000000002</v>
      </c>
      <c r="AI43" s="89">
        <f>IFERROR(CO_entry[[#This Row],[Tokens Sold5]]*CO_entry[[#This Row],[Selling point 5]],"")</f>
        <v>318.66985512959997</v>
      </c>
      <c r="AJ43" s="90">
        <f>IFERROR((AF43*AG43)-(VLOOKUP(J43,Portfolio_Overview[[#All],[ticker]:[average per coin]],3,FALSE)*AG43),"")</f>
        <v>278.83612323839998</v>
      </c>
      <c r="AK43" s="97">
        <f>IFERROR(VLOOKUP(J43,Portfolio_Overview[[#All],[ticker]:[average per coin]],3,FALSE)*10,"")</f>
        <v>141.816</v>
      </c>
      <c r="AL43" s="77">
        <f t="shared" si="23"/>
        <v>2.9492735999999997</v>
      </c>
      <c r="AM43" s="77">
        <f t="shared" si="24"/>
        <v>5.4772224000000005</v>
      </c>
      <c r="AN43" s="93">
        <f>IFERROR(CO_entry[[#This Row],[Tokens Sold6]]*CO_entry[[#This Row],[Selling point 6]],"")</f>
        <v>418.25418485759997</v>
      </c>
      <c r="AO43" s="96">
        <f>IFERROR((AK43*AL43)-(VLOOKUP(J43,Portfolio_Overview[[#All],[ticker]:[average per coin]],3,FALSE)*AL43),"")</f>
        <v>376.42876637183997</v>
      </c>
      <c r="AP43" s="97">
        <f>IFERROR(VLOOKUP(J43,Portfolio_Overview[[#All],[ticker]:[average per coin]],3,FALSE)*12,"")</f>
        <v>170.17919999999998</v>
      </c>
      <c r="AQ43" s="26">
        <f t="shared" si="25"/>
        <v>2.7386112000000002</v>
      </c>
      <c r="AR43" s="26">
        <f t="shared" si="26"/>
        <v>2.7386112000000002</v>
      </c>
      <c r="AS43" s="89">
        <f>IFERROR(CO_entry[[#This Row],[Tokens Sold7]]*CO_entry[[#This Row],[Selling point 7]],"")</f>
        <v>466.05466312703999</v>
      </c>
      <c r="AT43" s="95">
        <f>IFERROR((AP43*AQ43)-(VLOOKUP(J43,Portfolio_Overview[[#All],[ticker]:[average per coin]],3,FALSE)*AQ43),"")</f>
        <v>427.21677453311997</v>
      </c>
      <c r="AU43" s="94">
        <f t="shared" si="12"/>
        <v>1689.3236734233597</v>
      </c>
      <c r="AV43" s="29">
        <f t="shared" si="14"/>
        <v>2.7386112000000002</v>
      </c>
      <c r="AW43" s="94">
        <f t="shared" si="13"/>
        <v>466.05466312703999</v>
      </c>
    </row>
    <row r="44" spans="1:49" x14ac:dyDescent="0.25">
      <c r="A44" t="s">
        <v>796</v>
      </c>
      <c r="B44" t="s">
        <v>767</v>
      </c>
      <c r="C44">
        <v>44.85</v>
      </c>
      <c r="D44" s="130">
        <v>7.3802000000000003</v>
      </c>
      <c r="E44" s="130">
        <v>331.00200000000001</v>
      </c>
      <c r="F44" s="130">
        <v>1.61</v>
      </c>
      <c r="G44" s="130">
        <v>72.208500000000001</v>
      </c>
      <c r="H44" s="13">
        <v>1.05477227937063E-3</v>
      </c>
      <c r="J44" s="58" t="s">
        <v>768</v>
      </c>
      <c r="K44" s="87">
        <f>IFERROR(VLOOKUP(J44,price_feed[[symbol]:[current_price]],3,FALSE),"")</f>
        <v>1.75</v>
      </c>
      <c r="L44" s="88">
        <f>IFERROR(VLOOKUP(J44,Portfolio_Overview[[#All],[ticker]:[average per coin]],3,FALSE)*2,"")</f>
        <v>5.5376000000000003</v>
      </c>
      <c r="M44" s="25">
        <f>IFERROR(VLOOKUP(J44,Portfolio_Overview[[#All],[ticker]:[average per coin]],2,FALSE)*M$4,"")</f>
        <v>6.7900000000000009</v>
      </c>
      <c r="N44" s="26">
        <f>IFERROR(VLOOKUP(CO_entry[[#This Row],[ticker]],Portfolio_Overview[[#All],[ticker]:[average per coin]],2,FALSE)-CO_entry[[#This Row],[Tokens Sold]],"")</f>
        <v>27.160000000000004</v>
      </c>
      <c r="O44" s="89">
        <f>IFERROR(CO_entry[[#This Row],[Tokens Sold]]*CO_entry[[#This Row],[Selling point 1]],"")</f>
        <v>37.600304000000008</v>
      </c>
      <c r="P44" s="90">
        <f>IFERROR((L44*M44)-(VLOOKUP(J44,Portfolio_Overview[[#All],[ticker]:[average per coin]],3,FALSE)*M44),"")</f>
        <v>18.800152000000004</v>
      </c>
      <c r="Q44" s="88">
        <f>IFERROR(VLOOKUP(J44,Portfolio_Overview[[#All],[ticker]:[average per coin]],3,FALSE)*3.5,"")</f>
        <v>9.6908000000000012</v>
      </c>
      <c r="R44" s="27">
        <f t="shared" si="15"/>
        <v>5.4320000000000013</v>
      </c>
      <c r="S44" s="28">
        <f t="shared" si="16"/>
        <v>21.728000000000002</v>
      </c>
      <c r="T44" s="91">
        <f>IFERROR(CO_entry[[#This Row],[Tokens Sold2]]*CO_entry[[#This Row],[Selling point 2]],"")</f>
        <v>52.640425600000022</v>
      </c>
      <c r="U44" s="92">
        <f>IFERROR((Q44*R44)-(VLOOKUP(J44,Portfolio_Overview[[#All],[ticker]:[average per coin]],3,FALSE)*R44),"")</f>
        <v>37.600304000000015</v>
      </c>
      <c r="V44" s="88">
        <f>IFERROR(VLOOKUP(J44,Portfolio_Overview[[#All],[ticker]:[average per coin]],3,FALSE)*4.5,"")</f>
        <v>12.4596</v>
      </c>
      <c r="W44" s="25">
        <f t="shared" si="17"/>
        <v>4.3456000000000001</v>
      </c>
      <c r="X44" s="26">
        <f t="shared" si="18"/>
        <v>17.382400000000001</v>
      </c>
      <c r="Y44" s="89">
        <f>IFERROR(CO_entry[[#This Row],[Tokens Sold3]]*CO_entry[[#This Row],[Selling point 3]],"")</f>
        <v>54.144437760000002</v>
      </c>
      <c r="Z44" s="90">
        <f>IFERROR((V44*W44)-(VLOOKUP(J44,Portfolio_Overview[[#All],[ticker]:[average per coin]],3,FALSE)*W44),"")</f>
        <v>42.11234048</v>
      </c>
      <c r="AA44" s="88">
        <f>IFERROR(VLOOKUP(J44,Portfolio_Overview[[#All],[ticker]:[average per coin]],3,FALSE)*6,"")</f>
        <v>16.6128</v>
      </c>
      <c r="AB44" s="27">
        <f t="shared" si="19"/>
        <v>3.4764800000000005</v>
      </c>
      <c r="AC44" s="28">
        <f t="shared" si="20"/>
        <v>13.90592</v>
      </c>
      <c r="AD44" s="91">
        <f>IFERROR(CO_entry[[#This Row],[Tokens Sold4]]*CO_entry[[#This Row],[Selling point 4]],"")</f>
        <v>57.754066944000009</v>
      </c>
      <c r="AE44" s="92">
        <f>IFERROR((AA44*AB44)-(VLOOKUP(J44,Portfolio_Overview[[#All],[ticker]:[average per coin]],3,FALSE)*AB44),"")</f>
        <v>48.128389120000008</v>
      </c>
      <c r="AF44" s="88">
        <f>IFERROR(VLOOKUP(J44,Portfolio_Overview[[#All],[ticker]:[average per coin]],3,FALSE)*8,"")</f>
        <v>22.150400000000001</v>
      </c>
      <c r="AG44" s="25">
        <f t="shared" si="21"/>
        <v>3.47648</v>
      </c>
      <c r="AH44" s="26">
        <f t="shared" si="22"/>
        <v>10.42944</v>
      </c>
      <c r="AI44" s="89">
        <f>IFERROR(CO_entry[[#This Row],[Tokens Sold5]]*CO_entry[[#This Row],[Selling point 5]],"")</f>
        <v>77.005422592000002</v>
      </c>
      <c r="AJ44" s="90">
        <f>IFERROR((AF44*AG44)-(VLOOKUP(J44,Portfolio_Overview[[#All],[ticker]:[average per coin]],3,FALSE)*AG44),"")</f>
        <v>67.379744767999995</v>
      </c>
      <c r="AK44" s="97">
        <f>IFERROR(VLOOKUP(J44,Portfolio_Overview[[#All],[ticker]:[average per coin]],3,FALSE)*10,"")</f>
        <v>27.688000000000002</v>
      </c>
      <c r="AL44" s="77">
        <f t="shared" si="23"/>
        <v>3.6503039999999998</v>
      </c>
      <c r="AM44" s="77">
        <f t="shared" si="24"/>
        <v>6.7791359999999994</v>
      </c>
      <c r="AN44" s="93">
        <f>IFERROR(CO_entry[[#This Row],[Tokens Sold6]]*CO_entry[[#This Row],[Selling point 6]],"")</f>
        <v>101.06961715200001</v>
      </c>
      <c r="AO44" s="96">
        <f>IFERROR((AK44*AL44)-(VLOOKUP(J44,Portfolio_Overview[[#All],[ticker]:[average per coin]],3,FALSE)*AL44),"")</f>
        <v>90.962655436800006</v>
      </c>
      <c r="AP44" s="97">
        <f>IFERROR(VLOOKUP(J44,Portfolio_Overview[[#All],[ticker]:[average per coin]],3,FALSE)*12,"")</f>
        <v>33.2256</v>
      </c>
      <c r="AQ44" s="26">
        <f t="shared" si="25"/>
        <v>3.3895679999999997</v>
      </c>
      <c r="AR44" s="26">
        <f t="shared" si="26"/>
        <v>3.3895679999999997</v>
      </c>
      <c r="AS44" s="89">
        <f>IFERROR(CO_entry[[#This Row],[Tokens Sold7]]*CO_entry[[#This Row],[Selling point 7]],"")</f>
        <v>112.62043054079999</v>
      </c>
      <c r="AT44" s="95">
        <f>IFERROR((AP44*AQ44)-(VLOOKUP(J44,Portfolio_Overview[[#All],[ticker]:[average per coin]],3,FALSE)*AQ44),"")</f>
        <v>103.23539466239998</v>
      </c>
      <c r="AU44" s="94">
        <f t="shared" si="12"/>
        <v>408.21898046720003</v>
      </c>
      <c r="AV44" s="29">
        <f t="shared" si="14"/>
        <v>3.3895679999999997</v>
      </c>
      <c r="AW44" s="94">
        <f t="shared" si="13"/>
        <v>112.62043054079999</v>
      </c>
    </row>
    <row r="45" spans="1:49" x14ac:dyDescent="0.25">
      <c r="A45" t="s">
        <v>906</v>
      </c>
      <c r="B45" t="s">
        <v>904</v>
      </c>
      <c r="C45">
        <v>1688.83</v>
      </c>
      <c r="D45" s="130">
        <v>0.19539999999999999</v>
      </c>
      <c r="E45" s="130">
        <v>329.99740000000003</v>
      </c>
      <c r="F45" s="130">
        <v>4.2500000000000003E-2</v>
      </c>
      <c r="G45" s="130">
        <v>71.775300000000001</v>
      </c>
      <c r="H45" s="13">
        <v>1.0484443906674499E-3</v>
      </c>
      <c r="J45" s="58" t="s">
        <v>925</v>
      </c>
      <c r="K45" s="114">
        <f>IFERROR(VLOOKUP(J45,price_feed[[symbol]:[current_price]],3,FALSE),"")</f>
        <v>0.78899300000000006</v>
      </c>
      <c r="L45" s="88">
        <f>IFERROR(VLOOKUP(J45,Portfolio_Overview[[#All],[ticker]:[average per coin]],3,FALSE)*2,"")</f>
        <v>0.92600000000000005</v>
      </c>
      <c r="M45" s="25">
        <f>IFERROR(VLOOKUP(J45,Portfolio_Overview[[#All],[ticker]:[average per coin]],2,FALSE)*M$4,"")</f>
        <v>43.2</v>
      </c>
      <c r="N45" s="26">
        <f>IFERROR(VLOOKUP(CO_entry[[#This Row],[ticker]],Portfolio_Overview[[#All],[ticker]:[average per coin]],2,FALSE)-CO_entry[[#This Row],[Tokens Sold]],"")</f>
        <v>172.8</v>
      </c>
      <c r="O45" s="89">
        <f>IFERROR(CO_entry[[#This Row],[Tokens Sold]]*CO_entry[[#This Row],[Selling point 1]],"")</f>
        <v>40.003200000000007</v>
      </c>
      <c r="P45" s="90">
        <f>IFERROR((L45*M45)-(VLOOKUP(J45,Portfolio_Overview[[#All],[ticker]:[average per coin]],3,FALSE)*M45),"")</f>
        <v>20.001600000000003</v>
      </c>
      <c r="Q45" s="88">
        <f>IFERROR(VLOOKUP(J45,Portfolio_Overview[[#All],[ticker]:[average per coin]],3,FALSE)*3.5,"")</f>
        <v>1.6205000000000001</v>
      </c>
      <c r="R45" s="27">
        <f t="shared" si="15"/>
        <v>34.56</v>
      </c>
      <c r="S45" s="28">
        <f t="shared" si="16"/>
        <v>138.24</v>
      </c>
      <c r="T45" s="91">
        <f>IFERROR(CO_entry[[#This Row],[Tokens Sold2]]*CO_entry[[#This Row],[Selling point 2]],"")</f>
        <v>56.004480000000008</v>
      </c>
      <c r="U45" s="92">
        <f>IFERROR((Q45*R45)-(VLOOKUP(J45,Portfolio_Overview[[#All],[ticker]:[average per coin]],3,FALSE)*R45),"")</f>
        <v>40.003200000000007</v>
      </c>
      <c r="V45" s="88">
        <f>IFERROR(VLOOKUP(J45,Portfolio_Overview[[#All],[ticker]:[average per coin]],3,FALSE)*4.5,"")</f>
        <v>2.0834999999999999</v>
      </c>
      <c r="W45" s="25">
        <f t="shared" si="17"/>
        <v>27.648000000000003</v>
      </c>
      <c r="X45" s="26">
        <f t="shared" si="18"/>
        <v>110.59200000000001</v>
      </c>
      <c r="Y45" s="89">
        <f>IFERROR(CO_entry[[#This Row],[Tokens Sold3]]*CO_entry[[#This Row],[Selling point 3]],"")</f>
        <v>57.604608000000006</v>
      </c>
      <c r="Z45" s="90">
        <f>IFERROR((V45*W45)-(VLOOKUP(J45,Portfolio_Overview[[#All],[ticker]:[average per coin]],3,FALSE)*W45),"")</f>
        <v>44.803584000000001</v>
      </c>
      <c r="AA45" s="88">
        <f>IFERROR(VLOOKUP(J45,Portfolio_Overview[[#All],[ticker]:[average per coin]],3,FALSE)*6,"")</f>
        <v>2.778</v>
      </c>
      <c r="AB45" s="27">
        <f t="shared" si="19"/>
        <v>22.118400000000005</v>
      </c>
      <c r="AC45" s="28">
        <f t="shared" si="20"/>
        <v>88.473600000000005</v>
      </c>
      <c r="AD45" s="91">
        <f>IFERROR(CO_entry[[#This Row],[Tokens Sold4]]*CO_entry[[#This Row],[Selling point 4]],"")</f>
        <v>61.444915200000011</v>
      </c>
      <c r="AE45" s="92">
        <f>IFERROR((AA45*AB45)-(VLOOKUP(J45,Portfolio_Overview[[#All],[ticker]:[average per coin]],3,FALSE)*AB45),"")</f>
        <v>51.204096000000007</v>
      </c>
      <c r="AF45" s="88">
        <f>IFERROR(VLOOKUP(J45,Portfolio_Overview[[#All],[ticker]:[average per coin]],3,FALSE)*8,"")</f>
        <v>3.7040000000000002</v>
      </c>
      <c r="AG45" s="25">
        <f t="shared" si="21"/>
        <v>22.118400000000001</v>
      </c>
      <c r="AH45" s="26">
        <f t="shared" si="22"/>
        <v>66.355199999999996</v>
      </c>
      <c r="AI45" s="89">
        <f>IFERROR(CO_entry[[#This Row],[Tokens Sold5]]*CO_entry[[#This Row],[Selling point 5]],"")</f>
        <v>81.926553600000005</v>
      </c>
      <c r="AJ45" s="90">
        <f>IFERROR((AF45*AG45)-(VLOOKUP(J45,Portfolio_Overview[[#All],[ticker]:[average per coin]],3,FALSE)*AG45),"")</f>
        <v>71.685734400000001</v>
      </c>
      <c r="AK45" s="97">
        <f>IFERROR(VLOOKUP(J45,Portfolio_Overview[[#All],[ticker]:[average per coin]],3,FALSE)*10,"")</f>
        <v>4.63</v>
      </c>
      <c r="AL45" s="77">
        <f t="shared" si="23"/>
        <v>23.224319999999999</v>
      </c>
      <c r="AM45" s="77">
        <f t="shared" si="24"/>
        <v>43.130879999999998</v>
      </c>
      <c r="AN45" s="93">
        <f>IFERROR(CO_entry[[#This Row],[Tokens Sold6]]*CO_entry[[#This Row],[Selling point 6]],"")</f>
        <v>107.52860159999999</v>
      </c>
      <c r="AO45" s="96">
        <f>IFERROR((AK45*AL45)-(VLOOKUP(J45,Portfolio_Overview[[#All],[ticker]:[average per coin]],3,FALSE)*AL45),"")</f>
        <v>96.77574143999999</v>
      </c>
      <c r="AP45" s="97">
        <f>IFERROR(VLOOKUP(J45,Portfolio_Overview[[#All],[ticker]:[average per coin]],3,FALSE)*12,"")</f>
        <v>5.556</v>
      </c>
      <c r="AQ45" s="26">
        <f t="shared" si="25"/>
        <v>21.565439999999999</v>
      </c>
      <c r="AR45" s="26">
        <f t="shared" si="26"/>
        <v>21.565439999999999</v>
      </c>
      <c r="AS45" s="89">
        <f>IFERROR(CO_entry[[#This Row],[Tokens Sold7]]*CO_entry[[#This Row],[Selling point 7]],"")</f>
        <v>119.81758463999999</v>
      </c>
      <c r="AT45" s="95">
        <f>IFERROR((AP45*AQ45)-(VLOOKUP(J45,Portfolio_Overview[[#All],[ticker]:[average per coin]],3,FALSE)*AQ45),"")</f>
        <v>109.83278591999999</v>
      </c>
      <c r="AU45" s="94">
        <f t="shared" si="12"/>
        <v>434.30674176000002</v>
      </c>
      <c r="AV45" s="29">
        <f t="shared" si="14"/>
        <v>21.565439999999999</v>
      </c>
      <c r="AW45" s="94">
        <f t="shared" si="13"/>
        <v>119.81758463999999</v>
      </c>
    </row>
    <row r="46" spans="1:49" x14ac:dyDescent="0.25">
      <c r="A46" t="s">
        <v>698</v>
      </c>
      <c r="B46" t="s">
        <v>697</v>
      </c>
      <c r="C46">
        <v>130</v>
      </c>
      <c r="D46" s="130">
        <v>0.76149999999999995</v>
      </c>
      <c r="E46" s="130">
        <v>98.995000000000005</v>
      </c>
      <c r="F46" s="130">
        <v>0.54859999999999998</v>
      </c>
      <c r="G46" s="130">
        <v>71.317999999999998</v>
      </c>
      <c r="H46" s="13">
        <v>1.0417644656813901E-3</v>
      </c>
      <c r="J46" s="58" t="s">
        <v>766</v>
      </c>
      <c r="K46" s="87">
        <f>IFERROR(VLOOKUP(J46,price_feed[[symbol]:[current_price]],3,FALSE),"")</f>
        <v>1.54</v>
      </c>
      <c r="L46" s="88">
        <f>IFERROR(VLOOKUP(J46,Portfolio_Overview[[#All],[ticker]:[average per coin]],3,FALSE)*2,"")</f>
        <v>3.5137999999999998</v>
      </c>
      <c r="M46" s="25">
        <f>IFERROR(VLOOKUP(J46,Portfolio_Overview[[#All],[ticker]:[average per coin]],2,FALSE)*M$4,"")</f>
        <v>11.384</v>
      </c>
      <c r="N46" s="26">
        <f>IFERROR(VLOOKUP(CO_entry[[#This Row],[ticker]],Portfolio_Overview[[#All],[ticker]:[average per coin]],2,FALSE)-CO_entry[[#This Row],[Tokens Sold]],"")</f>
        <v>45.536000000000001</v>
      </c>
      <c r="O46" s="89">
        <f>IFERROR(CO_entry[[#This Row],[Tokens Sold]]*CO_entry[[#This Row],[Selling point 1]],"")</f>
        <v>40.001099199999999</v>
      </c>
      <c r="P46" s="90">
        <f>IFERROR((L46*M46)-(VLOOKUP(J46,Portfolio_Overview[[#All],[ticker]:[average per coin]],3,FALSE)*M46),"")</f>
        <v>20.000549599999999</v>
      </c>
      <c r="Q46" s="88">
        <f>IFERROR(VLOOKUP(J46,Portfolio_Overview[[#All],[ticker]:[average per coin]],3,FALSE)*3.5,"")</f>
        <v>6.1491499999999997</v>
      </c>
      <c r="R46" s="27">
        <f t="shared" si="15"/>
        <v>9.1072000000000006</v>
      </c>
      <c r="S46" s="28">
        <f t="shared" si="16"/>
        <v>36.428800000000003</v>
      </c>
      <c r="T46" s="91">
        <f>IFERROR(CO_entry[[#This Row],[Tokens Sold2]]*CO_entry[[#This Row],[Selling point 2]],"")</f>
        <v>56.001538879999998</v>
      </c>
      <c r="U46" s="92">
        <f>IFERROR((Q46*R46)-(VLOOKUP(J46,Portfolio_Overview[[#All],[ticker]:[average per coin]],3,FALSE)*R46),"")</f>
        <v>40.001099199999999</v>
      </c>
      <c r="V46" s="88">
        <f>IFERROR(VLOOKUP(J46,Portfolio_Overview[[#All],[ticker]:[average per coin]],3,FALSE)*4.5,"")</f>
        <v>7.9060499999999996</v>
      </c>
      <c r="W46" s="25">
        <f t="shared" si="17"/>
        <v>7.2857600000000007</v>
      </c>
      <c r="X46" s="26">
        <f t="shared" si="18"/>
        <v>29.143040000000003</v>
      </c>
      <c r="Y46" s="89">
        <f>IFERROR(CO_entry[[#This Row],[Tokens Sold3]]*CO_entry[[#This Row],[Selling point 3]],"")</f>
        <v>57.601582848</v>
      </c>
      <c r="Z46" s="90">
        <f>IFERROR((V46*W46)-(VLOOKUP(J46,Portfolio_Overview[[#All],[ticker]:[average per coin]],3,FALSE)*W46),"")</f>
        <v>44.801231103999996</v>
      </c>
      <c r="AA46" s="88">
        <f>IFERROR(VLOOKUP(J46,Portfolio_Overview[[#All],[ticker]:[average per coin]],3,FALSE)*6,"")</f>
        <v>10.541399999999999</v>
      </c>
      <c r="AB46" s="27">
        <f t="shared" si="19"/>
        <v>5.8286080000000009</v>
      </c>
      <c r="AC46" s="28">
        <f t="shared" si="20"/>
        <v>23.314432000000004</v>
      </c>
      <c r="AD46" s="91">
        <f>IFERROR(CO_entry[[#This Row],[Tokens Sold4]]*CO_entry[[#This Row],[Selling point 4]],"")</f>
        <v>61.441688371200009</v>
      </c>
      <c r="AE46" s="92">
        <f>IFERROR((AA46*AB46)-(VLOOKUP(J46,Portfolio_Overview[[#All],[ticker]:[average per coin]],3,FALSE)*AB46),"")</f>
        <v>51.201406976000008</v>
      </c>
      <c r="AF46" s="88">
        <f>IFERROR(VLOOKUP(J46,Portfolio_Overview[[#All],[ticker]:[average per coin]],3,FALSE)*8,"")</f>
        <v>14.055199999999999</v>
      </c>
      <c r="AG46" s="25">
        <f t="shared" si="21"/>
        <v>5.8286080000000009</v>
      </c>
      <c r="AH46" s="26">
        <f t="shared" si="22"/>
        <v>17.485824000000001</v>
      </c>
      <c r="AI46" s="89">
        <f>IFERROR(CO_entry[[#This Row],[Tokens Sold5]]*CO_entry[[#This Row],[Selling point 5]],"")</f>
        <v>81.922251161600002</v>
      </c>
      <c r="AJ46" s="90">
        <f>IFERROR((AF46*AG46)-(VLOOKUP(J46,Portfolio_Overview[[#All],[ticker]:[average per coin]],3,FALSE)*AG46),"")</f>
        <v>71.681969766400002</v>
      </c>
      <c r="AK46" s="97">
        <f>IFERROR(VLOOKUP(J46,Portfolio_Overview[[#All],[ticker]:[average per coin]],3,FALSE)*10,"")</f>
        <v>17.568999999999999</v>
      </c>
      <c r="AL46" s="77">
        <f t="shared" si="23"/>
        <v>6.1200384000000003</v>
      </c>
      <c r="AM46" s="77">
        <f t="shared" si="24"/>
        <v>11.365785600000001</v>
      </c>
      <c r="AN46" s="93">
        <f>IFERROR(CO_entry[[#This Row],[Tokens Sold6]]*CO_entry[[#This Row],[Selling point 6]],"")</f>
        <v>107.5229546496</v>
      </c>
      <c r="AO46" s="96">
        <f>IFERROR((AK46*AL46)-(VLOOKUP(J46,Portfolio_Overview[[#All],[ticker]:[average per coin]],3,FALSE)*AL46),"")</f>
        <v>96.770659184639996</v>
      </c>
      <c r="AP46" s="97">
        <f>IFERROR(VLOOKUP(J46,Portfolio_Overview[[#All],[ticker]:[average per coin]],3,FALSE)*12,"")</f>
        <v>21.082799999999999</v>
      </c>
      <c r="AQ46" s="26">
        <f t="shared" si="25"/>
        <v>5.6828928000000003</v>
      </c>
      <c r="AR46" s="26">
        <f t="shared" si="26"/>
        <v>5.6828928000000003</v>
      </c>
      <c r="AS46" s="89">
        <f>IFERROR(CO_entry[[#This Row],[Tokens Sold7]]*CO_entry[[#This Row],[Selling point 7]],"")</f>
        <v>119.81129232383999</v>
      </c>
      <c r="AT46" s="95">
        <f>IFERROR((AP46*AQ46)-(VLOOKUP(J46,Portfolio_Overview[[#All],[ticker]:[average per coin]],3,FALSE)*AQ46),"")</f>
        <v>109.82701796351999</v>
      </c>
      <c r="AU46" s="94">
        <f t="shared" si="12"/>
        <v>434.28393379456003</v>
      </c>
      <c r="AV46" s="29">
        <f t="shared" si="14"/>
        <v>5.6828928000000003</v>
      </c>
      <c r="AW46" s="94">
        <f t="shared" si="13"/>
        <v>119.81129232383999</v>
      </c>
    </row>
    <row r="47" spans="1:49" x14ac:dyDescent="0.25">
      <c r="A47" t="s">
        <v>70</v>
      </c>
      <c r="B47" t="s">
        <v>399</v>
      </c>
      <c r="C47">
        <v>24.68</v>
      </c>
      <c r="D47" s="130">
        <v>9.2382000000000009</v>
      </c>
      <c r="E47" s="130">
        <v>227.99879999999999</v>
      </c>
      <c r="F47" s="130">
        <v>2.88</v>
      </c>
      <c r="G47" s="130">
        <v>71.078400000000002</v>
      </c>
      <c r="H47" s="13">
        <v>1.0382645530930201E-3</v>
      </c>
      <c r="J47" s="58" t="s">
        <v>774</v>
      </c>
      <c r="K47" s="87">
        <f>IFERROR(VLOOKUP(J47,price_feed[[symbol]:[current_price]],3,FALSE),"")</f>
        <v>4.1900000000000004</v>
      </c>
      <c r="L47" s="88">
        <f>IFERROR(VLOOKUP(J47,Portfolio_Overview[[#All],[ticker]:[average per coin]],3,FALSE)*2,"")</f>
        <v>43</v>
      </c>
      <c r="M47" s="25">
        <f>IFERROR(VLOOKUP(J47,Portfolio_Overview[[#All],[ticker]:[average per coin]],2,FALSE)*M$4,"")</f>
        <v>0.8</v>
      </c>
      <c r="N47" s="26">
        <f>IFERROR(VLOOKUP(CO_entry[[#This Row],[ticker]],Portfolio_Overview[[#All],[ticker]:[average per coin]],2,FALSE)-CO_entry[[#This Row],[Tokens Sold]],"")</f>
        <v>3.2</v>
      </c>
      <c r="O47" s="89">
        <f>IFERROR(CO_entry[[#This Row],[Tokens Sold]]*CO_entry[[#This Row],[Selling point 1]],"")</f>
        <v>34.4</v>
      </c>
      <c r="P47" s="90">
        <f>IFERROR((L47*M47)-(VLOOKUP(J47,Portfolio_Overview[[#All],[ticker]:[average per coin]],3,FALSE)*M47),"")</f>
        <v>17.2</v>
      </c>
      <c r="Q47" s="88">
        <f>IFERROR(VLOOKUP(J47,Portfolio_Overview[[#All],[ticker]:[average per coin]],3,FALSE)*3.5,"")</f>
        <v>75.25</v>
      </c>
      <c r="R47" s="27">
        <f t="shared" si="15"/>
        <v>0.64000000000000012</v>
      </c>
      <c r="S47" s="28">
        <f t="shared" si="16"/>
        <v>2.56</v>
      </c>
      <c r="T47" s="91">
        <f>IFERROR(CO_entry[[#This Row],[Tokens Sold2]]*CO_entry[[#This Row],[Selling point 2]],"")</f>
        <v>48.160000000000011</v>
      </c>
      <c r="U47" s="92">
        <f>IFERROR((Q47*R47)-(VLOOKUP(J47,Portfolio_Overview[[#All],[ticker]:[average per coin]],3,FALSE)*R47),"")</f>
        <v>34.400000000000006</v>
      </c>
      <c r="V47" s="88">
        <f>IFERROR(VLOOKUP(J47,Portfolio_Overview[[#All],[ticker]:[average per coin]],3,FALSE)*4.5,"")</f>
        <v>96.75</v>
      </c>
      <c r="W47" s="25">
        <f t="shared" si="17"/>
        <v>0.51200000000000001</v>
      </c>
      <c r="X47" s="26">
        <f t="shared" si="18"/>
        <v>2.048</v>
      </c>
      <c r="Y47" s="89">
        <f>IFERROR(CO_entry[[#This Row],[Tokens Sold3]]*CO_entry[[#This Row],[Selling point 3]],"")</f>
        <v>49.536000000000001</v>
      </c>
      <c r="Z47" s="90">
        <f>IFERROR((V47*W47)-(VLOOKUP(J47,Portfolio_Overview[[#All],[ticker]:[average per coin]],3,FALSE)*W47),"")</f>
        <v>38.527999999999999</v>
      </c>
      <c r="AA47" s="88">
        <f>IFERROR(VLOOKUP(J47,Portfolio_Overview[[#All],[ticker]:[average per coin]],3,FALSE)*6,"")</f>
        <v>129</v>
      </c>
      <c r="AB47" s="27">
        <f t="shared" si="19"/>
        <v>0.40960000000000002</v>
      </c>
      <c r="AC47" s="28">
        <f t="shared" si="20"/>
        <v>1.6384000000000001</v>
      </c>
      <c r="AD47" s="91">
        <f>IFERROR(CO_entry[[#This Row],[Tokens Sold4]]*CO_entry[[#This Row],[Selling point 4]],"")</f>
        <v>52.8384</v>
      </c>
      <c r="AE47" s="92">
        <f>IFERROR((AA47*AB47)-(VLOOKUP(J47,Portfolio_Overview[[#All],[ticker]:[average per coin]],3,FALSE)*AB47),"")</f>
        <v>44.031999999999996</v>
      </c>
      <c r="AF47" s="88">
        <f>IFERROR(VLOOKUP(J47,Portfolio_Overview[[#All],[ticker]:[average per coin]],3,FALSE)*8,"")</f>
        <v>172</v>
      </c>
      <c r="AG47" s="25">
        <f t="shared" si="21"/>
        <v>0.40960000000000002</v>
      </c>
      <c r="AH47" s="26">
        <f t="shared" si="22"/>
        <v>1.2288000000000001</v>
      </c>
      <c r="AI47" s="89">
        <f>IFERROR(CO_entry[[#This Row],[Tokens Sold5]]*CO_entry[[#This Row],[Selling point 5]],"")</f>
        <v>70.4512</v>
      </c>
      <c r="AJ47" s="90">
        <f>IFERROR((AF47*AG47)-(VLOOKUP(J47,Portfolio_Overview[[#All],[ticker]:[average per coin]],3,FALSE)*AG47),"")</f>
        <v>61.644800000000004</v>
      </c>
      <c r="AK47" s="97">
        <f>IFERROR(VLOOKUP(J47,Portfolio_Overview[[#All],[ticker]:[average per coin]],3,FALSE)*10,"")</f>
        <v>215</v>
      </c>
      <c r="AL47" s="77">
        <f t="shared" si="23"/>
        <v>0.43008000000000002</v>
      </c>
      <c r="AM47" s="77">
        <f t="shared" si="24"/>
        <v>0.7987200000000001</v>
      </c>
      <c r="AN47" s="93">
        <f>IFERROR(CO_entry[[#This Row],[Tokens Sold6]]*CO_entry[[#This Row],[Selling point 6]],"")</f>
        <v>92.467200000000005</v>
      </c>
      <c r="AO47" s="96">
        <f>IFERROR((AK47*AL47)-(VLOOKUP(J47,Portfolio_Overview[[#All],[ticker]:[average per coin]],3,FALSE)*AL47),"")</f>
        <v>83.220480000000009</v>
      </c>
      <c r="AP47" s="97">
        <f>IFERROR(VLOOKUP(J47,Portfolio_Overview[[#All],[ticker]:[average per coin]],3,FALSE)*12,"")</f>
        <v>258</v>
      </c>
      <c r="AQ47" s="26">
        <f t="shared" si="25"/>
        <v>0.39936000000000005</v>
      </c>
      <c r="AR47" s="26">
        <f t="shared" si="26"/>
        <v>0.39936000000000005</v>
      </c>
      <c r="AS47" s="89">
        <f>IFERROR(CO_entry[[#This Row],[Tokens Sold7]]*CO_entry[[#This Row],[Selling point 7]],"")</f>
        <v>103.03488000000002</v>
      </c>
      <c r="AT47" s="95">
        <f>IFERROR((AP47*AQ47)-(VLOOKUP(J47,Portfolio_Overview[[#All],[ticker]:[average per coin]],3,FALSE)*AQ47),"")</f>
        <v>94.448640000000012</v>
      </c>
      <c r="AU47" s="94">
        <f t="shared" si="12"/>
        <v>373.47392000000008</v>
      </c>
      <c r="AV47" s="29">
        <f t="shared" si="14"/>
        <v>0.39936000000000005</v>
      </c>
      <c r="AW47" s="94">
        <f t="shared" si="13"/>
        <v>103.03488000000002</v>
      </c>
    </row>
    <row r="48" spans="1:49" x14ac:dyDescent="0.25">
      <c r="A48" t="s">
        <v>789</v>
      </c>
      <c r="B48" t="s">
        <v>768</v>
      </c>
      <c r="C48">
        <v>33.950000000000003</v>
      </c>
      <c r="D48" s="130">
        <v>2.7688000000000001</v>
      </c>
      <c r="E48" s="130">
        <v>94.000799999999998</v>
      </c>
      <c r="F48" s="130">
        <v>1.75</v>
      </c>
      <c r="G48" s="130">
        <v>59.412500000000001</v>
      </c>
      <c r="H48" s="13">
        <v>8.6785708120384203E-4</v>
      </c>
      <c r="J48" s="58" t="s">
        <v>777</v>
      </c>
      <c r="K48" s="114">
        <f>IFERROR(VLOOKUP(J48,price_feed[[symbol]:[current_price]],3,FALSE),"")</f>
        <v>0.248469</v>
      </c>
      <c r="L48" s="88">
        <f>IFERROR(VLOOKUP(J48,Portfolio_Overview[[#All],[ticker]:[average per coin]],3,FALSE)*2,"")</f>
        <v>3.6806000000000001</v>
      </c>
      <c r="M48" s="25">
        <f>IFERROR(VLOOKUP(J48,Portfolio_Overview[[#All],[ticker]:[average per coin]],2,FALSE)*M$4,"")</f>
        <v>8.6940000000000008</v>
      </c>
      <c r="N48" s="26">
        <f>IFERROR(VLOOKUP(CO_entry[[#This Row],[ticker]],Portfolio_Overview[[#All],[ticker]:[average per coin]],2,FALSE)-CO_entry[[#This Row],[Tokens Sold]],"")</f>
        <v>34.775999999999996</v>
      </c>
      <c r="O48" s="89">
        <f>IFERROR(CO_entry[[#This Row],[Tokens Sold]]*CO_entry[[#This Row],[Selling point 1]],"")</f>
        <v>31.999136400000005</v>
      </c>
      <c r="P48" s="90">
        <f>IFERROR((L48*M48)-(VLOOKUP(J48,Portfolio_Overview[[#All],[ticker]:[average per coin]],3,FALSE)*M48),"")</f>
        <v>15.999568200000002</v>
      </c>
      <c r="Q48" s="88">
        <f>IFERROR(VLOOKUP(J48,Portfolio_Overview[[#All],[ticker]:[average per coin]],3,FALSE)*3.5,"")</f>
        <v>6.4410500000000006</v>
      </c>
      <c r="R48" s="27">
        <f t="shared" si="15"/>
        <v>6.9551999999999996</v>
      </c>
      <c r="S48" s="28">
        <f t="shared" si="16"/>
        <v>27.820799999999998</v>
      </c>
      <c r="T48" s="91">
        <f>IFERROR(CO_entry[[#This Row],[Tokens Sold2]]*CO_entry[[#This Row],[Selling point 2]],"")</f>
        <v>44.798790960000005</v>
      </c>
      <c r="U48" s="92">
        <f>IFERROR((Q48*R48)-(VLOOKUP(J48,Portfolio_Overview[[#All],[ticker]:[average per coin]],3,FALSE)*R48),"")</f>
        <v>31.999136400000005</v>
      </c>
      <c r="V48" s="88">
        <f>IFERROR(VLOOKUP(J48,Portfolio_Overview[[#All],[ticker]:[average per coin]],3,FALSE)*4.5,"")</f>
        <v>8.2813499999999998</v>
      </c>
      <c r="W48" s="25">
        <f t="shared" si="17"/>
        <v>5.5641600000000002</v>
      </c>
      <c r="X48" s="26">
        <f t="shared" si="18"/>
        <v>22.256639999999997</v>
      </c>
      <c r="Y48" s="89">
        <f>IFERROR(CO_entry[[#This Row],[Tokens Sold3]]*CO_entry[[#This Row],[Selling point 3]],"")</f>
        <v>46.078756415999997</v>
      </c>
      <c r="Z48" s="90">
        <f>IFERROR((V48*W48)-(VLOOKUP(J48,Portfolio_Overview[[#All],[ticker]:[average per coin]],3,FALSE)*W48),"")</f>
        <v>35.839032767999996</v>
      </c>
      <c r="AA48" s="88">
        <f>IFERROR(VLOOKUP(J48,Portfolio_Overview[[#All],[ticker]:[average per coin]],3,FALSE)*6,"")</f>
        <v>11.0418</v>
      </c>
      <c r="AB48" s="27">
        <f t="shared" si="19"/>
        <v>4.4513279999999993</v>
      </c>
      <c r="AC48" s="28">
        <f t="shared" si="20"/>
        <v>17.805311999999997</v>
      </c>
      <c r="AD48" s="91">
        <f>IFERROR(CO_entry[[#This Row],[Tokens Sold4]]*CO_entry[[#This Row],[Selling point 4]],"")</f>
        <v>49.15067351039999</v>
      </c>
      <c r="AE48" s="92">
        <f>IFERROR((AA48*AB48)-(VLOOKUP(J48,Portfolio_Overview[[#All],[ticker]:[average per coin]],3,FALSE)*AB48),"")</f>
        <v>40.958894591999993</v>
      </c>
      <c r="AF48" s="88">
        <f>IFERROR(VLOOKUP(J48,Portfolio_Overview[[#All],[ticker]:[average per coin]],3,FALSE)*8,"")</f>
        <v>14.7224</v>
      </c>
      <c r="AG48" s="25">
        <f t="shared" si="21"/>
        <v>4.4513279999999993</v>
      </c>
      <c r="AH48" s="26">
        <f t="shared" si="22"/>
        <v>13.353983999999997</v>
      </c>
      <c r="AI48" s="89">
        <f>IFERROR(CO_entry[[#This Row],[Tokens Sold5]]*CO_entry[[#This Row],[Selling point 5]],"")</f>
        <v>65.534231347199992</v>
      </c>
      <c r="AJ48" s="90">
        <f>IFERROR((AF48*AG48)-(VLOOKUP(J48,Portfolio_Overview[[#All],[ticker]:[average per coin]],3,FALSE)*AG48),"")</f>
        <v>57.342452428799994</v>
      </c>
      <c r="AK48" s="97">
        <f>IFERROR(VLOOKUP(J48,Portfolio_Overview[[#All],[ticker]:[average per coin]],3,FALSE)*10,"")</f>
        <v>18.402999999999999</v>
      </c>
      <c r="AL48" s="77">
        <f t="shared" si="23"/>
        <v>4.6738943999999982</v>
      </c>
      <c r="AM48" s="77">
        <f t="shared" si="24"/>
        <v>8.6800895999999987</v>
      </c>
      <c r="AN48" s="93">
        <f>IFERROR(CO_entry[[#This Row],[Tokens Sold6]]*CO_entry[[#This Row],[Selling point 6]],"")</f>
        <v>86.013678643199967</v>
      </c>
      <c r="AO48" s="96">
        <f>IFERROR((AK48*AL48)-(VLOOKUP(J48,Portfolio_Overview[[#All],[ticker]:[average per coin]],3,FALSE)*AL48),"")</f>
        <v>77.41231077887997</v>
      </c>
      <c r="AP48" s="97">
        <f>IFERROR(VLOOKUP(J48,Portfolio_Overview[[#All],[ticker]:[average per coin]],3,FALSE)*12,"")</f>
        <v>22.083600000000001</v>
      </c>
      <c r="AQ48" s="26">
        <f t="shared" si="25"/>
        <v>4.3400447999999994</v>
      </c>
      <c r="AR48" s="26">
        <f t="shared" si="26"/>
        <v>4.3400447999999994</v>
      </c>
      <c r="AS48" s="89">
        <f>IFERROR(CO_entry[[#This Row],[Tokens Sold7]]*CO_entry[[#This Row],[Selling point 7]],"")</f>
        <v>95.843813345279983</v>
      </c>
      <c r="AT48" s="95">
        <f>IFERROR((AP48*AQ48)-(VLOOKUP(J48,Portfolio_Overview[[#All],[ticker]:[average per coin]],3,FALSE)*AQ48),"")</f>
        <v>87.856828899839982</v>
      </c>
      <c r="AU48" s="94">
        <f t="shared" si="12"/>
        <v>347.40822406751994</v>
      </c>
      <c r="AV48" s="29">
        <f t="shared" si="14"/>
        <v>4.3400447999999994</v>
      </c>
      <c r="AW48" s="94">
        <f t="shared" si="13"/>
        <v>95.843813345279983</v>
      </c>
    </row>
    <row r="49" spans="1:49" x14ac:dyDescent="0.25">
      <c r="A49" t="s">
        <v>89</v>
      </c>
      <c r="B49" t="s">
        <v>409</v>
      </c>
      <c r="C49">
        <v>8.91</v>
      </c>
      <c r="D49" s="130">
        <v>22.4467</v>
      </c>
      <c r="E49" s="130">
        <v>200.0001</v>
      </c>
      <c r="F49" s="130">
        <v>6.25</v>
      </c>
      <c r="G49" s="130">
        <v>55.6875</v>
      </c>
      <c r="H49" s="13">
        <v>8.1344483416013298E-4</v>
      </c>
      <c r="J49" s="58" t="s">
        <v>767</v>
      </c>
      <c r="K49" s="87">
        <f>IFERROR(VLOOKUP(J49,price_feed[[symbol]:[current_price]],3,FALSE),"")</f>
        <v>1.61</v>
      </c>
      <c r="L49" s="88">
        <f>IFERROR(VLOOKUP(J49,Portfolio_Overview[[#All],[ticker]:[average per coin]],3,FALSE)*2,"")</f>
        <v>14.760400000000001</v>
      </c>
      <c r="M49" s="25">
        <f>IFERROR(VLOOKUP(J49,Portfolio_Overview[[#All],[ticker]:[average per coin]],2,FALSE)*M$4,"")</f>
        <v>8.9700000000000006</v>
      </c>
      <c r="N49" s="26">
        <f>IFERROR(VLOOKUP(CO_entry[[#This Row],[ticker]],Portfolio_Overview[[#All],[ticker]:[average per coin]],2,FALSE)-CO_entry[[#This Row],[Tokens Sold]],"")</f>
        <v>35.880000000000003</v>
      </c>
      <c r="O49" s="89">
        <f>IFERROR(CO_entry[[#This Row],[Tokens Sold]]*CO_entry[[#This Row],[Selling point 1]],"")</f>
        <v>132.40078800000001</v>
      </c>
      <c r="P49" s="90">
        <f>IFERROR((L49*M49)-(VLOOKUP(J49,Portfolio_Overview[[#All],[ticker]:[average per coin]],3,FALSE)*M49),"")</f>
        <v>66.200394000000003</v>
      </c>
      <c r="Q49" s="88">
        <f>IFERROR(VLOOKUP(J49,Portfolio_Overview[[#All],[ticker]:[average per coin]],3,FALSE)*3.5,"")</f>
        <v>25.8307</v>
      </c>
      <c r="R49" s="27">
        <f t="shared" si="15"/>
        <v>7.176000000000001</v>
      </c>
      <c r="S49" s="28">
        <f t="shared" si="16"/>
        <v>28.704000000000001</v>
      </c>
      <c r="T49" s="91">
        <f>IFERROR(CO_entry[[#This Row],[Tokens Sold2]]*CO_entry[[#This Row],[Selling point 2]],"")</f>
        <v>185.36110320000003</v>
      </c>
      <c r="U49" s="92">
        <f>IFERROR((Q49*R49)-(VLOOKUP(J49,Portfolio_Overview[[#All],[ticker]:[average per coin]],3,FALSE)*R49),"")</f>
        <v>132.40078800000003</v>
      </c>
      <c r="V49" s="88">
        <f>IFERROR(VLOOKUP(J49,Portfolio_Overview[[#All],[ticker]:[average per coin]],3,FALSE)*4.5,"")</f>
        <v>33.210900000000002</v>
      </c>
      <c r="W49" s="25">
        <f t="shared" si="17"/>
        <v>5.7408000000000001</v>
      </c>
      <c r="X49" s="26">
        <f t="shared" si="18"/>
        <v>22.963200000000001</v>
      </c>
      <c r="Y49" s="89">
        <f>IFERROR(CO_entry[[#This Row],[Tokens Sold3]]*CO_entry[[#This Row],[Selling point 3]],"")</f>
        <v>190.65713472000002</v>
      </c>
      <c r="Z49" s="90">
        <f>IFERROR((V49*W49)-(VLOOKUP(J49,Portfolio_Overview[[#All],[ticker]:[average per coin]],3,FALSE)*W49),"")</f>
        <v>148.28888256000002</v>
      </c>
      <c r="AA49" s="88">
        <f>IFERROR(VLOOKUP(J49,Portfolio_Overview[[#All],[ticker]:[average per coin]],3,FALSE)*6,"")</f>
        <v>44.281199999999998</v>
      </c>
      <c r="AB49" s="27">
        <f t="shared" si="19"/>
        <v>4.5926400000000003</v>
      </c>
      <c r="AC49" s="28">
        <f t="shared" si="20"/>
        <v>18.370560000000001</v>
      </c>
      <c r="AD49" s="91">
        <f>IFERROR(CO_entry[[#This Row],[Tokens Sold4]]*CO_entry[[#This Row],[Selling point 4]],"")</f>
        <v>203.36761036800002</v>
      </c>
      <c r="AE49" s="92">
        <f>IFERROR((AA49*AB49)-(VLOOKUP(J49,Portfolio_Overview[[#All],[ticker]:[average per coin]],3,FALSE)*AB49),"")</f>
        <v>169.47300864000002</v>
      </c>
      <c r="AF49" s="88">
        <f>IFERROR(VLOOKUP(J49,Portfolio_Overview[[#All],[ticker]:[average per coin]],3,FALSE)*8,"")</f>
        <v>59.041600000000003</v>
      </c>
      <c r="AG49" s="25">
        <f t="shared" si="21"/>
        <v>4.5926400000000003</v>
      </c>
      <c r="AH49" s="26">
        <f t="shared" si="22"/>
        <v>13.777920000000002</v>
      </c>
      <c r="AI49" s="89">
        <f>IFERROR(CO_entry[[#This Row],[Tokens Sold5]]*CO_entry[[#This Row],[Selling point 5]],"")</f>
        <v>271.15681382400004</v>
      </c>
      <c r="AJ49" s="90">
        <f>IFERROR((AF49*AG49)-(VLOOKUP(J49,Portfolio_Overview[[#All],[ticker]:[average per coin]],3,FALSE)*AG49),"")</f>
        <v>237.26221209600004</v>
      </c>
      <c r="AK49" s="97">
        <f>IFERROR(VLOOKUP(J49,Portfolio_Overview[[#All],[ticker]:[average per coin]],3,FALSE)*10,"")</f>
        <v>73.802000000000007</v>
      </c>
      <c r="AL49" s="77">
        <f t="shared" si="23"/>
        <v>4.8222719999999999</v>
      </c>
      <c r="AM49" s="77">
        <f t="shared" si="24"/>
        <v>8.9556480000000018</v>
      </c>
      <c r="AN49" s="93">
        <f>IFERROR(CO_entry[[#This Row],[Tokens Sold6]]*CO_entry[[#This Row],[Selling point 6]],"")</f>
        <v>355.89331814400003</v>
      </c>
      <c r="AO49" s="96">
        <f>IFERROR((AK49*AL49)-(VLOOKUP(J49,Portfolio_Overview[[#All],[ticker]:[average per coin]],3,FALSE)*AL49),"")</f>
        <v>320.30398632960004</v>
      </c>
      <c r="AP49" s="97">
        <f>IFERROR(VLOOKUP(J49,Portfolio_Overview[[#All],[ticker]:[average per coin]],3,FALSE)*12,"")</f>
        <v>88.562399999999997</v>
      </c>
      <c r="AQ49" s="26">
        <f t="shared" si="25"/>
        <v>4.4778240000000009</v>
      </c>
      <c r="AR49" s="26">
        <f t="shared" si="26"/>
        <v>4.4778240000000009</v>
      </c>
      <c r="AS49" s="89">
        <f>IFERROR(CO_entry[[#This Row],[Tokens Sold7]]*CO_entry[[#This Row],[Selling point 7]],"")</f>
        <v>396.56684021760009</v>
      </c>
      <c r="AT49" s="95">
        <f>IFERROR((AP49*AQ49)-(VLOOKUP(J49,Portfolio_Overview[[#All],[ticker]:[average per coin]],3,FALSE)*AQ49),"")</f>
        <v>363.51960353280009</v>
      </c>
      <c r="AU49" s="94">
        <f t="shared" si="12"/>
        <v>1437.4488751584004</v>
      </c>
      <c r="AV49" s="29">
        <f t="shared" si="14"/>
        <v>4.4778240000000009</v>
      </c>
      <c r="AW49" s="94">
        <f t="shared" si="13"/>
        <v>396.56684021760009</v>
      </c>
    </row>
    <row r="50" spans="1:49" x14ac:dyDescent="0.25">
      <c r="A50" t="s">
        <v>619</v>
      </c>
      <c r="B50" t="s">
        <v>419</v>
      </c>
      <c r="C50">
        <v>200</v>
      </c>
      <c r="D50" s="130">
        <v>0.375</v>
      </c>
      <c r="E50" s="130">
        <v>75</v>
      </c>
      <c r="F50" s="130">
        <v>0.2087</v>
      </c>
      <c r="G50" s="130">
        <v>41.74</v>
      </c>
      <c r="H50" s="13">
        <v>6.0970931318238297E-4</v>
      </c>
      <c r="J50" s="58" t="s">
        <v>625</v>
      </c>
      <c r="K50" s="87" t="str">
        <f>IFERROR(VLOOKUP(J50,price_feed[[symbol]:[current_price]],3,FALSE),"")</f>
        <v/>
      </c>
      <c r="L50" s="88">
        <f>IFERROR(VLOOKUP(J50,Portfolio_Overview[[#All],[ticker]:[average per coin]],3,FALSE)*2,"")</f>
        <v>32.195799999999998</v>
      </c>
      <c r="M50" s="25">
        <f>IFERROR(VLOOKUP(J50,Portfolio_Overview[[#All],[ticker]:[average per coin]],2,FALSE)*M$4,"")</f>
        <v>9.3552800000000005</v>
      </c>
      <c r="N50" s="26">
        <f>IFERROR(VLOOKUP(CO_entry[[#This Row],[ticker]],Portfolio_Overview[[#All],[ticker]:[average per coin]],2,FALSE)-CO_entry[[#This Row],[Tokens Sold]],"")</f>
        <v>37.421120000000002</v>
      </c>
      <c r="O50" s="89">
        <f>IFERROR(CO_entry[[#This Row],[Tokens Sold]]*CO_entry[[#This Row],[Selling point 1]],"")</f>
        <v>301.20072382400002</v>
      </c>
      <c r="P50" s="90">
        <f>IFERROR((L50*M50)-(VLOOKUP(J50,Portfolio_Overview[[#All],[ticker]:[average per coin]],3,FALSE)*M50),"")</f>
        <v>150.60036191200001</v>
      </c>
      <c r="Q50" s="88">
        <f>IFERROR(VLOOKUP(J50,Portfolio_Overview[[#All],[ticker]:[average per coin]],3,FALSE)*3.5,"")</f>
        <v>56.342649999999999</v>
      </c>
      <c r="R50" s="27">
        <f t="shared" si="15"/>
        <v>7.4842240000000011</v>
      </c>
      <c r="S50" s="28">
        <f t="shared" si="16"/>
        <v>29.936896000000001</v>
      </c>
      <c r="T50" s="91">
        <f>IFERROR(CO_entry[[#This Row],[Tokens Sold2]]*CO_entry[[#This Row],[Selling point 2]],"")</f>
        <v>421.68101335360006</v>
      </c>
      <c r="U50" s="92">
        <f>IFERROR((Q50*R50)-(VLOOKUP(J50,Portfolio_Overview[[#All],[ticker]:[average per coin]],3,FALSE)*R50),"")</f>
        <v>301.20072382400008</v>
      </c>
      <c r="V50" s="88">
        <f>IFERROR(VLOOKUP(J50,Portfolio_Overview[[#All],[ticker]:[average per coin]],3,FALSE)*4.5,"")</f>
        <v>72.440550000000002</v>
      </c>
      <c r="W50" s="25">
        <f t="shared" si="17"/>
        <v>5.9873792000000003</v>
      </c>
      <c r="X50" s="26">
        <f t="shared" si="18"/>
        <v>23.949516800000001</v>
      </c>
      <c r="Y50" s="89">
        <f>IFERROR(CO_entry[[#This Row],[Tokens Sold3]]*CO_entry[[#This Row],[Selling point 3]],"")</f>
        <v>433.72904230656002</v>
      </c>
      <c r="Z50" s="90">
        <f>IFERROR((V50*W50)-(VLOOKUP(J50,Portfolio_Overview[[#All],[ticker]:[average per coin]],3,FALSE)*W50),"")</f>
        <v>337.34481068288005</v>
      </c>
      <c r="AA50" s="88">
        <f>IFERROR(VLOOKUP(J50,Portfolio_Overview[[#All],[ticker]:[average per coin]],3,FALSE)*6,"")</f>
        <v>96.587400000000002</v>
      </c>
      <c r="AB50" s="27">
        <f t="shared" si="19"/>
        <v>4.7899033600000003</v>
      </c>
      <c r="AC50" s="28">
        <f t="shared" si="20"/>
        <v>19.159613440000001</v>
      </c>
      <c r="AD50" s="91">
        <f>IFERROR(CO_entry[[#This Row],[Tokens Sold4]]*CO_entry[[#This Row],[Selling point 4]],"")</f>
        <v>462.64431179366403</v>
      </c>
      <c r="AE50" s="92">
        <f>IFERROR((AA50*AB50)-(VLOOKUP(J50,Portfolio_Overview[[#All],[ticker]:[average per coin]],3,FALSE)*AB50),"")</f>
        <v>385.53692649472003</v>
      </c>
      <c r="AF50" s="88">
        <f>IFERROR(VLOOKUP(J50,Portfolio_Overview[[#All],[ticker]:[average per coin]],3,FALSE)*8,"")</f>
        <v>128.78319999999999</v>
      </c>
      <c r="AG50" s="25">
        <f t="shared" si="21"/>
        <v>4.7899033600000003</v>
      </c>
      <c r="AH50" s="26">
        <f t="shared" si="22"/>
        <v>14.369710080000001</v>
      </c>
      <c r="AI50" s="89">
        <f>IFERROR(CO_entry[[#This Row],[Tokens Sold5]]*CO_entry[[#This Row],[Selling point 5]],"")</f>
        <v>616.85908239155196</v>
      </c>
      <c r="AJ50" s="90">
        <f>IFERROR((AF50*AG50)-(VLOOKUP(J50,Portfolio_Overview[[#All],[ticker]:[average per coin]],3,FALSE)*AG50),"")</f>
        <v>539.75169709260797</v>
      </c>
      <c r="AK50" s="97">
        <f>IFERROR(VLOOKUP(J50,Portfolio_Overview[[#All],[ticker]:[average per coin]],3,FALSE)*10,"")</f>
        <v>160.97899999999998</v>
      </c>
      <c r="AL50" s="77">
        <f t="shared" si="23"/>
        <v>5.0293985279999998</v>
      </c>
      <c r="AM50" s="77">
        <f t="shared" si="24"/>
        <v>9.3403115520000011</v>
      </c>
      <c r="AN50" s="93">
        <f>IFERROR(CO_entry[[#This Row],[Tokens Sold6]]*CO_entry[[#This Row],[Selling point 6]],"")</f>
        <v>809.6275456389119</v>
      </c>
      <c r="AO50" s="96">
        <f>IFERROR((AK50*AL50)-(VLOOKUP(J50,Portfolio_Overview[[#All],[ticker]:[average per coin]],3,FALSE)*AL50),"")</f>
        <v>728.66479107502073</v>
      </c>
      <c r="AP50" s="97">
        <f>IFERROR(VLOOKUP(J50,Portfolio_Overview[[#All],[ticker]:[average per coin]],3,FALSE)*12,"")</f>
        <v>193.1748</v>
      </c>
      <c r="AQ50" s="26">
        <f t="shared" si="25"/>
        <v>4.6701557760000005</v>
      </c>
      <c r="AR50" s="26">
        <f t="shared" si="26"/>
        <v>4.6701557760000005</v>
      </c>
      <c r="AS50" s="89">
        <f>IFERROR(CO_entry[[#This Row],[Tokens Sold7]]*CO_entry[[#This Row],[Selling point 7]],"")</f>
        <v>902.15640799764492</v>
      </c>
      <c r="AT50" s="95">
        <f>IFERROR((AP50*AQ50)-(VLOOKUP(J50,Portfolio_Overview[[#All],[ticker]:[average per coin]],3,FALSE)*AQ50),"")</f>
        <v>826.97670733117457</v>
      </c>
      <c r="AU50" s="94">
        <f t="shared" si="12"/>
        <v>3270.0760184124033</v>
      </c>
      <c r="AV50" s="29">
        <f t="shared" si="14"/>
        <v>4.6701557760000005</v>
      </c>
      <c r="AW50" s="94">
        <f t="shared" si="13"/>
        <v>902.15640799764492</v>
      </c>
    </row>
    <row r="51" spans="1:49" x14ac:dyDescent="0.25">
      <c r="A51" t="s">
        <v>169</v>
      </c>
      <c r="B51" t="s">
        <v>342</v>
      </c>
      <c r="C51">
        <v>27.77</v>
      </c>
      <c r="D51" s="130">
        <v>3.601</v>
      </c>
      <c r="E51" s="130">
        <v>99.999799999999993</v>
      </c>
      <c r="F51" s="130">
        <v>1.44</v>
      </c>
      <c r="G51" s="130">
        <v>39.988799999999998</v>
      </c>
      <c r="H51" s="13">
        <v>5.84128983780251E-4</v>
      </c>
      <c r="J51" s="58" t="s">
        <v>410</v>
      </c>
      <c r="K51" s="87">
        <f>IFERROR(VLOOKUP(J51,price_feed[[symbol]:[current_price]],3,FALSE),"")</f>
        <v>118.36</v>
      </c>
      <c r="L51" s="88">
        <f>IFERROR(VLOOKUP(J51,Portfolio_Overview[[#All],[ticker]:[average per coin]],3,FALSE)*2,"")</f>
        <v>603.05340000000001</v>
      </c>
      <c r="M51" s="25">
        <f>IFERROR(VLOOKUP(J51,Portfolio_Overview[[#All],[ticker]:[average per coin]],2,FALSE)*M$4,"")</f>
        <v>0.26200000000000001</v>
      </c>
      <c r="N51" s="26">
        <f>IFERROR(VLOOKUP(CO_entry[[#This Row],[ticker]],Portfolio_Overview[[#All],[ticker]:[average per coin]],2,FALSE)-CO_entry[[#This Row],[Tokens Sold]],"")</f>
        <v>1.048</v>
      </c>
      <c r="O51" s="89">
        <f>IFERROR(CO_entry[[#This Row],[Tokens Sold]]*CO_entry[[#This Row],[Selling point 1]],"")</f>
        <v>157.99999080000001</v>
      </c>
      <c r="P51" s="90">
        <f>IFERROR((L51*M51)-(VLOOKUP(J51,Portfolio_Overview[[#All],[ticker]:[average per coin]],3,FALSE)*M51),"")</f>
        <v>78.999995400000003</v>
      </c>
      <c r="Q51" s="88">
        <f>IFERROR(VLOOKUP(J51,Portfolio_Overview[[#All],[ticker]:[average per coin]],3,FALSE)*3.5,"")</f>
        <v>1055.3434500000001</v>
      </c>
      <c r="R51" s="27">
        <f t="shared" si="15"/>
        <v>0.20960000000000001</v>
      </c>
      <c r="S51" s="28">
        <f t="shared" si="16"/>
        <v>0.83840000000000003</v>
      </c>
      <c r="T51" s="91">
        <f>IFERROR(CO_entry[[#This Row],[Tokens Sold2]]*CO_entry[[#This Row],[Selling point 2]],"")</f>
        <v>221.19998712000003</v>
      </c>
      <c r="U51" s="92">
        <f>IFERROR((Q51*R51)-(VLOOKUP(J51,Portfolio_Overview[[#All],[ticker]:[average per coin]],3,FALSE)*R51),"")</f>
        <v>157.99999080000003</v>
      </c>
      <c r="V51" s="88">
        <f>IFERROR(VLOOKUP(J51,Portfolio_Overview[[#All],[ticker]:[average per coin]],3,FALSE)*4.5,"")</f>
        <v>1356.87015</v>
      </c>
      <c r="W51" s="25">
        <f t="shared" si="17"/>
        <v>0.16768000000000002</v>
      </c>
      <c r="X51" s="26">
        <f t="shared" si="18"/>
        <v>0.67071999999999998</v>
      </c>
      <c r="Y51" s="89">
        <f>IFERROR(CO_entry[[#This Row],[Tokens Sold3]]*CO_entry[[#This Row],[Selling point 3]],"")</f>
        <v>227.51998675200002</v>
      </c>
      <c r="Z51" s="90">
        <f>IFERROR((V51*W51)-(VLOOKUP(J51,Portfolio_Overview[[#All],[ticker]:[average per coin]],3,FALSE)*W51),"")</f>
        <v>176.95998969600001</v>
      </c>
      <c r="AA51" s="88">
        <f>IFERROR(VLOOKUP(J51,Portfolio_Overview[[#All],[ticker]:[average per coin]],3,FALSE)*6,"")</f>
        <v>1809.1602</v>
      </c>
      <c r="AB51" s="27">
        <f t="shared" si="19"/>
        <v>0.13414400000000001</v>
      </c>
      <c r="AC51" s="28">
        <f t="shared" si="20"/>
        <v>0.53657599999999994</v>
      </c>
      <c r="AD51" s="91">
        <f>IFERROR(CO_entry[[#This Row],[Tokens Sold4]]*CO_entry[[#This Row],[Selling point 4]],"")</f>
        <v>242.68798586880004</v>
      </c>
      <c r="AE51" s="92">
        <f>IFERROR((AA51*AB51)-(VLOOKUP(J51,Portfolio_Overview[[#All],[ticker]:[average per coin]],3,FALSE)*AB51),"")</f>
        <v>202.23998822400003</v>
      </c>
      <c r="AF51" s="88">
        <f>IFERROR(VLOOKUP(J51,Portfolio_Overview[[#All],[ticker]:[average per coin]],3,FALSE)*8,"")</f>
        <v>2412.2136</v>
      </c>
      <c r="AG51" s="25">
        <f t="shared" si="21"/>
        <v>0.13414399999999999</v>
      </c>
      <c r="AH51" s="26">
        <f t="shared" si="22"/>
        <v>0.40243199999999996</v>
      </c>
      <c r="AI51" s="89">
        <f>IFERROR(CO_entry[[#This Row],[Tokens Sold5]]*CO_entry[[#This Row],[Selling point 5]],"")</f>
        <v>323.58398115839998</v>
      </c>
      <c r="AJ51" s="90">
        <f>IFERROR((AF51*AG51)-(VLOOKUP(J51,Portfolio_Overview[[#All],[ticker]:[average per coin]],3,FALSE)*AG51),"")</f>
        <v>283.13598351359997</v>
      </c>
      <c r="AK51" s="97">
        <f>IFERROR(VLOOKUP(J51,Portfolio_Overview[[#All],[ticker]:[average per coin]],3,FALSE)*10,"")</f>
        <v>3015.2669999999998</v>
      </c>
      <c r="AL51" s="77">
        <f t="shared" si="23"/>
        <v>0.14085119999999998</v>
      </c>
      <c r="AM51" s="77">
        <f t="shared" si="24"/>
        <v>0.26158079999999995</v>
      </c>
      <c r="AN51" s="93">
        <f>IFERROR(CO_entry[[#This Row],[Tokens Sold6]]*CO_entry[[#This Row],[Selling point 6]],"")</f>
        <v>424.70397527039989</v>
      </c>
      <c r="AO51" s="96">
        <f>IFERROR((AK51*AL51)-(VLOOKUP(J51,Portfolio_Overview[[#All],[ticker]:[average per coin]],3,FALSE)*AL51),"")</f>
        <v>382.23357774335989</v>
      </c>
      <c r="AP51" s="97">
        <f>IFERROR(VLOOKUP(J51,Portfolio_Overview[[#All],[ticker]:[average per coin]],3,FALSE)*12,"")</f>
        <v>3618.3204000000001</v>
      </c>
      <c r="AQ51" s="26">
        <f t="shared" si="25"/>
        <v>0.13079039999999997</v>
      </c>
      <c r="AR51" s="26">
        <f t="shared" si="26"/>
        <v>0.13079039999999997</v>
      </c>
      <c r="AS51" s="89">
        <f>IFERROR(CO_entry[[#This Row],[Tokens Sold7]]*CO_entry[[#This Row],[Selling point 7]],"")</f>
        <v>473.24157244415989</v>
      </c>
      <c r="AT51" s="95">
        <f>IFERROR((AP51*AQ51)-(VLOOKUP(J51,Portfolio_Overview[[#All],[ticker]:[average per coin]],3,FALSE)*AQ51),"")</f>
        <v>433.8047747404799</v>
      </c>
      <c r="AU51" s="94">
        <f t="shared" si="12"/>
        <v>1715.3743001174398</v>
      </c>
      <c r="AV51" s="29">
        <f t="shared" si="14"/>
        <v>0.13079039999999997</v>
      </c>
      <c r="AW51" s="94">
        <f t="shared" si="13"/>
        <v>473.24157244415989</v>
      </c>
    </row>
    <row r="52" spans="1:49" x14ac:dyDescent="0.25">
      <c r="A52" t="s">
        <v>787</v>
      </c>
      <c r="B52" t="s">
        <v>772</v>
      </c>
      <c r="C52">
        <v>2.2799999999999998</v>
      </c>
      <c r="D52" s="130">
        <v>32.8947</v>
      </c>
      <c r="E52" s="130">
        <v>74.999899999999997</v>
      </c>
      <c r="F52" s="130">
        <v>16.899999999999999</v>
      </c>
      <c r="G52" s="130">
        <v>38.531999999999996</v>
      </c>
      <c r="H52" s="13">
        <v>5.6284904780890205E-4</v>
      </c>
      <c r="J52" s="58" t="s">
        <v>463</v>
      </c>
      <c r="K52" s="87">
        <f>IFERROR(VLOOKUP(J52,price_feed[[symbol]:[current_price]],3,FALSE),"")</f>
        <v>2.7</v>
      </c>
      <c r="L52" s="88">
        <f>IFERROR(VLOOKUP(J52,Portfolio_Overview[[#All],[ticker]:[average per coin]],3,FALSE)*2,"")</f>
        <v>17.385999999999999</v>
      </c>
      <c r="M52" s="25">
        <f>IFERROR(VLOOKUP(J52,Portfolio_Overview[[#All],[ticker]:[average per coin]],2,FALSE)*M$4,"")</f>
        <v>6.4420000000000002</v>
      </c>
      <c r="N52" s="26">
        <f>IFERROR(VLOOKUP(CO_entry[[#This Row],[ticker]],Portfolio_Overview[[#All],[ticker]:[average per coin]],2,FALSE)-CO_entry[[#This Row],[Tokens Sold]],"")</f>
        <v>25.768000000000001</v>
      </c>
      <c r="O52" s="89">
        <f>IFERROR(CO_entry[[#This Row],[Tokens Sold]]*CO_entry[[#This Row],[Selling point 1]],"")</f>
        <v>112.000612</v>
      </c>
      <c r="P52" s="90">
        <f>IFERROR((L52*M52)-(VLOOKUP(J52,Portfolio_Overview[[#All],[ticker]:[average per coin]],3,FALSE)*M52),"")</f>
        <v>56.000306000000002</v>
      </c>
      <c r="Q52" s="88">
        <f>IFERROR(VLOOKUP(J52,Portfolio_Overview[[#All],[ticker]:[average per coin]],3,FALSE)*3.5,"")</f>
        <v>30.4255</v>
      </c>
      <c r="R52" s="27">
        <f t="shared" si="15"/>
        <v>5.1536000000000008</v>
      </c>
      <c r="S52" s="28">
        <f t="shared" si="16"/>
        <v>20.6144</v>
      </c>
      <c r="T52" s="91">
        <f>IFERROR(CO_entry[[#This Row],[Tokens Sold2]]*CO_entry[[#This Row],[Selling point 2]],"")</f>
        <v>156.80085680000002</v>
      </c>
      <c r="U52" s="92">
        <f>IFERROR((Q52*R52)-(VLOOKUP(J52,Portfolio_Overview[[#All],[ticker]:[average per coin]],3,FALSE)*R52),"")</f>
        <v>112.00061200000002</v>
      </c>
      <c r="V52" s="88">
        <f>IFERROR(VLOOKUP(J52,Portfolio_Overview[[#All],[ticker]:[average per coin]],3,FALSE)*4.5,"")</f>
        <v>39.118499999999997</v>
      </c>
      <c r="W52" s="25">
        <f t="shared" si="17"/>
        <v>4.1228800000000003</v>
      </c>
      <c r="X52" s="26">
        <f t="shared" si="18"/>
        <v>16.491520000000001</v>
      </c>
      <c r="Y52" s="89">
        <f>IFERROR(CO_entry[[#This Row],[Tokens Sold3]]*CO_entry[[#This Row],[Selling point 3]],"")</f>
        <v>161.28088127999999</v>
      </c>
      <c r="Z52" s="90">
        <f>IFERROR((V52*W52)-(VLOOKUP(J52,Portfolio_Overview[[#All],[ticker]:[average per coin]],3,FALSE)*W52),"")</f>
        <v>125.44068543999998</v>
      </c>
      <c r="AA52" s="88">
        <f>IFERROR(VLOOKUP(J52,Portfolio_Overview[[#All],[ticker]:[average per coin]],3,FALSE)*6,"")</f>
        <v>52.158000000000001</v>
      </c>
      <c r="AB52" s="27">
        <f t="shared" si="19"/>
        <v>3.2983040000000003</v>
      </c>
      <c r="AC52" s="28">
        <f t="shared" si="20"/>
        <v>13.193216000000001</v>
      </c>
      <c r="AD52" s="91">
        <f>IFERROR(CO_entry[[#This Row],[Tokens Sold4]]*CO_entry[[#This Row],[Selling point 4]],"")</f>
        <v>172.03294003200003</v>
      </c>
      <c r="AE52" s="92">
        <f>IFERROR((AA52*AB52)-(VLOOKUP(J52,Portfolio_Overview[[#All],[ticker]:[average per coin]],3,FALSE)*AB52),"")</f>
        <v>143.36078336000003</v>
      </c>
      <c r="AF52" s="88">
        <f>IFERROR(VLOOKUP(J52,Portfolio_Overview[[#All],[ticker]:[average per coin]],3,FALSE)*8,"")</f>
        <v>69.543999999999997</v>
      </c>
      <c r="AG52" s="25">
        <f t="shared" si="21"/>
        <v>3.2983040000000003</v>
      </c>
      <c r="AH52" s="26">
        <f t="shared" si="22"/>
        <v>9.8949120000000015</v>
      </c>
      <c r="AI52" s="89">
        <f>IFERROR(CO_entry[[#This Row],[Tokens Sold5]]*CO_entry[[#This Row],[Selling point 5]],"")</f>
        <v>229.37725337600003</v>
      </c>
      <c r="AJ52" s="90">
        <f>IFERROR((AF52*AG52)-(VLOOKUP(J52,Portfolio_Overview[[#All],[ticker]:[average per coin]],3,FALSE)*AG52),"")</f>
        <v>200.70509670400003</v>
      </c>
      <c r="AK52" s="97">
        <f>IFERROR(VLOOKUP(J52,Portfolio_Overview[[#All],[ticker]:[average per coin]],3,FALSE)*10,"")</f>
        <v>86.929999999999993</v>
      </c>
      <c r="AL52" s="77">
        <f t="shared" si="23"/>
        <v>3.4632192000000002</v>
      </c>
      <c r="AM52" s="77">
        <f t="shared" si="24"/>
        <v>6.4316928000000013</v>
      </c>
      <c r="AN52" s="93">
        <f>IFERROR(CO_entry[[#This Row],[Tokens Sold6]]*CO_entry[[#This Row],[Selling point 6]],"")</f>
        <v>301.05764505600001</v>
      </c>
      <c r="AO52" s="96">
        <f>IFERROR((AK52*AL52)-(VLOOKUP(J52,Portfolio_Overview[[#All],[ticker]:[average per coin]],3,FALSE)*AL52),"")</f>
        <v>270.95188055040001</v>
      </c>
      <c r="AP52" s="97">
        <f>IFERROR(VLOOKUP(J52,Portfolio_Overview[[#All],[ticker]:[average per coin]],3,FALSE)*12,"")</f>
        <v>104.316</v>
      </c>
      <c r="AQ52" s="26">
        <f t="shared" si="25"/>
        <v>3.2158464000000007</v>
      </c>
      <c r="AR52" s="26">
        <f t="shared" si="26"/>
        <v>3.2158464000000007</v>
      </c>
      <c r="AS52" s="89">
        <f>IFERROR(CO_entry[[#This Row],[Tokens Sold7]]*CO_entry[[#This Row],[Selling point 7]],"")</f>
        <v>335.46423306240007</v>
      </c>
      <c r="AT52" s="95">
        <f>IFERROR((AP52*AQ52)-(VLOOKUP(J52,Portfolio_Overview[[#All],[ticker]:[average per coin]],3,FALSE)*AQ52),"")</f>
        <v>307.50888030720006</v>
      </c>
      <c r="AU52" s="94">
        <f t="shared" si="12"/>
        <v>1215.9682443616</v>
      </c>
      <c r="AV52" s="29">
        <f t="shared" si="14"/>
        <v>3.2158464000000007</v>
      </c>
      <c r="AW52" s="94">
        <f t="shared" si="13"/>
        <v>335.46423306240007</v>
      </c>
    </row>
    <row r="53" spans="1:49" x14ac:dyDescent="0.25">
      <c r="A53" t="s">
        <v>791</v>
      </c>
      <c r="B53" t="s">
        <v>770</v>
      </c>
      <c r="C53">
        <v>1387.18</v>
      </c>
      <c r="D53" s="130">
        <v>0.1009</v>
      </c>
      <c r="E53" s="130">
        <v>139.9665</v>
      </c>
      <c r="F53" s="130">
        <v>2.5399999999999999E-2</v>
      </c>
      <c r="G53" s="130">
        <v>35.234400000000001</v>
      </c>
      <c r="H53" s="13">
        <v>5.14679967043444E-4</v>
      </c>
      <c r="J53" s="58" t="s">
        <v>821</v>
      </c>
      <c r="K53" s="114">
        <f>IFERROR(VLOOKUP(J53,price_feed[[symbol]:[current_price]],3,FALSE),"")</f>
        <v>0.96592699999999998</v>
      </c>
      <c r="L53" s="88">
        <f>IFERROR(VLOOKUP(J53,Portfolio_Overview[[#All],[ticker]:[average per coin]],3,FALSE)*2,"")</f>
        <v>12.2464</v>
      </c>
      <c r="M53" s="25">
        <f>IFERROR(VLOOKUP(J53,Portfolio_Overview[[#All],[ticker]:[average per coin]],2,FALSE)*M$4,"")</f>
        <v>5.7160000000000002</v>
      </c>
      <c r="N53" s="26">
        <f>IFERROR(VLOOKUP(CO_entry[[#This Row],[ticker]],Portfolio_Overview[[#All],[ticker]:[average per coin]],2,FALSE)-CO_entry[[#This Row],[Tokens Sold]],"")</f>
        <v>22.863999999999997</v>
      </c>
      <c r="O53" s="89">
        <f>IFERROR(CO_entry[[#This Row],[Tokens Sold]]*CO_entry[[#This Row],[Selling point 1]],"")</f>
        <v>70.000422400000005</v>
      </c>
      <c r="P53" s="90">
        <f>IFERROR((L53*M53)-(VLOOKUP(J53,Portfolio_Overview[[#All],[ticker]:[average per coin]],3,FALSE)*M53),"")</f>
        <v>35.000211200000003</v>
      </c>
      <c r="Q53" s="88">
        <f>IFERROR(VLOOKUP(J53,Portfolio_Overview[[#All],[ticker]:[average per coin]],3,FALSE)*3.5,"")</f>
        <v>21.4312</v>
      </c>
      <c r="R53" s="27">
        <f t="shared" si="15"/>
        <v>4.5728</v>
      </c>
      <c r="S53" s="28">
        <f t="shared" si="16"/>
        <v>18.291199999999996</v>
      </c>
      <c r="T53" s="91">
        <f>IFERROR(CO_entry[[#This Row],[Tokens Sold2]]*CO_entry[[#This Row],[Selling point 2]],"")</f>
        <v>98.000591360000001</v>
      </c>
      <c r="U53" s="92">
        <f>IFERROR((Q53*R53)-(VLOOKUP(J53,Portfolio_Overview[[#All],[ticker]:[average per coin]],3,FALSE)*R53),"")</f>
        <v>70.000422400000005</v>
      </c>
      <c r="V53" s="88">
        <f>IFERROR(VLOOKUP(J53,Portfolio_Overview[[#All],[ticker]:[average per coin]],3,FALSE)*4.5,"")</f>
        <v>27.554399999999998</v>
      </c>
      <c r="W53" s="25">
        <f t="shared" si="17"/>
        <v>3.6582399999999993</v>
      </c>
      <c r="X53" s="26">
        <f t="shared" si="18"/>
        <v>14.632959999999997</v>
      </c>
      <c r="Y53" s="89">
        <f>IFERROR(CO_entry[[#This Row],[Tokens Sold3]]*CO_entry[[#This Row],[Selling point 3]],"")</f>
        <v>100.80060825599998</v>
      </c>
      <c r="Z53" s="90">
        <f>IFERROR((V53*W53)-(VLOOKUP(J53,Portfolio_Overview[[#All],[ticker]:[average per coin]],3,FALSE)*W53),"")</f>
        <v>78.400473087999984</v>
      </c>
      <c r="AA53" s="88">
        <f>IFERROR(VLOOKUP(J53,Portfolio_Overview[[#All],[ticker]:[average per coin]],3,FALSE)*6,"")</f>
        <v>36.739199999999997</v>
      </c>
      <c r="AB53" s="27">
        <f t="shared" si="19"/>
        <v>2.9265919999999994</v>
      </c>
      <c r="AC53" s="28">
        <f t="shared" si="20"/>
        <v>11.706367999999998</v>
      </c>
      <c r="AD53" s="91">
        <f>IFERROR(CO_entry[[#This Row],[Tokens Sold4]]*CO_entry[[#This Row],[Selling point 4]],"")</f>
        <v>107.52064880639998</v>
      </c>
      <c r="AE53" s="92">
        <f>IFERROR((AA53*AB53)-(VLOOKUP(J53,Portfolio_Overview[[#All],[ticker]:[average per coin]],3,FALSE)*AB53),"")</f>
        <v>89.60054067199998</v>
      </c>
      <c r="AF53" s="88">
        <f>IFERROR(VLOOKUP(J53,Portfolio_Overview[[#All],[ticker]:[average per coin]],3,FALSE)*8,"")</f>
        <v>48.985599999999998</v>
      </c>
      <c r="AG53" s="25">
        <f t="shared" si="21"/>
        <v>2.9265919999999994</v>
      </c>
      <c r="AH53" s="26">
        <f t="shared" si="22"/>
        <v>8.7797759999999982</v>
      </c>
      <c r="AI53" s="89">
        <f>IFERROR(CO_entry[[#This Row],[Tokens Sold5]]*CO_entry[[#This Row],[Selling point 5]],"")</f>
        <v>143.36086507519997</v>
      </c>
      <c r="AJ53" s="90">
        <f>IFERROR((AF53*AG53)-(VLOOKUP(J53,Portfolio_Overview[[#All],[ticker]:[average per coin]],3,FALSE)*AG53),"")</f>
        <v>125.44075694079997</v>
      </c>
      <c r="AK53" s="97">
        <f>IFERROR(VLOOKUP(J53,Portfolio_Overview[[#All],[ticker]:[average per coin]],3,FALSE)*10,"")</f>
        <v>61.231999999999999</v>
      </c>
      <c r="AL53" s="77">
        <f t="shared" si="23"/>
        <v>3.072921599999999</v>
      </c>
      <c r="AM53" s="77">
        <f t="shared" si="24"/>
        <v>5.7068543999999992</v>
      </c>
      <c r="AN53" s="93">
        <f>IFERROR(CO_entry[[#This Row],[Tokens Sold6]]*CO_entry[[#This Row],[Selling point 6]],"")</f>
        <v>188.16113541119995</v>
      </c>
      <c r="AO53" s="96">
        <f>IFERROR((AK53*AL53)-(VLOOKUP(J53,Portfolio_Overview[[#All],[ticker]:[average per coin]],3,FALSE)*AL53),"")</f>
        <v>169.34502187007996</v>
      </c>
      <c r="AP53" s="97">
        <f>IFERROR(VLOOKUP(J53,Portfolio_Overview[[#All],[ticker]:[average per coin]],3,FALSE)*12,"")</f>
        <v>73.478399999999993</v>
      </c>
      <c r="AQ53" s="26">
        <f t="shared" si="25"/>
        <v>2.8534271999999996</v>
      </c>
      <c r="AR53" s="26">
        <f t="shared" si="26"/>
        <v>2.8534271999999996</v>
      </c>
      <c r="AS53" s="89">
        <f>IFERROR(CO_entry[[#This Row],[Tokens Sold7]]*CO_entry[[#This Row],[Selling point 7]],"")</f>
        <v>209.66526517247996</v>
      </c>
      <c r="AT53" s="95">
        <f>IFERROR((AP53*AQ53)-(VLOOKUP(J53,Portfolio_Overview[[#All],[ticker]:[average per coin]],3,FALSE)*AQ53),"")</f>
        <v>192.19315974143996</v>
      </c>
      <c r="AU53" s="94">
        <f t="shared" si="12"/>
        <v>759.98058591231984</v>
      </c>
      <c r="AV53" s="29">
        <f t="shared" si="14"/>
        <v>2.8534271999999996</v>
      </c>
      <c r="AW53" s="94">
        <f t="shared" si="13"/>
        <v>209.66526517247996</v>
      </c>
    </row>
    <row r="54" spans="1:49" x14ac:dyDescent="0.25">
      <c r="A54" t="s">
        <v>803</v>
      </c>
      <c r="B54" t="s">
        <v>771</v>
      </c>
      <c r="C54">
        <v>4850</v>
      </c>
      <c r="D54" s="130">
        <v>1.6500000000000001E-2</v>
      </c>
      <c r="E54" s="130">
        <v>80.025000000000006</v>
      </c>
      <c r="F54" s="130">
        <v>5.7999999999999996E-3</v>
      </c>
      <c r="G54" s="130">
        <v>28.13</v>
      </c>
      <c r="H54" s="13">
        <v>4.1090376089651301E-4</v>
      </c>
      <c r="J54" s="58" t="s">
        <v>763</v>
      </c>
      <c r="K54" s="87">
        <f>IFERROR(VLOOKUP(J54,price_feed[[symbol]:[current_price]],3,FALSE),"")</f>
        <v>14.05</v>
      </c>
      <c r="L54" s="88">
        <f>IFERROR(VLOOKUP(J54,Portfolio_Overview[[#All],[ticker]:[average per coin]],3,FALSE)*2,"")</f>
        <v>38.166600000000003</v>
      </c>
      <c r="M54" s="25">
        <f>IFERROR(VLOOKUP(J54,Portfolio_Overview[[#All],[ticker]:[average per coin]],2,FALSE)*M$4,"")</f>
        <v>2.4000000000000004</v>
      </c>
      <c r="N54" s="26">
        <f>IFERROR(VLOOKUP(CO_entry[[#This Row],[ticker]],Portfolio_Overview[[#All],[ticker]:[average per coin]],2,FALSE)-CO_entry[[#This Row],[Tokens Sold]],"")</f>
        <v>9.6</v>
      </c>
      <c r="O54" s="89">
        <f>IFERROR(CO_entry[[#This Row],[Tokens Sold]]*CO_entry[[#This Row],[Selling point 1]],"")</f>
        <v>91.599840000000015</v>
      </c>
      <c r="P54" s="90">
        <f>IFERROR((L54*M54)-(VLOOKUP(J54,Portfolio_Overview[[#All],[ticker]:[average per coin]],3,FALSE)*M54),"")</f>
        <v>45.799920000000007</v>
      </c>
      <c r="Q54" s="88">
        <f>IFERROR(VLOOKUP(J54,Portfolio_Overview[[#All],[ticker]:[average per coin]],3,FALSE)*3.5,"")</f>
        <v>66.791550000000001</v>
      </c>
      <c r="R54" s="27">
        <f t="shared" si="15"/>
        <v>1.92</v>
      </c>
      <c r="S54" s="28">
        <f t="shared" si="16"/>
        <v>7.68</v>
      </c>
      <c r="T54" s="91">
        <f>IFERROR(CO_entry[[#This Row],[Tokens Sold2]]*CO_entry[[#This Row],[Selling point 2]],"")</f>
        <v>128.23977600000001</v>
      </c>
      <c r="U54" s="92">
        <f>IFERROR((Q54*R54)-(VLOOKUP(J54,Portfolio_Overview[[#All],[ticker]:[average per coin]],3,FALSE)*R54),"")</f>
        <v>91.59984</v>
      </c>
      <c r="V54" s="88">
        <f>IFERROR(VLOOKUP(J54,Portfolio_Overview[[#All],[ticker]:[average per coin]],3,FALSE)*4.5,"")</f>
        <v>85.874850000000009</v>
      </c>
      <c r="W54" s="25">
        <f t="shared" si="17"/>
        <v>1.536</v>
      </c>
      <c r="X54" s="26">
        <f t="shared" si="18"/>
        <v>6.1440000000000001</v>
      </c>
      <c r="Y54" s="89">
        <f>IFERROR(CO_entry[[#This Row],[Tokens Sold3]]*CO_entry[[#This Row],[Selling point 3]],"")</f>
        <v>131.9037696</v>
      </c>
      <c r="Z54" s="90">
        <f>IFERROR((V54*W54)-(VLOOKUP(J54,Portfolio_Overview[[#All],[ticker]:[average per coin]],3,FALSE)*W54),"")</f>
        <v>102.59182079999999</v>
      </c>
      <c r="AA54" s="88">
        <f>IFERROR(VLOOKUP(J54,Portfolio_Overview[[#All],[ticker]:[average per coin]],3,FALSE)*6,"")</f>
        <v>114.49980000000001</v>
      </c>
      <c r="AB54" s="27">
        <f t="shared" si="19"/>
        <v>1.2288000000000001</v>
      </c>
      <c r="AC54" s="28">
        <f t="shared" si="20"/>
        <v>4.9152000000000005</v>
      </c>
      <c r="AD54" s="91">
        <f>IFERROR(CO_entry[[#This Row],[Tokens Sold4]]*CO_entry[[#This Row],[Selling point 4]],"")</f>
        <v>140.69735424000001</v>
      </c>
      <c r="AE54" s="92">
        <f>IFERROR((AA54*AB54)-(VLOOKUP(J54,Portfolio_Overview[[#All],[ticker]:[average per coin]],3,FALSE)*AB54),"")</f>
        <v>117.24779520000001</v>
      </c>
      <c r="AF54" s="88">
        <f>IFERROR(VLOOKUP(J54,Portfolio_Overview[[#All],[ticker]:[average per coin]],3,FALSE)*8,"")</f>
        <v>152.66640000000001</v>
      </c>
      <c r="AG54" s="25">
        <f t="shared" si="21"/>
        <v>1.2288000000000001</v>
      </c>
      <c r="AH54" s="26">
        <f t="shared" si="22"/>
        <v>3.6864000000000003</v>
      </c>
      <c r="AI54" s="89">
        <f>IFERROR(CO_entry[[#This Row],[Tokens Sold5]]*CO_entry[[#This Row],[Selling point 5]],"")</f>
        <v>187.59647232000003</v>
      </c>
      <c r="AJ54" s="90">
        <f>IFERROR((AF54*AG54)-(VLOOKUP(J54,Portfolio_Overview[[#All],[ticker]:[average per coin]],3,FALSE)*AG54),"")</f>
        <v>164.14691328000004</v>
      </c>
      <c r="AK54" s="97">
        <f>IFERROR(VLOOKUP(J54,Portfolio_Overview[[#All],[ticker]:[average per coin]],3,FALSE)*10,"")</f>
        <v>190.83300000000003</v>
      </c>
      <c r="AL54" s="77">
        <f t="shared" si="23"/>
        <v>1.2902400000000001</v>
      </c>
      <c r="AM54" s="77">
        <f t="shared" si="24"/>
        <v>2.3961600000000001</v>
      </c>
      <c r="AN54" s="93">
        <f>IFERROR(CO_entry[[#This Row],[Tokens Sold6]]*CO_entry[[#This Row],[Selling point 6]],"")</f>
        <v>246.22036992000005</v>
      </c>
      <c r="AO54" s="96">
        <f>IFERROR((AK54*AL54)-(VLOOKUP(J54,Portfolio_Overview[[#All],[ticker]:[average per coin]],3,FALSE)*AL54),"")</f>
        <v>221.59833292800005</v>
      </c>
      <c r="AP54" s="97">
        <f>IFERROR(VLOOKUP(J54,Portfolio_Overview[[#All],[ticker]:[average per coin]],3,FALSE)*12,"")</f>
        <v>228.99960000000002</v>
      </c>
      <c r="AQ54" s="26">
        <f t="shared" si="25"/>
        <v>1.19808</v>
      </c>
      <c r="AR54" s="26">
        <f t="shared" si="26"/>
        <v>1.19808</v>
      </c>
      <c r="AS54" s="89">
        <f>IFERROR(CO_entry[[#This Row],[Tokens Sold7]]*CO_entry[[#This Row],[Selling point 7]],"")</f>
        <v>274.35984076800003</v>
      </c>
      <c r="AT54" s="95">
        <f>IFERROR((AP54*AQ54)-(VLOOKUP(J54,Portfolio_Overview[[#All],[ticker]:[average per coin]],3,FALSE)*AQ54),"")</f>
        <v>251.49652070400003</v>
      </c>
      <c r="AU54" s="94">
        <f t="shared" si="12"/>
        <v>994.481142912</v>
      </c>
      <c r="AV54" s="29">
        <f t="shared" si="14"/>
        <v>1.19808</v>
      </c>
      <c r="AW54" s="94">
        <f t="shared" si="13"/>
        <v>274.35984076800003</v>
      </c>
    </row>
    <row r="55" spans="1:49" x14ac:dyDescent="0.25">
      <c r="A55" t="s">
        <v>823</v>
      </c>
      <c r="B55" t="s">
        <v>821</v>
      </c>
      <c r="C55">
        <v>28.58</v>
      </c>
      <c r="D55" s="130">
        <v>6.1231999999999998</v>
      </c>
      <c r="E55" s="130">
        <v>175.00110000000001</v>
      </c>
      <c r="F55" s="130">
        <v>0.96589999999999998</v>
      </c>
      <c r="G55" s="130">
        <v>27.605399999999999</v>
      </c>
      <c r="H55" s="13">
        <v>4.0324076363500101E-4</v>
      </c>
      <c r="J55" s="58" t="s">
        <v>624</v>
      </c>
      <c r="K55" s="87">
        <f>IFERROR(VLOOKUP(J55,price_feed[[symbol]:[current_price]],3,FALSE),"")</f>
        <v>2.6</v>
      </c>
      <c r="L55" s="88">
        <f>IFERROR(VLOOKUP(J55,Portfolio_Overview[[#All],[ticker]:[average per coin]],3,FALSE)*2,"")</f>
        <v>6.0822000000000003</v>
      </c>
      <c r="M55" s="25">
        <f>IFERROR(VLOOKUP(J55,Portfolio_Overview[[#All],[ticker]:[average per coin]],2,FALSE)*M$4,"")</f>
        <v>50.902000000000001</v>
      </c>
      <c r="N55" s="26">
        <f>IFERROR(VLOOKUP(CO_entry[[#This Row],[ticker]],Portfolio_Overview[[#All],[ticker]:[average per coin]],2,FALSE)-CO_entry[[#This Row],[Tokens Sold]],"")</f>
        <v>203.608</v>
      </c>
      <c r="O55" s="89">
        <f>IFERROR(CO_entry[[#This Row],[Tokens Sold]]*CO_entry[[#This Row],[Selling point 1]],"")</f>
        <v>309.59614440000001</v>
      </c>
      <c r="P55" s="90">
        <f>IFERROR((L55*M55)-(VLOOKUP(J55,Portfolio_Overview[[#All],[ticker]:[average per coin]],3,FALSE)*M55),"")</f>
        <v>154.79807220000001</v>
      </c>
      <c r="Q55" s="88">
        <f>IFERROR(VLOOKUP(J55,Portfolio_Overview[[#All],[ticker]:[average per coin]],3,FALSE)*3.5,"")</f>
        <v>10.64385</v>
      </c>
      <c r="R55" s="27">
        <f t="shared" si="15"/>
        <v>40.721600000000002</v>
      </c>
      <c r="S55" s="28">
        <f t="shared" si="16"/>
        <v>162.88640000000001</v>
      </c>
      <c r="T55" s="91">
        <f>IFERROR(CO_entry[[#This Row],[Tokens Sold2]]*CO_entry[[#This Row],[Selling point 2]],"")</f>
        <v>433.43460216000005</v>
      </c>
      <c r="U55" s="92">
        <f>IFERROR((Q55*R55)-(VLOOKUP(J55,Portfolio_Overview[[#All],[ticker]:[average per coin]],3,FALSE)*R55),"")</f>
        <v>309.59614440000007</v>
      </c>
      <c r="V55" s="88">
        <f>IFERROR(VLOOKUP(J55,Portfolio_Overview[[#All],[ticker]:[average per coin]],3,FALSE)*4.5,"")</f>
        <v>13.684950000000001</v>
      </c>
      <c r="W55" s="25">
        <f t="shared" si="17"/>
        <v>32.577280000000002</v>
      </c>
      <c r="X55" s="26">
        <f t="shared" si="18"/>
        <v>130.30912000000001</v>
      </c>
      <c r="Y55" s="89">
        <f>IFERROR(CO_entry[[#This Row],[Tokens Sold3]]*CO_entry[[#This Row],[Selling point 3]],"")</f>
        <v>445.81844793600004</v>
      </c>
      <c r="Z55" s="90">
        <f>IFERROR((V55*W55)-(VLOOKUP(J55,Portfolio_Overview[[#All],[ticker]:[average per coin]],3,FALSE)*W55),"")</f>
        <v>346.74768172800003</v>
      </c>
      <c r="AA55" s="88">
        <f>IFERROR(VLOOKUP(J55,Portfolio_Overview[[#All],[ticker]:[average per coin]],3,FALSE)*6,"")</f>
        <v>18.246600000000001</v>
      </c>
      <c r="AB55" s="27">
        <f t="shared" si="19"/>
        <v>26.061824000000001</v>
      </c>
      <c r="AC55" s="28">
        <f t="shared" si="20"/>
        <v>104.24729600000001</v>
      </c>
      <c r="AD55" s="91">
        <f>IFERROR(CO_entry[[#This Row],[Tokens Sold4]]*CO_entry[[#This Row],[Selling point 4]],"")</f>
        <v>475.53967779840002</v>
      </c>
      <c r="AE55" s="92">
        <f>IFERROR((AA55*AB55)-(VLOOKUP(J55,Portfolio_Overview[[#All],[ticker]:[average per coin]],3,FALSE)*AB55),"")</f>
        <v>396.28306483200004</v>
      </c>
      <c r="AF55" s="88">
        <f>IFERROR(VLOOKUP(J55,Portfolio_Overview[[#All],[ticker]:[average per coin]],3,FALSE)*8,"")</f>
        <v>24.328800000000001</v>
      </c>
      <c r="AG55" s="25">
        <f t="shared" si="21"/>
        <v>26.061824000000001</v>
      </c>
      <c r="AH55" s="26">
        <f t="shared" si="22"/>
        <v>78.185472000000004</v>
      </c>
      <c r="AI55" s="89">
        <f>IFERROR(CO_entry[[#This Row],[Tokens Sold5]]*CO_entry[[#This Row],[Selling point 5]],"")</f>
        <v>634.0529037312001</v>
      </c>
      <c r="AJ55" s="90">
        <f>IFERROR((AF55*AG55)-(VLOOKUP(J55,Portfolio_Overview[[#All],[ticker]:[average per coin]],3,FALSE)*AG55),"")</f>
        <v>554.79629076480012</v>
      </c>
      <c r="AK55" s="97">
        <f>IFERROR(VLOOKUP(J55,Portfolio_Overview[[#All],[ticker]:[average per coin]],3,FALSE)*10,"")</f>
        <v>30.411000000000001</v>
      </c>
      <c r="AL55" s="77">
        <f t="shared" si="23"/>
        <v>27.364915199999999</v>
      </c>
      <c r="AM55" s="77">
        <f t="shared" si="24"/>
        <v>50.820556800000006</v>
      </c>
      <c r="AN55" s="93">
        <f>IFERROR(CO_entry[[#This Row],[Tokens Sold6]]*CO_entry[[#This Row],[Selling point 6]],"")</f>
        <v>832.19443614720001</v>
      </c>
      <c r="AO55" s="96">
        <f>IFERROR((AK55*AL55)-(VLOOKUP(J55,Portfolio_Overview[[#All],[ticker]:[average per coin]],3,FALSE)*AL55),"")</f>
        <v>748.97499253247997</v>
      </c>
      <c r="AP55" s="97">
        <f>IFERROR(VLOOKUP(J55,Portfolio_Overview[[#All],[ticker]:[average per coin]],3,FALSE)*12,"")</f>
        <v>36.493200000000002</v>
      </c>
      <c r="AQ55" s="26">
        <f t="shared" si="25"/>
        <v>25.410278400000003</v>
      </c>
      <c r="AR55" s="26">
        <f t="shared" si="26"/>
        <v>25.410278400000003</v>
      </c>
      <c r="AS55" s="89">
        <f>IFERROR(CO_entry[[#This Row],[Tokens Sold7]]*CO_entry[[#This Row],[Selling point 7]],"")</f>
        <v>927.30237170688019</v>
      </c>
      <c r="AT55" s="95">
        <f>IFERROR((AP55*AQ55)-(VLOOKUP(J55,Portfolio_Overview[[#All],[ticker]:[average per coin]],3,FALSE)*AQ55),"")</f>
        <v>850.02717406464012</v>
      </c>
      <c r="AU55" s="94">
        <f t="shared" si="12"/>
        <v>3361.2234205219202</v>
      </c>
      <c r="AV55" s="29">
        <f t="shared" si="14"/>
        <v>25.410278400000003</v>
      </c>
      <c r="AW55" s="94">
        <f t="shared" si="13"/>
        <v>927.30237170688019</v>
      </c>
    </row>
    <row r="56" spans="1:49" x14ac:dyDescent="0.25">
      <c r="A56" t="s">
        <v>825</v>
      </c>
      <c r="B56" t="s">
        <v>822</v>
      </c>
      <c r="C56">
        <v>4220.42</v>
      </c>
      <c r="D56" s="130">
        <v>2.3900000000000001E-2</v>
      </c>
      <c r="E56" s="130">
        <v>100.86799999999999</v>
      </c>
      <c r="F56" s="130">
        <v>5.5999999999999999E-3</v>
      </c>
      <c r="G56" s="130">
        <v>23.634399999999999</v>
      </c>
      <c r="H56" s="13">
        <v>3.45235117189212E-4</v>
      </c>
      <c r="J56" s="58" t="s">
        <v>479</v>
      </c>
      <c r="K56" s="87">
        <f>IFERROR(VLOOKUP(J56,price_feed[[symbol]:[current_price]],3,FALSE),"")</f>
        <v>3.08</v>
      </c>
      <c r="L56" s="88">
        <f>IFERROR(VLOOKUP(J56,Portfolio_Overview[[#All],[ticker]:[average per coin]],3,FALSE)*2,"")</f>
        <v>3.6295999999999999</v>
      </c>
      <c r="M56" s="25">
        <f>IFERROR(VLOOKUP(J56,Portfolio_Overview[[#All],[ticker]:[average per coin]],2,FALSE)*M$4,"")</f>
        <v>5.4</v>
      </c>
      <c r="N56" s="26">
        <f>IFERROR(VLOOKUP(CO_entry[[#This Row],[ticker]],Portfolio_Overview[[#All],[ticker]:[average per coin]],2,FALSE)-CO_entry[[#This Row],[Tokens Sold]],"")</f>
        <v>21.6</v>
      </c>
      <c r="O56" s="89">
        <f>IFERROR(CO_entry[[#This Row],[Tokens Sold]]*CO_entry[[#This Row],[Selling point 1]],"")</f>
        <v>19.59984</v>
      </c>
      <c r="P56" s="90">
        <f>IFERROR((L56*M56)-(VLOOKUP(J56,Portfolio_Overview[[#All],[ticker]:[average per coin]],3,FALSE)*M56),"")</f>
        <v>9.7999200000000002</v>
      </c>
      <c r="Q56" s="88">
        <f>IFERROR(VLOOKUP(J56,Portfolio_Overview[[#All],[ticker]:[average per coin]],3,FALSE)*3.5,"")</f>
        <v>6.3517999999999999</v>
      </c>
      <c r="R56" s="27">
        <f t="shared" si="15"/>
        <v>4.32</v>
      </c>
      <c r="S56" s="28">
        <f t="shared" si="16"/>
        <v>17.28</v>
      </c>
      <c r="T56" s="91">
        <f>IFERROR(CO_entry[[#This Row],[Tokens Sold2]]*CO_entry[[#This Row],[Selling point 2]],"")</f>
        <v>27.439776000000002</v>
      </c>
      <c r="U56" s="92">
        <f>IFERROR((Q56*R56)-(VLOOKUP(J56,Portfolio_Overview[[#All],[ticker]:[average per coin]],3,FALSE)*R56),"")</f>
        <v>19.59984</v>
      </c>
      <c r="V56" s="88">
        <f>IFERROR(VLOOKUP(J56,Portfolio_Overview[[#All],[ticker]:[average per coin]],3,FALSE)*4.5,"")</f>
        <v>8.166599999999999</v>
      </c>
      <c r="W56" s="25">
        <f t="shared" si="17"/>
        <v>3.4560000000000004</v>
      </c>
      <c r="X56" s="26">
        <f t="shared" si="18"/>
        <v>13.824000000000002</v>
      </c>
      <c r="Y56" s="89">
        <f>IFERROR(CO_entry[[#This Row],[Tokens Sold3]]*CO_entry[[#This Row],[Selling point 3]],"")</f>
        <v>28.223769600000001</v>
      </c>
      <c r="Z56" s="90">
        <f>IFERROR((V56*W56)-(VLOOKUP(J56,Portfolio_Overview[[#All],[ticker]:[average per coin]],3,FALSE)*W56),"")</f>
        <v>21.9518208</v>
      </c>
      <c r="AA56" s="88">
        <f>IFERROR(VLOOKUP(J56,Portfolio_Overview[[#All],[ticker]:[average per coin]],3,FALSE)*6,"")</f>
        <v>10.8888</v>
      </c>
      <c r="AB56" s="27">
        <f t="shared" si="19"/>
        <v>2.7648000000000006</v>
      </c>
      <c r="AC56" s="28">
        <f t="shared" si="20"/>
        <v>11.059200000000001</v>
      </c>
      <c r="AD56" s="91">
        <f>IFERROR(CO_entry[[#This Row],[Tokens Sold4]]*CO_entry[[#This Row],[Selling point 4]],"")</f>
        <v>30.105354240000008</v>
      </c>
      <c r="AE56" s="92">
        <f>IFERROR((AA56*AB56)-(VLOOKUP(J56,Portfolio_Overview[[#All],[ticker]:[average per coin]],3,FALSE)*AB56),"")</f>
        <v>25.087795200000006</v>
      </c>
      <c r="AF56" s="88">
        <f>IFERROR(VLOOKUP(J56,Portfolio_Overview[[#All],[ticker]:[average per coin]],3,FALSE)*8,"")</f>
        <v>14.5184</v>
      </c>
      <c r="AG56" s="25">
        <f t="shared" si="21"/>
        <v>2.7648000000000001</v>
      </c>
      <c r="AH56" s="26">
        <f t="shared" si="22"/>
        <v>8.2943999999999996</v>
      </c>
      <c r="AI56" s="89">
        <f>IFERROR(CO_entry[[#This Row],[Tokens Sold5]]*CO_entry[[#This Row],[Selling point 5]],"")</f>
        <v>40.140472320000001</v>
      </c>
      <c r="AJ56" s="90">
        <f>IFERROR((AF56*AG56)-(VLOOKUP(J56,Portfolio_Overview[[#All],[ticker]:[average per coin]],3,FALSE)*AG56),"")</f>
        <v>35.122913279999999</v>
      </c>
      <c r="AK56" s="97">
        <f>IFERROR(VLOOKUP(J56,Portfolio_Overview[[#All],[ticker]:[average per coin]],3,FALSE)*10,"")</f>
        <v>18.148</v>
      </c>
      <c r="AL56" s="77">
        <f t="shared" si="23"/>
        <v>2.9030399999999998</v>
      </c>
      <c r="AM56" s="77">
        <f t="shared" si="24"/>
        <v>5.3913599999999997</v>
      </c>
      <c r="AN56" s="93">
        <f>IFERROR(CO_entry[[#This Row],[Tokens Sold6]]*CO_entry[[#This Row],[Selling point 6]],"")</f>
        <v>52.684369919999995</v>
      </c>
      <c r="AO56" s="96">
        <f>IFERROR((AK56*AL56)-(VLOOKUP(J56,Portfolio_Overview[[#All],[ticker]:[average per coin]],3,FALSE)*AL56),"")</f>
        <v>47.415932927999997</v>
      </c>
      <c r="AP56" s="97">
        <f>IFERROR(VLOOKUP(J56,Portfolio_Overview[[#All],[ticker]:[average per coin]],3,FALSE)*12,"")</f>
        <v>21.7776</v>
      </c>
      <c r="AQ56" s="26">
        <f t="shared" si="25"/>
        <v>2.6956799999999999</v>
      </c>
      <c r="AR56" s="26">
        <f t="shared" si="26"/>
        <v>2.6956799999999999</v>
      </c>
      <c r="AS56" s="89">
        <f>IFERROR(CO_entry[[#This Row],[Tokens Sold7]]*CO_entry[[#This Row],[Selling point 7]],"")</f>
        <v>58.705440767999995</v>
      </c>
      <c r="AT56" s="95">
        <f>IFERROR((AP56*AQ56)-(VLOOKUP(J56,Portfolio_Overview[[#All],[ticker]:[average per coin]],3,FALSE)*AQ56),"")</f>
        <v>53.813320703999999</v>
      </c>
      <c r="AU56" s="94">
        <f t="shared" si="12"/>
        <v>212.79154291200001</v>
      </c>
      <c r="AV56" s="29">
        <f t="shared" si="14"/>
        <v>2.6956799999999999</v>
      </c>
      <c r="AW56" s="94">
        <f t="shared" si="13"/>
        <v>58.705440767999995</v>
      </c>
    </row>
    <row r="57" spans="1:49" x14ac:dyDescent="0.25">
      <c r="A57" t="s">
        <v>272</v>
      </c>
      <c r="B57" t="s">
        <v>484</v>
      </c>
      <c r="C57">
        <v>6.6</v>
      </c>
      <c r="D57" s="130">
        <v>14.696999999999999</v>
      </c>
      <c r="E57" s="130">
        <v>97.000200000000007</v>
      </c>
      <c r="F57" s="130">
        <v>3.31</v>
      </c>
      <c r="G57" s="130">
        <v>21.846</v>
      </c>
      <c r="H57" s="13">
        <v>3.1911139568237501E-4</v>
      </c>
      <c r="J57" s="58" t="s">
        <v>769</v>
      </c>
      <c r="K57" s="114">
        <f>IFERROR(VLOOKUP(J57,price_feed[[symbol]:[current_price]],3,FALSE),"")</f>
        <v>0.70725700000000002</v>
      </c>
      <c r="L57" s="88">
        <f>IFERROR(VLOOKUP(J57,Portfolio_Overview[[#All],[ticker]:[average per coin]],3,FALSE)*2,"")</f>
        <v>3.4786000000000001</v>
      </c>
      <c r="M57" s="25">
        <f>IFERROR(VLOOKUP(J57,Portfolio_Overview[[#All],[ticker]:[average per coin]],2,FALSE)*M$4,"")</f>
        <v>23.228000000000002</v>
      </c>
      <c r="N57" s="26">
        <f>IFERROR(VLOOKUP(CO_entry[[#This Row],[ticker]],Portfolio_Overview[[#All],[ticker]:[average per coin]],2,FALSE)-CO_entry[[#This Row],[Tokens Sold]],"")</f>
        <v>92.912000000000006</v>
      </c>
      <c r="O57" s="89">
        <f>IFERROR(CO_entry[[#This Row],[Tokens Sold]]*CO_entry[[#This Row],[Selling point 1]],"")</f>
        <v>80.800920800000014</v>
      </c>
      <c r="P57" s="90">
        <f>IFERROR((L57*M57)-(VLOOKUP(J57,Portfolio_Overview[[#All],[ticker]:[average per coin]],3,FALSE)*M57),"")</f>
        <v>40.400460400000007</v>
      </c>
      <c r="Q57" s="88">
        <f>IFERROR(VLOOKUP(J57,Portfolio_Overview[[#All],[ticker]:[average per coin]],3,FALSE)*3.5,"")</f>
        <v>6.0875500000000002</v>
      </c>
      <c r="R57" s="27">
        <f t="shared" si="15"/>
        <v>18.582400000000003</v>
      </c>
      <c r="S57" s="28">
        <f t="shared" si="16"/>
        <v>74.329599999999999</v>
      </c>
      <c r="T57" s="91">
        <f>IFERROR(CO_entry[[#This Row],[Tokens Sold2]]*CO_entry[[#This Row],[Selling point 2]],"")</f>
        <v>113.12128912000003</v>
      </c>
      <c r="U57" s="92">
        <f>IFERROR((Q57*R57)-(VLOOKUP(J57,Portfolio_Overview[[#All],[ticker]:[average per coin]],3,FALSE)*R57),"")</f>
        <v>80.800920800000029</v>
      </c>
      <c r="V57" s="88">
        <f>IFERROR(VLOOKUP(J57,Portfolio_Overview[[#All],[ticker]:[average per coin]],3,FALSE)*4.5,"")</f>
        <v>7.8268500000000003</v>
      </c>
      <c r="W57" s="25">
        <f t="shared" si="17"/>
        <v>14.865920000000001</v>
      </c>
      <c r="X57" s="26">
        <f t="shared" si="18"/>
        <v>59.463679999999997</v>
      </c>
      <c r="Y57" s="89">
        <f>IFERROR(CO_entry[[#This Row],[Tokens Sold3]]*CO_entry[[#This Row],[Selling point 3]],"")</f>
        <v>116.35332595200001</v>
      </c>
      <c r="Z57" s="90">
        <f>IFERROR((V57*W57)-(VLOOKUP(J57,Portfolio_Overview[[#All],[ticker]:[average per coin]],3,FALSE)*W57),"")</f>
        <v>90.497031296000003</v>
      </c>
      <c r="AA57" s="88">
        <f>IFERROR(VLOOKUP(J57,Portfolio_Overview[[#All],[ticker]:[average per coin]],3,FALSE)*6,"")</f>
        <v>10.4358</v>
      </c>
      <c r="AB57" s="27">
        <f t="shared" si="19"/>
        <v>11.892735999999999</v>
      </c>
      <c r="AC57" s="28">
        <f t="shared" si="20"/>
        <v>47.570943999999997</v>
      </c>
      <c r="AD57" s="91">
        <f>IFERROR(CO_entry[[#This Row],[Tokens Sold4]]*CO_entry[[#This Row],[Selling point 4]],"")</f>
        <v>124.1102143488</v>
      </c>
      <c r="AE57" s="92">
        <f>IFERROR((AA57*AB57)-(VLOOKUP(J57,Portfolio_Overview[[#All],[ticker]:[average per coin]],3,FALSE)*AB57),"")</f>
        <v>103.425178624</v>
      </c>
      <c r="AF57" s="88">
        <f>IFERROR(VLOOKUP(J57,Portfolio_Overview[[#All],[ticker]:[average per coin]],3,FALSE)*8,"")</f>
        <v>13.914400000000001</v>
      </c>
      <c r="AG57" s="25">
        <f t="shared" si="21"/>
        <v>11.892735999999999</v>
      </c>
      <c r="AH57" s="26">
        <f t="shared" si="22"/>
        <v>35.678207999999998</v>
      </c>
      <c r="AI57" s="89">
        <f>IFERROR(CO_entry[[#This Row],[Tokens Sold5]]*CO_entry[[#This Row],[Selling point 5]],"")</f>
        <v>165.48028579839999</v>
      </c>
      <c r="AJ57" s="90">
        <f>IFERROR((AF57*AG57)-(VLOOKUP(J57,Portfolio_Overview[[#All],[ticker]:[average per coin]],3,FALSE)*AG57),"")</f>
        <v>144.79525007359999</v>
      </c>
      <c r="AK57" s="97">
        <f>IFERROR(VLOOKUP(J57,Portfolio_Overview[[#All],[ticker]:[average per coin]],3,FALSE)*10,"")</f>
        <v>17.393000000000001</v>
      </c>
      <c r="AL57" s="77">
        <f t="shared" si="23"/>
        <v>12.487372799999999</v>
      </c>
      <c r="AM57" s="77">
        <f t="shared" si="24"/>
        <v>23.190835199999999</v>
      </c>
      <c r="AN57" s="93">
        <f>IFERROR(CO_entry[[#This Row],[Tokens Sold6]]*CO_entry[[#This Row],[Selling point 6]],"")</f>
        <v>217.1928751104</v>
      </c>
      <c r="AO57" s="96">
        <f>IFERROR((AK57*AL57)-(VLOOKUP(J57,Portfolio_Overview[[#All],[ticker]:[average per coin]],3,FALSE)*AL57),"")</f>
        <v>195.47358759936</v>
      </c>
      <c r="AP57" s="97">
        <f>IFERROR(VLOOKUP(J57,Portfolio_Overview[[#All],[ticker]:[average per coin]],3,FALSE)*12,"")</f>
        <v>20.871600000000001</v>
      </c>
      <c r="AQ57" s="26">
        <f t="shared" si="25"/>
        <v>11.595417599999999</v>
      </c>
      <c r="AR57" s="26">
        <f t="shared" si="26"/>
        <v>11.595417599999999</v>
      </c>
      <c r="AS57" s="89">
        <f>IFERROR(CO_entry[[#This Row],[Tokens Sold7]]*CO_entry[[#This Row],[Selling point 7]],"")</f>
        <v>242.01491798015999</v>
      </c>
      <c r="AT57" s="95">
        <f>IFERROR((AP57*AQ57)-(VLOOKUP(J57,Portfolio_Overview[[#All],[ticker]:[average per coin]],3,FALSE)*AQ57),"")</f>
        <v>221.84700814848</v>
      </c>
      <c r="AU57" s="94">
        <f t="shared" si="12"/>
        <v>877.23943694144009</v>
      </c>
      <c r="AV57" s="29">
        <f t="shared" si="14"/>
        <v>11.595417599999999</v>
      </c>
      <c r="AW57" s="94">
        <f t="shared" si="13"/>
        <v>242.01491798015999</v>
      </c>
    </row>
    <row r="58" spans="1:49" x14ac:dyDescent="0.25">
      <c r="A58" t="s">
        <v>815</v>
      </c>
      <c r="B58" t="s">
        <v>775</v>
      </c>
      <c r="C58">
        <v>49.56</v>
      </c>
      <c r="D58" s="130">
        <v>1.6142000000000001</v>
      </c>
      <c r="E58" s="130">
        <v>79.999799999999993</v>
      </c>
      <c r="F58" s="130">
        <v>0.43640000000000001</v>
      </c>
      <c r="G58" s="130">
        <v>21.628</v>
      </c>
      <c r="H58" s="13">
        <v>3.1592700109028701E-4</v>
      </c>
      <c r="J58" s="65" t="s">
        <v>382</v>
      </c>
      <c r="K58" s="87">
        <f>IFERROR(VLOOKUP(J58,price_feed[[symbol]:[current_price]],3,FALSE),"")</f>
        <v>88.33</v>
      </c>
      <c r="L58" s="88">
        <f>IFERROR(VLOOKUP(J58,Portfolio_Overview[[#All],[ticker]:[average per coin]],3,FALSE)*2,"")</f>
        <v>234.29179999999999</v>
      </c>
      <c r="M58" s="25">
        <f>IFERROR(VLOOKUP(J58,Portfolio_Overview[[#All],[ticker]:[average per coin]],2,FALSE)*M$4,"")</f>
        <v>9.8000000000000007</v>
      </c>
      <c r="N58" s="26">
        <f>IFERROR(VLOOKUP(CO_entry[[#This Row],[ticker]],Portfolio_Overview[[#All],[ticker]:[average per coin]],2,FALSE)-CO_entry[[#This Row],[Tokens Sold]],"")</f>
        <v>39.200000000000003</v>
      </c>
      <c r="O58" s="89">
        <f>IFERROR(CO_entry[[#This Row],[Tokens Sold]]*CO_entry[[#This Row],[Selling point 1]],"")</f>
        <v>2296.0596399999999</v>
      </c>
      <c r="P58" s="90">
        <f>IFERROR((L58*M58)-(VLOOKUP(J58,Portfolio_Overview[[#All],[ticker]:[average per coin]],3,FALSE)*M58),"")</f>
        <v>1148.02982</v>
      </c>
      <c r="Q58" s="88">
        <f>IFERROR(VLOOKUP(J58,Portfolio_Overview[[#All],[ticker]:[average per coin]],3,FALSE)*3.5,"")</f>
        <v>410.01065</v>
      </c>
      <c r="R58" s="27">
        <f t="shared" si="15"/>
        <v>7.8400000000000007</v>
      </c>
      <c r="S58" s="28">
        <f t="shared" si="16"/>
        <v>31.360000000000003</v>
      </c>
      <c r="T58" s="93">
        <f>IFERROR(CO_entry[[#This Row],[Tokens Sold2]]*CO_entry[[#This Row],[Selling point 2]],"")</f>
        <v>3214.4834960000003</v>
      </c>
      <c r="U58" s="92">
        <f>IFERROR((Q58*R58)-(VLOOKUP(J58,Portfolio_Overview[[#All],[ticker]:[average per coin]],3,FALSE)*R58),"")</f>
        <v>2296.0596400000004</v>
      </c>
      <c r="V58" s="88">
        <f>IFERROR(VLOOKUP(J58,Portfolio_Overview[[#All],[ticker]:[average per coin]],3,FALSE)*4.5,"")</f>
        <v>527.15655000000004</v>
      </c>
      <c r="W58" s="25">
        <f t="shared" si="17"/>
        <v>6.2720000000000011</v>
      </c>
      <c r="X58" s="26">
        <f t="shared" si="18"/>
        <v>25.088000000000001</v>
      </c>
      <c r="Y58" s="89">
        <f>IFERROR(CO_entry[[#This Row],[Tokens Sold3]]*CO_entry[[#This Row],[Selling point 3]],"")</f>
        <v>3306.3258816000007</v>
      </c>
      <c r="Z58" s="90">
        <f>IFERROR((V58*W58)-(VLOOKUP(J58,Portfolio_Overview[[#All],[ticker]:[average per coin]],3,FALSE)*W58),"")</f>
        <v>2571.5867968000007</v>
      </c>
      <c r="AA58" s="88">
        <f>IFERROR(VLOOKUP(J58,Portfolio_Overview[[#All],[ticker]:[average per coin]],3,FALSE)*6,"")</f>
        <v>702.87540000000001</v>
      </c>
      <c r="AB58" s="27">
        <f t="shared" si="19"/>
        <v>5.0176000000000007</v>
      </c>
      <c r="AC58" s="28">
        <f t="shared" si="20"/>
        <v>20.070399999999999</v>
      </c>
      <c r="AD58" s="93">
        <f>IFERROR(CO_entry[[#This Row],[Tokens Sold4]]*CO_entry[[#This Row],[Selling point 4]],"")</f>
        <v>3526.7476070400007</v>
      </c>
      <c r="AE58" s="92">
        <f>IFERROR((AA58*AB58)-(VLOOKUP(J58,Portfolio_Overview[[#All],[ticker]:[average per coin]],3,FALSE)*AB58),"")</f>
        <v>2938.9563392000009</v>
      </c>
      <c r="AF58" s="88">
        <f>IFERROR(VLOOKUP(J58,Portfolio_Overview[[#All],[ticker]:[average per coin]],3,FALSE)*8,"")</f>
        <v>937.16719999999998</v>
      </c>
      <c r="AG58" s="25">
        <f t="shared" si="21"/>
        <v>5.0175999999999998</v>
      </c>
      <c r="AH58" s="26">
        <f t="shared" si="22"/>
        <v>15.0528</v>
      </c>
      <c r="AI58" s="89">
        <f>IFERROR(CO_entry[[#This Row],[Tokens Sold5]]*CO_entry[[#This Row],[Selling point 5]],"")</f>
        <v>4702.3301427199995</v>
      </c>
      <c r="AJ58" s="90">
        <f>IFERROR((AF58*AG58)-(VLOOKUP(J58,Portfolio_Overview[[#All],[ticker]:[average per coin]],3,FALSE)*AG58),"")</f>
        <v>4114.5388748799996</v>
      </c>
      <c r="AK58" s="97">
        <f>IFERROR(VLOOKUP(J58,Portfolio_Overview[[#All],[ticker]:[average per coin]],3,FALSE)*10,"")</f>
        <v>1171.4590000000001</v>
      </c>
      <c r="AL58" s="77">
        <f t="shared" si="23"/>
        <v>5.2684799999999994</v>
      </c>
      <c r="AM58" s="77">
        <f t="shared" si="24"/>
        <v>9.784320000000001</v>
      </c>
      <c r="AN58" s="93">
        <f>IFERROR(CO_entry[[#This Row],[Tokens Sold6]]*CO_entry[[#This Row],[Selling point 6]],"")</f>
        <v>6171.8083123199995</v>
      </c>
      <c r="AO58" s="96">
        <f>IFERROR((AK58*AL58)-(VLOOKUP(J58,Portfolio_Overview[[#All],[ticker]:[average per coin]],3,FALSE)*AL58),"")</f>
        <v>5554.6274810879995</v>
      </c>
      <c r="AP58" s="97">
        <f>IFERROR(VLOOKUP(J58,Portfolio_Overview[[#All],[ticker]:[average per coin]],3,FALSE)*12,"")</f>
        <v>1405.7508</v>
      </c>
      <c r="AQ58" s="26">
        <f t="shared" si="25"/>
        <v>4.8921600000000005</v>
      </c>
      <c r="AR58" s="26">
        <f t="shared" si="26"/>
        <v>4.8921600000000005</v>
      </c>
      <c r="AS58" s="89">
        <f>IFERROR(CO_entry[[#This Row],[Tokens Sold7]]*CO_entry[[#This Row],[Selling point 7]],"")</f>
        <v>6877.1578337280007</v>
      </c>
      <c r="AT58" s="95">
        <f>IFERROR((AP58*AQ58)-(VLOOKUP(J58,Portfolio_Overview[[#All],[ticker]:[average per coin]],3,FALSE)*AQ58),"")</f>
        <v>6304.0613475840009</v>
      </c>
      <c r="AU58" s="94">
        <f t="shared" si="12"/>
        <v>24927.860299552001</v>
      </c>
      <c r="AV58" s="29">
        <f t="shared" si="14"/>
        <v>4.8921600000000005</v>
      </c>
      <c r="AW58" s="94">
        <f t="shared" si="13"/>
        <v>6877.1578337280007</v>
      </c>
    </row>
    <row r="59" spans="1:49" customFormat="1" x14ac:dyDescent="0.25">
      <c r="A59" t="s">
        <v>161</v>
      </c>
      <c r="B59" t="s">
        <v>440</v>
      </c>
      <c r="C59">
        <v>118</v>
      </c>
      <c r="D59" s="130">
        <v>0.16950000000000001</v>
      </c>
      <c r="E59" s="130">
        <v>20.001000000000001</v>
      </c>
      <c r="F59" s="130">
        <v>0.16650000000000001</v>
      </c>
      <c r="G59" s="130">
        <v>19.646999999999998</v>
      </c>
      <c r="H59" s="13">
        <v>2.86989910783284E-4</v>
      </c>
      <c r="J59" s="58" t="s">
        <v>498</v>
      </c>
      <c r="K59" s="87">
        <f>IFERROR(VLOOKUP(J59,price_feed[[symbol]:[current_price]],3,FALSE),"")</f>
        <v>2.64</v>
      </c>
      <c r="L59" s="88">
        <f>IFERROR(VLOOKUP(J59,Portfolio_Overview[[#All],[ticker]:[average per coin]],3,FALSE)*2,"")</f>
        <v>17.9072</v>
      </c>
      <c r="M59" s="25">
        <f>IFERROR(VLOOKUP(J59,Portfolio_Overview[[#All],[ticker]:[average per coin]],2,FALSE)*M$4,"")</f>
        <v>7.1480000000000006</v>
      </c>
      <c r="N59" s="26">
        <f>IFERROR(VLOOKUP(CO_entry[[#This Row],[ticker]],Portfolio_Overview[[#All],[ticker]:[average per coin]],2,FALSE)-CO_entry[[#This Row],[Tokens Sold]],"")</f>
        <v>28.592000000000002</v>
      </c>
      <c r="O59" s="89">
        <f>IFERROR(CO_entry[[#This Row],[Tokens Sold]]*CO_entry[[#This Row],[Selling point 1]],"")</f>
        <v>128.00066560000002</v>
      </c>
      <c r="P59" s="90">
        <f>IFERROR((L59*M59)-(VLOOKUP(J59,Portfolio_Overview[[#All],[ticker]:[average per coin]],3,FALSE)*M59),"")</f>
        <v>64.00033280000001</v>
      </c>
      <c r="Q59" s="88">
        <f>IFERROR(VLOOKUP(J59,Portfolio_Overview[[#All],[ticker]:[average per coin]],3,FALSE)*3.5,"")</f>
        <v>31.337599999999998</v>
      </c>
      <c r="R59" s="27">
        <f t="shared" si="15"/>
        <v>5.7184000000000008</v>
      </c>
      <c r="S59" s="28">
        <f t="shared" si="16"/>
        <v>22.873600000000003</v>
      </c>
      <c r="T59" s="91">
        <f>IFERROR(CO_entry[[#This Row],[Tokens Sold2]]*CO_entry[[#This Row],[Selling point 2]],"")</f>
        <v>179.20093184000001</v>
      </c>
      <c r="U59" s="92">
        <f>IFERROR((Q59*R59)-(VLOOKUP(J59,Portfolio_Overview[[#All],[ticker]:[average per coin]],3,FALSE)*R59),"")</f>
        <v>128.00066559999999</v>
      </c>
      <c r="V59" s="88">
        <f>IFERROR(VLOOKUP(J59,Portfolio_Overview[[#All],[ticker]:[average per coin]],3,FALSE)*4.5,"")</f>
        <v>40.291199999999996</v>
      </c>
      <c r="W59" s="25">
        <f t="shared" si="17"/>
        <v>4.574720000000001</v>
      </c>
      <c r="X59" s="26">
        <f t="shared" si="18"/>
        <v>18.298880000000004</v>
      </c>
      <c r="Y59" s="89">
        <f>IFERROR(CO_entry[[#This Row],[Tokens Sold3]]*CO_entry[[#This Row],[Selling point 3]],"")</f>
        <v>184.32095846400003</v>
      </c>
      <c r="Z59" s="90">
        <f>IFERROR((V59*W59)-(VLOOKUP(J59,Portfolio_Overview[[#All],[ticker]:[average per coin]],3,FALSE)*W59),"")</f>
        <v>143.36074547200002</v>
      </c>
      <c r="AA59" s="88">
        <f>IFERROR(VLOOKUP(J59,Portfolio_Overview[[#All],[ticker]:[average per coin]],3,FALSE)*6,"")</f>
        <v>53.721599999999995</v>
      </c>
      <c r="AB59" s="27">
        <f t="shared" si="19"/>
        <v>3.6597760000000008</v>
      </c>
      <c r="AC59" s="28">
        <f t="shared" si="20"/>
        <v>14.639104000000003</v>
      </c>
      <c r="AD59" s="91">
        <f>IFERROR(CO_entry[[#This Row],[Tokens Sold4]]*CO_entry[[#This Row],[Selling point 4]],"")</f>
        <v>196.60902236160001</v>
      </c>
      <c r="AE59" s="92">
        <f>IFERROR((AA59*AB59)-(VLOOKUP(J59,Portfolio_Overview[[#All],[ticker]:[average per coin]],3,FALSE)*AB59),"")</f>
        <v>163.84085196800001</v>
      </c>
      <c r="AF59" s="88">
        <f>IFERROR(VLOOKUP(J59,Portfolio_Overview[[#All],[ticker]:[average per coin]],3,FALSE)*8,"")</f>
        <v>71.628799999999998</v>
      </c>
      <c r="AG59" s="25">
        <f t="shared" si="21"/>
        <v>3.6597760000000008</v>
      </c>
      <c r="AH59" s="26">
        <f t="shared" si="22"/>
        <v>10.979328000000002</v>
      </c>
      <c r="AI59" s="89">
        <f>IFERROR(CO_entry[[#This Row],[Tokens Sold5]]*CO_entry[[#This Row],[Selling point 5]],"")</f>
        <v>262.14536314880007</v>
      </c>
      <c r="AJ59" s="90">
        <f>IFERROR((AF59*AG59)-(VLOOKUP(J59,Portfolio_Overview[[#All],[ticker]:[average per coin]],3,FALSE)*AG59),"")</f>
        <v>229.37719275520007</v>
      </c>
      <c r="AK59" s="97">
        <f>IFERROR(VLOOKUP(J59,Portfolio_Overview[[#All],[ticker]:[average per coin]],3,FALSE)*10,"")</f>
        <v>89.536000000000001</v>
      </c>
      <c r="AL59" s="77">
        <f t="shared" si="23"/>
        <v>3.8427648000000008</v>
      </c>
      <c r="AM59" s="77">
        <f t="shared" si="24"/>
        <v>7.1365632000000012</v>
      </c>
      <c r="AN59" s="93">
        <f>IFERROR(CO_entry[[#This Row],[Tokens Sold6]]*CO_entry[[#This Row],[Selling point 6]],"")</f>
        <v>344.06578913280009</v>
      </c>
      <c r="AO59" s="96">
        <f>IFERROR((AK59*AL59)-(VLOOKUP(J59,Portfolio_Overview[[#All],[ticker]:[average per coin]],3,FALSE)*AL59),"")</f>
        <v>309.65921021952011</v>
      </c>
      <c r="AP59" s="97">
        <f>IFERROR(VLOOKUP(J59,Portfolio_Overview[[#All],[ticker]:[average per coin]],3,FALSE)*12,"")</f>
        <v>107.44319999999999</v>
      </c>
      <c r="AQ59" s="26">
        <f t="shared" si="25"/>
        <v>3.5682816000000006</v>
      </c>
      <c r="AR59" s="26">
        <f t="shared" si="26"/>
        <v>3.5682816000000006</v>
      </c>
      <c r="AS59" s="89">
        <f>IFERROR(CO_entry[[#This Row],[Tokens Sold7]]*CO_entry[[#This Row],[Selling point 7]],"")</f>
        <v>383.38759360512</v>
      </c>
      <c r="AT59" s="95">
        <f>IFERROR((AP59*AQ59)-(VLOOKUP(J59,Portfolio_Overview[[#All],[ticker]:[average per coin]],3,FALSE)*AQ59),"")</f>
        <v>351.43862747136001</v>
      </c>
      <c r="AU59" s="94">
        <f t="shared" si="12"/>
        <v>1389.6776262860801</v>
      </c>
      <c r="AV59" s="29">
        <f t="shared" si="14"/>
        <v>3.5682816000000006</v>
      </c>
      <c r="AW59" s="94">
        <f t="shared" si="13"/>
        <v>383.38759360512</v>
      </c>
    </row>
    <row r="60" spans="1:49" customFormat="1" x14ac:dyDescent="0.25">
      <c r="A60" t="s">
        <v>800</v>
      </c>
      <c r="B60" t="s">
        <v>773</v>
      </c>
      <c r="C60">
        <v>14.71</v>
      </c>
      <c r="D60" s="130">
        <v>5.5065</v>
      </c>
      <c r="E60" s="130">
        <v>81.000600000000006</v>
      </c>
      <c r="F60" s="130">
        <v>1.24</v>
      </c>
      <c r="G60" s="130">
        <v>18.240400000000001</v>
      </c>
      <c r="H60" s="13">
        <v>2.6644326200699401E-4</v>
      </c>
      <c r="J60" s="58" t="s">
        <v>779</v>
      </c>
      <c r="K60" s="114">
        <f>IFERROR(VLOOKUP(J60,price_feed[[symbol]:[current_price]],3,FALSE),"")</f>
        <v>0.16400700000000001</v>
      </c>
      <c r="L60" s="88">
        <f>IFERROR(VLOOKUP(J60,Portfolio_Overview[[#All],[ticker]:[average per coin]],3,FALSE)*2,"")</f>
        <v>2.5680000000000001</v>
      </c>
      <c r="M60" s="25">
        <f>IFERROR(VLOOKUP(J60,Portfolio_Overview[[#All],[ticker]:[average per coin]],2,FALSE)*M$4,"")</f>
        <v>12.15</v>
      </c>
      <c r="N60" s="26">
        <f>IFERROR(VLOOKUP(CO_entry[[#This Row],[ticker]],Portfolio_Overview[[#All],[ticker]:[average per coin]],2,FALSE)-CO_entry[[#This Row],[Tokens Sold]],"")</f>
        <v>48.6</v>
      </c>
      <c r="O60" s="89">
        <f>IFERROR(CO_entry[[#This Row],[Tokens Sold]]*CO_entry[[#This Row],[Selling point 1]],"")</f>
        <v>31.2012</v>
      </c>
      <c r="P60" s="90">
        <f>IFERROR((L60*M60)-(VLOOKUP(J60,Portfolio_Overview[[#All],[ticker]:[average per coin]],3,FALSE)*M60),"")</f>
        <v>15.6006</v>
      </c>
      <c r="Q60" s="88">
        <f>IFERROR(VLOOKUP(J60,Portfolio_Overview[[#All],[ticker]:[average per coin]],3,FALSE)*3.5,"")</f>
        <v>4.4939999999999998</v>
      </c>
      <c r="R60" s="27">
        <f t="shared" si="15"/>
        <v>9.7200000000000006</v>
      </c>
      <c r="S60" s="28">
        <f t="shared" si="16"/>
        <v>38.880000000000003</v>
      </c>
      <c r="T60" s="91">
        <f>IFERROR(CO_entry[[#This Row],[Tokens Sold2]]*CO_entry[[#This Row],[Selling point 2]],"")</f>
        <v>43.68168</v>
      </c>
      <c r="U60" s="92">
        <f>IFERROR((Q60*R60)-(VLOOKUP(J60,Portfolio_Overview[[#All],[ticker]:[average per coin]],3,FALSE)*R60),"")</f>
        <v>31.2012</v>
      </c>
      <c r="V60" s="88">
        <f>IFERROR(VLOOKUP(J60,Portfolio_Overview[[#All],[ticker]:[average per coin]],3,FALSE)*4.5,"")</f>
        <v>5.7780000000000005</v>
      </c>
      <c r="W60" s="25">
        <f t="shared" si="17"/>
        <v>7.7760000000000007</v>
      </c>
      <c r="X60" s="26">
        <f t="shared" si="18"/>
        <v>31.104000000000003</v>
      </c>
      <c r="Y60" s="89">
        <f>IFERROR(CO_entry[[#This Row],[Tokens Sold3]]*CO_entry[[#This Row],[Selling point 3]],"")</f>
        <v>44.929728000000004</v>
      </c>
      <c r="Z60" s="90">
        <f>IFERROR((V60*W60)-(VLOOKUP(J60,Portfolio_Overview[[#All],[ticker]:[average per coin]],3,FALSE)*W60),"")</f>
        <v>34.945344000000006</v>
      </c>
      <c r="AA60" s="88">
        <f>IFERROR(VLOOKUP(J60,Portfolio_Overview[[#All],[ticker]:[average per coin]],3,FALSE)*6,"")</f>
        <v>7.7040000000000006</v>
      </c>
      <c r="AB60" s="27">
        <f t="shared" si="19"/>
        <v>6.2208000000000006</v>
      </c>
      <c r="AC60" s="28">
        <f t="shared" si="20"/>
        <v>24.883200000000002</v>
      </c>
      <c r="AD60" s="91">
        <f>IFERROR(CO_entry[[#This Row],[Tokens Sold4]]*CO_entry[[#This Row],[Selling point 4]],"")</f>
        <v>47.925043200000005</v>
      </c>
      <c r="AE60" s="92">
        <f>IFERROR((AA60*AB60)-(VLOOKUP(J60,Portfolio_Overview[[#All],[ticker]:[average per coin]],3,FALSE)*AB60),"")</f>
        <v>39.937536000000001</v>
      </c>
      <c r="AF60" s="88">
        <f>IFERROR(VLOOKUP(J60,Portfolio_Overview[[#All],[ticker]:[average per coin]],3,FALSE)*8,"")</f>
        <v>10.272</v>
      </c>
      <c r="AG60" s="25">
        <f t="shared" si="21"/>
        <v>6.2208000000000006</v>
      </c>
      <c r="AH60" s="26">
        <f t="shared" si="22"/>
        <v>18.662400000000002</v>
      </c>
      <c r="AI60" s="89">
        <f>IFERROR(CO_entry[[#This Row],[Tokens Sold5]]*CO_entry[[#This Row],[Selling point 5]],"")</f>
        <v>63.900057600000004</v>
      </c>
      <c r="AJ60" s="90">
        <f>IFERROR((AF60*AG60)-(VLOOKUP(J60,Portfolio_Overview[[#All],[ticker]:[average per coin]],3,FALSE)*AG60),"")</f>
        <v>55.912550400000001</v>
      </c>
      <c r="AK60" s="98">
        <f>IFERROR(VLOOKUP(J60,Portfolio_Overview[[#All],[ticker]:[average per coin]],3,FALSE)*10,"")</f>
        <v>12.84</v>
      </c>
      <c r="AL60" s="77">
        <f t="shared" si="23"/>
        <v>6.5318399999999999</v>
      </c>
      <c r="AM60" s="77">
        <f t="shared" si="24"/>
        <v>12.130560000000003</v>
      </c>
      <c r="AN60" s="93">
        <f>IFERROR(CO_entry[[#This Row],[Tokens Sold6]]*CO_entry[[#This Row],[Selling point 6]],"")</f>
        <v>83.868825599999994</v>
      </c>
      <c r="AO60" s="96">
        <f>IFERROR((AK60*AL60)-(VLOOKUP(J60,Portfolio_Overview[[#All],[ticker]:[average per coin]],3,FALSE)*AL60),"")</f>
        <v>75.48194303999999</v>
      </c>
      <c r="AP60" s="97">
        <f>IFERROR(VLOOKUP(J60,Portfolio_Overview[[#All],[ticker]:[average per coin]],3,FALSE)*12,"")</f>
        <v>15.408000000000001</v>
      </c>
      <c r="AQ60" s="26">
        <f t="shared" si="25"/>
        <v>6.0652800000000013</v>
      </c>
      <c r="AR60" s="26">
        <f t="shared" si="26"/>
        <v>6.0652800000000013</v>
      </c>
      <c r="AS60" s="89">
        <f>IFERROR(CO_entry[[#This Row],[Tokens Sold7]]*CO_entry[[#This Row],[Selling point 7]],"")</f>
        <v>93.453834240000035</v>
      </c>
      <c r="AT60" s="95">
        <f>IFERROR((AP60*AQ60)-(VLOOKUP(J60,Portfolio_Overview[[#All],[ticker]:[average per coin]],3,FALSE)*AQ60),"")</f>
        <v>85.666014720000035</v>
      </c>
      <c r="AU60" s="94">
        <f t="shared" si="12"/>
        <v>338.74518816</v>
      </c>
      <c r="AV60" s="29">
        <f t="shared" si="14"/>
        <v>6.0652800000000013</v>
      </c>
      <c r="AW60" s="94">
        <f t="shared" si="13"/>
        <v>93.453834240000035</v>
      </c>
    </row>
    <row r="61" spans="1:49" customFormat="1" x14ac:dyDescent="0.25">
      <c r="A61" t="s">
        <v>794</v>
      </c>
      <c r="B61" t="s">
        <v>774</v>
      </c>
      <c r="C61">
        <v>4</v>
      </c>
      <c r="D61" s="130">
        <v>21.5</v>
      </c>
      <c r="E61" s="130">
        <v>86</v>
      </c>
      <c r="F61" s="130">
        <v>4.1900000000000004</v>
      </c>
      <c r="G61" s="130">
        <v>16.760000000000002</v>
      </c>
      <c r="H61" s="13">
        <v>2.4481859341008003E-4</v>
      </c>
      <c r="J61" s="58" t="s">
        <v>697</v>
      </c>
      <c r="K61" s="114">
        <f>IFERROR(VLOOKUP(J61,price_feed[[symbol]:[current_price]],3,FALSE),"")</f>
        <v>0.54863300000000004</v>
      </c>
      <c r="L61" s="88">
        <f>IFERROR(VLOOKUP(J61,Portfolio_Overview[[#All],[ticker]:[average per coin]],3,FALSE)*2,"")</f>
        <v>1.5229999999999999</v>
      </c>
      <c r="M61" s="25">
        <f>IFERROR(VLOOKUP(J61,Portfolio_Overview[[#All],[ticker]:[average per coin]],2,FALSE)*M$4,"")</f>
        <v>26</v>
      </c>
      <c r="N61" s="26">
        <f>IFERROR(VLOOKUP(CO_entry[[#This Row],[ticker]],Portfolio_Overview[[#All],[ticker]:[average per coin]],2,FALSE)-CO_entry[[#This Row],[Tokens Sold]],"")</f>
        <v>104</v>
      </c>
      <c r="O61" s="89">
        <f>IFERROR(CO_entry[[#This Row],[Tokens Sold]]*CO_entry[[#This Row],[Selling point 1]],"")</f>
        <v>39.597999999999999</v>
      </c>
      <c r="P61" s="90">
        <f>IFERROR((L61*M61)-(VLOOKUP(J61,Portfolio_Overview[[#All],[ticker]:[average per coin]],3,FALSE)*M61),"")</f>
        <v>19.798999999999999</v>
      </c>
      <c r="Q61" s="88">
        <f>IFERROR(VLOOKUP(J61,Portfolio_Overview[[#All],[ticker]:[average per coin]],3,FALSE)*3.5,"")</f>
        <v>2.6652499999999999</v>
      </c>
      <c r="R61" s="27">
        <f t="shared" si="15"/>
        <v>20.8</v>
      </c>
      <c r="S61" s="28">
        <f t="shared" si="16"/>
        <v>83.2</v>
      </c>
      <c r="T61" s="91">
        <f>IFERROR(CO_entry[[#This Row],[Tokens Sold2]]*CO_entry[[#This Row],[Selling point 2]],"")</f>
        <v>55.437199999999997</v>
      </c>
      <c r="U61" s="92">
        <f>IFERROR((Q61*R61)-(VLOOKUP(J61,Portfolio_Overview[[#All],[ticker]:[average per coin]],3,FALSE)*R61),"")</f>
        <v>39.597999999999999</v>
      </c>
      <c r="V61" s="88">
        <f>IFERROR(VLOOKUP(J61,Portfolio_Overview[[#All],[ticker]:[average per coin]],3,FALSE)*4.5,"")</f>
        <v>3.4267499999999997</v>
      </c>
      <c r="W61" s="25">
        <f t="shared" si="17"/>
        <v>16.64</v>
      </c>
      <c r="X61" s="26">
        <f t="shared" si="18"/>
        <v>66.56</v>
      </c>
      <c r="Y61" s="89">
        <f>IFERROR(CO_entry[[#This Row],[Tokens Sold3]]*CO_entry[[#This Row],[Selling point 3]],"")</f>
        <v>57.021119999999996</v>
      </c>
      <c r="Z61" s="90">
        <f>IFERROR((V61*W61)-(VLOOKUP(J61,Portfolio_Overview[[#All],[ticker]:[average per coin]],3,FALSE)*W61),"")</f>
        <v>44.349759999999996</v>
      </c>
      <c r="AA61" s="88">
        <f>IFERROR(VLOOKUP(J61,Portfolio_Overview[[#All],[ticker]:[average per coin]],3,FALSE)*6,"")</f>
        <v>4.569</v>
      </c>
      <c r="AB61" s="27">
        <f t="shared" si="19"/>
        <v>13.312000000000001</v>
      </c>
      <c r="AC61" s="28">
        <f t="shared" si="20"/>
        <v>53.248000000000005</v>
      </c>
      <c r="AD61" s="91">
        <f>IFERROR(CO_entry[[#This Row],[Tokens Sold4]]*CO_entry[[#This Row],[Selling point 4]],"")</f>
        <v>60.822528000000005</v>
      </c>
      <c r="AE61" s="92">
        <f>IFERROR((AA61*AB61)-(VLOOKUP(J61,Portfolio_Overview[[#All],[ticker]:[average per coin]],3,FALSE)*AB61),"")</f>
        <v>50.685440000000007</v>
      </c>
      <c r="AF61" s="88">
        <f>IFERROR(VLOOKUP(J61,Portfolio_Overview[[#All],[ticker]:[average per coin]],3,FALSE)*8,"")</f>
        <v>6.0919999999999996</v>
      </c>
      <c r="AG61" s="25">
        <f t="shared" si="21"/>
        <v>13.312000000000001</v>
      </c>
      <c r="AH61" s="26">
        <f t="shared" si="22"/>
        <v>39.936000000000007</v>
      </c>
      <c r="AI61" s="89">
        <f>IFERROR(CO_entry[[#This Row],[Tokens Sold5]]*CO_entry[[#This Row],[Selling point 5]],"")</f>
        <v>81.096704000000003</v>
      </c>
      <c r="AJ61" s="90">
        <f>IFERROR((AF61*AG61)-(VLOOKUP(J61,Portfolio_Overview[[#All],[ticker]:[average per coin]],3,FALSE)*AG61),"")</f>
        <v>70.959615999999997</v>
      </c>
      <c r="AK61" s="97">
        <f>IFERROR(VLOOKUP(J61,Portfolio_Overview[[#All],[ticker]:[average per coin]],3,FALSE)*10,"")</f>
        <v>7.6149999999999993</v>
      </c>
      <c r="AL61" s="77">
        <f t="shared" si="23"/>
        <v>13.977600000000002</v>
      </c>
      <c r="AM61" s="77">
        <f t="shared" si="24"/>
        <v>25.958400000000005</v>
      </c>
      <c r="AN61" s="93">
        <f>IFERROR(CO_entry[[#This Row],[Tokens Sold6]]*CO_entry[[#This Row],[Selling point 6]],"")</f>
        <v>106.439424</v>
      </c>
      <c r="AO61" s="96">
        <f>IFERROR((AK61*AL61)-(VLOOKUP(J61,Portfolio_Overview[[#All],[ticker]:[average per coin]],3,FALSE)*AL61),"")</f>
        <v>95.795481600000002</v>
      </c>
      <c r="AP61" s="97">
        <f>IFERROR(VLOOKUP(J61,Portfolio_Overview[[#All],[ticker]:[average per coin]],3,FALSE)*12,"")</f>
        <v>9.1379999999999999</v>
      </c>
      <c r="AQ61" s="26">
        <f t="shared" si="25"/>
        <v>12.979200000000002</v>
      </c>
      <c r="AR61" s="26">
        <f t="shared" si="26"/>
        <v>12.979200000000002</v>
      </c>
      <c r="AS61" s="89">
        <f>IFERROR(CO_entry[[#This Row],[Tokens Sold7]]*CO_entry[[#This Row],[Selling point 7]],"")</f>
        <v>118.60392960000001</v>
      </c>
      <c r="AT61" s="95">
        <f>IFERROR((AP61*AQ61)-(VLOOKUP(J61,Portfolio_Overview[[#All],[ticker]:[average per coin]],3,FALSE)*AQ61),"")</f>
        <v>108.72026880000001</v>
      </c>
      <c r="AU61" s="94">
        <f t="shared" si="12"/>
        <v>429.90756640000006</v>
      </c>
      <c r="AV61" s="29">
        <f t="shared" si="14"/>
        <v>12.979200000000002</v>
      </c>
      <c r="AW61" s="94">
        <f t="shared" si="13"/>
        <v>118.60392960000001</v>
      </c>
    </row>
    <row r="62" spans="1:49" customFormat="1" x14ac:dyDescent="0.25">
      <c r="A62" t="s">
        <v>607</v>
      </c>
      <c r="B62" t="s">
        <v>606</v>
      </c>
      <c r="C62">
        <v>0.22500000000000001</v>
      </c>
      <c r="D62" s="130">
        <v>355.55560000000003</v>
      </c>
      <c r="E62" s="130">
        <v>80</v>
      </c>
      <c r="F62" s="130">
        <v>59.08</v>
      </c>
      <c r="G62" s="130">
        <v>13.292999999999999</v>
      </c>
      <c r="H62" s="13">
        <v>1.9417503354416399E-4</v>
      </c>
      <c r="J62" s="58" t="s">
        <v>440</v>
      </c>
      <c r="K62" s="114">
        <f>IFERROR(VLOOKUP(J62,price_feed[[symbol]:[current_price]],3,FALSE),"")</f>
        <v>0.166494</v>
      </c>
      <c r="L62" s="88">
        <f>IFERROR(VLOOKUP(J62,Portfolio_Overview[[#All],[ticker]:[average per coin]],3,FALSE)*2,"")</f>
        <v>0.33900000000000002</v>
      </c>
      <c r="M62" s="25">
        <f>IFERROR(VLOOKUP(J62,Portfolio_Overview[[#All],[ticker]:[average per coin]],2,FALSE)*M$4,"")</f>
        <v>23.6</v>
      </c>
      <c r="N62" s="26">
        <f>IFERROR(VLOOKUP(CO_entry[[#This Row],[ticker]],Portfolio_Overview[[#All],[ticker]:[average per coin]],2,FALSE)-CO_entry[[#This Row],[Tokens Sold]],"")</f>
        <v>94.4</v>
      </c>
      <c r="O62" s="89">
        <f>IFERROR(CO_entry[[#This Row],[Tokens Sold]]*CO_entry[[#This Row],[Selling point 1]],"")</f>
        <v>8.0004000000000008</v>
      </c>
      <c r="P62" s="90">
        <f>IFERROR((L62*M62)-(VLOOKUP(J62,Portfolio_Overview[[#All],[ticker]:[average per coin]],3,FALSE)*M62),"")</f>
        <v>4.0002000000000004</v>
      </c>
      <c r="Q62" s="88">
        <f>IFERROR(VLOOKUP(J62,Portfolio_Overview[[#All],[ticker]:[average per coin]],3,FALSE)*3.5,"")</f>
        <v>0.59325000000000006</v>
      </c>
      <c r="R62" s="27">
        <f t="shared" si="15"/>
        <v>18.880000000000003</v>
      </c>
      <c r="S62" s="28">
        <f t="shared" si="16"/>
        <v>75.52000000000001</v>
      </c>
      <c r="T62" s="91">
        <f>IFERROR(CO_entry[[#This Row],[Tokens Sold2]]*CO_entry[[#This Row],[Selling point 2]],"")</f>
        <v>11.200560000000003</v>
      </c>
      <c r="U62" s="92">
        <f>IFERROR((Q62*R62)-(VLOOKUP(J62,Portfolio_Overview[[#All],[ticker]:[average per coin]],3,FALSE)*R62),"")</f>
        <v>8.0004000000000026</v>
      </c>
      <c r="V62" s="88">
        <f>IFERROR(VLOOKUP(J62,Portfolio_Overview[[#All],[ticker]:[average per coin]],3,FALSE)*4.5,"")</f>
        <v>0.76275000000000004</v>
      </c>
      <c r="W62" s="25">
        <f t="shared" si="17"/>
        <v>15.104000000000003</v>
      </c>
      <c r="X62" s="26">
        <f t="shared" si="18"/>
        <v>60.416000000000011</v>
      </c>
      <c r="Y62" s="89">
        <f>IFERROR(CO_entry[[#This Row],[Tokens Sold3]]*CO_entry[[#This Row],[Selling point 3]],"")</f>
        <v>11.520576000000002</v>
      </c>
      <c r="Z62" s="90">
        <f>IFERROR((V62*W62)-(VLOOKUP(J62,Portfolio_Overview[[#All],[ticker]:[average per coin]],3,FALSE)*W62),"")</f>
        <v>8.9604480000000013</v>
      </c>
      <c r="AA62" s="88">
        <f>IFERROR(VLOOKUP(J62,Portfolio_Overview[[#All],[ticker]:[average per coin]],3,FALSE)*6,"")</f>
        <v>1.0170000000000001</v>
      </c>
      <c r="AB62" s="27">
        <f t="shared" si="19"/>
        <v>12.083200000000003</v>
      </c>
      <c r="AC62" s="28">
        <f t="shared" si="20"/>
        <v>48.332800000000006</v>
      </c>
      <c r="AD62" s="91">
        <f>IFERROR(CO_entry[[#This Row],[Tokens Sold4]]*CO_entry[[#This Row],[Selling point 4]],"")</f>
        <v>12.288614400000005</v>
      </c>
      <c r="AE62" s="92">
        <f>IFERROR((AA62*AB62)-(VLOOKUP(J62,Portfolio_Overview[[#All],[ticker]:[average per coin]],3,FALSE)*AB62),"")</f>
        <v>10.240512000000004</v>
      </c>
      <c r="AF62" s="88">
        <f>IFERROR(VLOOKUP(J62,Portfolio_Overview[[#All],[ticker]:[average per coin]],3,FALSE)*8,"")</f>
        <v>1.3560000000000001</v>
      </c>
      <c r="AG62" s="25">
        <f t="shared" si="21"/>
        <v>12.083200000000001</v>
      </c>
      <c r="AH62" s="26">
        <f t="shared" si="22"/>
        <v>36.249600000000001</v>
      </c>
      <c r="AI62" s="89">
        <f>IFERROR(CO_entry[[#This Row],[Tokens Sold5]]*CO_entry[[#This Row],[Selling point 5]],"")</f>
        <v>16.384819200000003</v>
      </c>
      <c r="AJ62" s="90">
        <f>IFERROR((AF62*AG62)-(VLOOKUP(J62,Portfolio_Overview[[#All],[ticker]:[average per coin]],3,FALSE)*AG62),"")</f>
        <v>14.336716800000001</v>
      </c>
      <c r="AK62" s="97">
        <f>IFERROR(VLOOKUP(J62,Portfolio_Overview[[#All],[ticker]:[average per coin]],3,FALSE)*10,"")</f>
        <v>1.6950000000000001</v>
      </c>
      <c r="AL62" s="77">
        <f t="shared" si="23"/>
        <v>12.68736</v>
      </c>
      <c r="AM62" s="77">
        <f t="shared" si="24"/>
        <v>23.562240000000003</v>
      </c>
      <c r="AN62" s="93">
        <f>IFERROR(CO_entry[[#This Row],[Tokens Sold6]]*CO_entry[[#This Row],[Selling point 6]],"")</f>
        <v>21.5050752</v>
      </c>
      <c r="AO62" s="96">
        <f>IFERROR((AK62*AL62)-(VLOOKUP(J62,Portfolio_Overview[[#All],[ticker]:[average per coin]],3,FALSE)*AL62),"")</f>
        <v>19.354567679999999</v>
      </c>
      <c r="AP62" s="97">
        <f>IFERROR(VLOOKUP(J62,Portfolio_Overview[[#All],[ticker]:[average per coin]],3,FALSE)*12,"")</f>
        <v>2.0340000000000003</v>
      </c>
      <c r="AQ62" s="26">
        <f t="shared" si="25"/>
        <v>11.781120000000001</v>
      </c>
      <c r="AR62" s="26">
        <f t="shared" si="26"/>
        <v>11.781120000000001</v>
      </c>
      <c r="AS62" s="89">
        <f>IFERROR(CO_entry[[#This Row],[Tokens Sold7]]*CO_entry[[#This Row],[Selling point 7]],"")</f>
        <v>23.962798080000006</v>
      </c>
      <c r="AT62" s="95">
        <f>IFERROR((AP62*AQ62)-(VLOOKUP(J62,Portfolio_Overview[[#All],[ticker]:[average per coin]],3,FALSE)*AQ62),"")</f>
        <v>21.965898240000005</v>
      </c>
      <c r="AU62" s="94">
        <f t="shared" si="12"/>
        <v>86.858742720000009</v>
      </c>
      <c r="AV62" s="29">
        <f t="shared" si="14"/>
        <v>11.781120000000001</v>
      </c>
      <c r="AW62" s="94">
        <f t="shared" si="13"/>
        <v>23.962798080000006</v>
      </c>
    </row>
    <row r="63" spans="1:49" customFormat="1" x14ac:dyDescent="0.25">
      <c r="A63" t="s">
        <v>808</v>
      </c>
      <c r="B63" t="s">
        <v>778</v>
      </c>
      <c r="C63">
        <v>177.97</v>
      </c>
      <c r="D63" s="130">
        <v>0.44950000000000001</v>
      </c>
      <c r="E63" s="130">
        <v>79.997500000000002</v>
      </c>
      <c r="F63" s="130">
        <v>6.2600000000000003E-2</v>
      </c>
      <c r="G63" s="130">
        <v>11.1409</v>
      </c>
      <c r="H63" s="13">
        <v>1.6273863170181201E-4</v>
      </c>
      <c r="J63" s="58" t="s">
        <v>399</v>
      </c>
      <c r="K63" s="87">
        <f>IFERROR(VLOOKUP(J63,price_feed[[symbol]:[current_price]],3,FALSE),"")</f>
        <v>2.88</v>
      </c>
      <c r="L63" s="88">
        <f>IFERROR(VLOOKUP(J63,Portfolio_Overview[[#All],[ticker]:[average per coin]],3,FALSE)*2,"")</f>
        <v>18.476400000000002</v>
      </c>
      <c r="M63" s="25">
        <f>IFERROR(VLOOKUP(J63,Portfolio_Overview[[#All],[ticker]:[average per coin]],2,FALSE)*M$4,"")</f>
        <v>4.9359999999999999</v>
      </c>
      <c r="N63" s="26">
        <f>IFERROR(VLOOKUP(CO_entry[[#This Row],[ticker]],Portfolio_Overview[[#All],[ticker]:[average per coin]],2,FALSE)-CO_entry[[#This Row],[Tokens Sold]],"")</f>
        <v>19.744</v>
      </c>
      <c r="O63" s="89">
        <f>IFERROR(CO_entry[[#This Row],[Tokens Sold]]*CO_entry[[#This Row],[Selling point 1]],"")</f>
        <v>91.199510400000008</v>
      </c>
      <c r="P63" s="90">
        <f>IFERROR((L63*M63)-(VLOOKUP(J63,Portfolio_Overview[[#All],[ticker]:[average per coin]],3,FALSE)*M63),"")</f>
        <v>45.599755200000004</v>
      </c>
      <c r="Q63" s="88">
        <f>IFERROR(VLOOKUP(J63,Portfolio_Overview[[#All],[ticker]:[average per coin]],3,FALSE)*3.5,"")</f>
        <v>32.3337</v>
      </c>
      <c r="R63" s="27">
        <f t="shared" si="15"/>
        <v>3.9488000000000003</v>
      </c>
      <c r="S63" s="28">
        <f t="shared" si="16"/>
        <v>15.795199999999999</v>
      </c>
      <c r="T63" s="91">
        <f>IFERROR(CO_entry[[#This Row],[Tokens Sold2]]*CO_entry[[#This Row],[Selling point 2]],"")</f>
        <v>127.67931456000001</v>
      </c>
      <c r="U63" s="92">
        <f>IFERROR((Q63*R63)-(VLOOKUP(J63,Portfolio_Overview[[#All],[ticker]:[average per coin]],3,FALSE)*R63),"")</f>
        <v>91.199510400000008</v>
      </c>
      <c r="V63" s="88">
        <f>IFERROR(VLOOKUP(J63,Portfolio_Overview[[#All],[ticker]:[average per coin]],3,FALSE)*4.5,"")</f>
        <v>41.571900000000007</v>
      </c>
      <c r="W63" s="25">
        <f t="shared" si="17"/>
        <v>3.1590400000000001</v>
      </c>
      <c r="X63" s="26">
        <f t="shared" si="18"/>
        <v>12.63616</v>
      </c>
      <c r="Y63" s="89">
        <f>IFERROR(CO_entry[[#This Row],[Tokens Sold3]]*CO_entry[[#This Row],[Selling point 3]],"")</f>
        <v>131.32729497600002</v>
      </c>
      <c r="Z63" s="90">
        <f>IFERROR((V63*W63)-(VLOOKUP(J63,Portfolio_Overview[[#All],[ticker]:[average per coin]],3,FALSE)*W63),"")</f>
        <v>102.14345164800002</v>
      </c>
      <c r="AA63" s="88">
        <f>IFERROR(VLOOKUP(J63,Portfolio_Overview[[#All],[ticker]:[average per coin]],3,FALSE)*6,"")</f>
        <v>55.429200000000009</v>
      </c>
      <c r="AB63" s="27">
        <f t="shared" si="19"/>
        <v>2.5272320000000001</v>
      </c>
      <c r="AC63" s="28">
        <f t="shared" si="20"/>
        <v>10.108928000000001</v>
      </c>
      <c r="AD63" s="91">
        <f>IFERROR(CO_entry[[#This Row],[Tokens Sold4]]*CO_entry[[#This Row],[Selling point 4]],"")</f>
        <v>140.08244797440003</v>
      </c>
      <c r="AE63" s="92">
        <f>IFERROR((AA63*AB63)-(VLOOKUP(J63,Portfolio_Overview[[#All],[ticker]:[average per coin]],3,FALSE)*AB63),"")</f>
        <v>116.73537331200002</v>
      </c>
      <c r="AF63" s="88">
        <f>IFERROR(VLOOKUP(J63,Portfolio_Overview[[#All],[ticker]:[average per coin]],3,FALSE)*8,"")</f>
        <v>73.905600000000007</v>
      </c>
      <c r="AG63" s="25">
        <f t="shared" si="21"/>
        <v>2.5272320000000001</v>
      </c>
      <c r="AH63" s="26">
        <f t="shared" si="22"/>
        <v>7.5816960000000009</v>
      </c>
      <c r="AI63" s="89">
        <f>IFERROR(CO_entry[[#This Row],[Tokens Sold5]]*CO_entry[[#This Row],[Selling point 5]],"")</f>
        <v>186.77659729920003</v>
      </c>
      <c r="AJ63" s="90">
        <f>IFERROR((AF63*AG63)-(VLOOKUP(J63,Portfolio_Overview[[#All],[ticker]:[average per coin]],3,FALSE)*AG63),"")</f>
        <v>163.42952263680002</v>
      </c>
      <c r="AK63" s="97">
        <f>IFERROR(VLOOKUP(J63,Portfolio_Overview[[#All],[ticker]:[average per coin]],3,FALSE)*10,"")</f>
        <v>92.382000000000005</v>
      </c>
      <c r="AL63" s="77">
        <f t="shared" si="23"/>
        <v>2.6535936000000002</v>
      </c>
      <c r="AM63" s="77">
        <f t="shared" si="24"/>
        <v>4.9281024000000002</v>
      </c>
      <c r="AN63" s="93">
        <f>IFERROR(CO_entry[[#This Row],[Tokens Sold6]]*CO_entry[[#This Row],[Selling point 6]],"")</f>
        <v>245.14428395520002</v>
      </c>
      <c r="AO63" s="96">
        <f>IFERROR((AK63*AL63)-(VLOOKUP(J63,Portfolio_Overview[[#All],[ticker]:[average per coin]],3,FALSE)*AL63),"")</f>
        <v>220.62985555968001</v>
      </c>
      <c r="AP63" s="97">
        <f>IFERROR(VLOOKUP(J63,Portfolio_Overview[[#All],[ticker]:[average per coin]],3,FALSE)*12,"")</f>
        <v>110.85840000000002</v>
      </c>
      <c r="AQ63" s="26">
        <f t="shared" si="25"/>
        <v>2.4640512000000001</v>
      </c>
      <c r="AR63" s="26">
        <f t="shared" si="26"/>
        <v>2.4640512000000001</v>
      </c>
      <c r="AS63" s="89">
        <f>IFERROR(CO_entry[[#This Row],[Tokens Sold7]]*CO_entry[[#This Row],[Selling point 7]],"")</f>
        <v>273.16077355008008</v>
      </c>
      <c r="AT63" s="95">
        <f>IFERROR((AP63*AQ63)-(VLOOKUP(J63,Portfolio_Overview[[#All],[ticker]:[average per coin]],3,FALSE)*AQ63),"")</f>
        <v>250.39737575424007</v>
      </c>
      <c r="AU63" s="94">
        <f t="shared" si="12"/>
        <v>990.13484451072009</v>
      </c>
      <c r="AV63" s="29">
        <f t="shared" si="14"/>
        <v>2.4640512000000001</v>
      </c>
      <c r="AW63" s="94">
        <f t="shared" si="13"/>
        <v>273.16077355008008</v>
      </c>
    </row>
    <row r="64" spans="1:49" customFormat="1" x14ac:dyDescent="0.25">
      <c r="A64" t="s">
        <v>810</v>
      </c>
      <c r="B64" t="s">
        <v>777</v>
      </c>
      <c r="C64">
        <v>43.47</v>
      </c>
      <c r="D64" s="130">
        <v>1.8403</v>
      </c>
      <c r="E64" s="130">
        <v>79.997799999999998</v>
      </c>
      <c r="F64" s="130">
        <v>0.2485</v>
      </c>
      <c r="G64" s="130">
        <v>10.802300000000001</v>
      </c>
      <c r="H64" s="13">
        <v>1.57792594963825E-4</v>
      </c>
      <c r="J64" s="71" t="s">
        <v>380</v>
      </c>
      <c r="K64" s="87">
        <f>IFERROR(VLOOKUP(J64,price_feed[[symbol]:[current_price]],3,FALSE),"")</f>
        <v>1</v>
      </c>
      <c r="L64" s="88">
        <f>IFERROR(VLOOKUP(J64,Portfolio_Overview[[#All],[ticker]:[average per coin]],3,FALSE)*2,"")</f>
        <v>2</v>
      </c>
      <c r="M64" s="25">
        <f>IFERROR(VLOOKUP(J64,Portfolio_Overview[[#All],[ticker]:[average per coin]],2,FALSE)*M$4,"")</f>
        <v>242.4</v>
      </c>
      <c r="N64" s="26">
        <f>IFERROR(VLOOKUP(CO_entry[[#This Row],[ticker]],Portfolio_Overview[[#All],[ticker]:[average per coin]],2,FALSE)-CO_entry[[#This Row],[Tokens Sold]],"")</f>
        <v>969.6</v>
      </c>
      <c r="O64" s="89">
        <f>IFERROR(CO_entry[[#This Row],[Tokens Sold]]*CO_entry[[#This Row],[Selling point 1]],"")</f>
        <v>484.8</v>
      </c>
      <c r="P64" s="90">
        <f>IFERROR((L64*M64)-(VLOOKUP(J64,Portfolio_Overview[[#All],[ticker]:[average per coin]],3,FALSE)*M64),"")</f>
        <v>242.4</v>
      </c>
      <c r="Q64" s="88">
        <f>IFERROR(VLOOKUP(J64,Portfolio_Overview[[#All],[ticker]:[average per coin]],3,FALSE)*3.5,"")</f>
        <v>3.5</v>
      </c>
      <c r="R64" s="27">
        <f t="shared" si="15"/>
        <v>193.92000000000002</v>
      </c>
      <c r="S64" s="28">
        <f t="shared" si="16"/>
        <v>775.68000000000006</v>
      </c>
      <c r="T64" s="91">
        <f>IFERROR(CO_entry[[#This Row],[Tokens Sold2]]*CO_entry[[#This Row],[Selling point 2]],"")</f>
        <v>678.72</v>
      </c>
      <c r="U64" s="92">
        <f>IFERROR((Q64*R64)-(VLOOKUP(J64,Portfolio_Overview[[#All],[ticker]:[average per coin]],3,FALSE)*R64),"")</f>
        <v>484.8</v>
      </c>
      <c r="V64" s="88">
        <f>IFERROR(VLOOKUP(J64,Portfolio_Overview[[#All],[ticker]:[average per coin]],3,FALSE)*4.5,"")</f>
        <v>4.5</v>
      </c>
      <c r="W64" s="25">
        <f t="shared" si="17"/>
        <v>155.13600000000002</v>
      </c>
      <c r="X64" s="26">
        <f t="shared" si="18"/>
        <v>620.5440000000001</v>
      </c>
      <c r="Y64" s="89">
        <f>IFERROR(CO_entry[[#This Row],[Tokens Sold3]]*CO_entry[[#This Row],[Selling point 3]],"")</f>
        <v>698.11200000000008</v>
      </c>
      <c r="Z64" s="90">
        <f>IFERROR((V64*W64)-(VLOOKUP(J64,Portfolio_Overview[[#All],[ticker]:[average per coin]],3,FALSE)*W64),"")</f>
        <v>542.97600000000011</v>
      </c>
      <c r="AA64" s="88">
        <f>IFERROR(VLOOKUP(J64,Portfolio_Overview[[#All],[ticker]:[average per coin]],3,FALSE)*6,"")</f>
        <v>6</v>
      </c>
      <c r="AB64" s="27">
        <f t="shared" si="19"/>
        <v>124.10880000000003</v>
      </c>
      <c r="AC64" s="28">
        <f t="shared" si="20"/>
        <v>496.43520000000007</v>
      </c>
      <c r="AD64" s="91">
        <f>IFERROR(CO_entry[[#This Row],[Tokens Sold4]]*CO_entry[[#This Row],[Selling point 4]],"")</f>
        <v>744.65280000000018</v>
      </c>
      <c r="AE64" s="92">
        <f>IFERROR((AA64*AB64)-(VLOOKUP(J64,Portfolio_Overview[[#All],[ticker]:[average per coin]],3,FALSE)*AB64),"")</f>
        <v>620.5440000000001</v>
      </c>
      <c r="AF64" s="88">
        <f>IFERROR(VLOOKUP(J64,Portfolio_Overview[[#All],[ticker]:[average per coin]],3,FALSE)*8,"")</f>
        <v>8</v>
      </c>
      <c r="AG64" s="25">
        <f t="shared" si="21"/>
        <v>124.10880000000002</v>
      </c>
      <c r="AH64" s="26">
        <f t="shared" si="22"/>
        <v>372.32640000000004</v>
      </c>
      <c r="AI64" s="89">
        <f>IFERROR(CO_entry[[#This Row],[Tokens Sold5]]*CO_entry[[#This Row],[Selling point 5]],"")</f>
        <v>992.87040000000013</v>
      </c>
      <c r="AJ64" s="90">
        <f>IFERROR((AF64*AG64)-(VLOOKUP(J64,Portfolio_Overview[[#All],[ticker]:[average per coin]],3,FALSE)*AG64),"")</f>
        <v>868.76160000000016</v>
      </c>
      <c r="AK64" s="97">
        <f>IFERROR(VLOOKUP(J64,Portfolio_Overview[[#All],[ticker]:[average per coin]],3,FALSE)*10,"")</f>
        <v>10</v>
      </c>
      <c r="AL64" s="77">
        <f t="shared" si="23"/>
        <v>130.31424000000001</v>
      </c>
      <c r="AM64" s="77">
        <f t="shared" si="24"/>
        <v>242.01216000000002</v>
      </c>
      <c r="AN64" s="93">
        <f>IFERROR(CO_entry[[#This Row],[Tokens Sold6]]*CO_entry[[#This Row],[Selling point 6]],"")</f>
        <v>1303.1424000000002</v>
      </c>
      <c r="AO64" s="96">
        <f>IFERROR((AK64*AL64)-(VLOOKUP(J64,Portfolio_Overview[[#All],[ticker]:[average per coin]],3,FALSE)*AL64),"")</f>
        <v>1172.8281600000003</v>
      </c>
      <c r="AP64" s="97">
        <f>IFERROR(VLOOKUP(J64,Portfolio_Overview[[#All],[ticker]:[average per coin]],3,FALSE)*12,"")</f>
        <v>12</v>
      </c>
      <c r="AQ64" s="26">
        <f t="shared" si="25"/>
        <v>121.00608000000001</v>
      </c>
      <c r="AR64" s="26">
        <f t="shared" si="26"/>
        <v>121.00608000000001</v>
      </c>
      <c r="AS64" s="89">
        <f>IFERROR(CO_entry[[#This Row],[Tokens Sold7]]*CO_entry[[#This Row],[Selling point 7]],"")</f>
        <v>1452.0729600000002</v>
      </c>
      <c r="AT64" s="95">
        <f>IFERROR((AP64*AQ64)-(VLOOKUP(J64,Portfolio_Overview[[#All],[ticker]:[average per coin]],3,FALSE)*AQ64),"")</f>
        <v>1331.0668800000001</v>
      </c>
      <c r="AU64" s="94">
        <f t="shared" si="12"/>
        <v>5263.3766400000013</v>
      </c>
      <c r="AV64" s="29">
        <f t="shared" si="14"/>
        <v>121.00608000000001</v>
      </c>
      <c r="AW64" s="94">
        <f t="shared" si="13"/>
        <v>1452.0729600000002</v>
      </c>
    </row>
    <row r="65" spans="1:49" customFormat="1" x14ac:dyDescent="0.25">
      <c r="A65" t="s">
        <v>804</v>
      </c>
      <c r="B65" t="s">
        <v>779</v>
      </c>
      <c r="C65">
        <v>60.75</v>
      </c>
      <c r="D65" s="130">
        <v>1.284</v>
      </c>
      <c r="E65" s="130">
        <v>78.003</v>
      </c>
      <c r="F65" s="130">
        <v>0.16400000000000001</v>
      </c>
      <c r="G65" s="130">
        <v>9.9629999999999992</v>
      </c>
      <c r="H65" s="13">
        <v>1.4553267578428601E-4</v>
      </c>
      <c r="J65" s="71" t="s">
        <v>427</v>
      </c>
      <c r="K65" s="87">
        <f>IFERROR(VLOOKUP(J65,price_feed[[symbol]:[current_price]],3,FALSE),"")</f>
        <v>1.004</v>
      </c>
      <c r="L65" s="88">
        <f>IFERROR(VLOOKUP(J65,Portfolio_Overview[[#All],[ticker]:[average per coin]],3,FALSE)*2,"")</f>
        <v>2.1276000000000002</v>
      </c>
      <c r="M65" s="25">
        <f>IFERROR(VLOOKUP(J65,Portfolio_Overview[[#All],[ticker]:[average per coin]],2,FALSE)*M$4,"")</f>
        <v>0.56399999999999995</v>
      </c>
      <c r="N65" s="26">
        <f>IFERROR(VLOOKUP(CO_entry[[#This Row],[ticker]],Portfolio_Overview[[#All],[ticker]:[average per coin]],2,FALSE)-CO_entry[[#This Row],[Tokens Sold]],"")</f>
        <v>2.2559999999999998</v>
      </c>
      <c r="O65" s="89">
        <f>IFERROR(CO_entry[[#This Row],[Tokens Sold]]*CO_entry[[#This Row],[Selling point 1]],"")</f>
        <v>1.1999663999999999</v>
      </c>
      <c r="P65" s="90">
        <f>IFERROR((L65*M65)-(VLOOKUP(J65,Portfolio_Overview[[#All],[ticker]:[average per coin]],3,FALSE)*M65),"")</f>
        <v>0.59998319999999994</v>
      </c>
      <c r="Q65" s="88">
        <f>IFERROR(VLOOKUP(J65,Portfolio_Overview[[#All],[ticker]:[average per coin]],3,FALSE)*3.5,"")</f>
        <v>3.7233000000000001</v>
      </c>
      <c r="R65" s="27">
        <f t="shared" si="15"/>
        <v>0.45119999999999999</v>
      </c>
      <c r="S65" s="28">
        <f t="shared" si="16"/>
        <v>1.8047999999999997</v>
      </c>
      <c r="T65" s="91">
        <f>IFERROR(CO_entry[[#This Row],[Tokens Sold2]]*CO_entry[[#This Row],[Selling point 2]],"")</f>
        <v>1.6799529600000001</v>
      </c>
      <c r="U65" s="92">
        <f>IFERROR((Q65*R65)-(VLOOKUP(J65,Portfolio_Overview[[#All],[ticker]:[average per coin]],3,FALSE)*R65),"")</f>
        <v>1.1999664000000001</v>
      </c>
      <c r="V65" s="88">
        <f>IFERROR(VLOOKUP(J65,Portfolio_Overview[[#All],[ticker]:[average per coin]],3,FALSE)*4.5,"")</f>
        <v>4.7871000000000006</v>
      </c>
      <c r="W65" s="25">
        <f t="shared" si="17"/>
        <v>0.36095999999999995</v>
      </c>
      <c r="X65" s="26">
        <f t="shared" si="18"/>
        <v>1.4438399999999998</v>
      </c>
      <c r="Y65" s="89">
        <f>IFERROR(CO_entry[[#This Row],[Tokens Sold3]]*CO_entry[[#This Row],[Selling point 3]],"")</f>
        <v>1.7279516159999999</v>
      </c>
      <c r="Z65" s="90">
        <f>IFERROR((V65*W65)-(VLOOKUP(J65,Portfolio_Overview[[#All],[ticker]:[average per coin]],3,FALSE)*W65),"")</f>
        <v>1.3439623679999999</v>
      </c>
      <c r="AA65" s="88">
        <f>IFERROR(VLOOKUP(J65,Portfolio_Overview[[#All],[ticker]:[average per coin]],3,FALSE)*6,"")</f>
        <v>6.3828000000000005</v>
      </c>
      <c r="AB65" s="27">
        <f t="shared" si="19"/>
        <v>0.28876799999999997</v>
      </c>
      <c r="AC65" s="28">
        <f t="shared" si="20"/>
        <v>1.1550719999999999</v>
      </c>
      <c r="AD65" s="91">
        <f>IFERROR(CO_entry[[#This Row],[Tokens Sold4]]*CO_entry[[#This Row],[Selling point 4]],"")</f>
        <v>1.8431483903999999</v>
      </c>
      <c r="AE65" s="92">
        <f>IFERROR((AA65*AB65)-(VLOOKUP(J65,Portfolio_Overview[[#All],[ticker]:[average per coin]],3,FALSE)*AB65),"")</f>
        <v>1.535956992</v>
      </c>
      <c r="AF65" s="88">
        <f>IFERROR(VLOOKUP(J65,Portfolio_Overview[[#All],[ticker]:[average per coin]],3,FALSE)*8,"")</f>
        <v>8.5104000000000006</v>
      </c>
      <c r="AG65" s="25">
        <f t="shared" si="21"/>
        <v>0.28876799999999997</v>
      </c>
      <c r="AH65" s="26">
        <f t="shared" si="22"/>
        <v>0.86630399999999996</v>
      </c>
      <c r="AI65" s="89">
        <f>IFERROR(CO_entry[[#This Row],[Tokens Sold5]]*CO_entry[[#This Row],[Selling point 5]],"")</f>
        <v>2.4575311871999999</v>
      </c>
      <c r="AJ65" s="90">
        <f>IFERROR((AF65*AG65)-(VLOOKUP(J65,Portfolio_Overview[[#All],[ticker]:[average per coin]],3,FALSE)*AG65),"")</f>
        <v>2.1503397887999998</v>
      </c>
      <c r="AK65" s="97">
        <f>IFERROR(VLOOKUP(J65,Portfolio_Overview[[#All],[ticker]:[average per coin]],3,FALSE)*10,"")</f>
        <v>10.638000000000002</v>
      </c>
      <c r="AL65" s="77">
        <f t="shared" si="23"/>
        <v>0.30320639999999999</v>
      </c>
      <c r="AM65" s="77">
        <f t="shared" si="24"/>
        <v>0.56309759999999998</v>
      </c>
      <c r="AN65" s="93">
        <f>IFERROR(CO_entry[[#This Row],[Tokens Sold6]]*CO_entry[[#This Row],[Selling point 6]],"")</f>
        <v>3.2255096832000003</v>
      </c>
      <c r="AO65" s="96">
        <f>IFERROR((AK65*AL65)-(VLOOKUP(J65,Portfolio_Overview[[#All],[ticker]:[average per coin]],3,FALSE)*AL65),"")</f>
        <v>2.9029587148800005</v>
      </c>
      <c r="AP65" s="97">
        <f>IFERROR(VLOOKUP(J65,Portfolio_Overview[[#All],[ticker]:[average per coin]],3,FALSE)*12,"")</f>
        <v>12.765600000000001</v>
      </c>
      <c r="AQ65" s="26">
        <f t="shared" si="25"/>
        <v>0.28154879999999999</v>
      </c>
      <c r="AR65" s="26">
        <f t="shared" si="26"/>
        <v>0.28154879999999999</v>
      </c>
      <c r="AS65" s="89">
        <f>IFERROR(CO_entry[[#This Row],[Tokens Sold7]]*CO_entry[[#This Row],[Selling point 7]],"")</f>
        <v>3.5941393612800003</v>
      </c>
      <c r="AT65" s="95">
        <f>IFERROR((AP65*AQ65)-(VLOOKUP(J65,Portfolio_Overview[[#All],[ticker]:[average per coin]],3,FALSE)*AQ65),"")</f>
        <v>3.2946277478400003</v>
      </c>
      <c r="AU65" s="94">
        <f t="shared" si="12"/>
        <v>13.027795211520001</v>
      </c>
      <c r="AV65" s="30">
        <f t="shared" si="14"/>
        <v>0.28154879999999999</v>
      </c>
      <c r="AW65" s="94">
        <f t="shared" si="13"/>
        <v>3.5941393612800003</v>
      </c>
    </row>
    <row r="66" spans="1:49" customFormat="1" x14ac:dyDescent="0.25">
      <c r="A66" t="s">
        <v>812</v>
      </c>
      <c r="B66" t="s">
        <v>776</v>
      </c>
      <c r="C66">
        <v>15.73</v>
      </c>
      <c r="D66" s="130">
        <v>5.0857999999999999</v>
      </c>
      <c r="E66" s="130">
        <v>79.999600000000001</v>
      </c>
      <c r="F66" s="130">
        <v>0.62239999999999995</v>
      </c>
      <c r="G66" s="130">
        <v>9.7904</v>
      </c>
      <c r="H66" s="13">
        <v>1.4301145327697199E-4</v>
      </c>
      <c r="J66" s="58" t="s">
        <v>780</v>
      </c>
      <c r="K66" s="114">
        <f>IFERROR(VLOOKUP(J66,price_feed[[symbol]:[current_price]],3,FALSE),"")</f>
        <v>4.2485500000000002E-3</v>
      </c>
      <c r="L66" s="88">
        <f>IFERROR(VLOOKUP(J66,Portfolio_Overview[[#All],[ticker]:[average per coin]],3,FALSE)*2,"")</f>
        <v>0.12520000000000001</v>
      </c>
      <c r="M66" s="25">
        <f>IFERROR(VLOOKUP(J66,Portfolio_Overview[[#All],[ticker]:[average per coin]],2,FALSE)*M$4,"")</f>
        <v>274.56</v>
      </c>
      <c r="N66" s="26">
        <f>IFERROR(VLOOKUP(CO_entry[[#This Row],[ticker]],Portfolio_Overview[[#All],[ticker]:[average per coin]],2,FALSE)-CO_entry[[#This Row],[Tokens Sold]],"")</f>
        <v>1098.24</v>
      </c>
      <c r="O66" s="89">
        <f>IFERROR(CO_entry[[#This Row],[Tokens Sold]]*CO_entry[[#This Row],[Selling point 1]],"")</f>
        <v>34.374912000000002</v>
      </c>
      <c r="P66" s="90">
        <f>IFERROR((L66*M66)-(VLOOKUP(J66,Portfolio_Overview[[#All],[ticker]:[average per coin]],3,FALSE)*M66),"")</f>
        <v>17.187456000000001</v>
      </c>
      <c r="Q66" s="88">
        <f>IFERROR(VLOOKUP(J66,Portfolio_Overview[[#All],[ticker]:[average per coin]],3,FALSE)*3.5,"")</f>
        <v>0.21910000000000002</v>
      </c>
      <c r="R66" s="27">
        <f t="shared" si="15"/>
        <v>219.64800000000002</v>
      </c>
      <c r="S66" s="28">
        <f t="shared" si="16"/>
        <v>878.59199999999998</v>
      </c>
      <c r="T66" s="91">
        <f>IFERROR(CO_entry[[#This Row],[Tokens Sold2]]*CO_entry[[#This Row],[Selling point 2]],"")</f>
        <v>48.12487680000001</v>
      </c>
      <c r="U66" s="92">
        <f>IFERROR((Q66*R66)-(VLOOKUP(J66,Portfolio_Overview[[#All],[ticker]:[average per coin]],3,FALSE)*R66),"")</f>
        <v>34.374912000000009</v>
      </c>
      <c r="V66" s="88">
        <f>IFERROR(VLOOKUP(J66,Portfolio_Overview[[#All],[ticker]:[average per coin]],3,FALSE)*4.5,"")</f>
        <v>0.28170000000000001</v>
      </c>
      <c r="W66" s="25">
        <f t="shared" si="17"/>
        <v>175.7184</v>
      </c>
      <c r="X66" s="26">
        <f t="shared" si="18"/>
        <v>702.87360000000001</v>
      </c>
      <c r="Y66" s="89">
        <f>IFERROR(CO_entry[[#This Row],[Tokens Sold3]]*CO_entry[[#This Row],[Selling point 3]],"")</f>
        <v>49.499873280000003</v>
      </c>
      <c r="Z66" s="90">
        <f>IFERROR((V66*W66)-(VLOOKUP(J66,Portfolio_Overview[[#All],[ticker]:[average per coin]],3,FALSE)*W66),"")</f>
        <v>38.499901440000002</v>
      </c>
      <c r="AA66" s="88">
        <f>IFERROR(VLOOKUP(J66,Portfolio_Overview[[#All],[ticker]:[average per coin]],3,FALSE)*6,"")</f>
        <v>0.37560000000000004</v>
      </c>
      <c r="AB66" s="27">
        <f t="shared" si="19"/>
        <v>140.57472000000001</v>
      </c>
      <c r="AC66" s="28">
        <f t="shared" si="20"/>
        <v>562.29888000000005</v>
      </c>
      <c r="AD66" s="91">
        <f>IFERROR(CO_entry[[#This Row],[Tokens Sold4]]*CO_entry[[#This Row],[Selling point 4]],"")</f>
        <v>52.799864832000011</v>
      </c>
      <c r="AE66" s="92">
        <f>IFERROR((AA66*AB66)-(VLOOKUP(J66,Portfolio_Overview[[#All],[ticker]:[average per coin]],3,FALSE)*AB66),"")</f>
        <v>43.99988736000001</v>
      </c>
      <c r="AF66" s="88">
        <f>IFERROR(VLOOKUP(J66,Portfolio_Overview[[#All],[ticker]:[average per coin]],3,FALSE)*8,"")</f>
        <v>0.50080000000000002</v>
      </c>
      <c r="AG66" s="25">
        <f t="shared" si="21"/>
        <v>140.57472000000001</v>
      </c>
      <c r="AH66" s="26">
        <f t="shared" si="22"/>
        <v>421.72416000000004</v>
      </c>
      <c r="AI66" s="89">
        <f>IFERROR(CO_entry[[#This Row],[Tokens Sold5]]*CO_entry[[#This Row],[Selling point 5]],"")</f>
        <v>70.399819776000015</v>
      </c>
      <c r="AJ66" s="90">
        <f>IFERROR((AF66*AG66)-(VLOOKUP(J66,Portfolio_Overview[[#All],[ticker]:[average per coin]],3,FALSE)*AG66),"")</f>
        <v>61.599842304000013</v>
      </c>
      <c r="AK66" s="97">
        <f>IFERROR(VLOOKUP(J66,Portfolio_Overview[[#All],[ticker]:[average per coin]],3,FALSE)*10,"")</f>
        <v>0.626</v>
      </c>
      <c r="AL66" s="77">
        <f t="shared" si="23"/>
        <v>147.60345599999999</v>
      </c>
      <c r="AM66" s="77">
        <f t="shared" si="24"/>
        <v>274.12070400000005</v>
      </c>
      <c r="AN66" s="93">
        <f>IFERROR(CO_entry[[#This Row],[Tokens Sold6]]*CO_entry[[#This Row],[Selling point 6]],"")</f>
        <v>92.399763456000002</v>
      </c>
      <c r="AO66" s="96">
        <f>IFERROR((AK66*AL66)-(VLOOKUP(J66,Portfolio_Overview[[#All],[ticker]:[average per coin]],3,FALSE)*AL66),"")</f>
        <v>83.159787110400003</v>
      </c>
      <c r="AP66" s="97">
        <f>IFERROR(VLOOKUP(J66,Portfolio_Overview[[#All],[ticker]:[average per coin]],3,FALSE)*12,"")</f>
        <v>0.75120000000000009</v>
      </c>
      <c r="AQ66" s="26">
        <f t="shared" si="25"/>
        <v>137.06035200000002</v>
      </c>
      <c r="AR66" s="26">
        <f t="shared" si="26"/>
        <v>137.06035200000002</v>
      </c>
      <c r="AS66" s="89">
        <f>IFERROR(CO_entry[[#This Row],[Tokens Sold7]]*CO_entry[[#This Row],[Selling point 7]],"")</f>
        <v>102.95973642240003</v>
      </c>
      <c r="AT66" s="95">
        <f>IFERROR((AP66*AQ66)-(VLOOKUP(J66,Portfolio_Overview[[#All],[ticker]:[average per coin]],3,FALSE)*AQ66),"")</f>
        <v>94.379758387200027</v>
      </c>
      <c r="AU66" s="94">
        <f t="shared" si="12"/>
        <v>373.20154460160006</v>
      </c>
      <c r="AV66" s="29">
        <f t="shared" si="14"/>
        <v>137.06035200000002</v>
      </c>
      <c r="AW66" s="94">
        <f t="shared" si="13"/>
        <v>102.95973642240003</v>
      </c>
    </row>
    <row r="67" spans="1:49" customFormat="1" x14ac:dyDescent="0.25">
      <c r="A67" t="s">
        <v>780</v>
      </c>
      <c r="B67" t="s">
        <v>780</v>
      </c>
      <c r="C67">
        <v>1372.8</v>
      </c>
      <c r="D67" s="130">
        <v>6.2600000000000003E-2</v>
      </c>
      <c r="E67" s="130">
        <v>85.937299999999993</v>
      </c>
      <c r="F67" s="130">
        <v>4.1999999999999997E-3</v>
      </c>
      <c r="G67" s="130">
        <v>5.7657999999999996</v>
      </c>
      <c r="H67" s="13">
        <v>8.4222854766338894E-5</v>
      </c>
      <c r="J67" s="58" t="s">
        <v>773</v>
      </c>
      <c r="K67" s="87">
        <f>IFERROR(VLOOKUP(J67,price_feed[[symbol]:[current_price]],3,FALSE),"")</f>
        <v>1.24</v>
      </c>
      <c r="L67" s="88">
        <f>IFERROR(VLOOKUP(J67,Portfolio_Overview[[#All],[ticker]:[average per coin]],3,FALSE)*2,"")</f>
        <v>11.013</v>
      </c>
      <c r="M67" s="25">
        <f>IFERROR(VLOOKUP(J67,Portfolio_Overview[[#All],[ticker]:[average per coin]],2,FALSE)*M$4,"")</f>
        <v>2.9420000000000002</v>
      </c>
      <c r="N67" s="26">
        <f>IFERROR(VLOOKUP(CO_entry[[#This Row],[ticker]],Portfolio_Overview[[#All],[ticker]:[average per coin]],2,FALSE)-CO_entry[[#This Row],[Tokens Sold]],"")</f>
        <v>11.768000000000001</v>
      </c>
      <c r="O67" s="89">
        <f>IFERROR(CO_entry[[#This Row],[Tokens Sold]]*CO_entry[[#This Row],[Selling point 1]],"")</f>
        <v>32.400246000000003</v>
      </c>
      <c r="P67" s="90">
        <f>IFERROR((L67*M67)-(VLOOKUP(J67,Portfolio_Overview[[#All],[ticker]:[average per coin]],3,FALSE)*M67),"")</f>
        <v>16.200123000000001</v>
      </c>
      <c r="Q67" s="88">
        <f>IFERROR(VLOOKUP(J67,Portfolio_Overview[[#All],[ticker]:[average per coin]],3,FALSE)*3.5,"")</f>
        <v>19.272749999999998</v>
      </c>
      <c r="R67" s="27">
        <f t="shared" si="15"/>
        <v>2.3536000000000001</v>
      </c>
      <c r="S67" s="28">
        <f t="shared" si="16"/>
        <v>9.4144000000000005</v>
      </c>
      <c r="T67" s="91">
        <f>IFERROR(CO_entry[[#This Row],[Tokens Sold2]]*CO_entry[[#This Row],[Selling point 2]],"")</f>
        <v>45.360344400000002</v>
      </c>
      <c r="U67" s="92">
        <f>IFERROR((Q67*R67)-(VLOOKUP(J67,Portfolio_Overview[[#All],[ticker]:[average per coin]],3,FALSE)*R67),"")</f>
        <v>32.400246000000003</v>
      </c>
      <c r="V67" s="88">
        <f>IFERROR(VLOOKUP(J67,Portfolio_Overview[[#All],[ticker]:[average per coin]],3,FALSE)*4.5,"")</f>
        <v>24.779250000000001</v>
      </c>
      <c r="W67" s="25">
        <f t="shared" si="17"/>
        <v>1.8828800000000001</v>
      </c>
      <c r="X67" s="26">
        <f t="shared" si="18"/>
        <v>7.5315200000000004</v>
      </c>
      <c r="Y67" s="89">
        <f>IFERROR(CO_entry[[#This Row],[Tokens Sold3]]*CO_entry[[#This Row],[Selling point 3]],"")</f>
        <v>46.656354240000006</v>
      </c>
      <c r="Z67" s="90">
        <f>IFERROR((V67*W67)-(VLOOKUP(J67,Portfolio_Overview[[#All],[ticker]:[average per coin]],3,FALSE)*W67),"")</f>
        <v>36.288275520000006</v>
      </c>
      <c r="AA67" s="88">
        <f>IFERROR(VLOOKUP(J67,Portfolio_Overview[[#All],[ticker]:[average per coin]],3,FALSE)*6,"")</f>
        <v>33.039000000000001</v>
      </c>
      <c r="AB67" s="27">
        <f t="shared" si="19"/>
        <v>1.5063040000000001</v>
      </c>
      <c r="AC67" s="28">
        <f t="shared" si="20"/>
        <v>6.0252160000000003</v>
      </c>
      <c r="AD67" s="91">
        <f>IFERROR(CO_entry[[#This Row],[Tokens Sold4]]*CO_entry[[#This Row],[Selling point 4]],"")</f>
        <v>49.766777856000004</v>
      </c>
      <c r="AE67" s="92">
        <f>IFERROR((AA67*AB67)-(VLOOKUP(J67,Portfolio_Overview[[#All],[ticker]:[average per coin]],3,FALSE)*AB67),"")</f>
        <v>41.472314880000006</v>
      </c>
      <c r="AF67" s="88">
        <f>IFERROR(VLOOKUP(J67,Portfolio_Overview[[#All],[ticker]:[average per coin]],3,FALSE)*8,"")</f>
        <v>44.052</v>
      </c>
      <c r="AG67" s="25">
        <f t="shared" si="21"/>
        <v>1.5063040000000001</v>
      </c>
      <c r="AH67" s="26">
        <f t="shared" si="22"/>
        <v>4.5189120000000003</v>
      </c>
      <c r="AI67" s="89">
        <f>IFERROR(CO_entry[[#This Row],[Tokens Sold5]]*CO_entry[[#This Row],[Selling point 5]],"")</f>
        <v>66.355703808000001</v>
      </c>
      <c r="AJ67" s="90">
        <f>IFERROR((AF67*AG67)-(VLOOKUP(J67,Portfolio_Overview[[#All],[ticker]:[average per coin]],3,FALSE)*AG67),"")</f>
        <v>58.061240832000003</v>
      </c>
      <c r="AK67" s="97">
        <f>IFERROR(VLOOKUP(J67,Portfolio_Overview[[#All],[ticker]:[average per coin]],3,FALSE)*10,"")</f>
        <v>55.064999999999998</v>
      </c>
      <c r="AL67" s="77">
        <f t="shared" si="23"/>
        <v>1.5816192</v>
      </c>
      <c r="AM67" s="77">
        <f t="shared" si="24"/>
        <v>2.9372928000000003</v>
      </c>
      <c r="AN67" s="93">
        <f>IFERROR(CO_entry[[#This Row],[Tokens Sold6]]*CO_entry[[#This Row],[Selling point 6]],"")</f>
        <v>87.091861248000001</v>
      </c>
      <c r="AO67" s="96">
        <f>IFERROR((AK67*AL67)-(VLOOKUP(J67,Portfolio_Overview[[#All],[ticker]:[average per coin]],3,FALSE)*AL67),"")</f>
        <v>78.382675123200002</v>
      </c>
      <c r="AP67" s="97">
        <f>IFERROR(VLOOKUP(J67,Portfolio_Overview[[#All],[ticker]:[average per coin]],3,FALSE)*12,"")</f>
        <v>66.078000000000003</v>
      </c>
      <c r="AQ67" s="26">
        <f t="shared" si="25"/>
        <v>1.4686464000000001</v>
      </c>
      <c r="AR67" s="26">
        <f t="shared" si="26"/>
        <v>1.4686464000000001</v>
      </c>
      <c r="AS67" s="89">
        <f>IFERROR(CO_entry[[#This Row],[Tokens Sold7]]*CO_entry[[#This Row],[Selling point 7]],"")</f>
        <v>97.045216819200007</v>
      </c>
      <c r="AT67" s="95">
        <f>IFERROR((AP67*AQ67)-(VLOOKUP(J67,Portfolio_Overview[[#All],[ticker]:[average per coin]],3,FALSE)*AQ67),"")</f>
        <v>88.958115417600013</v>
      </c>
      <c r="AU67" s="94">
        <f t="shared" si="12"/>
        <v>351.76299077280004</v>
      </c>
      <c r="AV67" s="29">
        <f t="shared" si="14"/>
        <v>1.4686464000000001</v>
      </c>
      <c r="AW67" s="94">
        <f t="shared" si="13"/>
        <v>97.045216819200007</v>
      </c>
    </row>
    <row r="68" spans="1:49" customFormat="1" x14ac:dyDescent="0.25">
      <c r="A68" t="s">
        <v>145</v>
      </c>
      <c r="B68" t="s">
        <v>427</v>
      </c>
      <c r="C68">
        <v>2.82</v>
      </c>
      <c r="D68" s="130">
        <v>1.0638000000000001</v>
      </c>
      <c r="E68" s="130">
        <v>2.9998999999999998</v>
      </c>
      <c r="F68" s="130">
        <v>1.004</v>
      </c>
      <c r="G68" s="130">
        <v>2.8313000000000001</v>
      </c>
      <c r="H68" s="13">
        <v>4.1357689947610997E-5</v>
      </c>
      <c r="J68" s="58" t="s">
        <v>776</v>
      </c>
      <c r="K68" s="114">
        <f>IFERROR(VLOOKUP(J68,price_feed[[symbol]:[current_price]],3,FALSE),"")</f>
        <v>0.62237500000000001</v>
      </c>
      <c r="L68" s="88">
        <f>IFERROR(VLOOKUP(J68,Portfolio_Overview[[#All],[ticker]:[average per coin]],3,FALSE)*2,"")</f>
        <v>10.1716</v>
      </c>
      <c r="M68" s="25">
        <f>IFERROR(VLOOKUP(J68,Portfolio_Overview[[#All],[ticker]:[average per coin]],2,FALSE)*M$4,"")</f>
        <v>3.1460000000000004</v>
      </c>
      <c r="N68" s="26">
        <f>IFERROR(VLOOKUP(CO_entry[[#This Row],[ticker]],Portfolio_Overview[[#All],[ticker]:[average per coin]],2,FALSE)-CO_entry[[#This Row],[Tokens Sold]],"")</f>
        <v>12.584</v>
      </c>
      <c r="O68" s="89">
        <f>IFERROR(CO_entry[[#This Row],[Tokens Sold]]*CO_entry[[#This Row],[Selling point 1]],"")</f>
        <v>31.999853600000002</v>
      </c>
      <c r="P68" s="90">
        <f>IFERROR((L68*M68)-(VLOOKUP(J68,Portfolio_Overview[[#All],[ticker]:[average per coin]],3,FALSE)*M68),"")</f>
        <v>15.999926800000001</v>
      </c>
      <c r="Q68" s="88">
        <f>IFERROR(VLOOKUP(J68,Portfolio_Overview[[#All],[ticker]:[average per coin]],3,FALSE)*3.5,"")</f>
        <v>17.8003</v>
      </c>
      <c r="R68" s="27">
        <f t="shared" si="15"/>
        <v>2.5167999999999999</v>
      </c>
      <c r="S68" s="28">
        <f t="shared" si="16"/>
        <v>10.0672</v>
      </c>
      <c r="T68" s="91">
        <f>IFERROR(CO_entry[[#This Row],[Tokens Sold2]]*CO_entry[[#This Row],[Selling point 2]],"")</f>
        <v>44.799795039999999</v>
      </c>
      <c r="U68" s="92">
        <f>IFERROR((Q68*R68)-(VLOOKUP(J68,Portfolio_Overview[[#All],[ticker]:[average per coin]],3,FALSE)*R68),"")</f>
        <v>31.999853600000002</v>
      </c>
      <c r="V68" s="88">
        <f>IFERROR(VLOOKUP(J68,Portfolio_Overview[[#All],[ticker]:[average per coin]],3,FALSE)*4.5,"")</f>
        <v>22.886099999999999</v>
      </c>
      <c r="W68" s="25">
        <f t="shared" si="17"/>
        <v>2.0134400000000001</v>
      </c>
      <c r="X68" s="26">
        <f t="shared" si="18"/>
        <v>8.0537600000000005</v>
      </c>
      <c r="Y68" s="89">
        <f>IFERROR(CO_entry[[#This Row],[Tokens Sold3]]*CO_entry[[#This Row],[Selling point 3]],"")</f>
        <v>46.079789183999999</v>
      </c>
      <c r="Z68" s="90">
        <f>IFERROR((V68*W68)-(VLOOKUP(J68,Portfolio_Overview[[#All],[ticker]:[average per coin]],3,FALSE)*W68),"")</f>
        <v>35.839836032000001</v>
      </c>
      <c r="AA68" s="88">
        <f>IFERROR(VLOOKUP(J68,Portfolio_Overview[[#All],[ticker]:[average per coin]],3,FALSE)*6,"")</f>
        <v>30.514800000000001</v>
      </c>
      <c r="AB68" s="27">
        <f t="shared" si="19"/>
        <v>1.6107520000000002</v>
      </c>
      <c r="AC68" s="28">
        <f t="shared" si="20"/>
        <v>6.4430080000000007</v>
      </c>
      <c r="AD68" s="91">
        <f>IFERROR(CO_entry[[#This Row],[Tokens Sold4]]*CO_entry[[#This Row],[Selling point 4]],"")</f>
        <v>49.151775129600004</v>
      </c>
      <c r="AE68" s="92">
        <f>IFERROR((AA68*AB68)-(VLOOKUP(J68,Portfolio_Overview[[#All],[ticker]:[average per coin]],3,FALSE)*AB68),"")</f>
        <v>40.959812608000007</v>
      </c>
      <c r="AF68" s="88">
        <f>IFERROR(VLOOKUP(J68,Portfolio_Overview[[#All],[ticker]:[average per coin]],3,FALSE)*8,"")</f>
        <v>40.686399999999999</v>
      </c>
      <c r="AG68" s="25">
        <f t="shared" si="21"/>
        <v>1.6107520000000002</v>
      </c>
      <c r="AH68" s="26">
        <f t="shared" si="22"/>
        <v>4.832256000000001</v>
      </c>
      <c r="AI68" s="89">
        <f>IFERROR(CO_entry[[#This Row],[Tokens Sold5]]*CO_entry[[#This Row],[Selling point 5]],"")</f>
        <v>65.535700172800006</v>
      </c>
      <c r="AJ68" s="90">
        <f>IFERROR((AF68*AG68)-(VLOOKUP(J68,Portfolio_Overview[[#All],[ticker]:[average per coin]],3,FALSE)*AG68),"")</f>
        <v>57.343737651200001</v>
      </c>
      <c r="AK68" s="97">
        <f>IFERROR(VLOOKUP(J68,Portfolio_Overview[[#All],[ticker]:[average per coin]],3,FALSE)*10,"")</f>
        <v>50.857999999999997</v>
      </c>
      <c r="AL68" s="77">
        <f t="shared" si="23"/>
        <v>1.6912896000000002</v>
      </c>
      <c r="AM68" s="77">
        <f t="shared" si="24"/>
        <v>3.1409664000000008</v>
      </c>
      <c r="AN68" s="93">
        <f>IFERROR(CO_entry[[#This Row],[Tokens Sold6]]*CO_entry[[#This Row],[Selling point 6]],"")</f>
        <v>86.015606476800002</v>
      </c>
      <c r="AO68" s="96">
        <f>IFERROR((AK68*AL68)-(VLOOKUP(J68,Portfolio_Overview[[#All],[ticker]:[average per coin]],3,FALSE)*AL68),"")</f>
        <v>77.414045829119999</v>
      </c>
      <c r="AP68" s="97">
        <f>IFERROR(VLOOKUP(J68,Portfolio_Overview[[#All],[ticker]:[average per coin]],3,FALSE)*12,"")</f>
        <v>61.029600000000002</v>
      </c>
      <c r="AQ68" s="26">
        <f t="shared" si="25"/>
        <v>1.5704832000000004</v>
      </c>
      <c r="AR68" s="26">
        <f t="shared" si="26"/>
        <v>1.5704832000000004</v>
      </c>
      <c r="AS68" s="89">
        <f>IFERROR(CO_entry[[#This Row],[Tokens Sold7]]*CO_entry[[#This Row],[Selling point 7]],"")</f>
        <v>95.84596150272003</v>
      </c>
      <c r="AT68" s="95">
        <f>IFERROR((AP68*AQ68)-(VLOOKUP(J68,Portfolio_Overview[[#All],[ticker]:[average per coin]],3,FALSE)*AQ68),"")</f>
        <v>87.858798044160025</v>
      </c>
      <c r="AU68" s="94">
        <f t="shared" si="12"/>
        <v>347.41601056448008</v>
      </c>
      <c r="AV68" s="29">
        <f t="shared" si="14"/>
        <v>1.5704832000000004</v>
      </c>
      <c r="AW68" s="94">
        <f t="shared" si="13"/>
        <v>95.84596150272003</v>
      </c>
    </row>
    <row r="69" spans="1:49" customFormat="1" x14ac:dyDescent="0.25">
      <c r="B69" t="s">
        <v>625</v>
      </c>
      <c r="C69">
        <v>46.776400000000002</v>
      </c>
      <c r="D69" s="130">
        <v>16.097899999999999</v>
      </c>
      <c r="E69" s="130">
        <v>753.0018</v>
      </c>
      <c r="F69" s="130"/>
      <c r="G69" s="130"/>
      <c r="J69" s="58" t="s">
        <v>760</v>
      </c>
      <c r="K69" s="87">
        <f>IFERROR(VLOOKUP(J69,price_feed[[symbol]:[current_price]],3,FALSE),"")</f>
        <v>3.99</v>
      </c>
      <c r="L69" s="88">
        <f>IFERROR(VLOOKUP(J69,Portfolio_Overview[[#All],[ticker]:[average per coin]],3,FALSE)*2,"")</f>
        <v>17.5444</v>
      </c>
      <c r="M69" s="25">
        <f>IFERROR(VLOOKUP(J69,Portfolio_Overview[[#All],[ticker]:[average per coin]],2,FALSE)*M$4,"")</f>
        <v>13.178000000000001</v>
      </c>
      <c r="N69" s="26">
        <f>IFERROR(VLOOKUP(CO_entry[[#This Row],[ticker]],Portfolio_Overview[[#All],[ticker]:[average per coin]],2,FALSE)-CO_entry[[#This Row],[Tokens Sold]],"")</f>
        <v>52.712000000000003</v>
      </c>
      <c r="O69" s="89">
        <f>IFERROR(CO_entry[[#This Row],[Tokens Sold]]*CO_entry[[#This Row],[Selling point 1]],"")</f>
        <v>231.2001032</v>
      </c>
      <c r="P69" s="90">
        <f>IFERROR((L69*M69)-(VLOOKUP(J69,Portfolio_Overview[[#All],[ticker]:[average per coin]],3,FALSE)*M69),"")</f>
        <v>115.6000516</v>
      </c>
      <c r="Q69" s="88">
        <f>IFERROR(VLOOKUP(J69,Portfolio_Overview[[#All],[ticker]:[average per coin]],3,FALSE)*3.5,"")</f>
        <v>30.7027</v>
      </c>
      <c r="R69" s="27">
        <f t="shared" si="15"/>
        <v>10.542400000000001</v>
      </c>
      <c r="S69" s="28">
        <f t="shared" si="16"/>
        <v>42.169600000000003</v>
      </c>
      <c r="T69" s="91">
        <f>IFERROR(CO_entry[[#This Row],[Tokens Sold2]]*CO_entry[[#This Row],[Selling point 2]],"")</f>
        <v>323.68014448000002</v>
      </c>
      <c r="U69" s="92">
        <f>IFERROR((Q69*R69)-(VLOOKUP(J69,Portfolio_Overview[[#All],[ticker]:[average per coin]],3,FALSE)*R69),"")</f>
        <v>231.2001032</v>
      </c>
      <c r="V69" s="88">
        <f>IFERROR(VLOOKUP(J69,Portfolio_Overview[[#All],[ticker]:[average per coin]],3,FALSE)*4.5,"")</f>
        <v>39.474899999999998</v>
      </c>
      <c r="W69" s="25">
        <f t="shared" si="17"/>
        <v>8.4339200000000005</v>
      </c>
      <c r="X69" s="26">
        <f t="shared" si="18"/>
        <v>33.735680000000002</v>
      </c>
      <c r="Y69" s="89">
        <f>IFERROR(CO_entry[[#This Row],[Tokens Sold3]]*CO_entry[[#This Row],[Selling point 3]],"")</f>
        <v>332.92814860800001</v>
      </c>
      <c r="Z69" s="90">
        <f>IFERROR((V69*W69)-(VLOOKUP(J69,Portfolio_Overview[[#All],[ticker]:[average per coin]],3,FALSE)*W69),"")</f>
        <v>258.94411558400003</v>
      </c>
      <c r="AA69" s="88">
        <f>IFERROR(VLOOKUP(J69,Portfolio_Overview[[#All],[ticker]:[average per coin]],3,FALSE)*6,"")</f>
        <v>52.633200000000002</v>
      </c>
      <c r="AB69" s="27">
        <f t="shared" si="19"/>
        <v>6.7471360000000011</v>
      </c>
      <c r="AC69" s="28">
        <f t="shared" si="20"/>
        <v>26.988544000000001</v>
      </c>
      <c r="AD69" s="91">
        <f>IFERROR(CO_entry[[#This Row],[Tokens Sold4]]*CO_entry[[#This Row],[Selling point 4]],"")</f>
        <v>355.1233585152001</v>
      </c>
      <c r="AE69" s="92">
        <f>IFERROR((AA69*AB69)-(VLOOKUP(J69,Portfolio_Overview[[#All],[ticker]:[average per coin]],3,FALSE)*AB69),"")</f>
        <v>295.93613209600011</v>
      </c>
      <c r="AF69" s="88">
        <f>IFERROR(VLOOKUP(J69,Portfolio_Overview[[#All],[ticker]:[average per coin]],3,FALSE)*8,"")</f>
        <v>70.177599999999998</v>
      </c>
      <c r="AG69" s="25">
        <f t="shared" si="21"/>
        <v>6.7471360000000002</v>
      </c>
      <c r="AH69" s="26">
        <f t="shared" si="22"/>
        <v>20.241408</v>
      </c>
      <c r="AI69" s="89">
        <f>IFERROR(CO_entry[[#This Row],[Tokens Sold5]]*CO_entry[[#This Row],[Selling point 5]],"")</f>
        <v>473.49781135360001</v>
      </c>
      <c r="AJ69" s="90">
        <f>IFERROR((AF69*AG69)-(VLOOKUP(J69,Portfolio_Overview[[#All],[ticker]:[average per coin]],3,FALSE)*AG69),"")</f>
        <v>414.31058493440003</v>
      </c>
      <c r="AK69" s="97">
        <f>IFERROR(VLOOKUP(J69,Portfolio_Overview[[#All],[ticker]:[average per coin]],3,FALSE)*10,"")</f>
        <v>87.721999999999994</v>
      </c>
      <c r="AL69" s="77">
        <f t="shared" si="23"/>
        <v>7.0844927999999996</v>
      </c>
      <c r="AM69" s="77">
        <f t="shared" si="24"/>
        <v>13.1569152</v>
      </c>
      <c r="AN69" s="93">
        <f>IFERROR(CO_entry[[#This Row],[Tokens Sold6]]*CO_entry[[#This Row],[Selling point 6]],"")</f>
        <v>621.46587740159987</v>
      </c>
      <c r="AO69" s="96">
        <f>IFERROR((AK69*AL69)-(VLOOKUP(J69,Portfolio_Overview[[#All],[ticker]:[average per coin]],3,FALSE)*AL69),"")</f>
        <v>559.31928966143983</v>
      </c>
      <c r="AP69" s="97">
        <f>IFERROR(VLOOKUP(J69,Portfolio_Overview[[#All],[ticker]:[average per coin]],3,FALSE)*12,"")</f>
        <v>105.2664</v>
      </c>
      <c r="AQ69" s="26">
        <f t="shared" si="25"/>
        <v>6.5784576000000001</v>
      </c>
      <c r="AR69" s="26">
        <f t="shared" si="26"/>
        <v>6.5784576000000001</v>
      </c>
      <c r="AS69" s="89">
        <f>IFERROR(CO_entry[[#This Row],[Tokens Sold7]]*CO_entry[[#This Row],[Selling point 7]],"")</f>
        <v>692.49054910464008</v>
      </c>
      <c r="AT69" s="95">
        <f>IFERROR((AP69*AQ69)-(VLOOKUP(J69,Portfolio_Overview[[#All],[ticker]:[average per coin]],3,FALSE)*AQ69),"")</f>
        <v>634.78300334592006</v>
      </c>
      <c r="AU69" s="94">
        <f t="shared" si="12"/>
        <v>2510.09328042176</v>
      </c>
      <c r="AV69" s="29">
        <f t="shared" si="14"/>
        <v>6.5784576000000001</v>
      </c>
      <c r="AW69" s="94">
        <f t="shared" si="13"/>
        <v>692.49054910464008</v>
      </c>
    </row>
    <row r="70" spans="1:49" customFormat="1" x14ac:dyDescent="0.25">
      <c r="B70" t="s">
        <v>625</v>
      </c>
      <c r="C70">
        <v>46.776400000000002</v>
      </c>
      <c r="D70" s="130">
        <v>16.097899999999999</v>
      </c>
      <c r="E70" s="130">
        <v>753.0018</v>
      </c>
      <c r="F70" s="130"/>
      <c r="G70" s="130"/>
      <c r="J70" s="11"/>
    </row>
    <row r="71" spans="1:49" customFormat="1" x14ac:dyDescent="0.25">
      <c r="A71" s="128" t="s">
        <v>19</v>
      </c>
      <c r="B71" s="128"/>
      <c r="C71" s="128"/>
      <c r="D71" s="128"/>
      <c r="E71" s="123"/>
      <c r="F71" s="115">
        <f>SUM(Portfolio_Overview[[#All],[ticker]:[average per coin]])</f>
        <v>83095.054794460069</v>
      </c>
      <c r="G71" s="116">
        <f>SUM(Portfolio_Overview[[#All],[ticker]:[average per coin]])</f>
        <v>83095.054794460069</v>
      </c>
      <c r="J71" s="11"/>
    </row>
    <row r="72" spans="1:49" x14ac:dyDescent="0.25">
      <c r="A72" s="24"/>
      <c r="B72" s="24"/>
      <c r="C72" s="24"/>
      <c r="D72" s="24"/>
      <c r="E72" s="24"/>
      <c r="F72" s="24"/>
      <c r="G72" s="24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9" x14ac:dyDescent="0.25">
      <c r="A73" s="24"/>
      <c r="B73" s="24"/>
      <c r="C73" s="24"/>
      <c r="D73" s="24"/>
      <c r="E73" s="24"/>
      <c r="F73" s="24"/>
      <c r="G73" s="24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9" x14ac:dyDescent="0.25">
      <c r="A74" s="24"/>
      <c r="B74" s="24"/>
      <c r="C74" s="24"/>
      <c r="D74" s="24"/>
      <c r="E74" s="24"/>
      <c r="F74" s="24"/>
      <c r="G74" s="2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9" x14ac:dyDescent="0.25">
      <c r="A75" s="24"/>
      <c r="B75" s="24"/>
      <c r="C75" s="24"/>
      <c r="D75" s="24"/>
      <c r="E75" s="24"/>
      <c r="F75" s="24"/>
      <c r="G75" s="24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9" x14ac:dyDescent="0.25">
      <c r="A76" s="24"/>
      <c r="B76" s="24"/>
      <c r="C76" s="24"/>
      <c r="D76" s="24"/>
      <c r="E76" s="24"/>
      <c r="F76" s="24"/>
      <c r="G76" s="24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9" x14ac:dyDescent="0.25">
      <c r="A77" s="24"/>
      <c r="B77" s="24"/>
      <c r="C77" s="24"/>
      <c r="D77" s="24"/>
      <c r="E77" s="24"/>
      <c r="F77" s="24"/>
      <c r="G77" s="24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9" x14ac:dyDescent="0.25">
      <c r="A78" s="24"/>
      <c r="B78" s="24"/>
      <c r="C78" s="24"/>
      <c r="D78" s="24"/>
      <c r="E78" s="24"/>
      <c r="F78" s="24"/>
      <c r="G78" s="24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9" x14ac:dyDescent="0.25">
      <c r="A79" s="24"/>
      <c r="B79" s="24"/>
      <c r="C79" s="24"/>
      <c r="D79" s="24"/>
      <c r="E79" s="24"/>
      <c r="F79" s="24"/>
      <c r="G79" s="24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9" x14ac:dyDescent="0.25">
      <c r="A80" s="24"/>
      <c r="B80" s="24"/>
      <c r="C80" s="24"/>
      <c r="D80" s="24"/>
      <c r="E80" s="24"/>
      <c r="F80" s="24"/>
      <c r="G80" s="24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 x14ac:dyDescent="0.25">
      <c r="A81" s="24"/>
      <c r="B81" s="24"/>
      <c r="C81" s="24"/>
      <c r="D81" s="24"/>
      <c r="E81" s="24"/>
      <c r="F81" s="24"/>
      <c r="G81" s="24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 x14ac:dyDescent="0.25">
      <c r="A82" s="24"/>
      <c r="B82" s="24"/>
      <c r="C82" s="24"/>
      <c r="D82" s="24"/>
      <c r="E82" s="24"/>
      <c r="F82" s="24"/>
      <c r="G82" s="24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 x14ac:dyDescent="0.25">
      <c r="A83" s="24"/>
      <c r="B83" s="24"/>
      <c r="C83" s="24"/>
      <c r="D83" s="24"/>
      <c r="E83" s="24"/>
      <c r="F83" s="24"/>
      <c r="G83" s="24"/>
    </row>
    <row r="84" spans="1:48" x14ac:dyDescent="0.25">
      <c r="A84" s="24"/>
      <c r="B84" s="24"/>
      <c r="C84" s="24"/>
      <c r="D84" s="24"/>
      <c r="E84" s="24"/>
      <c r="F84" s="24"/>
      <c r="G84" s="24"/>
    </row>
    <row r="85" spans="1:48" x14ac:dyDescent="0.25">
      <c r="A85" s="24"/>
      <c r="B85" s="24"/>
      <c r="C85" s="24"/>
      <c r="D85" s="24"/>
      <c r="E85" s="24"/>
      <c r="F85" s="24"/>
      <c r="G85" s="24"/>
    </row>
    <row r="86" spans="1:48" x14ac:dyDescent="0.25">
      <c r="A86" s="24"/>
      <c r="B86" s="24"/>
      <c r="C86" s="24"/>
      <c r="D86" s="24"/>
      <c r="E86" s="24"/>
      <c r="F86" s="24"/>
      <c r="G86" s="24"/>
    </row>
    <row r="87" spans="1:48" x14ac:dyDescent="0.25">
      <c r="A87" s="24"/>
      <c r="B87" s="24"/>
      <c r="C87" s="24"/>
      <c r="D87" s="24"/>
      <c r="E87" s="24"/>
      <c r="F87" s="24"/>
      <c r="G87" s="24"/>
    </row>
    <row r="88" spans="1:48" x14ac:dyDescent="0.25">
      <c r="A88" s="24"/>
      <c r="B88" s="24"/>
      <c r="C88" s="24"/>
      <c r="D88" s="24"/>
      <c r="E88" s="24"/>
      <c r="F88" s="24"/>
      <c r="G88" s="24"/>
    </row>
    <row r="89" spans="1:48" x14ac:dyDescent="0.25">
      <c r="A89" s="24"/>
      <c r="B89" s="24"/>
      <c r="C89" s="24"/>
      <c r="D89" s="24"/>
      <c r="E89" s="24"/>
      <c r="F89" s="24"/>
      <c r="G89" s="24"/>
    </row>
    <row r="90" spans="1:48" x14ac:dyDescent="0.25">
      <c r="A90" s="24"/>
      <c r="B90" s="24"/>
      <c r="C90" s="24"/>
      <c r="D90" s="24"/>
      <c r="E90" s="24"/>
      <c r="F90" s="24"/>
      <c r="G90" s="24"/>
    </row>
    <row r="91" spans="1:48" x14ac:dyDescent="0.25">
      <c r="A91" s="24"/>
      <c r="B91" s="24"/>
      <c r="C91" s="24"/>
      <c r="D91" s="24"/>
      <c r="E91" s="24"/>
      <c r="F91" s="24"/>
      <c r="G91" s="24"/>
    </row>
    <row r="92" spans="1:48" x14ac:dyDescent="0.25">
      <c r="A92" s="24"/>
      <c r="B92" s="24"/>
      <c r="C92" s="24"/>
      <c r="D92" s="24"/>
      <c r="E92" s="24"/>
      <c r="F92" s="24"/>
      <c r="G92" s="24"/>
    </row>
    <row r="93" spans="1:48" x14ac:dyDescent="0.25">
      <c r="A93" s="24"/>
      <c r="B93" s="24"/>
      <c r="C93" s="24"/>
      <c r="D93" s="24"/>
      <c r="E93" s="24"/>
      <c r="F93" s="24"/>
      <c r="G93" s="24"/>
    </row>
    <row r="94" spans="1:48" x14ac:dyDescent="0.25">
      <c r="A94" s="24"/>
      <c r="B94" s="24"/>
      <c r="C94" s="24"/>
      <c r="D94" s="24"/>
      <c r="E94" s="24"/>
      <c r="F94" s="24"/>
      <c r="G94" s="24"/>
    </row>
    <row r="95" spans="1:48" x14ac:dyDescent="0.25">
      <c r="A95" s="24"/>
      <c r="B95" s="24"/>
      <c r="C95" s="24"/>
      <c r="D95" s="24"/>
      <c r="E95" s="24"/>
      <c r="F95" s="24"/>
      <c r="G95" s="24"/>
    </row>
    <row r="96" spans="1:48" x14ac:dyDescent="0.25">
      <c r="A96" s="24"/>
      <c r="B96" s="24"/>
      <c r="C96" s="24"/>
      <c r="D96" s="24"/>
      <c r="E96" s="24"/>
      <c r="F96" s="24"/>
      <c r="G96" s="24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  <row r="103" spans="1:7" x14ac:dyDescent="0.25">
      <c r="A103"/>
      <c r="B103"/>
      <c r="C103"/>
      <c r="D103"/>
      <c r="E103"/>
      <c r="F103"/>
      <c r="G103"/>
    </row>
    <row r="104" spans="1:7" x14ac:dyDescent="0.25">
      <c r="A104"/>
      <c r="B104"/>
      <c r="C104"/>
      <c r="D104"/>
      <c r="E104"/>
      <c r="F104"/>
      <c r="G104"/>
    </row>
    <row r="105" spans="1:7" x14ac:dyDescent="0.25">
      <c r="A105"/>
      <c r="B105"/>
      <c r="C105"/>
      <c r="D105"/>
      <c r="E105"/>
      <c r="F105"/>
      <c r="G105"/>
    </row>
    <row r="106" spans="1:7" x14ac:dyDescent="0.25">
      <c r="A106"/>
      <c r="B106"/>
      <c r="C106"/>
      <c r="D106"/>
      <c r="E106"/>
      <c r="F106"/>
      <c r="G106"/>
    </row>
    <row r="107" spans="1:7" x14ac:dyDescent="0.25">
      <c r="A107"/>
      <c r="B107"/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x14ac:dyDescent="0.25">
      <c r="A109"/>
      <c r="B109"/>
      <c r="C109"/>
      <c r="D109"/>
      <c r="E109"/>
      <c r="F109"/>
      <c r="G109"/>
    </row>
    <row r="110" spans="1:7" x14ac:dyDescent="0.25">
      <c r="A110"/>
      <c r="B110"/>
      <c r="C110"/>
      <c r="D110"/>
      <c r="E110"/>
      <c r="F110"/>
      <c r="G110"/>
    </row>
    <row r="111" spans="1:7" x14ac:dyDescent="0.25">
      <c r="A111"/>
      <c r="B111"/>
      <c r="C111"/>
      <c r="D111"/>
      <c r="E111"/>
      <c r="F111"/>
      <c r="G111"/>
    </row>
    <row r="112" spans="1:7" x14ac:dyDescent="0.25">
      <c r="A112"/>
      <c r="B112"/>
      <c r="C112"/>
      <c r="D112"/>
      <c r="E112"/>
      <c r="F112"/>
      <c r="G112"/>
    </row>
  </sheetData>
  <sheetProtection insertRows="0" deleteRows="0" sort="0" autoFilter="0" pivotTables="0"/>
  <mergeCells count="4">
    <mergeCell ref="AW3:AX3"/>
    <mergeCell ref="O1:P1"/>
    <mergeCell ref="A71:D71"/>
    <mergeCell ref="A1:G2"/>
  </mergeCells>
  <phoneticPr fontId="6" type="noConversion"/>
  <pageMargins left="0.7" right="0.7" top="0.75" bottom="0.75" header="0.3" footer="0.3"/>
  <pageSetup paperSize="9" orientation="portrait" horizontalDpi="4294967293" verticalDpi="4294967293" r:id="rId1"/>
  <ignoredErrors>
    <ignoredError sqref="AV7:AV69 AP7:AP69 M7:AO69 AQ7:AR69 AT7:AT69" calculatedColumn="1"/>
  </ignoredErrors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1C586-506B-4257-A9A6-73E810D9F9A8}">
  <sheetPr codeName="Sheet1"/>
  <dimension ref="B2:BK86"/>
  <sheetViews>
    <sheetView topLeftCell="AQ1" zoomScale="80" zoomScaleNormal="80" workbookViewId="0">
      <selection activeCell="AT80" sqref="AT80"/>
    </sheetView>
  </sheetViews>
  <sheetFormatPr baseColWidth="10" defaultColWidth="9.140625" defaultRowHeight="15" x14ac:dyDescent="0.25"/>
  <cols>
    <col min="2" max="2" width="9.7109375" bestFit="1" customWidth="1"/>
    <col min="3" max="3" width="15.7109375" bestFit="1" customWidth="1"/>
    <col min="4" max="4" width="13.42578125" bestFit="1" customWidth="1"/>
    <col min="5" max="5" width="13.140625" bestFit="1" customWidth="1"/>
    <col min="6" max="6" width="20.85546875" bestFit="1" customWidth="1"/>
    <col min="7" max="7" width="16" bestFit="1" customWidth="1"/>
    <col min="8" max="9" width="13.85546875" bestFit="1" customWidth="1"/>
    <col min="10" max="10" width="16.7109375" bestFit="1" customWidth="1"/>
    <col min="11" max="12" width="7.85546875" bestFit="1" customWidth="1"/>
    <col min="13" max="13" width="8.85546875" bestFit="1" customWidth="1"/>
    <col min="14" max="14" width="14.140625" bestFit="1" customWidth="1"/>
    <col min="15" max="15" width="16.5703125" bestFit="1" customWidth="1"/>
    <col min="16" max="16" width="14.5703125" bestFit="1" customWidth="1"/>
    <col min="17" max="17" width="15.140625" bestFit="1" customWidth="1"/>
    <col min="18" max="18" width="11" bestFit="1" customWidth="1"/>
    <col min="19" max="19" width="16.5703125" bestFit="1" customWidth="1"/>
    <col min="20" max="20" width="15.7109375" bestFit="1" customWidth="1"/>
    <col min="21" max="21" width="16.28515625" bestFit="1" customWidth="1"/>
    <col min="22" max="22" width="11" bestFit="1" customWidth="1"/>
    <col min="23" max="23" width="16.5703125" bestFit="1" customWidth="1"/>
    <col min="24" max="24" width="15.7109375" bestFit="1" customWidth="1"/>
    <col min="25" max="25" width="16.28515625" bestFit="1" customWidth="1"/>
    <col min="26" max="26" width="11" bestFit="1" customWidth="1"/>
    <col min="27" max="27" width="16.5703125" bestFit="1" customWidth="1"/>
    <col min="28" max="28" width="15.7109375" bestFit="1" customWidth="1"/>
    <col min="29" max="29" width="16.28515625" bestFit="1" customWidth="1"/>
    <col min="30" max="30" width="11" bestFit="1" customWidth="1"/>
    <col min="31" max="31" width="16.5703125" bestFit="1" customWidth="1"/>
    <col min="32" max="32" width="15.7109375" bestFit="1" customWidth="1"/>
    <col min="33" max="33" width="16.28515625" bestFit="1" customWidth="1"/>
    <col min="34" max="34" width="12.140625" bestFit="1" customWidth="1"/>
    <col min="35" max="35" width="13.85546875" bestFit="1" customWidth="1"/>
    <col min="36" max="36" width="20.28515625" bestFit="1" customWidth="1"/>
    <col min="37" max="37" width="22.42578125" bestFit="1" customWidth="1"/>
    <col min="38" max="38" width="18.42578125" bestFit="1" customWidth="1"/>
    <col min="39" max="39" width="12.140625" bestFit="1" customWidth="1"/>
    <col min="40" max="40" width="15.42578125" bestFit="1" customWidth="1"/>
    <col min="42" max="42" width="32.5703125" bestFit="1" customWidth="1"/>
    <col min="43" max="43" width="43.7109375" bestFit="1" customWidth="1"/>
    <col min="44" max="44" width="13.85546875" customWidth="1"/>
    <col min="46" max="46" width="24.140625" bestFit="1" customWidth="1"/>
    <col min="48" max="48" width="37" bestFit="1" customWidth="1"/>
    <col min="52" max="52" width="9.42578125" customWidth="1"/>
    <col min="53" max="53" width="15.5703125" bestFit="1" customWidth="1"/>
    <col min="54" max="54" width="11.7109375" bestFit="1" customWidth="1"/>
    <col min="55" max="55" width="22.42578125" bestFit="1" customWidth="1"/>
    <col min="56" max="56" width="13" bestFit="1" customWidth="1"/>
    <col min="57" max="57" width="25.85546875" bestFit="1" customWidth="1"/>
    <col min="58" max="58" width="14.5703125" bestFit="1" customWidth="1"/>
  </cols>
  <sheetData>
    <row r="2" spans="2:63" x14ac:dyDescent="0.25">
      <c r="B2" t="s">
        <v>537</v>
      </c>
      <c r="C2" t="s">
        <v>538</v>
      </c>
      <c r="I2" t="s">
        <v>584</v>
      </c>
      <c r="J2" s="31">
        <f>'Transaction Entry'!F1</f>
        <v>78276</v>
      </c>
      <c r="K2" s="31"/>
      <c r="L2" t="s">
        <v>584</v>
      </c>
      <c r="M2" s="31">
        <f>J2</f>
        <v>78276</v>
      </c>
      <c r="N2" s="31"/>
      <c r="P2" t="s">
        <v>377</v>
      </c>
      <c r="Q2" t="s">
        <v>561</v>
      </c>
      <c r="R2" t="s">
        <v>562</v>
      </c>
      <c r="S2" t="s">
        <v>563</v>
      </c>
      <c r="U2" t="s">
        <v>579</v>
      </c>
      <c r="V2" t="s">
        <v>580</v>
      </c>
      <c r="X2" t="s">
        <v>578</v>
      </c>
      <c r="AY2" s="12">
        <f>AVERAGE(AY11:AY45)</f>
        <v>3.4205682272909162E-2</v>
      </c>
      <c r="AZ2" s="12">
        <f>AVERAGE(AZ11:AZ45)</f>
        <v>0.9657943177270909</v>
      </c>
    </row>
    <row r="3" spans="2:63" x14ac:dyDescent="0.25">
      <c r="B3" t="s">
        <v>374</v>
      </c>
      <c r="C3">
        <f>SUBTOTAL(9,calculationstable[Total Profit])</f>
        <v>8607.2731000000003</v>
      </c>
      <c r="E3" t="s">
        <v>377</v>
      </c>
      <c r="F3" s="6" t="s">
        <v>564</v>
      </c>
      <c r="G3" t="s">
        <v>565</v>
      </c>
      <c r="I3" t="s">
        <v>591</v>
      </c>
      <c r="J3" s="31">
        <f>K8</f>
        <v>739</v>
      </c>
      <c r="K3" s="31"/>
      <c r="L3" t="s">
        <v>585</v>
      </c>
      <c r="M3" s="31">
        <f>SUM(Purchases[Total Cost $])</f>
        <v>81039.149999999994</v>
      </c>
      <c r="N3" s="31"/>
      <c r="P3" t="s">
        <v>558</v>
      </c>
      <c r="Q3">
        <f>SUM(calculationstable[Total Profit])+SUM(calculationstable[Value of tokens over])</f>
        <v>449011.50190000003</v>
      </c>
      <c r="R3">
        <f>Q3</f>
        <v>449011.50190000003</v>
      </c>
      <c r="S3">
        <f>SUBTOTAL(9,calculationstable[Total Profit])+SUBTOTAL(9,calculationstable[Value of tokens over])</f>
        <v>10982.2731</v>
      </c>
      <c r="U3" t="s">
        <v>575</v>
      </c>
      <c r="V3" s="17" t="s">
        <v>573</v>
      </c>
      <c r="X3" t="str">
        <f>V6</f>
        <v>https://api.coingecko.com/api/v3/simple/price?ids=%2C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&amp;vs_currencies=usd&amp;include_24hr_change=true</v>
      </c>
    </row>
    <row r="4" spans="2:63" x14ac:dyDescent="0.25">
      <c r="B4" t="s">
        <v>375</v>
      </c>
      <c r="C4">
        <f>M7</f>
        <v>0</v>
      </c>
      <c r="E4" t="s">
        <v>542</v>
      </c>
      <c r="F4" s="6">
        <f>MAX(calculationstable[ROI])</f>
        <v>1.7998784999999999</v>
      </c>
      <c r="G4" t="str">
        <f>IFERROR(INDEX(calculationstable[ticker],MATCH(F4,calculationstable[ROI],0)),"")</f>
        <v>CRO</v>
      </c>
      <c r="I4" t="s">
        <v>592</v>
      </c>
      <c r="J4" s="31">
        <f>'Transaction Entry'!M1</f>
        <v>0</v>
      </c>
      <c r="K4" s="31"/>
      <c r="L4" t="s">
        <v>368</v>
      </c>
      <c r="M4" s="31">
        <f>IF(M3&gt;M2,M3-M2,0)</f>
        <v>2763.1499999999942</v>
      </c>
      <c r="N4" s="31"/>
      <c r="P4" t="s">
        <v>367</v>
      </c>
      <c r="Q4">
        <f>'Transaction Entry'!F1</f>
        <v>78276</v>
      </c>
      <c r="R4">
        <f>F8</f>
        <v>80560.710224089635</v>
      </c>
      <c r="S4">
        <f>F7</f>
        <v>1982</v>
      </c>
      <c r="U4" t="s">
        <v>576</v>
      </c>
      <c r="V4" t="str">
        <f>IFERROR(VLOOKUP(MAX(extra[Sequence])-1,extra[#All],5,FALSE),"")</f>
        <v>%2C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5" spans="2:63" x14ac:dyDescent="0.25">
      <c r="B5" t="s">
        <v>376</v>
      </c>
      <c r="C5">
        <f>C3-C4</f>
        <v>8607.2731000000003</v>
      </c>
      <c r="E5" t="s">
        <v>543</v>
      </c>
      <c r="F5" s="6">
        <f>MIN(calculationstable[ROI])</f>
        <v>-0.93218128558139501</v>
      </c>
      <c r="G5" t="str">
        <f>IFERROR(INDEX(calculationstable[ticker],MATCH(F5,calculationstable[ROI],0)),"")</f>
        <v>WEYU</v>
      </c>
      <c r="I5" t="s">
        <v>593</v>
      </c>
      <c r="J5" s="31">
        <f>SUM(J2:J4)</f>
        <v>79015</v>
      </c>
      <c r="K5" s="31"/>
      <c r="L5" t="s">
        <v>586</v>
      </c>
      <c r="M5">
        <f>'Transaction Entry'!J1</f>
        <v>0</v>
      </c>
      <c r="P5" t="s">
        <v>369</v>
      </c>
      <c r="Q5" s="6">
        <f>IFERROR(Q3/Q4,"")</f>
        <v>5.7362601806428541</v>
      </c>
      <c r="R5" s="6">
        <f>IFERROR(R3/R4,"")</f>
        <v>5.5735792379563032</v>
      </c>
      <c r="S5" s="6">
        <f>IFERROR(S3/S4,"")</f>
        <v>5.5410056004036328</v>
      </c>
      <c r="U5" t="s">
        <v>577</v>
      </c>
      <c r="V5" t="s">
        <v>574</v>
      </c>
      <c r="AY5" t="s">
        <v>552</v>
      </c>
      <c r="AZ5" t="s">
        <v>553</v>
      </c>
      <c r="BA5" t="s">
        <v>559</v>
      </c>
      <c r="BB5" t="s">
        <v>560</v>
      </c>
      <c r="BC5" t="s">
        <v>557</v>
      </c>
    </row>
    <row r="6" spans="2:63" x14ac:dyDescent="0.25">
      <c r="F6" s="6"/>
      <c r="L6" t="s">
        <v>594</v>
      </c>
      <c r="M6" s="31">
        <f>J5-M3-M5</f>
        <v>-2024.1499999999942</v>
      </c>
      <c r="U6" t="s">
        <v>578</v>
      </c>
      <c r="V6" t="str">
        <f>V3&amp;V4&amp;V5</f>
        <v>https://api.coingecko.com/api/v3/simple/price?ids=%2C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&amp;vs_currencies=usd&amp;include_24hr_change=true</v>
      </c>
      <c r="AY6" s="13">
        <f>IFERROR(SUBTOTAL(1,helper[Sold]),0)</f>
        <v>0</v>
      </c>
      <c r="AZ6" s="13">
        <f>IFERROR(SUBTOTAL(1,helper[% held]),"")</f>
        <v>1</v>
      </c>
      <c r="BA6" s="13">
        <f>IFERROR(SUBTOTAL(1,helper[% Not in exit]),"")</f>
        <v>9.9840000000000026E-2</v>
      </c>
      <c r="BB6" s="13">
        <f>IFERROR(SUBTOTAL(1,helper[In Exit]),"")</f>
        <v>0.90015999999999996</v>
      </c>
      <c r="BC6" s="14">
        <f>SUBTOTAL(9,calculationstable[Value of tokens over])</f>
        <v>2375</v>
      </c>
    </row>
    <row r="7" spans="2:63" x14ac:dyDescent="0.25">
      <c r="D7" s="19">
        <f>SUBTOTAL(9,calculationstable[Coins Held])</f>
        <v>26.29</v>
      </c>
      <c r="F7" s="19">
        <f>SUBTOTAL(9,calculationstable[[#All],[Cost of Investment]])</f>
        <v>1982</v>
      </c>
      <c r="G7" s="19">
        <f>SUBTOTAL(9,calculationstable[Current Value])</f>
        <v>2211.5147999999999</v>
      </c>
      <c r="J7" s="19">
        <f>IFERROR(SUBTOTAL(1,calculationstable[24H % Change]),"")</f>
        <v>-5.1882699999999997E-2</v>
      </c>
      <c r="K7" s="19">
        <f>SUBTOTAL(9,calculationstable[[#All],[Sold]])</f>
        <v>0</v>
      </c>
      <c r="L7" s="19">
        <f>SUBTOTAL(9,calculationstable[[#All],[Cost]])</f>
        <v>0</v>
      </c>
      <c r="M7" s="19">
        <f>SUBTOTAL(9,calculationstable[[#All],[Profit]])</f>
        <v>0</v>
      </c>
      <c r="AY7" s="13">
        <f>IFERROR(SUBTOTAL(1,helper[Sold]),0)</f>
        <v>0</v>
      </c>
      <c r="AZ7" s="13">
        <f>IFERROR(SUBTOTAL(1,helper[% held]),"")</f>
        <v>1</v>
      </c>
      <c r="BA7" s="13">
        <f>IFERROR(SUBTOTAL(1,helper[% Not in exit]),"")</f>
        <v>9.9840000000000026E-2</v>
      </c>
      <c r="BB7" s="13">
        <f>IFERROR(SUBTOTAL(1,helper[In Exit]),"")</f>
        <v>0.90015999999999996</v>
      </c>
      <c r="BC7" s="14">
        <f>SUBTOTAL(9,calculationstable[Value of tokens over])</f>
        <v>2375</v>
      </c>
    </row>
    <row r="8" spans="2:63" x14ac:dyDescent="0.25">
      <c r="D8" s="19">
        <f>SUM(calculationstable[Coins Held])</f>
        <v>29853.831294459989</v>
      </c>
      <c r="F8" s="19">
        <f>SUM(calculationstable[Cost of Investment])</f>
        <v>80560.710224089635</v>
      </c>
      <c r="G8" s="19">
        <f>SUM(calculationstable[[#All],[Current Value]])</f>
        <v>67769.071717087689</v>
      </c>
      <c r="K8" s="19">
        <f>SUM(calculationstable[Sold])</f>
        <v>739</v>
      </c>
      <c r="L8" s="19">
        <f>SUM(calculationstable[Cost])</f>
        <v>478</v>
      </c>
      <c r="M8" s="19">
        <f>SUM(calculationstable[Profit])</f>
        <v>261</v>
      </c>
    </row>
    <row r="10" spans="2:63" x14ac:dyDescent="0.25">
      <c r="B10" t="s">
        <v>378</v>
      </c>
      <c r="C10" t="s">
        <v>346</v>
      </c>
      <c r="D10" t="s">
        <v>360</v>
      </c>
      <c r="E10" t="s">
        <v>359</v>
      </c>
      <c r="F10" t="s">
        <v>524</v>
      </c>
      <c r="G10" t="s">
        <v>525</v>
      </c>
      <c r="H10" t="s">
        <v>526</v>
      </c>
      <c r="I10" s="6" t="s">
        <v>369</v>
      </c>
      <c r="J10" s="6" t="s">
        <v>527</v>
      </c>
      <c r="K10" t="s">
        <v>372</v>
      </c>
      <c r="L10" t="s">
        <v>528</v>
      </c>
      <c r="M10" t="s">
        <v>2</v>
      </c>
      <c r="N10" t="s">
        <v>373</v>
      </c>
      <c r="O10" t="s">
        <v>13</v>
      </c>
      <c r="P10" t="s">
        <v>8</v>
      </c>
      <c r="Q10" t="s">
        <v>7</v>
      </c>
      <c r="R10" t="s">
        <v>535</v>
      </c>
      <c r="S10" t="s">
        <v>12</v>
      </c>
      <c r="T10" t="s">
        <v>348</v>
      </c>
      <c r="U10" t="s">
        <v>529</v>
      </c>
      <c r="V10" t="s">
        <v>530</v>
      </c>
      <c r="W10" t="s">
        <v>11</v>
      </c>
      <c r="X10" t="s">
        <v>363</v>
      </c>
      <c r="Y10" t="s">
        <v>349</v>
      </c>
      <c r="Z10" t="s">
        <v>531</v>
      </c>
      <c r="AA10" t="s">
        <v>10</v>
      </c>
      <c r="AB10" t="s">
        <v>364</v>
      </c>
      <c r="AC10" t="s">
        <v>532</v>
      </c>
      <c r="AD10" t="s">
        <v>350</v>
      </c>
      <c r="AE10" t="s">
        <v>9</v>
      </c>
      <c r="AF10" t="s">
        <v>351</v>
      </c>
      <c r="AG10" t="s">
        <v>533</v>
      </c>
      <c r="AH10" t="s">
        <v>534</v>
      </c>
      <c r="AI10" t="s">
        <v>0</v>
      </c>
      <c r="AJ10" t="s">
        <v>6</v>
      </c>
      <c r="AK10" t="s">
        <v>18</v>
      </c>
      <c r="AL10" t="s">
        <v>536</v>
      </c>
      <c r="AM10" t="s">
        <v>539</v>
      </c>
      <c r="AN10" t="s">
        <v>540</v>
      </c>
      <c r="AP10" t="s">
        <v>541</v>
      </c>
      <c r="AQ10" t="s">
        <v>544</v>
      </c>
      <c r="AR10" t="s">
        <v>545</v>
      </c>
      <c r="AS10" t="s">
        <v>546</v>
      </c>
      <c r="AT10" t="s">
        <v>547</v>
      </c>
      <c r="AU10" t="s">
        <v>548</v>
      </c>
      <c r="AV10" t="s">
        <v>549</v>
      </c>
      <c r="AW10" s="6" t="s">
        <v>550</v>
      </c>
      <c r="AX10" t="s">
        <v>551</v>
      </c>
      <c r="AY10" t="s">
        <v>372</v>
      </c>
      <c r="AZ10" t="s">
        <v>554</v>
      </c>
      <c r="BA10" t="s">
        <v>555</v>
      </c>
      <c r="BB10" t="s">
        <v>556</v>
      </c>
      <c r="BD10" t="s">
        <v>608</v>
      </c>
      <c r="BE10" t="s">
        <v>609</v>
      </c>
      <c r="BF10" t="s">
        <v>525</v>
      </c>
      <c r="BG10" t="s">
        <v>373</v>
      </c>
      <c r="BH10" t="s">
        <v>369</v>
      </c>
    </row>
    <row r="11" spans="2:63" hidden="1" x14ac:dyDescent="0.25">
      <c r="B11" s="10" t="s">
        <v>411</v>
      </c>
      <c r="C11">
        <v>151.07</v>
      </c>
      <c r="D11">
        <v>2.83</v>
      </c>
      <c r="E11">
        <v>285.15901060070672</v>
      </c>
      <c r="F11">
        <v>807</v>
      </c>
      <c r="G11">
        <v>427.52809999999999</v>
      </c>
      <c r="H11">
        <v>-379.47190000000001</v>
      </c>
      <c r="I11" s="6">
        <v>-0.47022540272614599</v>
      </c>
      <c r="J11" s="6">
        <v>-3.2992599999999997E-2</v>
      </c>
      <c r="K11">
        <v>0</v>
      </c>
      <c r="L11">
        <v>0</v>
      </c>
      <c r="M11">
        <v>0</v>
      </c>
      <c r="N11">
        <v>0</v>
      </c>
      <c r="O11">
        <v>570.31799999999998</v>
      </c>
      <c r="P11">
        <v>0.56600000000000006</v>
      </c>
      <c r="Q11">
        <v>2.2640000000000002</v>
      </c>
      <c r="R11">
        <v>161.4</v>
      </c>
      <c r="S11">
        <v>998.05650000000003</v>
      </c>
      <c r="T11">
        <v>0.45280000000000009</v>
      </c>
      <c r="U11">
        <v>1.8112000000000001</v>
      </c>
      <c r="V11">
        <v>322.8</v>
      </c>
      <c r="W11">
        <v>1283.2155</v>
      </c>
      <c r="X11">
        <v>0.36224000000000006</v>
      </c>
      <c r="Y11">
        <v>1.44896</v>
      </c>
      <c r="Z11">
        <v>361.536</v>
      </c>
      <c r="AA11">
        <v>1710.954</v>
      </c>
      <c r="AB11">
        <v>0.28979199999999999</v>
      </c>
      <c r="AC11">
        <v>1.159168</v>
      </c>
      <c r="AD11">
        <v>413.18400000000003</v>
      </c>
      <c r="AE11">
        <v>2281.2719999999999</v>
      </c>
      <c r="AF11">
        <v>0.28979199999999999</v>
      </c>
      <c r="AG11">
        <v>0.86937599999999993</v>
      </c>
      <c r="AH11">
        <v>578.45759999999996</v>
      </c>
      <c r="AI11">
        <v>3504.5749000000001</v>
      </c>
      <c r="AJ11">
        <v>0.2825472</v>
      </c>
      <c r="AK11">
        <v>967</v>
      </c>
      <c r="AL11" s="10">
        <v>3504.5749000000001</v>
      </c>
      <c r="AM11">
        <v>1</v>
      </c>
      <c r="AN11" s="10" t="s">
        <v>13</v>
      </c>
      <c r="AP11">
        <f>IFERROR(HLOOKUP(calculationstable[[#This Row],[Merged]],calculationstable[#All],MATCH(calculationstable[[#This Row],[ticker]],calculationstable[[#All],[ticker]],0),FALSE),"")</f>
        <v>570.31799999999998</v>
      </c>
      <c r="AQ11" t="str">
        <f>IFERROR(IF(AP11&lt;=calculationstable[[#This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AAVE</v>
      </c>
      <c r="AR11" t="str">
        <f>IFERROR(IF(LEFT(helper[[#This Row],[take profit feedback]],1)="T","X",""),"")</f>
        <v/>
      </c>
      <c r="AS11" t="str">
        <f>IFERROR(IF(OR(calculationstable[[#This Row],[Selling point 1]]="",calculationstable[[#This Row],[Selling point 1]]=0),"X",""),"")</f>
        <v/>
      </c>
      <c r="AT11" t="str">
        <f>IFERROR(IF(helper[[#This Row],[add to exit]]="","","Add " &amp;calculationstable[[#This Row],[ticker]] &amp;" to Exit Strategy"),"")</f>
        <v/>
      </c>
      <c r="AU11" s="10" t="str">
        <f>IFERROR(IF(OR(calculationstable[[#This Row],[current_price]]="",calculationstable[[#This Row],[current_price]]=0),"Include "&amp;calculationstable[[#This Row],[ticker]]&amp;" in Extra Coins List",""),"")</f>
        <v/>
      </c>
      <c r="AV1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AAVE</v>
      </c>
      <c r="AW11" s="6">
        <f>IFERROR(calculationstable[[#This Row],[Current Value]]/SUM(calculationstable[Current Value]),"")</f>
        <v>6.3086019797464711E-3</v>
      </c>
      <c r="AX11" s="10">
        <f>IFERROR(IF((SUMIF(Purchases[Coin],calculationstable[[#This Row],[ticker]],Purchases[No. of coins])=0),NA(),SUMIF(Purchases[Coin],calculationstable[[#This Row],[ticker]],Purchases[No. of coins])),"")</f>
        <v>2.83</v>
      </c>
      <c r="AY11" s="6">
        <f>IFERROR((helper[[#This Row],[Purchased]]-calculationstable[[#This Row],[Coins Held]])/helper[[#This Row],[Purchased]],"")</f>
        <v>0</v>
      </c>
      <c r="AZ11" s="12">
        <f>IFERROR(1-helper[[#This Row],[Sold]],"")</f>
        <v>1</v>
      </c>
      <c r="BA11" s="6">
        <f>IFERROR(calculationstable[[#This Row],[Total Tokens Over]]/helper[[#This Row],[Purchased]],"")</f>
        <v>9.9839999999999998E-2</v>
      </c>
      <c r="BB11" s="12">
        <f>IFERROR(1-helper[[#This Row],[% Not in exit]],"")</f>
        <v>0.90015999999999996</v>
      </c>
      <c r="BD11" t="str" cm="1">
        <f t="array" aca="1" ref="BD11:BD73" ca="1">IFERROR(OFFSET(calculationstable[[#Headers],[ticker]],1,0,COUNTA(calculationstable[[#All],[ticker]])-1,1),"")</f>
        <v>AAVE</v>
      </c>
      <c r="BE11" cm="1">
        <f t="array" aca="1" ref="BE11:BE73" ca="1">IFERROR(OFFSET(calculationstable[[#Headers],[Cost of Investment]],1,0,COUNT(calculationstable[[#All],[Cost of Investment]]),1),"")</f>
        <v>807</v>
      </c>
      <c r="BF11" cm="1">
        <f t="array" aca="1" ref="BF11:BF72" ca="1">IFERROR(OFFSET(calculationstable[[#Headers],[Current Value]],1,0,COUNT(calculationstable[[#All],[Current Value]]),1),"")</f>
        <v>427.52809999999999</v>
      </c>
      <c r="BG11" cm="1">
        <f t="array" aca="1" ref="BG11:BG73" ca="1">IFERROR(OFFSET(calculationstable[[#Headers],[No of Sales]],1,0,COUNT(calculationstable[[#All],[No of Sales]]),1),"")</f>
        <v>0</v>
      </c>
      <c r="BH11" cm="1">
        <f t="array" aca="1" ref="BH11:BH72" ca="1">IFERROR(OFFSET(calculationstable[[#Headers],[ROI]],1,0,COUNT(calculationstable[ROI])),"")</f>
        <v>-0.47022540272614599</v>
      </c>
      <c r="BK11" s="13"/>
    </row>
    <row r="12" spans="2:63" hidden="1" x14ac:dyDescent="0.25">
      <c r="B12" s="10" t="s">
        <v>1</v>
      </c>
      <c r="C12">
        <v>41302</v>
      </c>
      <c r="D12">
        <v>0.48589445999999997</v>
      </c>
      <c r="E12">
        <v>47382.717637900219</v>
      </c>
      <c r="F12">
        <v>23023</v>
      </c>
      <c r="G12">
        <v>20068.412986920001</v>
      </c>
      <c r="H12">
        <v>-2954.5870130799995</v>
      </c>
      <c r="I12" s="6">
        <v>-0.12833197294357801</v>
      </c>
      <c r="J12" s="6">
        <v>-1.7226100000000001E-2</v>
      </c>
      <c r="K12">
        <v>0</v>
      </c>
      <c r="L12">
        <v>0</v>
      </c>
      <c r="M12">
        <v>0</v>
      </c>
      <c r="N12">
        <v>0</v>
      </c>
      <c r="O12">
        <v>94765.435200000007</v>
      </c>
      <c r="P12">
        <v>9.7178892000000003E-2</v>
      </c>
      <c r="Q12">
        <v>0.38871556799999996</v>
      </c>
      <c r="R12">
        <v>4604.6000000000004</v>
      </c>
      <c r="S12">
        <v>165839.5116</v>
      </c>
      <c r="T12">
        <v>7.7743113599999997E-2</v>
      </c>
      <c r="U12">
        <v>0.31097245439999999</v>
      </c>
      <c r="V12">
        <v>9209.2000000000007</v>
      </c>
      <c r="W12">
        <v>213222.2292</v>
      </c>
      <c r="X12">
        <v>6.2194490880000002E-2</v>
      </c>
      <c r="Y12">
        <v>0.24877796351999998</v>
      </c>
      <c r="Z12">
        <v>10314.304</v>
      </c>
      <c r="AA12">
        <v>284296.30560000002</v>
      </c>
      <c r="AB12">
        <v>4.9755592703999998E-2</v>
      </c>
      <c r="AC12">
        <v>0.19902237081599999</v>
      </c>
      <c r="AD12">
        <v>11787.776</v>
      </c>
      <c r="AE12">
        <v>379061.74080000003</v>
      </c>
      <c r="AF12">
        <v>4.9755592703999998E-2</v>
      </c>
      <c r="AG12">
        <v>0.14926677811200001</v>
      </c>
      <c r="AH12">
        <v>16502.886399999999</v>
      </c>
      <c r="AI12">
        <v>99982.442500000005</v>
      </c>
      <c r="AJ12">
        <v>4.8511702886400006E-2</v>
      </c>
      <c r="AK12">
        <v>27583</v>
      </c>
      <c r="AL12" s="10">
        <v>99982.442500000005</v>
      </c>
      <c r="AM12">
        <v>1</v>
      </c>
      <c r="AN12" s="10" t="s">
        <v>13</v>
      </c>
      <c r="AP12">
        <f>IFERROR(HLOOKUP(calculationstable[[#This Row],[Merged]],calculationstable[#All],MATCH(calculationstable[[#This Row],[ticker]],calculationstable[[#All],[ticker]],0),FALSE),"")</f>
        <v>94765.435200000007</v>
      </c>
      <c r="AQ12" t="str">
        <f>IFERROR(IF(AP12&lt;=calculationstable[[#This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BTC</v>
      </c>
      <c r="AR12" t="str">
        <f>IFERROR(IF(LEFT(helper[[#This Row],[take profit feedback]],1)="T","X",""),"")</f>
        <v/>
      </c>
      <c r="AS12" t="str">
        <f>IFERROR(IF(OR(calculationstable[[#This Row],[Selling point 1]]="",calculationstable[[#This Row],[Selling point 1]]=0),"X",""),"")</f>
        <v/>
      </c>
      <c r="AT12" t="str">
        <f>IFERROR(IF(helper[[#This Row],[add to exit]]="","","Add " &amp;calculationstable[[#This Row],[ticker]] &amp;" to Exit Strategy"),"")</f>
        <v/>
      </c>
      <c r="AU12" s="10" t="str">
        <f>IFERROR(IF(OR(calculationstable[[#This Row],[current_price]]="",calculationstable[[#This Row],[current_price]]=0),"Include "&amp;calculationstable[[#This Row],[ticker]]&amp;" in Extra Coins List",""),"")</f>
        <v/>
      </c>
      <c r="AV1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BTC</v>
      </c>
      <c r="AW12" s="6">
        <f>IFERROR(calculationstable[[#This Row],[Current Value]]/SUM(calculationstable[Current Value]),"")</f>
        <v>0.29612937699218672</v>
      </c>
      <c r="AX12" s="10">
        <f>IFERROR(IF((SUMIF(Purchases[Coin],calculationstable[[#This Row],[ticker]],Purchases[No. of coins])=0),NA(),SUMIF(Purchases[Coin],calculationstable[[#This Row],[ticker]],Purchases[No. of coins])),"")</f>
        <v>0.48589445999999997</v>
      </c>
      <c r="AY12" s="6">
        <f>IFERROR((helper[[#This Row],[Purchased]]-calculationstable[[#This Row],[Coins Held]])/helper[[#This Row],[Purchased]],"")</f>
        <v>0</v>
      </c>
      <c r="AZ12" s="12">
        <f>IFERROR(1-helper[[#This Row],[Sold]],"")</f>
        <v>1</v>
      </c>
      <c r="BA12" s="6">
        <f>IFERROR(calculationstable[[#This Row],[Total Tokens Over]]/helper[[#This Row],[Purchased]],"")</f>
        <v>9.9840000000000012E-2</v>
      </c>
      <c r="BB12" s="12">
        <f>IFERROR(1-helper[[#This Row],[% Not in exit]],"")</f>
        <v>0.90015999999999996</v>
      </c>
      <c r="BD12" t="str">
        <f ca="1"/>
        <v>BTC</v>
      </c>
      <c r="BE12">
        <f ca="1"/>
        <v>23023</v>
      </c>
      <c r="BF12">
        <f ca="1"/>
        <v>20068.412986920001</v>
      </c>
      <c r="BG12">
        <f ca="1"/>
        <v>0</v>
      </c>
      <c r="BH12">
        <f ca="1"/>
        <v>-0.12833197294357801</v>
      </c>
      <c r="BK12" s="13"/>
    </row>
    <row r="13" spans="2:63" hidden="1" x14ac:dyDescent="0.25">
      <c r="B13" s="10" t="s">
        <v>338</v>
      </c>
      <c r="C13">
        <v>0.87888299999999997</v>
      </c>
      <c r="D13">
        <v>1029.6099999999999</v>
      </c>
      <c r="E13">
        <v>1.8133079515544723</v>
      </c>
      <c r="F13">
        <v>1867</v>
      </c>
      <c r="G13">
        <v>904.90672562999987</v>
      </c>
      <c r="H13">
        <v>-962.09327437000013</v>
      </c>
      <c r="I13" s="11">
        <v>-0.51531509071772896</v>
      </c>
      <c r="J13" s="11">
        <v>-1.9133600000000001E-2</v>
      </c>
      <c r="K13">
        <v>0</v>
      </c>
      <c r="L13">
        <v>0</v>
      </c>
      <c r="M13">
        <v>0</v>
      </c>
      <c r="N13">
        <v>0</v>
      </c>
      <c r="O13">
        <v>3.6265999999999998</v>
      </c>
      <c r="P13">
        <v>205.922</v>
      </c>
      <c r="Q13">
        <v>823.68799999999987</v>
      </c>
      <c r="R13">
        <v>373.39839999999998</v>
      </c>
      <c r="S13">
        <v>6.3464999999999998</v>
      </c>
      <c r="T13">
        <v>164.73759999999999</v>
      </c>
      <c r="U13">
        <v>658.95039999999995</v>
      </c>
      <c r="V13">
        <v>746.79669999999999</v>
      </c>
      <c r="W13">
        <v>8.1598000000000006</v>
      </c>
      <c r="X13">
        <v>131.79007999999999</v>
      </c>
      <c r="Y13">
        <v>527.16031999999996</v>
      </c>
      <c r="Z13">
        <v>836.41229999999996</v>
      </c>
      <c r="AA13">
        <v>10.879799999999999</v>
      </c>
      <c r="AB13">
        <v>105.432064</v>
      </c>
      <c r="AC13">
        <v>421.72825599999999</v>
      </c>
      <c r="AD13">
        <v>955.89980000000003</v>
      </c>
      <c r="AE13">
        <v>14.506399999999999</v>
      </c>
      <c r="AF13">
        <v>105.432064</v>
      </c>
      <c r="AG13">
        <v>316.29619200000002</v>
      </c>
      <c r="AH13">
        <v>1338.2597000000001</v>
      </c>
      <c r="AI13">
        <v>8107.8226999999997</v>
      </c>
      <c r="AJ13">
        <v>102.79626240000002</v>
      </c>
      <c r="AK13">
        <v>2237</v>
      </c>
      <c r="AL13" s="10">
        <v>8107.8226999999997</v>
      </c>
      <c r="AM13">
        <v>1</v>
      </c>
      <c r="AN13" s="10" t="s">
        <v>13</v>
      </c>
      <c r="AP13">
        <f>IFERROR(HLOOKUP(calculationstable[[#This Row],[Merged]],calculationstable[#All],MATCH(calculationstable[[#This Row],[ticker]],calculationstable[[#All],[ticker]],0),FALSE),"")</f>
        <v>3.6265999999999998</v>
      </c>
      <c r="AQ13" t="str">
        <f>IFERROR(IF(AP13&lt;=calculationstable[[#This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ADA</v>
      </c>
      <c r="AR13" t="str">
        <f>IFERROR(IF(LEFT(helper[[#This Row],[take profit feedback]],1)="T","X",""),"")</f>
        <v/>
      </c>
      <c r="AS13" t="str">
        <f>IFERROR(IF(OR(calculationstable[[#This Row],[Selling point 1]]="",calculationstable[[#This Row],[Selling point 1]]=0),"X",""),"")</f>
        <v/>
      </c>
      <c r="AT13" t="str">
        <f>IFERROR(IF(helper[[#This Row],[add to exit]]="","","Add " &amp;calculationstable[[#This Row],[ticker]] &amp;" to Exit Strategy"),"")</f>
        <v/>
      </c>
      <c r="AU13" s="10" t="str">
        <f>IFERROR(IF(OR(calculationstable[[#This Row],[current_price]]="",calculationstable[[#This Row],[current_price]]=0),"Include "&amp;calculationstable[[#This Row],[ticker]]&amp;" in Extra Coins List",""),"")</f>
        <v/>
      </c>
      <c r="AV1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ADA</v>
      </c>
      <c r="AW13" s="6">
        <f>IFERROR(calculationstable[[#This Row],[Current Value]]/SUM(calculationstable[Current Value]),"")</f>
        <v>1.3352798005079231E-2</v>
      </c>
      <c r="AX13" s="10">
        <f>IFERROR(IF((SUMIF(Purchases[Coin],calculationstable[[#This Row],[ticker]],Purchases[No. of coins])=0),NA(),SUMIF(Purchases[Coin],calculationstable[[#This Row],[ticker]],Purchases[No. of coins])),"")</f>
        <v>1029.6099999999999</v>
      </c>
      <c r="AY13" s="6">
        <f>IFERROR((helper[[#This Row],[Purchased]]-calculationstable[[#This Row],[Coins Held]])/helper[[#This Row],[Purchased]],"")</f>
        <v>0</v>
      </c>
      <c r="AZ13" s="12">
        <f>IFERROR(1-helper[[#This Row],[Sold]],"")</f>
        <v>1</v>
      </c>
      <c r="BA13" s="6">
        <f>IFERROR(calculationstable[[#This Row],[Total Tokens Over]]/helper[[#This Row],[Purchased]],"")</f>
        <v>9.9840000000000026E-2</v>
      </c>
      <c r="BB13" s="12">
        <f>IFERROR(1-helper[[#This Row],[% Not in exit]],"")</f>
        <v>0.90015999999999996</v>
      </c>
      <c r="BD13" t="str">
        <f ca="1"/>
        <v>ADA</v>
      </c>
      <c r="BE13">
        <f ca="1"/>
        <v>1867</v>
      </c>
      <c r="BF13">
        <f ca="1"/>
        <v>904.90672562999987</v>
      </c>
      <c r="BG13">
        <f ca="1"/>
        <v>0</v>
      </c>
      <c r="BH13">
        <f ca="1"/>
        <v>-0.51531509071772896</v>
      </c>
      <c r="BK13" s="13"/>
    </row>
    <row r="14" spans="2:63" hidden="1" x14ac:dyDescent="0.25">
      <c r="B14" s="10" t="s">
        <v>390</v>
      </c>
      <c r="C14">
        <v>0.73847499999999999</v>
      </c>
      <c r="D14">
        <v>199.76</v>
      </c>
      <c r="E14">
        <v>1.7020424509411294</v>
      </c>
      <c r="F14">
        <v>340</v>
      </c>
      <c r="G14">
        <v>147.51776599999999</v>
      </c>
      <c r="H14">
        <v>-192.48223400000001</v>
      </c>
      <c r="I14" s="11">
        <v>-0.566124217647059</v>
      </c>
      <c r="J14" s="11">
        <v>-2.8074200000000001E-2</v>
      </c>
      <c r="K14">
        <v>0</v>
      </c>
      <c r="L14">
        <v>0</v>
      </c>
      <c r="M14">
        <v>0</v>
      </c>
      <c r="N14">
        <v>0</v>
      </c>
      <c r="O14">
        <v>3.4039999999999999</v>
      </c>
      <c r="P14">
        <v>39.951999999999998</v>
      </c>
      <c r="Q14">
        <v>159.80799999999999</v>
      </c>
      <c r="R14">
        <v>67.9983</v>
      </c>
      <c r="S14">
        <v>5.9569999999999999</v>
      </c>
      <c r="T14">
        <v>31.961600000000001</v>
      </c>
      <c r="U14">
        <v>127.84639999999999</v>
      </c>
      <c r="V14">
        <v>135.9966</v>
      </c>
      <c r="W14">
        <v>7.6589999999999998</v>
      </c>
      <c r="X14">
        <v>25.569279999999999</v>
      </c>
      <c r="Y14">
        <v>102.27712</v>
      </c>
      <c r="Z14">
        <v>152.31620000000001</v>
      </c>
      <c r="AA14">
        <v>10.212</v>
      </c>
      <c r="AB14">
        <v>20.455424000000001</v>
      </c>
      <c r="AC14">
        <v>81.821696000000003</v>
      </c>
      <c r="AD14">
        <v>174.07570000000001</v>
      </c>
      <c r="AE14">
        <v>13.616</v>
      </c>
      <c r="AF14">
        <v>20.455424000000001</v>
      </c>
      <c r="AG14">
        <v>61.366272000000002</v>
      </c>
      <c r="AH14">
        <v>243.70590000000001</v>
      </c>
      <c r="AI14">
        <v>1476.4880000000001</v>
      </c>
      <c r="AJ14">
        <v>19.944038400000004</v>
      </c>
      <c r="AK14">
        <v>407</v>
      </c>
      <c r="AL14" s="10">
        <v>1476.4880000000001</v>
      </c>
      <c r="AM14">
        <v>1</v>
      </c>
      <c r="AN14" s="10" t="s">
        <v>13</v>
      </c>
      <c r="AP14">
        <f>IFERROR(HLOOKUP(calculationstable[[#This Row],[Merged]],calculationstable[#All],MATCH(calculationstable[[#This Row],[ticker]],calculationstable[[#All],[ticker]],0),FALSE),"")</f>
        <v>3.4039999999999999</v>
      </c>
      <c r="AQ14" t="str">
        <f>IFERROR(IF(AP14&lt;=calculationstable[[#This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ALGO</v>
      </c>
      <c r="AR14" t="str">
        <f>IFERROR(IF(LEFT(helper[[#This Row],[take profit feedback]],1)="T","X",""),"")</f>
        <v/>
      </c>
      <c r="AS14" t="str">
        <f>IFERROR(IF(OR(calculationstable[[#This Row],[Selling point 1]]="",calculationstable[[#This Row],[Selling point 1]]=0),"X",""),"")</f>
        <v/>
      </c>
      <c r="AT14" t="str">
        <f>IFERROR(IF(helper[[#This Row],[add to exit]]="","","Add " &amp;calculationstable[[#This Row],[ticker]] &amp;" to Exit Strategy"),"")</f>
        <v/>
      </c>
      <c r="AU14" s="10" t="str">
        <f>IFERROR(IF(OR(calculationstable[[#This Row],[current_price]]="",calculationstable[[#This Row],[current_price]]=0),"Include "&amp;calculationstable[[#This Row],[ticker]]&amp;" in Extra Coins List",""),"")</f>
        <v/>
      </c>
      <c r="AV1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ALGO</v>
      </c>
      <c r="AW14" s="6">
        <f>IFERROR(calculationstable[[#This Row],[Current Value]]/SUM(calculationstable[Current Value]),"")</f>
        <v>2.1767712359383553E-3</v>
      </c>
      <c r="AX14" s="10">
        <f>IFERROR(IF((SUMIF(Purchases[Coin],calculationstable[[#This Row],[ticker]],Purchases[No. of coins])=0),NA(),SUMIF(Purchases[Coin],calculationstable[[#This Row],[ticker]],Purchases[No. of coins])),"")</f>
        <v>199.76</v>
      </c>
      <c r="AY14" s="6">
        <f>IFERROR((helper[[#This Row],[Purchased]]-calculationstable[[#This Row],[Coins Held]])/helper[[#This Row],[Purchased]],"")</f>
        <v>0</v>
      </c>
      <c r="AZ14" s="12">
        <f>IFERROR(1-helper[[#This Row],[Sold]],"")</f>
        <v>1</v>
      </c>
      <c r="BA14" s="6">
        <f>IFERROR(calculationstable[[#This Row],[Total Tokens Over]]/helper[[#This Row],[Purchased]],"")</f>
        <v>9.9840000000000026E-2</v>
      </c>
      <c r="BB14" s="12">
        <f>IFERROR(1-helper[[#This Row],[% Not in exit]],"")</f>
        <v>0.90015999999999996</v>
      </c>
      <c r="BD14" t="str">
        <f ca="1"/>
        <v>ALGO</v>
      </c>
      <c r="BE14">
        <f ca="1"/>
        <v>340</v>
      </c>
      <c r="BF14">
        <f ca="1"/>
        <v>147.51776599999999</v>
      </c>
      <c r="BG14">
        <f ca="1"/>
        <v>0</v>
      </c>
      <c r="BH14">
        <f ca="1"/>
        <v>-0.566124217647059</v>
      </c>
      <c r="BK14" s="13"/>
    </row>
    <row r="15" spans="2:63" hidden="1" x14ac:dyDescent="0.25">
      <c r="B15" s="10" t="s">
        <v>15</v>
      </c>
      <c r="C15">
        <v>2858.56</v>
      </c>
      <c r="D15">
        <v>6.7643000000000004</v>
      </c>
      <c r="E15">
        <v>3262.2739973094035</v>
      </c>
      <c r="F15">
        <v>22067</v>
      </c>
      <c r="G15">
        <v>19336.157407999999</v>
      </c>
      <c r="H15">
        <v>-2730.8425920000009</v>
      </c>
      <c r="I15" s="11">
        <v>-0.123752326641592</v>
      </c>
      <c r="J15" s="11">
        <v>-2.9141299999999998E-2</v>
      </c>
      <c r="K15">
        <v>0</v>
      </c>
      <c r="L15">
        <v>0</v>
      </c>
      <c r="M15">
        <v>0</v>
      </c>
      <c r="N15">
        <v>0</v>
      </c>
      <c r="O15">
        <v>6524.5479999999998</v>
      </c>
      <c r="P15">
        <v>1.3528600000000002</v>
      </c>
      <c r="Q15">
        <v>5.4114400000000007</v>
      </c>
      <c r="R15">
        <v>4413.3999999999996</v>
      </c>
      <c r="S15">
        <v>11417.959000000001</v>
      </c>
      <c r="T15">
        <v>1.0822880000000001</v>
      </c>
      <c r="U15">
        <v>4.3291520000000006</v>
      </c>
      <c r="V15">
        <v>8826.7999999999993</v>
      </c>
      <c r="W15">
        <v>14680.233</v>
      </c>
      <c r="X15">
        <v>0.86583040000000011</v>
      </c>
      <c r="Y15">
        <v>3.4633216000000004</v>
      </c>
      <c r="Z15">
        <v>9886.0159999999996</v>
      </c>
      <c r="AA15">
        <v>19573.644</v>
      </c>
      <c r="AB15">
        <v>0.69266432000000011</v>
      </c>
      <c r="AC15">
        <v>2.7706572800000004</v>
      </c>
      <c r="AD15">
        <v>11298.304</v>
      </c>
      <c r="AE15">
        <v>26098.191999999999</v>
      </c>
      <c r="AF15">
        <v>0.69266432000000011</v>
      </c>
      <c r="AG15">
        <v>2.0779929600000004</v>
      </c>
      <c r="AH15">
        <v>15817.625599999999</v>
      </c>
      <c r="AI15">
        <v>95830.802299999996</v>
      </c>
      <c r="AJ15">
        <v>0.67534771200000021</v>
      </c>
      <c r="AK15">
        <v>26438</v>
      </c>
      <c r="AL15" s="10">
        <v>95830.802299999996</v>
      </c>
      <c r="AM15">
        <v>1</v>
      </c>
      <c r="AN15" s="10" t="s">
        <v>13</v>
      </c>
      <c r="AP15">
        <f>IFERROR(HLOOKUP(calculationstable[[#This Row],[Merged]],calculationstable[#All],MATCH(calculationstable[[#This Row],[ticker]],calculationstable[[#All],[ticker]],0),FALSE),"")</f>
        <v>6524.5479999999998</v>
      </c>
      <c r="AQ15" t="str">
        <f>IFERROR(IF(AP15&lt;=calculationstable[[#This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ETH</v>
      </c>
      <c r="AR15" t="str">
        <f>IFERROR(IF(LEFT(helper[[#This Row],[take profit feedback]],1)="T","X",""),"")</f>
        <v/>
      </c>
      <c r="AS15" t="str">
        <f>IFERROR(IF(OR(calculationstable[[#This Row],[Selling point 1]]="",calculationstable[[#This Row],[Selling point 1]]=0),"X",""),"")</f>
        <v/>
      </c>
      <c r="AT15" t="str">
        <f>IFERROR(IF(helper[[#This Row],[add to exit]]="","","Add " &amp;calculationstable[[#This Row],[ticker]] &amp;" to Exit Strategy"),"")</f>
        <v/>
      </c>
      <c r="AU15" s="10" t="str">
        <f>IFERROR(IF(OR(calculationstable[[#This Row],[current_price]]="",calculationstable[[#This Row],[current_price]]=0),"Include "&amp;calculationstable[[#This Row],[ticker]]&amp;" in Extra Coins List",""),"")</f>
        <v/>
      </c>
      <c r="AV1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ETH</v>
      </c>
      <c r="AW15" s="6">
        <f>IFERROR(calculationstable[[#This Row],[Current Value]]/SUM(calculationstable[Current Value]),"")</f>
        <v>0.28532421823220089</v>
      </c>
      <c r="AX15" s="10">
        <f>IFERROR(IF((SUMIF(Purchases[Coin],calculationstable[[#This Row],[ticker]],Purchases[No. of coins])=0),NA(),SUMIF(Purchases[Coin],calculationstable[[#This Row],[ticker]],Purchases[No. of coins])),"")</f>
        <v>6.7643000000000004</v>
      </c>
      <c r="AY15" s="6">
        <f>IFERROR((helper[[#This Row],[Purchased]]-calculationstable[[#This Row],[Coins Held]])/helper[[#This Row],[Purchased]],"")</f>
        <v>0</v>
      </c>
      <c r="AZ15" s="12">
        <f>IFERROR(1-helper[[#This Row],[Sold]],"")</f>
        <v>1</v>
      </c>
      <c r="BA15" s="6">
        <f>IFERROR(calculationstable[[#This Row],[Total Tokens Over]]/helper[[#This Row],[Purchased]],"")</f>
        <v>9.9840000000000026E-2</v>
      </c>
      <c r="BB15" s="12">
        <f>IFERROR(1-helper[[#This Row],[% Not in exit]],"")</f>
        <v>0.90015999999999996</v>
      </c>
      <c r="BD15" t="str">
        <f ca="1"/>
        <v>ETH</v>
      </c>
      <c r="BE15">
        <f ca="1"/>
        <v>22067</v>
      </c>
      <c r="BF15">
        <f ca="1"/>
        <v>19336.157407999999</v>
      </c>
      <c r="BG15">
        <f ca="1"/>
        <v>0</v>
      </c>
      <c r="BH15">
        <f ca="1"/>
        <v>-0.123752326641592</v>
      </c>
      <c r="BK15" s="13"/>
    </row>
    <row r="16" spans="2:63" hidden="1" x14ac:dyDescent="0.25">
      <c r="B16" s="10" t="s">
        <v>904</v>
      </c>
      <c r="C16">
        <v>4.2541710000000003E-2</v>
      </c>
      <c r="D16">
        <v>1688.83</v>
      </c>
      <c r="E16">
        <v>0.19540155018563149</v>
      </c>
      <c r="F16">
        <v>330</v>
      </c>
      <c r="G16">
        <v>71.845716099300006</v>
      </c>
      <c r="H16">
        <v>-258.15428390069997</v>
      </c>
      <c r="I16" s="11">
        <v>-0.78228570879000003</v>
      </c>
      <c r="J16" s="11">
        <v>-9.7072629013409767E-2</v>
      </c>
      <c r="K16">
        <v>0</v>
      </c>
      <c r="L16">
        <v>0</v>
      </c>
      <c r="M16">
        <v>0</v>
      </c>
      <c r="N16">
        <v>0</v>
      </c>
      <c r="O16">
        <v>0.39079999999999998</v>
      </c>
      <c r="P16">
        <v>337.76600000000002</v>
      </c>
      <c r="Q16">
        <v>1351.0639999999999</v>
      </c>
      <c r="R16">
        <v>65.999499999999998</v>
      </c>
      <c r="S16">
        <v>0.68389999999999995</v>
      </c>
      <c r="T16">
        <v>270.21279999999996</v>
      </c>
      <c r="U16">
        <v>1080.8511999999998</v>
      </c>
      <c r="V16">
        <v>131.999</v>
      </c>
      <c r="W16">
        <v>0.87929999999999997</v>
      </c>
      <c r="X16">
        <v>216.17023999999998</v>
      </c>
      <c r="Y16">
        <v>864.68095999999991</v>
      </c>
      <c r="Z16">
        <v>147.83879999999999</v>
      </c>
      <c r="AA16">
        <v>1.1724000000000001</v>
      </c>
      <c r="AB16">
        <v>172.93619200000001</v>
      </c>
      <c r="AC16">
        <v>691.74476799999991</v>
      </c>
      <c r="AD16">
        <v>168.95869999999999</v>
      </c>
      <c r="AE16">
        <v>1.5631999999999999</v>
      </c>
      <c r="AF16">
        <v>172.93619199999998</v>
      </c>
      <c r="AG16">
        <v>518.8085759999999</v>
      </c>
      <c r="AH16">
        <v>236.5421</v>
      </c>
      <c r="AI16">
        <v>1433.0862</v>
      </c>
      <c r="AJ16">
        <v>168.61278719999996</v>
      </c>
      <c r="AK16">
        <v>395</v>
      </c>
      <c r="AL16" s="10">
        <v>1433.0862</v>
      </c>
      <c r="AM16">
        <v>1</v>
      </c>
      <c r="AN16" s="10" t="s">
        <v>13</v>
      </c>
      <c r="AP16">
        <f>IFERROR(HLOOKUP(calculationstable[[#This Row],[Merged]],calculationstable[#All],MATCH(calculationstable[[#This Row],[ticker]],calculationstable[[#All],[ticker]],0),FALSE),"")</f>
        <v>0.39079999999999998</v>
      </c>
      <c r="AQ16" t="str">
        <f>IFERROR(IF(AP16&lt;=calculationstable[[#This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ARC</v>
      </c>
      <c r="AR16" t="str">
        <f>IFERROR(IF(LEFT(helper[[#This Row],[take profit feedback]],1)="T","X",""),"")</f>
        <v/>
      </c>
      <c r="AS16" t="str">
        <f>IFERROR(IF(OR(calculationstable[[#This Row],[Selling point 1]]="",calculationstable[[#This Row],[Selling point 1]]=0),"X",""),"")</f>
        <v/>
      </c>
      <c r="AT16" t="str">
        <f>IFERROR(IF(helper[[#This Row],[add to exit]]="","","Add " &amp;calculationstable[[#This Row],[ticker]] &amp;" to Exit Strategy"),"")</f>
        <v/>
      </c>
      <c r="AU16" s="10" t="str">
        <f>IFERROR(IF(OR(calculationstable[[#This Row],[current_price]]="",calculationstable[[#This Row],[current_price]]=0),"Include "&amp;calculationstable[[#This Row],[ticker]]&amp;" in Extra Coins List",""),"")</f>
        <v/>
      </c>
      <c r="AV1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ARC</v>
      </c>
      <c r="AW16" s="6">
        <f>IFERROR(calculationstable[[#This Row],[Current Value]]/SUM(calculationstable[Current Value]),"")</f>
        <v>1.0601549391030601E-3</v>
      </c>
      <c r="AX16" s="10">
        <f>IFERROR(IF((SUMIF(Purchases[Coin],calculationstable[[#This Row],[ticker]],Purchases[No. of coins])=0),NA(),SUMIF(Purchases[Coin],calculationstable[[#This Row],[ticker]],Purchases[No. of coins])),"")</f>
        <v>1688.83</v>
      </c>
      <c r="AY16" s="6">
        <f>IFERROR((helper[[#This Row],[Purchased]]-calculationstable[[#This Row],[Coins Held]])/helper[[#This Row],[Purchased]],"")</f>
        <v>0</v>
      </c>
      <c r="AZ16" s="12">
        <f>IFERROR(1-helper[[#This Row],[Sold]],"")</f>
        <v>1</v>
      </c>
      <c r="BA16" s="6">
        <f>IFERROR(calculationstable[[#This Row],[Total Tokens Over]]/helper[[#This Row],[Purchased]],"")</f>
        <v>9.9839999999999984E-2</v>
      </c>
      <c r="BB16" s="12">
        <f>IFERROR(1-helper[[#This Row],[% Not in exit]],"")</f>
        <v>0.90016000000000007</v>
      </c>
      <c r="BD16" t="str">
        <f ca="1"/>
        <v>ARC</v>
      </c>
      <c r="BE16">
        <f ca="1"/>
        <v>330</v>
      </c>
      <c r="BF16">
        <f ca="1"/>
        <v>71.845716099300006</v>
      </c>
      <c r="BG16">
        <f ca="1"/>
        <v>0</v>
      </c>
      <c r="BH16">
        <f ca="1"/>
        <v>-0.78228570879000003</v>
      </c>
      <c r="BK16" s="13"/>
    </row>
    <row r="17" spans="2:63" hidden="1" x14ac:dyDescent="0.25">
      <c r="B17" s="10" t="s">
        <v>770</v>
      </c>
      <c r="C17">
        <v>2.5427780000000001E-2</v>
      </c>
      <c r="D17">
        <v>1387.18</v>
      </c>
      <c r="E17">
        <v>0.10092417710751309</v>
      </c>
      <c r="F17">
        <v>140</v>
      </c>
      <c r="G17">
        <v>35.272907860400004</v>
      </c>
      <c r="H17">
        <v>-104.72709213959999</v>
      </c>
      <c r="I17" s="11">
        <v>-0.74805065814000005</v>
      </c>
      <c r="J17" s="11">
        <v>-4.3928020339655573E-2</v>
      </c>
      <c r="K17">
        <v>0</v>
      </c>
      <c r="L17">
        <v>0</v>
      </c>
      <c r="M17">
        <v>0</v>
      </c>
      <c r="N17">
        <v>0</v>
      </c>
      <c r="O17">
        <v>0.20180000000000001</v>
      </c>
      <c r="P17">
        <v>277.43600000000004</v>
      </c>
      <c r="Q17">
        <v>1109.7440000000001</v>
      </c>
      <c r="R17">
        <v>27.993300000000001</v>
      </c>
      <c r="S17">
        <v>0.35320000000000001</v>
      </c>
      <c r="T17">
        <v>221.94880000000003</v>
      </c>
      <c r="U17">
        <v>887.79520000000014</v>
      </c>
      <c r="V17">
        <v>55.986600000000003</v>
      </c>
      <c r="W17">
        <v>0.4541</v>
      </c>
      <c r="X17">
        <v>177.55904000000004</v>
      </c>
      <c r="Y17">
        <v>710.23616000000015</v>
      </c>
      <c r="Z17">
        <v>62.704999999999998</v>
      </c>
      <c r="AA17">
        <v>0.60540000000000005</v>
      </c>
      <c r="AB17">
        <v>142.04723200000004</v>
      </c>
      <c r="AC17">
        <v>568.18892800000015</v>
      </c>
      <c r="AD17">
        <v>71.662800000000004</v>
      </c>
      <c r="AE17">
        <v>0.80720000000000003</v>
      </c>
      <c r="AF17">
        <v>142.04723200000004</v>
      </c>
      <c r="AG17">
        <v>426.14169600000014</v>
      </c>
      <c r="AH17">
        <v>100.328</v>
      </c>
      <c r="AI17">
        <v>607.83519999999999</v>
      </c>
      <c r="AJ17">
        <v>138.49605120000007</v>
      </c>
      <c r="AK17">
        <v>168</v>
      </c>
      <c r="AL17" s="10">
        <v>607.83519999999999</v>
      </c>
      <c r="AM17">
        <v>1</v>
      </c>
      <c r="AN17" s="10" t="s">
        <v>13</v>
      </c>
      <c r="AP17">
        <f>IFERROR(HLOOKUP(calculationstable[[#This Row],[Merged]],calculationstable[#All],MATCH(calculationstable[[#This Row],[ticker]],calculationstable[[#All],[ticker]],0),FALSE),"")</f>
        <v>0.20180000000000001</v>
      </c>
      <c r="AQ17" t="str">
        <f>IFERROR(IF(AP17&lt;=calculationstable[[#This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ATLAS</v>
      </c>
      <c r="AR17" t="str">
        <f>IFERROR(IF(LEFT(helper[[#This Row],[take profit feedback]],1)="T","X",""),"")</f>
        <v/>
      </c>
      <c r="AS17" t="str">
        <f>IFERROR(IF(OR(calculationstable[[#This Row],[Selling point 1]]="",calculationstable[[#This Row],[Selling point 1]]=0),"X",""),"")</f>
        <v/>
      </c>
      <c r="AT17" t="str">
        <f>IFERROR(IF(helper[[#This Row],[add to exit]]="","","Add " &amp;calculationstable[[#This Row],[ticker]] &amp;" to Exit Strategy"),"")</f>
        <v/>
      </c>
      <c r="AU17" s="10" t="str">
        <f>IFERROR(IF(OR(calculationstable[[#This Row],[current_price]]="",calculationstable[[#This Row],[current_price]]=0),"Include "&amp;calculationstable[[#This Row],[ticker]]&amp;" in Extra Coins List",""),"")</f>
        <v/>
      </c>
      <c r="AV1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ATLAS</v>
      </c>
      <c r="AW17" s="6">
        <f>IFERROR(calculationstable[[#This Row],[Current Value]]/SUM(calculationstable[Current Value]),"")</f>
        <v>5.2048680860868404E-4</v>
      </c>
      <c r="AX17" s="10">
        <f>IFERROR(IF((SUMIF(Purchases[Coin],calculationstable[[#This Row],[ticker]],Purchases[No. of coins])=0),NA(),SUMIF(Purchases[Coin],calculationstable[[#This Row],[ticker]],Purchases[No. of coins])),"")</f>
        <v>1387.18</v>
      </c>
      <c r="AY17" s="6">
        <f>IFERROR((helper[[#This Row],[Purchased]]-calculationstable[[#This Row],[Coins Held]])/helper[[#This Row],[Purchased]],"")</f>
        <v>0</v>
      </c>
      <c r="AZ17" s="12">
        <f>IFERROR(1-helper[[#This Row],[Sold]],"")</f>
        <v>1</v>
      </c>
      <c r="BA17" s="6">
        <f>IFERROR(calculationstable[[#This Row],[Total Tokens Over]]/helper[[#This Row],[Purchased]],"")</f>
        <v>9.984000000000004E-2</v>
      </c>
      <c r="BB17" s="12">
        <f>IFERROR(1-helper[[#This Row],[% Not in exit]],"")</f>
        <v>0.90015999999999996</v>
      </c>
      <c r="BD17" t="str">
        <f ca="1"/>
        <v>ATLAS</v>
      </c>
      <c r="BE17">
        <f ca="1"/>
        <v>140</v>
      </c>
      <c r="BF17">
        <f ca="1"/>
        <v>35.272907860400004</v>
      </c>
      <c r="BG17">
        <f ca="1"/>
        <v>0</v>
      </c>
      <c r="BH17">
        <f ca="1"/>
        <v>-0.74805065814000005</v>
      </c>
      <c r="BK17" s="13"/>
    </row>
    <row r="18" spans="2:63" hidden="1" x14ac:dyDescent="0.25">
      <c r="B18" s="10" t="s">
        <v>380</v>
      </c>
      <c r="C18">
        <v>1</v>
      </c>
      <c r="D18">
        <v>1212</v>
      </c>
      <c r="E18">
        <v>1</v>
      </c>
      <c r="F18">
        <v>1212</v>
      </c>
      <c r="G18">
        <v>1212</v>
      </c>
      <c r="H18">
        <v>0</v>
      </c>
      <c r="I18" s="11">
        <v>0</v>
      </c>
      <c r="J18" s="11">
        <v>1.7657E-3</v>
      </c>
      <c r="K18">
        <v>0</v>
      </c>
      <c r="L18">
        <v>0</v>
      </c>
      <c r="M18">
        <v>0</v>
      </c>
      <c r="N18">
        <v>0</v>
      </c>
      <c r="O18">
        <v>2</v>
      </c>
      <c r="P18">
        <v>242.4</v>
      </c>
      <c r="Q18">
        <v>969.6</v>
      </c>
      <c r="R18">
        <v>242.4</v>
      </c>
      <c r="S18">
        <v>3.5</v>
      </c>
      <c r="T18">
        <v>193.92000000000002</v>
      </c>
      <c r="U18">
        <v>775.68000000000006</v>
      </c>
      <c r="V18">
        <v>484.8</v>
      </c>
      <c r="W18">
        <v>4.5</v>
      </c>
      <c r="X18">
        <v>155.13600000000002</v>
      </c>
      <c r="Y18">
        <v>620.5440000000001</v>
      </c>
      <c r="Z18">
        <v>542.976</v>
      </c>
      <c r="AA18">
        <v>6</v>
      </c>
      <c r="AB18">
        <v>124.10880000000003</v>
      </c>
      <c r="AC18">
        <v>496.43520000000007</v>
      </c>
      <c r="AD18">
        <v>620.54399999999998</v>
      </c>
      <c r="AE18">
        <v>8</v>
      </c>
      <c r="AF18">
        <v>124.10880000000002</v>
      </c>
      <c r="AG18">
        <v>372.32640000000004</v>
      </c>
      <c r="AH18">
        <v>868.76160000000004</v>
      </c>
      <c r="AI18">
        <v>5263.3765999999996</v>
      </c>
      <c r="AJ18">
        <v>121.00608000000001</v>
      </c>
      <c r="AK18">
        <v>1452</v>
      </c>
      <c r="AL18" s="10">
        <v>5263.3765999999996</v>
      </c>
      <c r="AM18">
        <v>1</v>
      </c>
      <c r="AN18" s="10" t="s">
        <v>13</v>
      </c>
      <c r="AP18">
        <f>IFERROR(HLOOKUP(calculationstable[[#This Row],[Merged]],calculationstable[#All],MATCH(calculationstable[[#This Row],[ticker]],calculationstable[[#All],[ticker]],0),FALSE),"")</f>
        <v>2</v>
      </c>
      <c r="AQ18" t="str">
        <f>IFERROR(IF(AP18&lt;=calculationstable[[#This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USDT</v>
      </c>
      <c r="AR18" t="str">
        <f>IFERROR(IF(LEFT(helper[[#This Row],[take profit feedback]],1)="T","X",""),"")</f>
        <v/>
      </c>
      <c r="AS18" t="str">
        <f>IFERROR(IF(OR(calculationstable[[#This Row],[Selling point 1]]="",calculationstable[[#This Row],[Selling point 1]]=0),"X",""),"")</f>
        <v/>
      </c>
      <c r="AT18" t="str">
        <f>IFERROR(IF(helper[[#This Row],[add to exit]]="","","Add " &amp;calculationstable[[#This Row],[ticker]] &amp;" to Exit Strategy"),"")</f>
        <v/>
      </c>
      <c r="AU18" s="10" t="str">
        <f>IFERROR(IF(OR(calculationstable[[#This Row],[current_price]]="",calculationstable[[#This Row],[current_price]]=0),"Include "&amp;calculationstable[[#This Row],[ticker]]&amp;" in Extra Coins List",""),"")</f>
        <v/>
      </c>
      <c r="AV1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USDT</v>
      </c>
      <c r="AW18" s="6">
        <f>IFERROR(calculationstable[[#This Row],[Current Value]]/SUM(calculationstable[Current Value]),"")</f>
        <v>1.7884264448237961E-2</v>
      </c>
      <c r="AX18" s="10">
        <f>IFERROR(IF((SUMIF(Purchases[Coin],calculationstable[[#This Row],[ticker]],Purchases[No. of coins])=0),NA(),SUMIF(Purchases[Coin],calculationstable[[#This Row],[ticker]],Purchases[No. of coins])),"")</f>
        <v>1212</v>
      </c>
      <c r="AY18" s="6">
        <f>IFERROR((helper[[#This Row],[Purchased]]-calculationstable[[#This Row],[Coins Held]])/helper[[#This Row],[Purchased]],"")</f>
        <v>0</v>
      </c>
      <c r="AZ18" s="12">
        <f>IFERROR(1-helper[[#This Row],[Sold]],"")</f>
        <v>1</v>
      </c>
      <c r="BA18" s="6">
        <f>IFERROR(calculationstable[[#This Row],[Total Tokens Over]]/helper[[#This Row],[Purchased]],"")</f>
        <v>9.9840000000000012E-2</v>
      </c>
      <c r="BB18" s="12">
        <f>IFERROR(1-helper[[#This Row],[% Not in exit]],"")</f>
        <v>0.90015999999999996</v>
      </c>
      <c r="BD18" t="str">
        <f ca="1"/>
        <v>USDT</v>
      </c>
      <c r="BE18">
        <f ca="1"/>
        <v>1212</v>
      </c>
      <c r="BF18">
        <f ca="1"/>
        <v>1212</v>
      </c>
      <c r="BG18">
        <f ca="1"/>
        <v>0</v>
      </c>
      <c r="BH18">
        <f ca="1"/>
        <v>0</v>
      </c>
      <c r="BK18" s="13"/>
    </row>
    <row r="19" spans="2:63" hidden="1" x14ac:dyDescent="0.25">
      <c r="B19" s="10" t="s">
        <v>397</v>
      </c>
      <c r="C19">
        <v>27.81</v>
      </c>
      <c r="D19">
        <v>26.76</v>
      </c>
      <c r="E19">
        <v>21.076233183856502</v>
      </c>
      <c r="F19">
        <v>564</v>
      </c>
      <c r="G19">
        <v>744.19560000000001</v>
      </c>
      <c r="H19">
        <v>180.19560000000001</v>
      </c>
      <c r="I19" s="11">
        <v>0.31949574468085101</v>
      </c>
      <c r="J19" s="11">
        <v>-2.10954E-2</v>
      </c>
      <c r="K19">
        <v>0</v>
      </c>
      <c r="L19">
        <v>0</v>
      </c>
      <c r="M19">
        <v>0</v>
      </c>
      <c r="N19">
        <v>0</v>
      </c>
      <c r="O19">
        <v>42.1524</v>
      </c>
      <c r="P19">
        <v>5.3520000000000003</v>
      </c>
      <c r="Q19">
        <v>21.408000000000001</v>
      </c>
      <c r="R19">
        <v>112.7998</v>
      </c>
      <c r="S19">
        <v>73.7667</v>
      </c>
      <c r="T19">
        <v>4.2816000000000001</v>
      </c>
      <c r="U19">
        <v>17.1264</v>
      </c>
      <c r="V19">
        <v>225.59960000000001</v>
      </c>
      <c r="W19">
        <v>94.8429</v>
      </c>
      <c r="X19">
        <v>3.4252800000000003</v>
      </c>
      <c r="Y19">
        <v>13.70112</v>
      </c>
      <c r="Z19">
        <v>252.67160000000001</v>
      </c>
      <c r="AA19">
        <v>126.4572</v>
      </c>
      <c r="AB19">
        <v>2.740224</v>
      </c>
      <c r="AC19">
        <v>10.960896</v>
      </c>
      <c r="AD19">
        <v>288.76749999999998</v>
      </c>
      <c r="AE19">
        <v>168.6096</v>
      </c>
      <c r="AF19">
        <v>2.740224</v>
      </c>
      <c r="AG19">
        <v>8.2206720000000004</v>
      </c>
      <c r="AH19">
        <v>404.27460000000002</v>
      </c>
      <c r="AI19">
        <v>2449.2901999999999</v>
      </c>
      <c r="AJ19">
        <v>2.6717184000000005</v>
      </c>
      <c r="AK19">
        <v>676</v>
      </c>
      <c r="AL19" s="10">
        <v>2449.2901999999999</v>
      </c>
      <c r="AM19">
        <v>1</v>
      </c>
      <c r="AN19" s="10" t="s">
        <v>13</v>
      </c>
      <c r="AP19">
        <f>IFERROR(HLOOKUP(calculationstable[[#This Row],[Merged]],calculationstable[#All],MATCH(calculationstable[[#This Row],[ticker]],calculationstable[[#All],[ticker]],0),FALSE),"")</f>
        <v>42.1524</v>
      </c>
      <c r="AQ19" t="str">
        <f>IFERROR(IF(AP19&lt;=calculationstable[[#This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ATOM</v>
      </c>
      <c r="AR19" t="str">
        <f>IFERROR(IF(LEFT(helper[[#This Row],[take profit feedback]],1)="T","X",""),"")</f>
        <v/>
      </c>
      <c r="AS19" t="str">
        <f>IFERROR(IF(OR(calculationstable[[#This Row],[Selling point 1]]="",calculationstable[[#This Row],[Selling point 1]]=0),"X",""),"")</f>
        <v/>
      </c>
      <c r="AT19" t="str">
        <f>IFERROR(IF(helper[[#This Row],[add to exit]]="","","Add " &amp;calculationstable[[#This Row],[ticker]] &amp;" to Exit Strategy"),"")</f>
        <v/>
      </c>
      <c r="AU19" s="10" t="str">
        <f>IFERROR(IF(OR(calculationstable[[#This Row],[current_price]]="",calculationstable[[#This Row],[current_price]]=0),"Include "&amp;calculationstable[[#This Row],[ticker]]&amp;" in Extra Coins List",""),"")</f>
        <v/>
      </c>
      <c r="AV1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ATOM</v>
      </c>
      <c r="AW19" s="6">
        <f>IFERROR(calculationstable[[#This Row],[Current Value]]/SUM(calculationstable[Current Value]),"")</f>
        <v>1.0981345636646137E-2</v>
      </c>
      <c r="AX19" s="10">
        <f>IFERROR(IF((SUMIF(Purchases[Coin],calculationstable[[#This Row],[ticker]],Purchases[No. of coins])=0),NA(),SUMIF(Purchases[Coin],calculationstable[[#This Row],[ticker]],Purchases[No. of coins])),"")</f>
        <v>26.76</v>
      </c>
      <c r="AY19" s="6">
        <f>IFERROR((helper[[#This Row],[Purchased]]-calculationstable[[#This Row],[Coins Held]])/helper[[#This Row],[Purchased]],"")</f>
        <v>0</v>
      </c>
      <c r="AZ19" s="12">
        <f>IFERROR(1-helper[[#This Row],[Sold]],"")</f>
        <v>1</v>
      </c>
      <c r="BA19" s="6">
        <f>IFERROR(calculationstable[[#This Row],[Total Tokens Over]]/helper[[#This Row],[Purchased]],"")</f>
        <v>9.9840000000000012E-2</v>
      </c>
      <c r="BB19" s="12">
        <f>IFERROR(1-helper[[#This Row],[% Not in exit]],"")</f>
        <v>0.90015999999999996</v>
      </c>
      <c r="BD19" t="str">
        <f ca="1"/>
        <v>ATOM</v>
      </c>
      <c r="BE19">
        <f ca="1"/>
        <v>564</v>
      </c>
      <c r="BF19">
        <f ca="1"/>
        <v>744.19560000000001</v>
      </c>
      <c r="BG19">
        <f ca="1"/>
        <v>0</v>
      </c>
      <c r="BH19">
        <f ca="1"/>
        <v>0.31949574468085101</v>
      </c>
      <c r="BK19" s="13"/>
    </row>
    <row r="20" spans="2:63" hidden="1" x14ac:dyDescent="0.25">
      <c r="B20" s="10" t="s">
        <v>381</v>
      </c>
      <c r="C20">
        <v>389.89</v>
      </c>
      <c r="D20">
        <v>0.89</v>
      </c>
      <c r="E20">
        <v>461.79775280898878</v>
      </c>
      <c r="F20">
        <v>411</v>
      </c>
      <c r="G20">
        <v>347.00209999999998</v>
      </c>
      <c r="H20">
        <v>-63.997900000000016</v>
      </c>
      <c r="I20" s="11">
        <v>-0.15571265206812701</v>
      </c>
      <c r="J20" s="11">
        <v>-1.87469E-2</v>
      </c>
      <c r="K20">
        <v>0</v>
      </c>
      <c r="L20">
        <v>0</v>
      </c>
      <c r="M20">
        <v>0</v>
      </c>
      <c r="N20">
        <v>0</v>
      </c>
      <c r="O20">
        <v>923.59559999999999</v>
      </c>
      <c r="P20">
        <v>0.17800000000000002</v>
      </c>
      <c r="Q20">
        <v>0.71199999999999997</v>
      </c>
      <c r="R20">
        <v>82.2</v>
      </c>
      <c r="S20">
        <v>1616.2923000000001</v>
      </c>
      <c r="T20">
        <v>0.1424</v>
      </c>
      <c r="U20">
        <v>0.5696</v>
      </c>
      <c r="V20">
        <v>164.4</v>
      </c>
      <c r="W20">
        <v>2078.0900999999999</v>
      </c>
      <c r="X20">
        <v>0.11392000000000001</v>
      </c>
      <c r="Y20">
        <v>0.45567999999999997</v>
      </c>
      <c r="Z20">
        <v>184.12799999999999</v>
      </c>
      <c r="AA20">
        <v>2770.7867999999999</v>
      </c>
      <c r="AB20">
        <v>9.1135999999999995E-2</v>
      </c>
      <c r="AC20">
        <v>0.36454399999999998</v>
      </c>
      <c r="AD20">
        <v>210.43199999999999</v>
      </c>
      <c r="AE20">
        <v>3694.3824</v>
      </c>
      <c r="AF20">
        <v>9.1135999999999995E-2</v>
      </c>
      <c r="AG20">
        <v>0.27340799999999998</v>
      </c>
      <c r="AH20">
        <v>294.60480000000001</v>
      </c>
      <c r="AI20">
        <v>1784.8580999999999</v>
      </c>
      <c r="AJ20">
        <v>8.8857599999999995E-2</v>
      </c>
      <c r="AK20">
        <v>492</v>
      </c>
      <c r="AL20" s="10">
        <v>1784.8580999999999</v>
      </c>
      <c r="AM20">
        <v>1</v>
      </c>
      <c r="AN20" s="10" t="s">
        <v>13</v>
      </c>
      <c r="AP20">
        <f>IFERROR(HLOOKUP(calculationstable[[#This Row],[Merged]],calculationstable[#All],MATCH(calculationstable[[#This Row],[ticker]],calculationstable[[#All],[ticker]],0),FALSE),"")</f>
        <v>923.59559999999999</v>
      </c>
      <c r="AQ20" t="str">
        <f>IFERROR(IF(AP20&lt;=calculationstable[[#This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BNB</v>
      </c>
      <c r="AR20" t="str">
        <f>IFERROR(IF(LEFT(helper[[#This Row],[take profit feedback]],1)="T","X",""),"")</f>
        <v/>
      </c>
      <c r="AS20" t="str">
        <f>IFERROR(IF(OR(calculationstable[[#This Row],[Selling point 1]]="",calculationstable[[#This Row],[Selling point 1]]=0),"X",""),"")</f>
        <v/>
      </c>
      <c r="AT20" t="str">
        <f>IFERROR(IF(helper[[#This Row],[add to exit]]="","","Add " &amp;calculationstable[[#This Row],[ticker]] &amp;" to Exit Strategy"),"")</f>
        <v/>
      </c>
      <c r="AU20" s="10" t="str">
        <f>IFERROR(IF(OR(calculationstable[[#This Row],[current_price]]="",calculationstable[[#This Row],[current_price]]=0),"Include "&amp;calculationstable[[#This Row],[ticker]]&amp;" in Extra Coins List",""),"")</f>
        <v/>
      </c>
      <c r="AV2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BNB</v>
      </c>
      <c r="AW20" s="6">
        <f>IFERROR(calculationstable[[#This Row],[Current Value]]/SUM(calculationstable[Current Value]),"")</f>
        <v>5.120360825490027E-3</v>
      </c>
      <c r="AX20" s="10">
        <f>IFERROR(IF((SUMIF(Purchases[Coin],calculationstable[[#This Row],[ticker]],Purchases[No. of coins])=0),NA(),SUMIF(Purchases[Coin],calculationstable[[#This Row],[ticker]],Purchases[No. of coins])),"")</f>
        <v>0.89</v>
      </c>
      <c r="AY20" s="6">
        <f>IFERROR((helper[[#This Row],[Purchased]]-calculationstable[[#This Row],[Coins Held]])/helper[[#This Row],[Purchased]],"")</f>
        <v>0</v>
      </c>
      <c r="AZ20" s="12">
        <f>IFERROR(1-helper[[#This Row],[Sold]],"")</f>
        <v>1</v>
      </c>
      <c r="BA20" s="6">
        <f>IFERROR(calculationstable[[#This Row],[Total Tokens Over]]/helper[[#This Row],[Purchased]],"")</f>
        <v>9.9839999999999998E-2</v>
      </c>
      <c r="BB20" s="12">
        <f>IFERROR(1-helper[[#This Row],[% Not in exit]],"")</f>
        <v>0.90015999999999996</v>
      </c>
      <c r="BD20" t="str">
        <f ca="1"/>
        <v>BNB</v>
      </c>
      <c r="BE20">
        <f ca="1"/>
        <v>411</v>
      </c>
      <c r="BF20">
        <f ca="1"/>
        <v>347.00209999999998</v>
      </c>
      <c r="BG20">
        <f ca="1"/>
        <v>0</v>
      </c>
      <c r="BH20">
        <f ca="1"/>
        <v>-0.15571265206812701</v>
      </c>
      <c r="BK20" s="13"/>
    </row>
    <row r="21" spans="2:63" hidden="1" x14ac:dyDescent="0.25">
      <c r="B21" s="10" t="s">
        <v>772</v>
      </c>
      <c r="C21">
        <v>16.899999999999999</v>
      </c>
      <c r="D21">
        <v>2.2799999999999998</v>
      </c>
      <c r="E21">
        <v>32.894736842105267</v>
      </c>
      <c r="F21">
        <v>75</v>
      </c>
      <c r="G21">
        <v>38.531999999999996</v>
      </c>
      <c r="H21">
        <v>-36.468000000000004</v>
      </c>
      <c r="I21" s="11">
        <v>-0.48624000000000001</v>
      </c>
      <c r="J21" s="11">
        <v>-0.24630972991037661</v>
      </c>
      <c r="K21">
        <v>0</v>
      </c>
      <c r="L21">
        <v>0</v>
      </c>
      <c r="M21">
        <v>0</v>
      </c>
      <c r="N21">
        <v>0</v>
      </c>
      <c r="O21">
        <v>65.789400000000001</v>
      </c>
      <c r="P21">
        <v>0.45599999999999996</v>
      </c>
      <c r="Q21">
        <v>1.8239999999999998</v>
      </c>
      <c r="R21">
        <v>15</v>
      </c>
      <c r="S21">
        <v>115.1315</v>
      </c>
      <c r="T21">
        <v>0.36480000000000001</v>
      </c>
      <c r="U21">
        <v>1.4591999999999998</v>
      </c>
      <c r="V21">
        <v>30</v>
      </c>
      <c r="W21">
        <v>148.02619999999999</v>
      </c>
      <c r="X21">
        <v>0.29183999999999999</v>
      </c>
      <c r="Y21">
        <v>1.16736</v>
      </c>
      <c r="Z21">
        <v>33.6</v>
      </c>
      <c r="AA21">
        <v>197.3682</v>
      </c>
      <c r="AB21">
        <v>0.23347200000000001</v>
      </c>
      <c r="AC21">
        <v>0.93388799999999994</v>
      </c>
      <c r="AD21">
        <v>38.4</v>
      </c>
      <c r="AE21">
        <v>263.1576</v>
      </c>
      <c r="AF21">
        <v>0.23347199999999999</v>
      </c>
      <c r="AG21">
        <v>0.70041599999999993</v>
      </c>
      <c r="AH21">
        <v>53.759900000000002</v>
      </c>
      <c r="AI21">
        <v>325.70359999999999</v>
      </c>
      <c r="AJ21">
        <v>0.22763519999999998</v>
      </c>
      <c r="AK21">
        <v>90</v>
      </c>
      <c r="AL21" s="10">
        <v>325.70359999999999</v>
      </c>
      <c r="AM21">
        <v>1</v>
      </c>
      <c r="AN21" s="10" t="s">
        <v>13</v>
      </c>
      <c r="AP21">
        <f>IFERROR(HLOOKUP(calculationstable[[#This Row],[Merged]],calculationstable[#All],MATCH(calculationstable[[#This Row],[ticker]],calculationstable[[#All],[ticker]],0),FALSE),"")</f>
        <v>65.789400000000001</v>
      </c>
      <c r="AQ21" t="str">
        <f>IFERROR(IF(AP21&lt;=calculationstable[[#This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AUCTION</v>
      </c>
      <c r="AR21" t="str">
        <f>IFERROR(IF(LEFT(helper[[#This Row],[take profit feedback]],1)="T","X",""),"")</f>
        <v/>
      </c>
      <c r="AS21" t="str">
        <f>IFERROR(IF(OR(calculationstable[[#This Row],[Selling point 1]]="",calculationstable[[#This Row],[Selling point 1]]=0),"X",""),"")</f>
        <v/>
      </c>
      <c r="AT21" t="str">
        <f>IFERROR(IF(helper[[#This Row],[add to exit]]="","","Add " &amp;calculationstable[[#This Row],[ticker]] &amp;" to Exit Strategy"),"")</f>
        <v/>
      </c>
      <c r="AU21" s="10" t="str">
        <f>IFERROR(IF(OR(calculationstable[[#This Row],[current_price]]="",calculationstable[[#This Row],[current_price]]=0),"Include "&amp;calculationstable[[#This Row],[ticker]]&amp;" in Extra Coins List",""),"")</f>
        <v/>
      </c>
      <c r="AV2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AUCTION</v>
      </c>
      <c r="AW21" s="6">
        <f>IFERROR(calculationstable[[#This Row],[Current Value]]/SUM(calculationstable[Current Value]),"")</f>
        <v>5.6857795191378306E-4</v>
      </c>
      <c r="AX21" s="10">
        <f>IFERROR(IF((SUMIF(Purchases[Coin],calculationstable[[#This Row],[ticker]],Purchases[No. of coins])=0),NA(),SUMIF(Purchases[Coin],calculationstable[[#This Row],[ticker]],Purchases[No. of coins])),"")</f>
        <v>2.2799999999999998</v>
      </c>
      <c r="AY21" s="6">
        <f>IFERROR((helper[[#This Row],[Purchased]]-calculationstable[[#This Row],[Coins Held]])/helper[[#This Row],[Purchased]],"")</f>
        <v>0</v>
      </c>
      <c r="AZ21" s="12">
        <f>IFERROR(1-helper[[#This Row],[Sold]],"")</f>
        <v>1</v>
      </c>
      <c r="BA21" s="6">
        <f>IFERROR(calculationstable[[#This Row],[Total Tokens Over]]/helper[[#This Row],[Purchased]],"")</f>
        <v>9.9839999999999998E-2</v>
      </c>
      <c r="BB21" s="12">
        <f>IFERROR(1-helper[[#This Row],[% Not in exit]],"")</f>
        <v>0.90015999999999996</v>
      </c>
      <c r="BD21" t="str">
        <f ca="1"/>
        <v>AUCTION</v>
      </c>
      <c r="BE21">
        <f ca="1"/>
        <v>75</v>
      </c>
      <c r="BF21">
        <f ca="1"/>
        <v>38.531999999999996</v>
      </c>
      <c r="BG21">
        <f ca="1"/>
        <v>0</v>
      </c>
      <c r="BH21">
        <f ca="1"/>
        <v>-0.48624000000000001</v>
      </c>
      <c r="BK21" s="13"/>
    </row>
    <row r="22" spans="2:63" hidden="1" x14ac:dyDescent="0.25">
      <c r="B22" s="10" t="s">
        <v>849</v>
      </c>
      <c r="C22">
        <v>1.22</v>
      </c>
      <c r="D22">
        <v>7033.39</v>
      </c>
      <c r="E22">
        <v>1.1984263633894892</v>
      </c>
      <c r="F22">
        <v>8429</v>
      </c>
      <c r="G22">
        <v>8580.7358000000004</v>
      </c>
      <c r="H22">
        <v>151.73580000000038</v>
      </c>
      <c r="I22" s="11">
        <v>1.8001637204887899E-2</v>
      </c>
      <c r="J22" s="11">
        <v>-3.5662881747315191E-3</v>
      </c>
      <c r="K22">
        <v>0</v>
      </c>
      <c r="L22">
        <v>0</v>
      </c>
      <c r="M22">
        <v>0</v>
      </c>
      <c r="N22">
        <v>0</v>
      </c>
      <c r="O22">
        <v>2.3967999999999998</v>
      </c>
      <c r="P22">
        <v>1406.6780000000001</v>
      </c>
      <c r="Q22">
        <v>5626.7120000000004</v>
      </c>
      <c r="R22">
        <v>1685.7628999999999</v>
      </c>
      <c r="S22">
        <v>4.1943999999999999</v>
      </c>
      <c r="T22">
        <v>1125.3424000000002</v>
      </c>
      <c r="U22">
        <v>4501.3696</v>
      </c>
      <c r="V22">
        <v>3371.5257999999999</v>
      </c>
      <c r="W22">
        <v>5.3928000000000003</v>
      </c>
      <c r="X22">
        <v>900.27392000000009</v>
      </c>
      <c r="Y22">
        <v>3601.0956799999999</v>
      </c>
      <c r="Z22">
        <v>3776.1089000000002</v>
      </c>
      <c r="AA22">
        <v>7.1904000000000003</v>
      </c>
      <c r="AB22">
        <v>720.21913600000005</v>
      </c>
      <c r="AC22">
        <v>2880.8765439999997</v>
      </c>
      <c r="AD22">
        <v>4315.5531000000001</v>
      </c>
      <c r="AE22">
        <v>9.5871999999999993</v>
      </c>
      <c r="AF22">
        <v>720.21913599999993</v>
      </c>
      <c r="AG22">
        <v>2160.657408</v>
      </c>
      <c r="AH22">
        <v>6041.7743</v>
      </c>
      <c r="AI22">
        <v>36603.981599999999</v>
      </c>
      <c r="AJ22">
        <v>702.21365760000003</v>
      </c>
      <c r="AK22">
        <v>10098</v>
      </c>
      <c r="AL22" s="10">
        <v>36603.981599999999</v>
      </c>
      <c r="AM22">
        <v>1</v>
      </c>
      <c r="AN22" s="10" t="s">
        <v>13</v>
      </c>
      <c r="AP22">
        <f>IFERROR(HLOOKUP(calculationstable[[#This Row],[Merged]],calculationstable[#All],MATCH(calculationstable[[#This Row],[ticker]],calculationstable[[#All],[ticker]],0),FALSE),"")</f>
        <v>2.3967999999999998</v>
      </c>
      <c r="AQ22" t="str">
        <f>IFERROR(IF(AP22&lt;=calculationstable[[#This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AUST</v>
      </c>
      <c r="AR22" t="str">
        <f>IFERROR(IF(LEFT(helper[[#This Row],[take profit feedback]],1)="T","X",""),"")</f>
        <v/>
      </c>
      <c r="AS22" t="str">
        <f>IFERROR(IF(OR(calculationstable[[#This Row],[Selling point 1]]="",calculationstable[[#This Row],[Selling point 1]]=0),"X",""),"")</f>
        <v/>
      </c>
      <c r="AT22" t="str">
        <f>IFERROR(IF(helper[[#This Row],[add to exit]]="","","Add " &amp;calculationstable[[#This Row],[ticker]] &amp;" to Exit Strategy"),"")</f>
        <v/>
      </c>
      <c r="AU22" s="10" t="str">
        <f>IFERROR(IF(OR(calculationstable[[#This Row],[current_price]]="",calculationstable[[#This Row],[current_price]]=0),"Include "&amp;calculationstable[[#This Row],[ticker]]&amp;" in Extra Coins List",""),"")</f>
        <v/>
      </c>
      <c r="AV2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AUST</v>
      </c>
      <c r="AW22" s="6">
        <f>IFERROR(calculationstable[[#This Row],[Current Value]]/SUM(calculationstable[Current Value]),"")</f>
        <v>0.12661728399972172</v>
      </c>
      <c r="AX22" s="10">
        <f>IFERROR(IF((SUMIF(Purchases[Coin],calculationstable[[#This Row],[ticker]],Purchases[No. of coins])=0),NA(),SUMIF(Purchases[Coin],calculationstable[[#This Row],[ticker]],Purchases[No. of coins])),"")</f>
        <v>7033.39</v>
      </c>
      <c r="AY22" s="6">
        <f>IFERROR((helper[[#This Row],[Purchased]]-calculationstable[[#This Row],[Coins Held]])/helper[[#This Row],[Purchased]],"")</f>
        <v>0</v>
      </c>
      <c r="AZ22" s="12">
        <f>IFERROR(1-helper[[#This Row],[Sold]],"")</f>
        <v>1</v>
      </c>
      <c r="BA22" s="6">
        <f>IFERROR(calculationstable[[#This Row],[Total Tokens Over]]/helper[[#This Row],[Purchased]],"")</f>
        <v>9.9839999999999998E-2</v>
      </c>
      <c r="BB22" s="12">
        <f>IFERROR(1-helper[[#This Row],[% Not in exit]],"")</f>
        <v>0.90015999999999996</v>
      </c>
      <c r="BD22" t="str">
        <f ca="1"/>
        <v>AUST</v>
      </c>
      <c r="BE22">
        <f ca="1"/>
        <v>8429</v>
      </c>
      <c r="BF22">
        <f ca="1"/>
        <v>8580.7358000000004</v>
      </c>
      <c r="BG22">
        <f ca="1"/>
        <v>0</v>
      </c>
      <c r="BH22">
        <f ca="1"/>
        <v>1.8001637204887899E-2</v>
      </c>
      <c r="BK22" s="13"/>
    </row>
    <row r="23" spans="2:63" hidden="1" x14ac:dyDescent="0.25">
      <c r="B23" s="10" t="s">
        <v>385</v>
      </c>
      <c r="C23">
        <v>90.78</v>
      </c>
      <c r="D23">
        <v>23.231999999999999</v>
      </c>
      <c r="E23">
        <v>48.037190082644628</v>
      </c>
      <c r="F23">
        <v>1116</v>
      </c>
      <c r="G23">
        <v>2109.0009599999998</v>
      </c>
      <c r="H23">
        <v>993.00095999999985</v>
      </c>
      <c r="I23" s="11">
        <v>0.88978580645161298</v>
      </c>
      <c r="J23" s="11">
        <v>-4.8357000000000001E-3</v>
      </c>
      <c r="K23">
        <v>530</v>
      </c>
      <c r="L23">
        <v>279</v>
      </c>
      <c r="M23">
        <v>251</v>
      </c>
      <c r="N23">
        <v>1</v>
      </c>
      <c r="O23">
        <v>72.055800000000005</v>
      </c>
      <c r="P23">
        <v>5.8079999999999998</v>
      </c>
      <c r="Q23">
        <v>23.231999999999999</v>
      </c>
      <c r="R23">
        <v>139.5</v>
      </c>
      <c r="S23">
        <v>168.1302</v>
      </c>
      <c r="T23">
        <v>4.6463999999999999</v>
      </c>
      <c r="U23">
        <v>18.585599999999999</v>
      </c>
      <c r="V23">
        <v>558.00009999999997</v>
      </c>
      <c r="W23">
        <v>216.16739999999999</v>
      </c>
      <c r="X23">
        <v>3.71712</v>
      </c>
      <c r="Y23">
        <v>14.86848</v>
      </c>
      <c r="Z23">
        <v>624.96010000000001</v>
      </c>
      <c r="AA23">
        <v>288.22320000000002</v>
      </c>
      <c r="AB23">
        <v>2.9736960000000003</v>
      </c>
      <c r="AC23">
        <v>11.894784</v>
      </c>
      <c r="AD23">
        <v>714.24009999999998</v>
      </c>
      <c r="AE23">
        <v>384.29759999999999</v>
      </c>
      <c r="AF23">
        <v>2.9736959999999999</v>
      </c>
      <c r="AG23">
        <v>8.9210879999999992</v>
      </c>
      <c r="AH23">
        <v>999.93619999999999</v>
      </c>
      <c r="AI23">
        <v>5918.5955999999996</v>
      </c>
      <c r="AJ23">
        <v>2.8993535999999995</v>
      </c>
      <c r="AK23">
        <v>1671</v>
      </c>
      <c r="AL23" s="10">
        <v>5667.5955999999996</v>
      </c>
      <c r="AM23">
        <v>2</v>
      </c>
      <c r="AN23" s="10" t="s">
        <v>12</v>
      </c>
      <c r="AP23">
        <f>IFERROR(HLOOKUP(calculationstable[[#This Row],[Merged]],calculationstable[#All],MATCH(calculationstable[[#This Row],[ticker]],calculationstable[[#All],[ticker]],0),FALSE),"")</f>
        <v>168.1302</v>
      </c>
      <c r="AQ23" t="str">
        <f>IFERROR(IF(AP23&lt;=calculationstable[[#This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LUNA</v>
      </c>
      <c r="AR23" t="str">
        <f>IFERROR(IF(LEFT(helper[[#This Row],[take profit feedback]],1)="T","X",""),"")</f>
        <v/>
      </c>
      <c r="AS23" t="str">
        <f>IFERROR(IF(OR(calculationstable[[#This Row],[Selling point 1]]="",calculationstable[[#This Row],[Selling point 1]]=0),"X",""),"")</f>
        <v/>
      </c>
      <c r="AT23" t="str">
        <f>IFERROR(IF(helper[[#This Row],[add to exit]]="","","Add " &amp;calculationstable[[#This Row],[ticker]] &amp;" to Exit Strategy"),"")</f>
        <v/>
      </c>
      <c r="AU23" s="10" t="str">
        <f>IFERROR(IF(OR(calculationstable[[#This Row],[current_price]]="",calculationstable[[#This Row],[current_price]]=0),"Include "&amp;calculationstable[[#This Row],[ticker]]&amp;" in Extra Coins List",""),"")</f>
        <v/>
      </c>
      <c r="AV2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LUNA</v>
      </c>
      <c r="AW23" s="6">
        <f>IFERROR(calculationstable[[#This Row],[Current Value]]/SUM(calculationstable[Current Value]),"")</f>
        <v>3.1120405024940366E-2</v>
      </c>
      <c r="AX23" s="10">
        <f>IFERROR(IF((SUMIF(Purchases[Coin],calculationstable[[#This Row],[ticker]],Purchases[No. of coins])=0),NA(),SUMIF(Purchases[Coin],calculationstable[[#This Row],[ticker]],Purchases[No. of coins])),"")</f>
        <v>29.04</v>
      </c>
      <c r="AY23" s="6">
        <f>IFERROR((helper[[#This Row],[Purchased]]-calculationstable[[#This Row],[Coins Held]])/helper[[#This Row],[Purchased]],"")</f>
        <v>0.2</v>
      </c>
      <c r="AZ23" s="12">
        <f>IFERROR(1-helper[[#This Row],[Sold]],"")</f>
        <v>0.8</v>
      </c>
      <c r="BA23" s="6">
        <f>IFERROR(calculationstable[[#This Row],[Total Tokens Over]]/helper[[#This Row],[Purchased]],"")</f>
        <v>9.9839999999999984E-2</v>
      </c>
      <c r="BB23" s="12">
        <f>IFERROR(1-helper[[#This Row],[% Not in exit]],"")</f>
        <v>0.90016000000000007</v>
      </c>
      <c r="BD23" t="str">
        <f ca="1"/>
        <v>LUNA</v>
      </c>
      <c r="BE23">
        <f ca="1"/>
        <v>1116</v>
      </c>
      <c r="BF23">
        <f ca="1"/>
        <v>2109.0009599999998</v>
      </c>
      <c r="BG23">
        <f ca="1"/>
        <v>1</v>
      </c>
      <c r="BH23">
        <f ca="1"/>
        <v>0.88978580645161298</v>
      </c>
      <c r="BK23" s="13"/>
    </row>
    <row r="24" spans="2:63" x14ac:dyDescent="0.25">
      <c r="B24" s="10" t="s">
        <v>61</v>
      </c>
      <c r="C24">
        <v>84.12</v>
      </c>
      <c r="D24">
        <v>26.29</v>
      </c>
      <c r="E24">
        <v>75.38988208444276</v>
      </c>
      <c r="F24">
        <v>1982</v>
      </c>
      <c r="G24">
        <v>2211.5147999999999</v>
      </c>
      <c r="H24">
        <v>229.51479999999992</v>
      </c>
      <c r="I24" s="11">
        <v>0.115799596367306</v>
      </c>
      <c r="J24" s="11">
        <v>-5.1882699999999997E-2</v>
      </c>
      <c r="K24">
        <v>0</v>
      </c>
      <c r="L24">
        <v>0</v>
      </c>
      <c r="M24">
        <v>0</v>
      </c>
      <c r="N24">
        <v>0</v>
      </c>
      <c r="O24">
        <v>150.77979999999999</v>
      </c>
      <c r="P24">
        <v>5.258</v>
      </c>
      <c r="Q24">
        <v>21.032</v>
      </c>
      <c r="R24">
        <v>396.40010000000001</v>
      </c>
      <c r="S24">
        <v>263.8646</v>
      </c>
      <c r="T24">
        <v>4.2064000000000004</v>
      </c>
      <c r="U24">
        <v>16.825600000000001</v>
      </c>
      <c r="V24">
        <v>792.80020000000002</v>
      </c>
      <c r="W24">
        <v>339.25450000000001</v>
      </c>
      <c r="X24">
        <v>3.3651200000000006</v>
      </c>
      <c r="Y24">
        <v>13.46048</v>
      </c>
      <c r="Z24">
        <v>887.93619999999999</v>
      </c>
      <c r="AA24">
        <v>452.33940000000001</v>
      </c>
      <c r="AB24">
        <v>2.6920960000000003</v>
      </c>
      <c r="AC24">
        <v>10.768384000000001</v>
      </c>
      <c r="AD24">
        <v>1014.7842000000001</v>
      </c>
      <c r="AE24">
        <v>603.11919999999998</v>
      </c>
      <c r="AF24">
        <v>2.6920960000000003</v>
      </c>
      <c r="AG24">
        <v>8.0762880000000017</v>
      </c>
      <c r="AH24">
        <v>1420.6978999999999</v>
      </c>
      <c r="AI24">
        <v>8607.2731000000003</v>
      </c>
      <c r="AJ24">
        <v>2.6247936000000007</v>
      </c>
      <c r="AK24">
        <v>2375</v>
      </c>
      <c r="AL24" s="10">
        <v>8607.2731000000003</v>
      </c>
      <c r="AM24">
        <v>1</v>
      </c>
      <c r="AN24" s="10" t="s">
        <v>13</v>
      </c>
      <c r="AP24">
        <f>IFERROR(HLOOKUP(calculationstable[[#This Row],[Merged]],calculationstable[#All],MATCH(calculationstable[[#This Row],[ticker]],calculationstable[[#All],[ticker]],0),FALSE),"")</f>
        <v>150.77979999999999</v>
      </c>
      <c r="AQ24" t="str">
        <f>IFERROR(IF(AP24&lt;=calculationstable[[#This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AVAX</v>
      </c>
      <c r="AR24" t="str">
        <f>IFERROR(IF(LEFT(helper[[#This Row],[take profit feedback]],1)="T","X",""),"")</f>
        <v/>
      </c>
      <c r="AS24" t="str">
        <f>IFERROR(IF(OR(calculationstable[[#This Row],[Selling point 1]]="",calculationstable[[#This Row],[Selling point 1]]=0),"X",""),"")</f>
        <v/>
      </c>
      <c r="AT24" t="str">
        <f>IFERROR(IF(helper[[#This Row],[add to exit]]="","","Add " &amp;calculationstable[[#This Row],[ticker]] &amp;" to Exit Strategy"),"")</f>
        <v/>
      </c>
      <c r="AU24" s="10" t="str">
        <f>IFERROR(IF(OR(calculationstable[[#This Row],[current_price]]="",calculationstable[[#This Row],[current_price]]=0),"Include "&amp;calculationstable[[#This Row],[ticker]]&amp;" in Extra Coins List",""),"")</f>
        <v/>
      </c>
      <c r="AV2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AVAX</v>
      </c>
      <c r="AW24" s="6">
        <f>IFERROR(calculationstable[[#This Row],[Current Value]]/SUM(calculationstable[Current Value]),"")</f>
        <v>3.2633098609234391E-2</v>
      </c>
      <c r="AX24" s="10">
        <f>IFERROR(IF((SUMIF(Purchases[Coin],calculationstable[[#This Row],[ticker]],Purchases[No. of coins])=0),NA(),SUMIF(Purchases[Coin],calculationstable[[#This Row],[ticker]],Purchases[No. of coins])),"")</f>
        <v>26.29</v>
      </c>
      <c r="AY24" s="6">
        <f>IFERROR((helper[[#This Row],[Purchased]]-calculationstable[[#This Row],[Coins Held]])/helper[[#This Row],[Purchased]],"")</f>
        <v>0</v>
      </c>
      <c r="AZ24" s="12">
        <f>IFERROR(1-helper[[#This Row],[Sold]],"")</f>
        <v>1</v>
      </c>
      <c r="BA24" s="6">
        <f>IFERROR(calculationstable[[#This Row],[Total Tokens Over]]/helper[[#This Row],[Purchased]],"")</f>
        <v>9.9840000000000026E-2</v>
      </c>
      <c r="BB24" s="12">
        <f>IFERROR(1-helper[[#This Row],[% Not in exit]],"")</f>
        <v>0.90015999999999996</v>
      </c>
      <c r="BD24" t="str">
        <f ca="1"/>
        <v>AVAX</v>
      </c>
      <c r="BE24">
        <f ca="1"/>
        <v>1982</v>
      </c>
      <c r="BF24">
        <f ca="1"/>
        <v>2211.5147999999999</v>
      </c>
      <c r="BG24">
        <f ca="1"/>
        <v>0</v>
      </c>
      <c r="BH24">
        <f ca="1"/>
        <v>0.115799596367306</v>
      </c>
      <c r="BK24" s="13"/>
    </row>
    <row r="25" spans="2:63" hidden="1" x14ac:dyDescent="0.25">
      <c r="B25" s="10" t="s">
        <v>382</v>
      </c>
      <c r="C25">
        <v>88.33</v>
      </c>
      <c r="D25">
        <v>49</v>
      </c>
      <c r="E25">
        <v>117.14591836734694</v>
      </c>
      <c r="F25">
        <v>5740.15</v>
      </c>
      <c r="G25">
        <v>4328.17</v>
      </c>
      <c r="H25">
        <v>-1411.9799999999996</v>
      </c>
      <c r="I25" s="11">
        <v>-0.245983118908042</v>
      </c>
      <c r="J25" s="11">
        <v>-3.4190699999999997E-2</v>
      </c>
      <c r="K25">
        <v>0</v>
      </c>
      <c r="L25">
        <v>0</v>
      </c>
      <c r="M25">
        <v>0</v>
      </c>
      <c r="N25">
        <v>0</v>
      </c>
      <c r="O25">
        <v>234.29179999999999</v>
      </c>
      <c r="P25">
        <v>9.8000000000000007</v>
      </c>
      <c r="Q25">
        <v>39.200000000000003</v>
      </c>
      <c r="R25">
        <v>1148.0298</v>
      </c>
      <c r="S25">
        <v>410.01060000000001</v>
      </c>
      <c r="T25">
        <v>7.8400000000000007</v>
      </c>
      <c r="U25">
        <v>31.360000000000003</v>
      </c>
      <c r="V25">
        <v>2296.0596</v>
      </c>
      <c r="W25">
        <v>527.15660000000003</v>
      </c>
      <c r="X25">
        <v>6.2720000000000011</v>
      </c>
      <c r="Y25">
        <v>25.088000000000001</v>
      </c>
      <c r="Z25">
        <v>2571.5868</v>
      </c>
      <c r="AA25">
        <v>702.87540000000001</v>
      </c>
      <c r="AB25">
        <v>5.0176000000000007</v>
      </c>
      <c r="AC25">
        <v>20.070399999999999</v>
      </c>
      <c r="AD25">
        <v>2938.9562999999998</v>
      </c>
      <c r="AE25">
        <v>937.16719999999998</v>
      </c>
      <c r="AF25">
        <v>5.0175999999999998</v>
      </c>
      <c r="AG25">
        <v>15.0528</v>
      </c>
      <c r="AH25">
        <v>4114.5388999999996</v>
      </c>
      <c r="AI25">
        <v>24927.8603</v>
      </c>
      <c r="AJ25">
        <v>4.8921600000000005</v>
      </c>
      <c r="AK25">
        <v>6877</v>
      </c>
      <c r="AL25" s="10">
        <v>24927.8603</v>
      </c>
      <c r="AM25">
        <v>1</v>
      </c>
      <c r="AN25" s="10" t="s">
        <v>13</v>
      </c>
      <c r="AP25">
        <f>IFERROR(HLOOKUP(calculationstable[[#This Row],[Merged]],calculationstable[#All],MATCH(calculationstable[[#This Row],[ticker]],calculationstable[[#All],[ticker]],0),FALSE),"")</f>
        <v>234.29179999999999</v>
      </c>
      <c r="AQ25" t="str">
        <f>IFERROR(IF(AP25&lt;=calculationstable[[#This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SOL</v>
      </c>
      <c r="AR25" t="str">
        <f>IFERROR(IF(LEFT(helper[[#This Row],[take profit feedback]],1)="T","X",""),"")</f>
        <v/>
      </c>
      <c r="AS25" t="str">
        <f>IFERROR(IF(OR(calculationstable[[#This Row],[Selling point 1]]="",calculationstable[[#This Row],[Selling point 1]]=0),"X",""),"")</f>
        <v/>
      </c>
      <c r="AT25" t="str">
        <f>IFERROR(IF(helper[[#This Row],[add to exit]]="","","Add " &amp;calculationstable[[#This Row],[ticker]] &amp;" to Exit Strategy"),"")</f>
        <v/>
      </c>
      <c r="AU25" s="10" t="str">
        <f>IFERROR(IF(OR(calculationstable[[#This Row],[current_price]]="",calculationstable[[#This Row],[current_price]]=0),"Include "&amp;calculationstable[[#This Row],[ticker]]&amp;" in Extra Coins List",""),"")</f>
        <v/>
      </c>
      <c r="AV2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SOL</v>
      </c>
      <c r="AW25" s="6">
        <f>IFERROR(calculationstable[[#This Row],[Current Value]]/SUM(calculationstable[Current Value]),"")</f>
        <v>6.3866449551922513E-2</v>
      </c>
      <c r="AX25" s="10">
        <f>IFERROR(IF((SUMIF(Purchases[Coin],calculationstable[[#This Row],[ticker]],Purchases[No. of coins])=0),NA(),SUMIF(Purchases[Coin],calculationstable[[#This Row],[ticker]],Purchases[No. of coins])),"")</f>
        <v>49</v>
      </c>
      <c r="AY25" s="6">
        <f>IFERROR((helper[[#This Row],[Purchased]]-calculationstable[[#This Row],[Coins Held]])/helper[[#This Row],[Purchased]],"")</f>
        <v>0</v>
      </c>
      <c r="AZ25" s="12">
        <f>IFERROR(1-helper[[#This Row],[Sold]],"")</f>
        <v>1</v>
      </c>
      <c r="BA25" s="6">
        <f>IFERROR(calculationstable[[#This Row],[Total Tokens Over]]/helper[[#This Row],[Purchased]],"")</f>
        <v>9.9840000000000012E-2</v>
      </c>
      <c r="BB25" s="12">
        <f>IFERROR(1-helper[[#This Row],[% Not in exit]],"")</f>
        <v>0.90015999999999996</v>
      </c>
      <c r="BD25" t="str">
        <f ca="1"/>
        <v>SOL</v>
      </c>
      <c r="BE25">
        <f ca="1"/>
        <v>5740.15</v>
      </c>
      <c r="BF25">
        <f ca="1"/>
        <v>4328.17</v>
      </c>
      <c r="BG25">
        <f ca="1"/>
        <v>0</v>
      </c>
      <c r="BH25">
        <f ca="1"/>
        <v>-0.245983118908042</v>
      </c>
      <c r="BK25" s="13"/>
    </row>
    <row r="26" spans="2:63" hidden="1" x14ac:dyDescent="0.25">
      <c r="B26" s="10" t="s">
        <v>762</v>
      </c>
      <c r="C26">
        <v>3.97</v>
      </c>
      <c r="D26">
        <v>45.5</v>
      </c>
      <c r="E26">
        <v>7.2747252747252746</v>
      </c>
      <c r="F26">
        <v>331</v>
      </c>
      <c r="G26">
        <v>180.63500000000002</v>
      </c>
      <c r="H26">
        <v>-150.36499999999998</v>
      </c>
      <c r="I26" s="11">
        <v>-0.45427492447129902</v>
      </c>
      <c r="J26" s="11">
        <v>-7.5887739683909647E-3</v>
      </c>
      <c r="K26">
        <v>0</v>
      </c>
      <c r="L26">
        <v>0</v>
      </c>
      <c r="M26">
        <v>0</v>
      </c>
      <c r="N26">
        <v>0</v>
      </c>
      <c r="O26">
        <v>14.5494</v>
      </c>
      <c r="P26">
        <v>9.1</v>
      </c>
      <c r="Q26">
        <v>36.4</v>
      </c>
      <c r="R26">
        <v>66.199799999999996</v>
      </c>
      <c r="S26">
        <v>25.461400000000001</v>
      </c>
      <c r="T26">
        <v>7.28</v>
      </c>
      <c r="U26">
        <v>29.119999999999997</v>
      </c>
      <c r="V26">
        <v>132.39949999999999</v>
      </c>
      <c r="W26">
        <v>32.736199999999997</v>
      </c>
      <c r="X26">
        <v>5.8239999999999998</v>
      </c>
      <c r="Y26">
        <v>23.295999999999999</v>
      </c>
      <c r="Z26">
        <v>148.28749999999999</v>
      </c>
      <c r="AA26">
        <v>43.648200000000003</v>
      </c>
      <c r="AB26">
        <v>4.6592000000000002</v>
      </c>
      <c r="AC26">
        <v>18.636800000000001</v>
      </c>
      <c r="AD26">
        <v>169.47139999999999</v>
      </c>
      <c r="AE26">
        <v>58.197600000000001</v>
      </c>
      <c r="AF26">
        <v>4.6592000000000002</v>
      </c>
      <c r="AG26">
        <v>13.977600000000001</v>
      </c>
      <c r="AH26">
        <v>237.26</v>
      </c>
      <c r="AI26">
        <v>1437.4353000000001</v>
      </c>
      <c r="AJ26">
        <v>4.542720000000001</v>
      </c>
      <c r="AK26">
        <v>397</v>
      </c>
      <c r="AL26" s="10">
        <v>1437.4353000000001</v>
      </c>
      <c r="AM26">
        <v>1</v>
      </c>
      <c r="AN26" s="10" t="s">
        <v>13</v>
      </c>
      <c r="AP26">
        <f>IFERROR(HLOOKUP(calculationstable[[#This Row],[Merged]],calculationstable[#All],MATCH(calculationstable[[#This Row],[ticker]],calculationstable[[#All],[ticker]],0),FALSE),"")</f>
        <v>14.5494</v>
      </c>
      <c r="AQ26" t="str">
        <f>IFERROR(IF(AP26&lt;=calculationstable[[#This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BPRO</v>
      </c>
      <c r="AR26" t="str">
        <f>IFERROR(IF(LEFT(helper[[#This Row],[take profit feedback]],1)="T","X",""),"")</f>
        <v/>
      </c>
      <c r="AS26" t="str">
        <f>IFERROR(IF(OR(calculationstable[[#This Row],[Selling point 1]]="",calculationstable[[#This Row],[Selling point 1]]=0),"X",""),"")</f>
        <v/>
      </c>
      <c r="AT26" t="str">
        <f>IFERROR(IF(helper[[#This Row],[add to exit]]="","","Add " &amp;calculationstable[[#This Row],[ticker]] &amp;" to Exit Strategy"),"")</f>
        <v/>
      </c>
      <c r="AU26" s="10" t="str">
        <f>IFERROR(IF(OR(calculationstable[[#This Row],[current_price]]="",calculationstable[[#This Row],[current_price]]=0),"Include "&amp;calculationstable[[#This Row],[ticker]]&amp;" in Extra Coins List",""),"")</f>
        <v/>
      </c>
      <c r="AV2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BPRO</v>
      </c>
      <c r="AW26" s="6">
        <f>IFERROR(calculationstable[[#This Row],[Current Value]]/SUM(calculationstable[Current Value]),"")</f>
        <v>2.6654489344946075E-3</v>
      </c>
      <c r="AX26" s="10">
        <f>IFERROR(IF((SUMIF(Purchases[Coin],calculationstable[[#This Row],[ticker]],Purchases[No. of coins])=0),NA(),SUMIF(Purchases[Coin],calculationstable[[#This Row],[ticker]],Purchases[No. of coins])),"")</f>
        <v>45.5</v>
      </c>
      <c r="AY26" s="6">
        <f>IFERROR((helper[[#This Row],[Purchased]]-calculationstable[[#This Row],[Coins Held]])/helper[[#This Row],[Purchased]],"")</f>
        <v>0</v>
      </c>
      <c r="AZ26" s="12">
        <f>IFERROR(1-helper[[#This Row],[Sold]],"")</f>
        <v>1</v>
      </c>
      <c r="BA26" s="6">
        <f>IFERROR(calculationstable[[#This Row],[Total Tokens Over]]/helper[[#This Row],[Purchased]],"")</f>
        <v>9.9840000000000026E-2</v>
      </c>
      <c r="BB26" s="12">
        <f>IFERROR(1-helper[[#This Row],[% Not in exit]],"")</f>
        <v>0.90015999999999996</v>
      </c>
      <c r="BD26" t="str">
        <f ca="1"/>
        <v>BPRO</v>
      </c>
      <c r="BE26">
        <f ca="1"/>
        <v>331</v>
      </c>
      <c r="BF26">
        <f ca="1"/>
        <v>180.63500000000002</v>
      </c>
      <c r="BG26">
        <f ca="1"/>
        <v>0</v>
      </c>
      <c r="BH26">
        <f ca="1"/>
        <v>-0.45427492447129902</v>
      </c>
      <c r="BK26" s="13"/>
    </row>
    <row r="27" spans="2:63" hidden="1" x14ac:dyDescent="0.25">
      <c r="B27" s="10" t="s">
        <v>4</v>
      </c>
      <c r="C27">
        <v>18.72</v>
      </c>
      <c r="D27">
        <v>64.597700000000003</v>
      </c>
      <c r="E27">
        <v>20.279359791447682</v>
      </c>
      <c r="F27">
        <v>1310</v>
      </c>
      <c r="G27">
        <v>1209.2689439999999</v>
      </c>
      <c r="H27">
        <v>-100.73105600000008</v>
      </c>
      <c r="I27" s="11">
        <v>-7.6893935877862599E-2</v>
      </c>
      <c r="J27" s="11">
        <v>-2.82454E-2</v>
      </c>
      <c r="K27">
        <v>0</v>
      </c>
      <c r="L27">
        <v>0</v>
      </c>
      <c r="M27">
        <v>0</v>
      </c>
      <c r="N27">
        <v>0</v>
      </c>
      <c r="O27">
        <v>40.558799999999998</v>
      </c>
      <c r="P27">
        <v>12.919540000000001</v>
      </c>
      <c r="Q27">
        <v>51.678160000000005</v>
      </c>
      <c r="R27">
        <v>262.00049999999999</v>
      </c>
      <c r="S27">
        <v>70.977900000000005</v>
      </c>
      <c r="T27">
        <v>10.335632000000002</v>
      </c>
      <c r="U27">
        <v>41.342528000000001</v>
      </c>
      <c r="V27">
        <v>524.00099999999998</v>
      </c>
      <c r="W27">
        <v>91.257300000000001</v>
      </c>
      <c r="X27">
        <v>8.268505600000001</v>
      </c>
      <c r="Y27">
        <v>33.074022400000004</v>
      </c>
      <c r="Z27">
        <v>586.88120000000004</v>
      </c>
      <c r="AA27">
        <v>121.6764</v>
      </c>
      <c r="AB27">
        <v>6.614804480000001</v>
      </c>
      <c r="AC27">
        <v>26.459217920000004</v>
      </c>
      <c r="AD27">
        <v>670.72130000000004</v>
      </c>
      <c r="AE27">
        <v>162.23519999999999</v>
      </c>
      <c r="AF27">
        <v>6.614804480000001</v>
      </c>
      <c r="AG27">
        <v>19.844413440000004</v>
      </c>
      <c r="AH27">
        <v>939.00990000000002</v>
      </c>
      <c r="AI27">
        <v>5688.9745000000003</v>
      </c>
      <c r="AJ27">
        <v>6.4494343680000012</v>
      </c>
      <c r="AK27">
        <v>1569</v>
      </c>
      <c r="AL27" s="10">
        <v>5688.9745000000003</v>
      </c>
      <c r="AM27">
        <v>1</v>
      </c>
      <c r="AN27" s="10" t="s">
        <v>13</v>
      </c>
      <c r="AP27">
        <f>IFERROR(HLOOKUP(calculationstable[[#This Row],[Merged]],calculationstable[#All],MATCH(calculationstable[[#This Row],[ticker]],calculationstable[[#All],[ticker]],0),FALSE),"")</f>
        <v>40.558799999999998</v>
      </c>
      <c r="AQ27" t="str">
        <f>IFERROR(IF(AP27&lt;=calculationstable[[#This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DOT</v>
      </c>
      <c r="AR27" t="str">
        <f>IFERROR(IF(LEFT(helper[[#This Row],[take profit feedback]],1)="T","X",""),"")</f>
        <v/>
      </c>
      <c r="AS27" t="str">
        <f>IFERROR(IF(OR(calculationstable[[#This Row],[Selling point 1]]="",calculationstable[[#This Row],[Selling point 1]]=0),"X",""),"")</f>
        <v/>
      </c>
      <c r="AT27" t="str">
        <f>IFERROR(IF(helper[[#This Row],[add to exit]]="","","Add " &amp;calculationstable[[#This Row],[ticker]] &amp;" to Exit Strategy"),"")</f>
        <v/>
      </c>
      <c r="AU27" s="10" t="str">
        <f>IFERROR(IF(OR(calculationstable[[#This Row],[current_price]]="",calculationstable[[#This Row],[current_price]]=0),"Include "&amp;calculationstable[[#This Row],[ticker]]&amp;" in Extra Coins List",""),"")</f>
        <v/>
      </c>
      <c r="AV2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DOT</v>
      </c>
      <c r="AW27" s="6">
        <f>IFERROR(calculationstable[[#This Row],[Current Value]]/SUM(calculationstable[Current Value]),"")</f>
        <v>1.7843965002918696E-2</v>
      </c>
      <c r="AX27" s="10">
        <f>IFERROR(IF((SUMIF(Purchases[Coin],calculationstable[[#This Row],[ticker]],Purchases[No. of coins])=0),NA(),SUMIF(Purchases[Coin],calculationstable[[#This Row],[ticker]],Purchases[No. of coins])),"")</f>
        <v>64.597700000000003</v>
      </c>
      <c r="AY27" s="6">
        <f>IFERROR((helper[[#This Row],[Purchased]]-calculationstable[[#This Row],[Coins Held]])/helper[[#This Row],[Purchased]],"")</f>
        <v>0</v>
      </c>
      <c r="AZ27" s="12">
        <f>IFERROR(1-helper[[#This Row],[Sold]],"")</f>
        <v>1</v>
      </c>
      <c r="BA27" s="6">
        <f>IFERROR(calculationstable[[#This Row],[Total Tokens Over]]/helper[[#This Row],[Purchased]],"")</f>
        <v>9.9840000000000012E-2</v>
      </c>
      <c r="BB27" s="12">
        <f>IFERROR(1-helper[[#This Row],[% Not in exit]],"")</f>
        <v>0.90015999999999996</v>
      </c>
      <c r="BD27" t="str">
        <f ca="1"/>
        <v>DOT</v>
      </c>
      <c r="BE27">
        <f ca="1"/>
        <v>1310</v>
      </c>
      <c r="BF27">
        <f ca="1"/>
        <v>1209.2689439999999</v>
      </c>
      <c r="BG27">
        <f ca="1"/>
        <v>0</v>
      </c>
      <c r="BH27">
        <f ca="1"/>
        <v>-7.6893935877862599E-2</v>
      </c>
      <c r="BK27" s="13"/>
    </row>
    <row r="28" spans="2:63" hidden="1" x14ac:dyDescent="0.25">
      <c r="B28" s="10" t="s">
        <v>427</v>
      </c>
      <c r="C28">
        <v>1.004</v>
      </c>
      <c r="D28">
        <v>2.82</v>
      </c>
      <c r="E28">
        <v>1.0638297872340425</v>
      </c>
      <c r="F28">
        <v>2.9999999999999996</v>
      </c>
      <c r="G28">
        <v>2.83128</v>
      </c>
      <c r="H28">
        <v>-0.16871999999999954</v>
      </c>
      <c r="I28" s="11">
        <v>-5.6239999999999797E-2</v>
      </c>
      <c r="J28" s="11">
        <v>1.6550000000000001E-4</v>
      </c>
      <c r="K28">
        <v>0</v>
      </c>
      <c r="L28">
        <v>0</v>
      </c>
      <c r="M28">
        <v>0</v>
      </c>
      <c r="N28">
        <v>0</v>
      </c>
      <c r="O28">
        <v>2.1276000000000002</v>
      </c>
      <c r="P28">
        <v>0.56399999999999995</v>
      </c>
      <c r="Q28">
        <v>2.2559999999999998</v>
      </c>
      <c r="R28">
        <v>0.6</v>
      </c>
      <c r="S28">
        <v>3.7233000000000001</v>
      </c>
      <c r="T28">
        <v>0.45119999999999999</v>
      </c>
      <c r="U28">
        <v>1.8047999999999997</v>
      </c>
      <c r="V28">
        <v>1.2</v>
      </c>
      <c r="W28">
        <v>4.7870999999999997</v>
      </c>
      <c r="X28">
        <v>0.36095999999999995</v>
      </c>
      <c r="Y28">
        <v>1.4438399999999998</v>
      </c>
      <c r="Z28">
        <v>1.3440000000000001</v>
      </c>
      <c r="AA28">
        <v>6.3827999999999996</v>
      </c>
      <c r="AB28">
        <v>0.28876799999999997</v>
      </c>
      <c r="AC28">
        <v>1.1550719999999999</v>
      </c>
      <c r="AD28">
        <v>1.536</v>
      </c>
      <c r="AE28">
        <v>8.5104000000000006</v>
      </c>
      <c r="AF28">
        <v>0.28876799999999997</v>
      </c>
      <c r="AG28">
        <v>0.86630399999999996</v>
      </c>
      <c r="AH28">
        <v>2.1503000000000001</v>
      </c>
      <c r="AI28">
        <v>13.027799999999999</v>
      </c>
      <c r="AJ28">
        <v>0.28154879999999999</v>
      </c>
      <c r="AK28">
        <v>4</v>
      </c>
      <c r="AL28" s="10">
        <v>13.027799999999999</v>
      </c>
      <c r="AM28">
        <v>1</v>
      </c>
      <c r="AN28" s="10" t="s">
        <v>13</v>
      </c>
      <c r="AP28">
        <f>IFERROR(HLOOKUP(calculationstable[[#This Row],[Merged]],calculationstable[#All],MATCH(calculationstable[[#This Row],[ticker]],calculationstable[[#All],[ticker]],0),FALSE),"")</f>
        <v>2.1276000000000002</v>
      </c>
      <c r="AQ28" t="str">
        <f>IFERROR(IF(AP28&lt;=calculationstable[[#This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UST</v>
      </c>
      <c r="AR28" t="str">
        <f>IFERROR(IF(LEFT(helper[[#This Row],[take profit feedback]],1)="T","X",""),"")</f>
        <v/>
      </c>
      <c r="AS28" t="str">
        <f>IFERROR(IF(OR(calculationstable[[#This Row],[Selling point 1]]="",calculationstable[[#This Row],[Selling point 1]]=0),"X",""),"")</f>
        <v/>
      </c>
      <c r="AT28" t="str">
        <f>IFERROR(IF(helper[[#This Row],[add to exit]]="","","Add " &amp;calculationstable[[#This Row],[ticker]] &amp;" to Exit Strategy"),"")</f>
        <v/>
      </c>
      <c r="AU28" s="10" t="str">
        <f>IFERROR(IF(OR(calculationstable[[#This Row],[current_price]]="",calculationstable[[#This Row],[current_price]]=0),"Include "&amp;calculationstable[[#This Row],[ticker]]&amp;" in Extra Coins List",""),"")</f>
        <v/>
      </c>
      <c r="AV2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UST</v>
      </c>
      <c r="AW28" s="6">
        <f>IFERROR(calculationstable[[#This Row],[Current Value]]/SUM(calculationstable[Current Value]),"")</f>
        <v>4.1778350038784795E-5</v>
      </c>
      <c r="AX28" s="10">
        <f>IFERROR(IF((SUMIF(Purchases[Coin],calculationstable[[#This Row],[ticker]],Purchases[No. of coins])=0),NA(),SUMIF(Purchases[Coin],calculationstable[[#This Row],[ticker]],Purchases[No. of coins])),"")</f>
        <v>2.82</v>
      </c>
      <c r="AY28" s="6">
        <f>IFERROR((helper[[#This Row],[Purchased]]-calculationstable[[#This Row],[Coins Held]])/helper[[#This Row],[Purchased]],"")</f>
        <v>0</v>
      </c>
      <c r="AZ28" s="12">
        <f>IFERROR(1-helper[[#This Row],[Sold]],"")</f>
        <v>1</v>
      </c>
      <c r="BA28" s="6">
        <f>IFERROR(calculationstable[[#This Row],[Total Tokens Over]]/helper[[#This Row],[Purchased]],"")</f>
        <v>9.9839999999999998E-2</v>
      </c>
      <c r="BB28" s="12">
        <f>IFERROR(1-helper[[#This Row],[% Not in exit]],"")</f>
        <v>0.90015999999999996</v>
      </c>
      <c r="BD28" t="str">
        <f ca="1"/>
        <v>UST</v>
      </c>
      <c r="BE28">
        <f ca="1"/>
        <v>2.9999999999999996</v>
      </c>
      <c r="BF28">
        <f ca="1"/>
        <v>2.83128</v>
      </c>
      <c r="BG28">
        <f ca="1"/>
        <v>0</v>
      </c>
      <c r="BH28">
        <f ca="1"/>
        <v>-5.6239999999999797E-2</v>
      </c>
      <c r="BK28" s="13"/>
    </row>
    <row r="29" spans="2:63" hidden="1" x14ac:dyDescent="0.25">
      <c r="B29" s="10" t="s">
        <v>761</v>
      </c>
      <c r="C29">
        <v>21.64</v>
      </c>
      <c r="D29">
        <v>9.4</v>
      </c>
      <c r="E29">
        <v>31.914893617021274</v>
      </c>
      <c r="F29">
        <v>300</v>
      </c>
      <c r="G29">
        <v>203.41600000000003</v>
      </c>
      <c r="H29">
        <v>-96.583999999999975</v>
      </c>
      <c r="I29" s="11">
        <v>-0.32194666666666699</v>
      </c>
      <c r="J29" s="11">
        <v>4.3827411883348724E-2</v>
      </c>
      <c r="K29">
        <v>0</v>
      </c>
      <c r="L29">
        <v>0</v>
      </c>
      <c r="M29">
        <v>0</v>
      </c>
      <c r="N29">
        <v>0</v>
      </c>
      <c r="O29">
        <v>63.829799999999999</v>
      </c>
      <c r="P29">
        <v>1.8800000000000001</v>
      </c>
      <c r="Q29">
        <v>7.5200000000000005</v>
      </c>
      <c r="R29">
        <v>60</v>
      </c>
      <c r="S29">
        <v>111.7022</v>
      </c>
      <c r="T29">
        <v>1.5040000000000002</v>
      </c>
      <c r="U29">
        <v>6.016</v>
      </c>
      <c r="V29">
        <v>120</v>
      </c>
      <c r="W29">
        <v>143.61709999999999</v>
      </c>
      <c r="X29">
        <v>1.2032</v>
      </c>
      <c r="Y29">
        <v>4.8128000000000002</v>
      </c>
      <c r="Z29">
        <v>134.4</v>
      </c>
      <c r="AA29">
        <v>191.48939999999999</v>
      </c>
      <c r="AB29">
        <v>0.96256000000000008</v>
      </c>
      <c r="AC29">
        <v>3.8502400000000003</v>
      </c>
      <c r="AD29">
        <v>153.6</v>
      </c>
      <c r="AE29">
        <v>255.3192</v>
      </c>
      <c r="AF29">
        <v>0.96256000000000008</v>
      </c>
      <c r="AG29">
        <v>2.8876800000000005</v>
      </c>
      <c r="AH29">
        <v>215.04</v>
      </c>
      <c r="AI29">
        <v>1302.8163</v>
      </c>
      <c r="AJ29">
        <v>0.93849600000000022</v>
      </c>
      <c r="AK29">
        <v>359</v>
      </c>
      <c r="AL29" s="10">
        <v>1302.8163</v>
      </c>
      <c r="AM29">
        <v>1</v>
      </c>
      <c r="AN29" s="10" t="s">
        <v>13</v>
      </c>
      <c r="AP29">
        <f>IFERROR(HLOOKUP(calculationstable[[#This Row],[Merged]],calculationstable[#All],MATCH(calculationstable[[#This Row],[ticker]],calculationstable[[#All],[ticker]],0),FALSE),"")</f>
        <v>63.829799999999999</v>
      </c>
      <c r="AQ29" t="str">
        <f>IFERROR(IF(AP29&lt;=calculationstable[[#This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BUND</v>
      </c>
      <c r="AR29" t="str">
        <f>IFERROR(IF(LEFT(helper[[#This Row],[take profit feedback]],1)="T","X",""),"")</f>
        <v/>
      </c>
      <c r="AS29" t="str">
        <f>IFERROR(IF(OR(calculationstable[[#This Row],[Selling point 1]]="",calculationstable[[#This Row],[Selling point 1]]=0),"X",""),"")</f>
        <v/>
      </c>
      <c r="AT29" t="str">
        <f>IFERROR(IF(helper[[#This Row],[add to exit]]="","","Add " &amp;calculationstable[[#This Row],[ticker]] &amp;" to Exit Strategy"),"")</f>
        <v/>
      </c>
      <c r="AU29" s="10" t="str">
        <f>IFERROR(IF(OR(calculationstable[[#This Row],[current_price]]="",calculationstable[[#This Row],[current_price]]=0),"Include "&amp;calculationstable[[#This Row],[ticker]]&amp;" in Extra Coins List",""),"")</f>
        <v/>
      </c>
      <c r="AV2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BUND</v>
      </c>
      <c r="AW29" s="6">
        <f>IFERROR(calculationstable[[#This Row],[Current Value]]/SUM(calculationstable[Current Value]),"")</f>
        <v>3.0016052285501429E-3</v>
      </c>
      <c r="AX29" s="10">
        <f>IFERROR(IF((SUMIF(Purchases[Coin],calculationstable[[#This Row],[ticker]],Purchases[No. of coins])=0),NA(),SUMIF(Purchases[Coin],calculationstable[[#This Row],[ticker]],Purchases[No. of coins])),"")</f>
        <v>9.4</v>
      </c>
      <c r="AY29" s="6">
        <f>IFERROR((helper[[#This Row],[Purchased]]-calculationstable[[#This Row],[Coins Held]])/helper[[#This Row],[Purchased]],"")</f>
        <v>0</v>
      </c>
      <c r="AZ29" s="12">
        <f>IFERROR(1-helper[[#This Row],[Sold]],"")</f>
        <v>1</v>
      </c>
      <c r="BA29" s="6">
        <f>IFERROR(calculationstable[[#This Row],[Total Tokens Over]]/helper[[#This Row],[Purchased]],"")</f>
        <v>9.9840000000000026E-2</v>
      </c>
      <c r="BB29" s="12">
        <f>IFERROR(1-helper[[#This Row],[% Not in exit]],"")</f>
        <v>0.90015999999999996</v>
      </c>
      <c r="BD29" t="str">
        <f ca="1"/>
        <v>BUND</v>
      </c>
      <c r="BE29">
        <f ca="1"/>
        <v>300</v>
      </c>
      <c r="BF29">
        <f ca="1"/>
        <v>203.41600000000003</v>
      </c>
      <c r="BG29">
        <f ca="1"/>
        <v>0</v>
      </c>
      <c r="BH29">
        <f ca="1"/>
        <v>-0.32194666666666699</v>
      </c>
      <c r="BK29" s="13"/>
    </row>
    <row r="30" spans="2:63" hidden="1" x14ac:dyDescent="0.25">
      <c r="B30" s="10" t="s">
        <v>408</v>
      </c>
      <c r="C30">
        <v>0.40515000000000001</v>
      </c>
      <c r="D30">
        <v>767.09</v>
      </c>
      <c r="E30">
        <v>0.14470270763534918</v>
      </c>
      <c r="F30">
        <v>111</v>
      </c>
      <c r="G30">
        <v>310.78651350000001</v>
      </c>
      <c r="H30">
        <v>199.78651350000001</v>
      </c>
      <c r="I30" s="11">
        <v>1.7998784999999999</v>
      </c>
      <c r="J30" s="11">
        <v>-2.8802500000000002E-2</v>
      </c>
      <c r="K30">
        <v>0</v>
      </c>
      <c r="L30">
        <v>0</v>
      </c>
      <c r="M30">
        <v>0</v>
      </c>
      <c r="N30">
        <v>0</v>
      </c>
      <c r="O30">
        <v>0.43409999999999999</v>
      </c>
      <c r="P30">
        <v>153.41800000000001</v>
      </c>
      <c r="Q30">
        <v>613.67200000000003</v>
      </c>
      <c r="R30">
        <v>44.3992</v>
      </c>
      <c r="S30">
        <v>0.72350000000000003</v>
      </c>
      <c r="T30">
        <v>122.73440000000001</v>
      </c>
      <c r="U30">
        <v>490.93760000000003</v>
      </c>
      <c r="V30">
        <v>71.038700000000006</v>
      </c>
      <c r="W30">
        <v>1.0128999999999999</v>
      </c>
      <c r="X30">
        <v>98.187520000000006</v>
      </c>
      <c r="Y30">
        <v>392.75008000000003</v>
      </c>
      <c r="Z30">
        <v>85.246399999999994</v>
      </c>
      <c r="AA30">
        <v>1.1576</v>
      </c>
      <c r="AB30">
        <v>78.550016000000014</v>
      </c>
      <c r="AC30">
        <v>314.200064</v>
      </c>
      <c r="AD30">
        <v>79.563299999999998</v>
      </c>
      <c r="AE30">
        <v>1.3023</v>
      </c>
      <c r="AF30">
        <v>78.550015999999999</v>
      </c>
      <c r="AG30">
        <v>235.650048</v>
      </c>
      <c r="AH30">
        <v>90.929500000000004</v>
      </c>
      <c r="AI30">
        <v>600.48990000000003</v>
      </c>
      <c r="AJ30">
        <v>76.586265600000004</v>
      </c>
      <c r="AK30">
        <v>133</v>
      </c>
      <c r="AL30" s="10">
        <v>600.48990000000003</v>
      </c>
      <c r="AM30">
        <v>1</v>
      </c>
      <c r="AN30" s="10" t="s">
        <v>13</v>
      </c>
      <c r="AP30">
        <f>IFERROR(HLOOKUP(calculationstable[[#This Row],[Merged]],calculationstable[#All],MATCH(calculationstable[[#This Row],[ticker]],calculationstable[[#All],[ticker]],0),FALSE),"")</f>
        <v>0.43409999999999999</v>
      </c>
      <c r="AQ30" t="str">
        <f>IFERROR(IF(AP30&lt;=calculationstable[[#This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CRO</v>
      </c>
      <c r="AR30" t="str">
        <f>IFERROR(IF(LEFT(helper[[#This Row],[take profit feedback]],1)="T","X",""),"")</f>
        <v/>
      </c>
      <c r="AS30" t="str">
        <f>IFERROR(IF(OR(calculationstable[[#This Row],[Selling point 1]]="",calculationstable[[#This Row],[Selling point 1]]=0),"X",""),"")</f>
        <v/>
      </c>
      <c r="AT30" t="str">
        <f>IFERROR(IF(helper[[#This Row],[add to exit]]="","","Add " &amp;calculationstable[[#This Row],[ticker]] &amp;" to Exit Strategy"),"")</f>
        <v/>
      </c>
      <c r="AU30" s="10" t="str">
        <f>IFERROR(IF(OR(calculationstable[[#This Row],[current_price]]="",calculationstable[[#This Row],[current_price]]=0),"Include "&amp;calculationstable[[#This Row],[ticker]]&amp;" in Extra Coins List",""),"")</f>
        <v/>
      </c>
      <c r="AV3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CRO</v>
      </c>
      <c r="AW30" s="6">
        <f>IFERROR(calculationstable[[#This Row],[Current Value]]/SUM(calculationstable[Current Value]),"")</f>
        <v>4.5859638567490738E-3</v>
      </c>
      <c r="AX30" s="10">
        <f>IFERROR(IF((SUMIF(Purchases[Coin],calculationstable[[#This Row],[ticker]],Purchases[No. of coins])=0),NA(),SUMIF(Purchases[Coin],calculationstable[[#This Row],[ticker]],Purchases[No. of coins])),"")</f>
        <v>767.09</v>
      </c>
      <c r="AY30" s="6">
        <f>IFERROR((helper[[#This Row],[Purchased]]-calculationstable[[#This Row],[Coins Held]])/helper[[#This Row],[Purchased]],"")</f>
        <v>0</v>
      </c>
      <c r="AZ30" s="12">
        <f>IFERROR(1-helper[[#This Row],[Sold]],"")</f>
        <v>1</v>
      </c>
      <c r="BA30" s="6">
        <f>IFERROR(calculationstable[[#This Row],[Total Tokens Over]]/helper[[#This Row],[Purchased]],"")</f>
        <v>9.9839999999999998E-2</v>
      </c>
      <c r="BB30" s="12">
        <f>IFERROR(1-helper[[#This Row],[% Not in exit]],"")</f>
        <v>0.90015999999999996</v>
      </c>
      <c r="BD30" t="str">
        <f ca="1"/>
        <v>CRO</v>
      </c>
      <c r="BE30">
        <f ca="1"/>
        <v>111</v>
      </c>
      <c r="BF30">
        <f ca="1"/>
        <v>310.78651350000001</v>
      </c>
      <c r="BG30">
        <f ca="1"/>
        <v>0</v>
      </c>
      <c r="BH30">
        <f ca="1"/>
        <v>1.7998784999999999</v>
      </c>
      <c r="BK30" s="13"/>
    </row>
    <row r="31" spans="2:63" hidden="1" x14ac:dyDescent="0.25">
      <c r="B31" s="10" t="s">
        <v>409</v>
      </c>
      <c r="C31">
        <v>6.25</v>
      </c>
      <c r="D31">
        <v>8.91</v>
      </c>
      <c r="E31">
        <v>22.446689113355781</v>
      </c>
      <c r="F31">
        <v>200</v>
      </c>
      <c r="G31">
        <v>55.6875</v>
      </c>
      <c r="H31">
        <v>-144.3125</v>
      </c>
      <c r="I31" s="11">
        <v>-0.7215625</v>
      </c>
      <c r="J31" s="11">
        <v>-1.8049200000000001E-2</v>
      </c>
      <c r="K31">
        <v>0</v>
      </c>
      <c r="L31">
        <v>0</v>
      </c>
      <c r="M31">
        <v>0</v>
      </c>
      <c r="N31">
        <v>0</v>
      </c>
      <c r="O31">
        <v>44.8934</v>
      </c>
      <c r="P31">
        <v>1.782</v>
      </c>
      <c r="Q31">
        <v>7.1280000000000001</v>
      </c>
      <c r="R31">
        <v>40</v>
      </c>
      <c r="S31">
        <v>78.563500000000005</v>
      </c>
      <c r="T31">
        <v>1.4256000000000002</v>
      </c>
      <c r="U31">
        <v>5.7023999999999999</v>
      </c>
      <c r="V31">
        <v>80</v>
      </c>
      <c r="W31">
        <v>101.01009999999999</v>
      </c>
      <c r="X31">
        <v>1.1404799999999999</v>
      </c>
      <c r="Y31">
        <v>4.5619199999999998</v>
      </c>
      <c r="Z31">
        <v>89.6</v>
      </c>
      <c r="AA31">
        <v>134.68020000000001</v>
      </c>
      <c r="AB31">
        <v>0.91238399999999997</v>
      </c>
      <c r="AC31">
        <v>3.6495359999999999</v>
      </c>
      <c r="AD31">
        <v>102.4</v>
      </c>
      <c r="AE31">
        <v>179.5736</v>
      </c>
      <c r="AF31">
        <v>0.91238399999999997</v>
      </c>
      <c r="AG31">
        <v>2.737152</v>
      </c>
      <c r="AH31">
        <v>143.36009999999999</v>
      </c>
      <c r="AI31">
        <v>868.5444</v>
      </c>
      <c r="AJ31">
        <v>0.8895744000000001</v>
      </c>
      <c r="AK31">
        <v>240</v>
      </c>
      <c r="AL31" s="10">
        <v>868.5444</v>
      </c>
      <c r="AM31">
        <v>1</v>
      </c>
      <c r="AN31" s="10" t="s">
        <v>13</v>
      </c>
      <c r="AP31">
        <f>IFERROR(HLOOKUP(calculationstable[[#This Row],[Merged]],calculationstable[#All],MATCH(calculationstable[[#This Row],[ticker]],calculationstable[[#All],[ticker]],0),FALSE),"")</f>
        <v>44.8934</v>
      </c>
      <c r="AQ31" t="str">
        <f>IFERROR(IF(AP31&lt;=calculationstable[[#This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CAKE</v>
      </c>
      <c r="AR31" t="str">
        <f>IFERROR(IF(LEFT(helper[[#This Row],[take profit feedback]],1)="T","X",""),"")</f>
        <v/>
      </c>
      <c r="AS31" t="str">
        <f>IFERROR(IF(OR(calculationstable[[#This Row],[Selling point 1]]="",calculationstable[[#This Row],[Selling point 1]]=0),"X",""),"")</f>
        <v/>
      </c>
      <c r="AT31" t="str">
        <f>IFERROR(IF(helper[[#This Row],[add to exit]]="","","Add " &amp;calculationstable[[#This Row],[ticker]] &amp;" to Exit Strategy"),"")</f>
        <v/>
      </c>
      <c r="AU31" s="10" t="str">
        <f>IFERROR(IF(OR(calculationstable[[#This Row],[current_price]]="",calculationstable[[#This Row],[current_price]]=0),"Include "&amp;calculationstable[[#This Row],[ticker]]&amp;" in Extra Coins List",""),"")</f>
        <v/>
      </c>
      <c r="AV3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CAKE</v>
      </c>
      <c r="AW31" s="6">
        <f>IFERROR(calculationstable[[#This Row],[Current Value]]/SUM(calculationstable[Current Value]),"")</f>
        <v>8.217244030208345E-4</v>
      </c>
      <c r="AX31" s="10">
        <f>IFERROR(IF((SUMIF(Purchases[Coin],calculationstable[[#This Row],[ticker]],Purchases[No. of coins])=0),NA(),SUMIF(Purchases[Coin],calculationstable[[#This Row],[ticker]],Purchases[No. of coins])),"")</f>
        <v>8.91</v>
      </c>
      <c r="AY31" s="6">
        <f>IFERROR((helper[[#This Row],[Purchased]]-calculationstable[[#This Row],[Coins Held]])/helper[[#This Row],[Purchased]],"")</f>
        <v>0</v>
      </c>
      <c r="AZ31" s="12">
        <f>IFERROR(1-helper[[#This Row],[Sold]],"")</f>
        <v>1</v>
      </c>
      <c r="BA31" s="6">
        <f>IFERROR(calculationstable[[#This Row],[Total Tokens Over]]/helper[[#This Row],[Purchased]],"")</f>
        <v>9.9840000000000012E-2</v>
      </c>
      <c r="BB31" s="12">
        <f>IFERROR(1-helper[[#This Row],[% Not in exit]],"")</f>
        <v>0.90015999999999996</v>
      </c>
      <c r="BD31" t="str">
        <f ca="1"/>
        <v>CAKE</v>
      </c>
      <c r="BE31">
        <f ca="1"/>
        <v>200</v>
      </c>
      <c r="BF31">
        <f ca="1"/>
        <v>55.6875</v>
      </c>
      <c r="BG31">
        <f ca="1"/>
        <v>0</v>
      </c>
      <c r="BH31">
        <f ca="1"/>
        <v>-0.7215625</v>
      </c>
      <c r="BK31" s="13"/>
    </row>
    <row r="32" spans="2:63" hidden="1" x14ac:dyDescent="0.25">
      <c r="B32" s="10" t="s">
        <v>394</v>
      </c>
      <c r="C32">
        <v>1.46</v>
      </c>
      <c r="D32">
        <v>88.16</v>
      </c>
      <c r="E32">
        <v>0.71460980036297639</v>
      </c>
      <c r="F32">
        <v>62.999999999999993</v>
      </c>
      <c r="G32">
        <v>128.71359999999999</v>
      </c>
      <c r="H32">
        <v>65.713599999999985</v>
      </c>
      <c r="I32" s="11">
        <v>1.0430730158730199</v>
      </c>
      <c r="J32" s="11">
        <v>-3.9312600000000003E-2</v>
      </c>
      <c r="K32">
        <v>0</v>
      </c>
      <c r="L32">
        <v>0</v>
      </c>
      <c r="M32">
        <v>0</v>
      </c>
      <c r="N32">
        <v>0</v>
      </c>
      <c r="O32">
        <v>2.1438000000000001</v>
      </c>
      <c r="P32">
        <v>17.632000000000001</v>
      </c>
      <c r="Q32">
        <v>70.527999999999992</v>
      </c>
      <c r="R32">
        <v>25.1997</v>
      </c>
      <c r="S32">
        <v>2.5011000000000001</v>
      </c>
      <c r="T32">
        <v>14.105599999999999</v>
      </c>
      <c r="U32">
        <v>56.422399999999996</v>
      </c>
      <c r="V32">
        <v>25.1997</v>
      </c>
      <c r="W32">
        <v>3.2157</v>
      </c>
      <c r="X32">
        <v>11.28448</v>
      </c>
      <c r="Y32">
        <v>45.137919999999994</v>
      </c>
      <c r="Z32">
        <v>28.223600000000001</v>
      </c>
      <c r="AA32">
        <v>4.2876000000000003</v>
      </c>
      <c r="AB32">
        <v>9.0275839999999992</v>
      </c>
      <c r="AC32">
        <v>36.110335999999997</v>
      </c>
      <c r="AD32">
        <v>32.255600000000001</v>
      </c>
      <c r="AE32">
        <v>5.7168000000000001</v>
      </c>
      <c r="AF32">
        <v>9.0275839999999992</v>
      </c>
      <c r="AG32">
        <v>27.082751999999999</v>
      </c>
      <c r="AH32">
        <v>45.157800000000002</v>
      </c>
      <c r="AI32">
        <v>286.18740000000003</v>
      </c>
      <c r="AJ32">
        <v>8.8018944000000001</v>
      </c>
      <c r="AK32">
        <v>75</v>
      </c>
      <c r="AL32" s="10">
        <v>286.18740000000003</v>
      </c>
      <c r="AM32">
        <v>1</v>
      </c>
      <c r="AN32" s="10" t="s">
        <v>13</v>
      </c>
      <c r="AP32">
        <f>IFERROR(HLOOKUP(calculationstable[[#This Row],[Merged]],calculationstable[#All],MATCH(calculationstable[[#This Row],[ticker]],calculationstable[[#All],[ticker]],0),FALSE),"")</f>
        <v>2.1438000000000001</v>
      </c>
      <c r="AQ32" t="str">
        <f>IFERROR(IF(AP32&lt;=calculationstable[[#This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MATIC</v>
      </c>
      <c r="AR32" t="str">
        <f>IFERROR(IF(LEFT(helper[[#This Row],[take profit feedback]],1)="T","X",""),"")</f>
        <v/>
      </c>
      <c r="AS32" t="str">
        <f>IFERROR(IF(OR(calculationstable[[#This Row],[Selling point 1]]="",calculationstable[[#This Row],[Selling point 1]]=0),"X",""),"")</f>
        <v/>
      </c>
      <c r="AT32" t="str">
        <f>IFERROR(IF(helper[[#This Row],[add to exit]]="","","Add " &amp;calculationstable[[#This Row],[ticker]] &amp;" to Exit Strategy"),"")</f>
        <v/>
      </c>
      <c r="AU32" s="10" t="str">
        <f>IFERROR(IF(OR(calculationstable[[#This Row],[current_price]]="",calculationstable[[#This Row],[current_price]]=0),"Include "&amp;calculationstable[[#This Row],[ticker]]&amp;" in Extra Coins List",""),"")</f>
        <v/>
      </c>
      <c r="AV3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MATIC</v>
      </c>
      <c r="AW32" s="6">
        <f>IFERROR(calculationstable[[#This Row],[Current Value]]/SUM(calculationstable[Current Value]),"")</f>
        <v>1.8992970796078558E-3</v>
      </c>
      <c r="AX32" s="10">
        <f>IFERROR(IF((SUMIF(Purchases[Coin],calculationstable[[#This Row],[ticker]],Purchases[No. of coins])=0),NA(),SUMIF(Purchases[Coin],calculationstable[[#This Row],[ticker]],Purchases[No. of coins])),"")</f>
        <v>88.16</v>
      </c>
      <c r="AY32" s="6">
        <f>IFERROR((helper[[#This Row],[Purchased]]-calculationstable[[#This Row],[Coins Held]])/helper[[#This Row],[Purchased]],"")</f>
        <v>0</v>
      </c>
      <c r="AZ32" s="12">
        <f>IFERROR(1-helper[[#This Row],[Sold]],"")</f>
        <v>1</v>
      </c>
      <c r="BA32" s="6">
        <f>IFERROR(calculationstable[[#This Row],[Total Tokens Over]]/helper[[#This Row],[Purchased]],"")</f>
        <v>9.9840000000000012E-2</v>
      </c>
      <c r="BB32" s="12">
        <f>IFERROR(1-helper[[#This Row],[% Not in exit]],"")</f>
        <v>0.90015999999999996</v>
      </c>
      <c r="BD32" t="str">
        <f ca="1"/>
        <v>MATIC</v>
      </c>
      <c r="BE32">
        <f ca="1"/>
        <v>62.999999999999993</v>
      </c>
      <c r="BF32">
        <f ca="1"/>
        <v>128.71359999999999</v>
      </c>
      <c r="BG32">
        <f ca="1"/>
        <v>0</v>
      </c>
      <c r="BH32">
        <f ca="1"/>
        <v>1.0430730158730199</v>
      </c>
      <c r="BK32" s="13"/>
    </row>
    <row r="33" spans="2:63" hidden="1" x14ac:dyDescent="0.25">
      <c r="B33" s="10" t="s">
        <v>822</v>
      </c>
      <c r="C33">
        <v>5.5769499999999998E-3</v>
      </c>
      <c r="D33">
        <v>4220.42</v>
      </c>
      <c r="E33">
        <v>2.3931267504182049E-2</v>
      </c>
      <c r="F33">
        <v>101</v>
      </c>
      <c r="G33">
        <v>23.537071318999999</v>
      </c>
      <c r="H33">
        <v>-77.462928680999994</v>
      </c>
      <c r="I33" s="11">
        <v>-0.76695968991089103</v>
      </c>
      <c r="J33" s="11">
        <v>-1.033765203262363E-2</v>
      </c>
      <c r="K33">
        <v>0</v>
      </c>
      <c r="L33">
        <v>0</v>
      </c>
      <c r="M33">
        <v>0</v>
      </c>
      <c r="N33">
        <v>0</v>
      </c>
      <c r="O33">
        <v>4.7800000000000002E-2</v>
      </c>
      <c r="P33">
        <v>844.08400000000006</v>
      </c>
      <c r="Q33">
        <v>3376.3360000000002</v>
      </c>
      <c r="R33">
        <v>20.1736</v>
      </c>
      <c r="S33">
        <v>8.3699999999999997E-2</v>
      </c>
      <c r="T33">
        <v>675.26720000000012</v>
      </c>
      <c r="U33">
        <v>2701.0688</v>
      </c>
      <c r="V33">
        <v>40.347200000000001</v>
      </c>
      <c r="W33">
        <v>0.1076</v>
      </c>
      <c r="X33">
        <v>540.21375999999998</v>
      </c>
      <c r="Y33">
        <v>2160.8550399999999</v>
      </c>
      <c r="Z33">
        <v>45.188899999999997</v>
      </c>
      <c r="AA33">
        <v>0.1434</v>
      </c>
      <c r="AB33">
        <v>432.17100800000003</v>
      </c>
      <c r="AC33">
        <v>1728.6840319999999</v>
      </c>
      <c r="AD33">
        <v>51.644399999999997</v>
      </c>
      <c r="AE33">
        <v>0.19120000000000001</v>
      </c>
      <c r="AF33">
        <v>432.17100799999997</v>
      </c>
      <c r="AG33">
        <v>1296.5130239999999</v>
      </c>
      <c r="AH33">
        <v>72.302199999999999</v>
      </c>
      <c r="AI33">
        <v>438.04160000000002</v>
      </c>
      <c r="AJ33">
        <v>421.36673279999997</v>
      </c>
      <c r="AK33">
        <v>121</v>
      </c>
      <c r="AL33" s="10">
        <v>438.04160000000002</v>
      </c>
      <c r="AM33">
        <v>1</v>
      </c>
      <c r="AN33" s="10" t="s">
        <v>13</v>
      </c>
      <c r="AP33">
        <f>IFERROR(HLOOKUP(calculationstable[[#This Row],[Merged]],calculationstable[#All],MATCH(calculationstable[[#This Row],[ticker]],calculationstable[[#All],[ticker]],0),FALSE),"")</f>
        <v>4.7800000000000002E-2</v>
      </c>
      <c r="AQ33" t="str">
        <f>IFERROR(IF(AP33&lt;=calculationstable[[#This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CLIQ</v>
      </c>
      <c r="AR33" t="str">
        <f>IFERROR(IF(LEFT(helper[[#This Row],[take profit feedback]],1)="T","X",""),"")</f>
        <v/>
      </c>
      <c r="AS33" t="str">
        <f>IFERROR(IF(OR(calculationstable[[#This Row],[Selling point 1]]="",calculationstable[[#This Row],[Selling point 1]]=0),"X",""),"")</f>
        <v/>
      </c>
      <c r="AT33" t="str">
        <f>IFERROR(IF(helper[[#This Row],[add to exit]]="","","Add " &amp;calculationstable[[#This Row],[ticker]] &amp;" to Exit Strategy"),"")</f>
        <v/>
      </c>
      <c r="AU33" s="10" t="str">
        <f>IFERROR(IF(OR(calculationstable[[#This Row],[current_price]]="",calculationstable[[#This Row],[current_price]]=0),"Include "&amp;calculationstable[[#This Row],[ticker]]&amp;" in Extra Coins List",""),"")</f>
        <v/>
      </c>
      <c r="AV3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CLIQ</v>
      </c>
      <c r="AW33" s="6">
        <f>IFERROR(calculationstable[[#This Row],[Current Value]]/SUM(calculationstable[Current Value]),"")</f>
        <v>3.4731287772775003E-4</v>
      </c>
      <c r="AX33" s="10">
        <f>IFERROR(IF((SUMIF(Purchases[Coin],calculationstable[[#This Row],[ticker]],Purchases[No. of coins])=0),NA(),SUMIF(Purchases[Coin],calculationstable[[#This Row],[ticker]],Purchases[No. of coins])),"")</f>
        <v>4220.42</v>
      </c>
      <c r="AY33" s="6">
        <f>IFERROR((helper[[#This Row],[Purchased]]-calculationstable[[#This Row],[Coins Held]])/helper[[#This Row],[Purchased]],"")</f>
        <v>0</v>
      </c>
      <c r="AZ33" s="12">
        <f>IFERROR(1-helper[[#This Row],[Sold]],"")</f>
        <v>1</v>
      </c>
      <c r="BA33" s="6">
        <f>IFERROR(calculationstable[[#This Row],[Total Tokens Over]]/helper[[#This Row],[Purchased]],"")</f>
        <v>9.9839999999999984E-2</v>
      </c>
      <c r="BB33" s="12">
        <f>IFERROR(1-helper[[#This Row],[% Not in exit]],"")</f>
        <v>0.90016000000000007</v>
      </c>
      <c r="BD33" t="str">
        <f ca="1"/>
        <v>CLIQ</v>
      </c>
      <c r="BE33">
        <f ca="1"/>
        <v>101</v>
      </c>
      <c r="BF33">
        <f ca="1"/>
        <v>23.537071318999999</v>
      </c>
      <c r="BG33">
        <f ca="1"/>
        <v>0</v>
      </c>
      <c r="BH33">
        <f ca="1"/>
        <v>-0.76695968991089103</v>
      </c>
      <c r="BK33" s="13"/>
    </row>
    <row r="34" spans="2:63" hidden="1" x14ac:dyDescent="0.25">
      <c r="B34" s="10" t="s">
        <v>412</v>
      </c>
      <c r="C34">
        <v>10.6</v>
      </c>
      <c r="D34">
        <v>27.43</v>
      </c>
      <c r="E34">
        <v>14.181553044112286</v>
      </c>
      <c r="F34">
        <v>389</v>
      </c>
      <c r="G34">
        <v>290.75799999999998</v>
      </c>
      <c r="H34">
        <v>-98.242000000000019</v>
      </c>
      <c r="I34" s="11">
        <v>-0.25255012853470399</v>
      </c>
      <c r="J34" s="11">
        <v>-5.5204900000000001E-2</v>
      </c>
      <c r="K34">
        <v>0</v>
      </c>
      <c r="L34">
        <v>0</v>
      </c>
      <c r="M34">
        <v>0</v>
      </c>
      <c r="N34">
        <v>0</v>
      </c>
      <c r="O34">
        <v>28.363199999999999</v>
      </c>
      <c r="P34">
        <v>5.4860000000000007</v>
      </c>
      <c r="Q34">
        <v>21.943999999999999</v>
      </c>
      <c r="R34">
        <v>77.800299999999993</v>
      </c>
      <c r="S34">
        <v>49.635599999999997</v>
      </c>
      <c r="T34">
        <v>4.3887999999999998</v>
      </c>
      <c r="U34">
        <v>17.555199999999999</v>
      </c>
      <c r="V34">
        <v>155.60050000000001</v>
      </c>
      <c r="W34">
        <v>63.8172</v>
      </c>
      <c r="X34">
        <v>3.5110399999999999</v>
      </c>
      <c r="Y34">
        <v>14.04416</v>
      </c>
      <c r="Z34">
        <v>174.27260000000001</v>
      </c>
      <c r="AA34">
        <v>85.089600000000004</v>
      </c>
      <c r="AB34">
        <v>2.8088320000000002</v>
      </c>
      <c r="AC34">
        <v>11.235327999999999</v>
      </c>
      <c r="AD34">
        <v>199.1687</v>
      </c>
      <c r="AE34">
        <v>113.4528</v>
      </c>
      <c r="AF34">
        <v>2.8088319999999998</v>
      </c>
      <c r="AG34">
        <v>8.4264960000000002</v>
      </c>
      <c r="AH34">
        <v>278.83609999999999</v>
      </c>
      <c r="AI34">
        <v>1689.3236999999999</v>
      </c>
      <c r="AJ34">
        <v>2.7386112000000002</v>
      </c>
      <c r="AK34">
        <v>466</v>
      </c>
      <c r="AL34" s="10">
        <v>1689.3236999999999</v>
      </c>
      <c r="AM34">
        <v>1</v>
      </c>
      <c r="AN34" s="10" t="s">
        <v>13</v>
      </c>
      <c r="AP34">
        <f>IFERROR(HLOOKUP(calculationstable[[#This Row],[Merged]],calculationstable[#All],MATCH(calculationstable[[#This Row],[ticker]],calculationstable[[#All],[ticker]],0),FALSE),"")</f>
        <v>28.363199999999999</v>
      </c>
      <c r="AQ34" t="str">
        <f>IFERROR(IF(AP34&lt;=calculationstable[[#This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NEAR</v>
      </c>
      <c r="AR34" t="str">
        <f>IFERROR(IF(LEFT(helper[[#This Row],[take profit feedback]],1)="T","X",""),"")</f>
        <v/>
      </c>
      <c r="AS34" t="str">
        <f>IFERROR(IF(OR(calculationstable[[#This Row],[Selling point 1]]="",calculationstable[[#This Row],[Selling point 1]]=0),"X",""),"")</f>
        <v/>
      </c>
      <c r="AT34" t="str">
        <f>IFERROR(IF(helper[[#This Row],[add to exit]]="","","Add " &amp;calculationstable[[#This Row],[ticker]] &amp;" to Exit Strategy"),"")</f>
        <v/>
      </c>
      <c r="AU34" s="10" t="str">
        <f>IFERROR(IF(OR(calculationstable[[#This Row],[current_price]]="",calculationstable[[#This Row],[current_price]]=0),"Include "&amp;calculationstable[[#This Row],[ticker]]&amp;" in Extra Coins List",""),"")</f>
        <v/>
      </c>
      <c r="AV3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NEAR</v>
      </c>
      <c r="AW34" s="6">
        <f>IFERROR(calculationstable[[#This Row],[Current Value]]/SUM(calculationstable[Current Value]),"")</f>
        <v>4.2904232363372707E-3</v>
      </c>
      <c r="AX34" s="10">
        <f>IFERROR(IF((SUMIF(Purchases[Coin],calculationstable[[#This Row],[ticker]],Purchases[No. of coins])=0),NA(),SUMIF(Purchases[Coin],calculationstable[[#This Row],[ticker]],Purchases[No. of coins])),"")</f>
        <v>27.43</v>
      </c>
      <c r="AY34" s="6">
        <f>IFERROR((helper[[#This Row],[Purchased]]-calculationstable[[#This Row],[Coins Held]])/helper[[#This Row],[Purchased]],"")</f>
        <v>0</v>
      </c>
      <c r="AZ34" s="12">
        <f>IFERROR(1-helper[[#This Row],[Sold]],"")</f>
        <v>1</v>
      </c>
      <c r="BA34" s="6">
        <f>IFERROR(calculationstable[[#This Row],[Total Tokens Over]]/helper[[#This Row],[Purchased]],"")</f>
        <v>9.9840000000000012E-2</v>
      </c>
      <c r="BB34" s="12">
        <f>IFERROR(1-helper[[#This Row],[% Not in exit]],"")</f>
        <v>0.90015999999999996</v>
      </c>
      <c r="BD34" t="str">
        <f ca="1"/>
        <v>NEAR</v>
      </c>
      <c r="BE34">
        <f ca="1"/>
        <v>389</v>
      </c>
      <c r="BF34">
        <f ca="1"/>
        <v>290.75799999999998</v>
      </c>
      <c r="BG34">
        <f ca="1"/>
        <v>0</v>
      </c>
      <c r="BH34">
        <f ca="1"/>
        <v>-0.25255012853470399</v>
      </c>
      <c r="BK34" s="13"/>
    </row>
    <row r="35" spans="2:63" hidden="1" x14ac:dyDescent="0.25">
      <c r="B35" s="10" t="s">
        <v>765</v>
      </c>
      <c r="C35">
        <v>45.64</v>
      </c>
      <c r="D35">
        <v>9.9999999999997868E-3</v>
      </c>
      <c r="E35">
        <v>56.022408963585434</v>
      </c>
      <c r="F35">
        <v>0.56022408963584236</v>
      </c>
      <c r="G35">
        <v>0.45639999999999026</v>
      </c>
      <c r="H35">
        <v>-0.1038240896358521</v>
      </c>
      <c r="I35" s="11">
        <v>-0.18532599999999999</v>
      </c>
      <c r="J35" s="11">
        <v>-2.7225134625249753E-2</v>
      </c>
      <c r="K35">
        <v>209</v>
      </c>
      <c r="L35">
        <v>199</v>
      </c>
      <c r="M35">
        <v>10</v>
      </c>
      <c r="N35">
        <v>1</v>
      </c>
      <c r="O35">
        <v>112.0448</v>
      </c>
      <c r="P35">
        <v>0.71399999999999997</v>
      </c>
      <c r="Q35">
        <v>2.8559999999999999</v>
      </c>
      <c r="R35">
        <v>40</v>
      </c>
      <c r="S35">
        <v>196.07839999999999</v>
      </c>
      <c r="T35">
        <v>0.57120000000000004</v>
      </c>
      <c r="U35">
        <v>2.2847999999999997</v>
      </c>
      <c r="V35">
        <v>80</v>
      </c>
      <c r="W35">
        <v>252.10079999999999</v>
      </c>
      <c r="X35">
        <v>0.45695999999999998</v>
      </c>
      <c r="Y35">
        <v>1.8278399999999997</v>
      </c>
      <c r="Z35">
        <v>89.6</v>
      </c>
      <c r="AA35">
        <v>336.13440000000003</v>
      </c>
      <c r="AB35">
        <v>0.36556799999999995</v>
      </c>
      <c r="AC35">
        <v>1.4622719999999998</v>
      </c>
      <c r="AD35">
        <v>102.4</v>
      </c>
      <c r="AE35">
        <v>448.17919999999998</v>
      </c>
      <c r="AF35">
        <v>0.36556799999999995</v>
      </c>
      <c r="AG35">
        <v>1.0967039999999999</v>
      </c>
      <c r="AH35">
        <v>143.36000000000001</v>
      </c>
      <c r="AI35">
        <v>868.54390000000001</v>
      </c>
      <c r="AJ35">
        <v>0.35642879999999999</v>
      </c>
      <c r="AK35">
        <v>240</v>
      </c>
      <c r="AL35" s="10">
        <v>858.54390000000001</v>
      </c>
      <c r="AM35">
        <v>2</v>
      </c>
      <c r="AN35" s="10" t="s">
        <v>12</v>
      </c>
      <c r="AP35">
        <f>IFERROR(HLOOKUP(calculationstable[[#This Row],[Merged]],calculationstable[#All],MATCH(calculationstable[[#This Row],[ticker]],calculationstable[[#All],[ticker]],0),FALSE),"")</f>
        <v>196.07839999999999</v>
      </c>
      <c r="AQ35" t="str">
        <f>IFERROR(IF(AP35&lt;=calculationstable[[#This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CREAM</v>
      </c>
      <c r="AR35" t="str">
        <f>IFERROR(IF(LEFT(helper[[#This Row],[take profit feedback]],1)="T","X",""),"")</f>
        <v/>
      </c>
      <c r="AS35" t="str">
        <f>IFERROR(IF(OR(calculationstable[[#This Row],[Selling point 1]]="",calculationstable[[#This Row],[Selling point 1]]=0),"X",""),"")</f>
        <v/>
      </c>
      <c r="AT35" t="str">
        <f>IFERROR(IF(helper[[#This Row],[add to exit]]="","","Add " &amp;calculationstable[[#This Row],[ticker]] &amp;" to Exit Strategy"),"")</f>
        <v/>
      </c>
      <c r="AU35" s="10" t="str">
        <f>IFERROR(IF(OR(calculationstable[[#This Row],[current_price]]="",calculationstable[[#This Row],[current_price]]=0),"Include "&amp;calculationstable[[#This Row],[ticker]]&amp;" in Extra Coins List",""),"")</f>
        <v/>
      </c>
      <c r="AV3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CREAM</v>
      </c>
      <c r="AW35" s="6">
        <f>IFERROR(calculationstable[[#This Row],[Current Value]]/SUM(calculationstable[Current Value]),"")</f>
        <v>6.7346355562505207E-6</v>
      </c>
      <c r="AX35" s="10">
        <f>IFERROR(IF((SUMIF(Purchases[Coin],calculationstable[[#This Row],[ticker]],Purchases[No. of coins])=0),NA(),SUMIF(Purchases[Coin],calculationstable[[#This Row],[ticker]],Purchases[No. of coins])),"")</f>
        <v>3.57</v>
      </c>
      <c r="AY35" s="6">
        <f>IFERROR((helper[[#This Row],[Purchased]]-calculationstable[[#This Row],[Coins Held]])/helper[[#This Row],[Purchased]],"")</f>
        <v>0.99719887955182074</v>
      </c>
      <c r="AZ35" s="12">
        <f>IFERROR(1-helper[[#This Row],[Sold]],"")</f>
        <v>2.8011204481792618E-3</v>
      </c>
      <c r="BA35" s="6">
        <f>IFERROR(calculationstable[[#This Row],[Total Tokens Over]]/helper[[#This Row],[Purchased]],"")</f>
        <v>9.9839999999999998E-2</v>
      </c>
      <c r="BB35" s="12">
        <f>IFERROR(1-helper[[#This Row],[% Not in exit]],"")</f>
        <v>0.90015999999999996</v>
      </c>
      <c r="BD35" t="str">
        <f ca="1"/>
        <v>CREAM</v>
      </c>
      <c r="BE35">
        <f ca="1"/>
        <v>0.56022408963584236</v>
      </c>
      <c r="BF35">
        <f ca="1"/>
        <v>0.45639999999999026</v>
      </c>
      <c r="BG35">
        <f ca="1"/>
        <v>1</v>
      </c>
      <c r="BH35">
        <f ca="1"/>
        <v>-0.18532599999999999</v>
      </c>
      <c r="BK35" s="13"/>
    </row>
    <row r="36" spans="2:63" hidden="1" x14ac:dyDescent="0.25">
      <c r="B36" s="10" t="s">
        <v>415</v>
      </c>
      <c r="C36">
        <v>1.24</v>
      </c>
      <c r="D36">
        <v>216</v>
      </c>
      <c r="E36">
        <v>1.3796296296296295</v>
      </c>
      <c r="F36">
        <v>298</v>
      </c>
      <c r="G36">
        <v>267.83999999999997</v>
      </c>
      <c r="H36">
        <v>-30.160000000000025</v>
      </c>
      <c r="I36" s="11">
        <v>-0.101208053691275</v>
      </c>
      <c r="J36" s="11">
        <v>-6.42485E-2</v>
      </c>
      <c r="K36">
        <v>0</v>
      </c>
      <c r="L36">
        <v>0</v>
      </c>
      <c r="M36">
        <v>0</v>
      </c>
      <c r="N36">
        <v>0</v>
      </c>
      <c r="O36">
        <v>2.7591999999999999</v>
      </c>
      <c r="P36">
        <v>43.2</v>
      </c>
      <c r="Q36">
        <v>172.8</v>
      </c>
      <c r="R36">
        <v>59.598700000000001</v>
      </c>
      <c r="S36">
        <v>4.8285999999999998</v>
      </c>
      <c r="T36">
        <v>34.56</v>
      </c>
      <c r="U36">
        <v>138.24</v>
      </c>
      <c r="V36">
        <v>119.1974</v>
      </c>
      <c r="W36">
        <v>6.2081999999999997</v>
      </c>
      <c r="X36">
        <v>27.648000000000003</v>
      </c>
      <c r="Y36">
        <v>110.59200000000001</v>
      </c>
      <c r="Z36">
        <v>133.50110000000001</v>
      </c>
      <c r="AA36">
        <v>8.2775999999999996</v>
      </c>
      <c r="AB36">
        <v>22.118400000000005</v>
      </c>
      <c r="AC36">
        <v>88.473600000000005</v>
      </c>
      <c r="AD36">
        <v>152.5727</v>
      </c>
      <c r="AE36">
        <v>11.036799999999999</v>
      </c>
      <c r="AF36">
        <v>22.118400000000001</v>
      </c>
      <c r="AG36">
        <v>66.355199999999996</v>
      </c>
      <c r="AH36">
        <v>213.6018</v>
      </c>
      <c r="AI36">
        <v>1294.1027999999999</v>
      </c>
      <c r="AJ36">
        <v>21.565439999999999</v>
      </c>
      <c r="AK36">
        <v>357</v>
      </c>
      <c r="AL36" s="10">
        <v>1294.1027999999999</v>
      </c>
      <c r="AM36">
        <v>1</v>
      </c>
      <c r="AN36" s="10" t="s">
        <v>13</v>
      </c>
      <c r="AP36">
        <f>IFERROR(HLOOKUP(calculationstable[[#This Row],[Merged]],calculationstable[#All],MATCH(calculationstable[[#This Row],[ticker]],calculationstable[[#All],[ticker]],0),FALSE),"")</f>
        <v>2.7591999999999999</v>
      </c>
      <c r="AQ36" t="str">
        <f>IFERROR(IF(AP36&lt;=calculationstable[[#This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FTM</v>
      </c>
      <c r="AR36" t="str">
        <f>IFERROR(IF(LEFT(helper[[#This Row],[take profit feedback]],1)="T","X",""),"")</f>
        <v/>
      </c>
      <c r="AS36" t="str">
        <f>IFERROR(IF(OR(calculationstable[[#This Row],[Selling point 1]]="",calculationstable[[#This Row],[Selling point 1]]=0),"X",""),"")</f>
        <v/>
      </c>
      <c r="AT36" t="str">
        <f>IFERROR(IF(helper[[#This Row],[add to exit]]="","","Add " &amp;calculationstable[[#This Row],[ticker]] &amp;" to Exit Strategy"),"")</f>
        <v/>
      </c>
      <c r="AU36" s="10" t="str">
        <f>IFERROR(IF(OR(calculationstable[[#This Row],[current_price]]="",calculationstable[[#This Row],[current_price]]=0),"Include "&amp;calculationstable[[#This Row],[ticker]]&amp;" in Extra Coins List",""),"")</f>
        <v/>
      </c>
      <c r="AV3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FTM</v>
      </c>
      <c r="AW36" s="6">
        <f>IFERROR(calculationstable[[#This Row],[Current Value]]/SUM(calculationstable[Current Value]),"")</f>
        <v>3.9522453711353586E-3</v>
      </c>
      <c r="AX36" s="10">
        <f>IFERROR(IF((SUMIF(Purchases[Coin],calculationstable[[#This Row],[ticker]],Purchases[No. of coins])=0),NA(),SUMIF(Purchases[Coin],calculationstable[[#This Row],[ticker]],Purchases[No. of coins])),"")</f>
        <v>216</v>
      </c>
      <c r="AY36" s="6">
        <f>IFERROR((helper[[#This Row],[Purchased]]-calculationstable[[#This Row],[Coins Held]])/helper[[#This Row],[Purchased]],"")</f>
        <v>0</v>
      </c>
      <c r="AZ36" s="12">
        <f>IFERROR(1-helper[[#This Row],[Sold]],"")</f>
        <v>1</v>
      </c>
      <c r="BA36" s="6">
        <f>IFERROR(calculationstable[[#This Row],[Total Tokens Over]]/helper[[#This Row],[Purchased]],"")</f>
        <v>9.9839999999999998E-2</v>
      </c>
      <c r="BB36" s="12">
        <f>IFERROR(1-helper[[#This Row],[% Not in exit]],"")</f>
        <v>0.90015999999999996</v>
      </c>
      <c r="BD36" t="str">
        <f ca="1"/>
        <v>FTM</v>
      </c>
      <c r="BE36">
        <f ca="1"/>
        <v>298</v>
      </c>
      <c r="BF36">
        <f ca="1"/>
        <v>267.83999999999997</v>
      </c>
      <c r="BG36">
        <f ca="1"/>
        <v>0</v>
      </c>
      <c r="BH36">
        <f ca="1"/>
        <v>-0.101208053691275</v>
      </c>
      <c r="BK36" s="13"/>
    </row>
    <row r="37" spans="2:63" hidden="1" x14ac:dyDescent="0.25">
      <c r="B37" s="10" t="s">
        <v>3</v>
      </c>
      <c r="C37">
        <v>14.5</v>
      </c>
      <c r="D37">
        <v>18.920000000000002</v>
      </c>
      <c r="E37">
        <v>28.065539112050736</v>
      </c>
      <c r="F37">
        <v>531</v>
      </c>
      <c r="G37">
        <v>274.34000000000003</v>
      </c>
      <c r="H37">
        <v>-256.65999999999997</v>
      </c>
      <c r="I37" s="11">
        <v>-0.48335216572504702</v>
      </c>
      <c r="J37" s="11">
        <v>-3.0028900000000001E-2</v>
      </c>
      <c r="K37">
        <v>0</v>
      </c>
      <c r="L37">
        <v>0</v>
      </c>
      <c r="M37">
        <v>0</v>
      </c>
      <c r="N37">
        <v>0</v>
      </c>
      <c r="O37">
        <v>56.131</v>
      </c>
      <c r="P37">
        <v>3.7840000000000007</v>
      </c>
      <c r="Q37">
        <v>15.136000000000001</v>
      </c>
      <c r="R37">
        <v>106.1999</v>
      </c>
      <c r="S37">
        <v>98.229299999999995</v>
      </c>
      <c r="T37">
        <v>3.0272000000000006</v>
      </c>
      <c r="U37">
        <v>12.1088</v>
      </c>
      <c r="V37">
        <v>212.3997</v>
      </c>
      <c r="W37">
        <v>126.29470000000001</v>
      </c>
      <c r="X37">
        <v>2.4217600000000004</v>
      </c>
      <c r="Y37">
        <v>9.6870399999999997</v>
      </c>
      <c r="Z37">
        <v>237.8877</v>
      </c>
      <c r="AA37">
        <v>168.393</v>
      </c>
      <c r="AB37">
        <v>1.937408</v>
      </c>
      <c r="AC37">
        <v>7.7496320000000001</v>
      </c>
      <c r="AD37">
        <v>271.8716</v>
      </c>
      <c r="AE37">
        <v>224.524</v>
      </c>
      <c r="AF37">
        <v>1.937408</v>
      </c>
      <c r="AG37">
        <v>5.8122240000000005</v>
      </c>
      <c r="AH37">
        <v>380.62029999999999</v>
      </c>
      <c r="AI37">
        <v>2305.9811</v>
      </c>
      <c r="AJ37">
        <v>1.8889728000000001</v>
      </c>
      <c r="AK37">
        <v>636</v>
      </c>
      <c r="AL37" s="10">
        <v>2305.9811</v>
      </c>
      <c r="AM37">
        <v>1</v>
      </c>
      <c r="AN37" s="10" t="s">
        <v>13</v>
      </c>
      <c r="AP37">
        <f>IFERROR(HLOOKUP(calculationstable[[#This Row],[Merged]],calculationstable[#All],MATCH(calculationstable[[#This Row],[ticker]],calculationstable[[#All],[ticker]],0),FALSE),"")</f>
        <v>56.131</v>
      </c>
      <c r="AQ37" t="str">
        <f>IFERROR(IF(AP37&lt;=calculationstable[[#This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LINK</v>
      </c>
      <c r="AR37" t="str">
        <f>IFERROR(IF(LEFT(helper[[#This Row],[take profit feedback]],1)="T","X",""),"")</f>
        <v/>
      </c>
      <c r="AS37" t="str">
        <f>IFERROR(IF(OR(calculationstable[[#This Row],[Selling point 1]]="",calculationstable[[#This Row],[Selling point 1]]=0),"X",""),"")</f>
        <v/>
      </c>
      <c r="AT37" t="str">
        <f>IFERROR(IF(helper[[#This Row],[add to exit]]="","","Add " &amp;calculationstable[[#This Row],[ticker]] &amp;" to Exit Strategy"),"")</f>
        <v/>
      </c>
      <c r="AU37" s="10" t="str">
        <f>IFERROR(IF(OR(calculationstable[[#This Row],[current_price]]="",calculationstable[[#This Row],[current_price]]=0),"Include "&amp;calculationstable[[#This Row],[ticker]]&amp;" in Extra Coins List",""),"")</f>
        <v/>
      </c>
      <c r="AV3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LINK</v>
      </c>
      <c r="AW37" s="6">
        <f>IFERROR(calculationstable[[#This Row],[Current Value]]/SUM(calculationstable[Current Value]),"")</f>
        <v>4.0481593306349855E-3</v>
      </c>
      <c r="AX37" s="10">
        <f>IFERROR(IF((SUMIF(Purchases[Coin],calculationstable[[#This Row],[ticker]],Purchases[No. of coins])=0),NA(),SUMIF(Purchases[Coin],calculationstable[[#This Row],[ticker]],Purchases[No. of coins])),"")</f>
        <v>18.920000000000002</v>
      </c>
      <c r="AY37" s="6">
        <f>IFERROR((helper[[#This Row],[Purchased]]-calculationstable[[#This Row],[Coins Held]])/helper[[#This Row],[Purchased]],"")</f>
        <v>0</v>
      </c>
      <c r="AZ37" s="12">
        <f>IFERROR(1-helper[[#This Row],[Sold]],"")</f>
        <v>1</v>
      </c>
      <c r="BA37" s="6">
        <f>IFERROR(calculationstable[[#This Row],[Total Tokens Over]]/helper[[#This Row],[Purchased]],"")</f>
        <v>9.9839999999999998E-2</v>
      </c>
      <c r="BB37" s="12">
        <f>IFERROR(1-helper[[#This Row],[% Not in exit]],"")</f>
        <v>0.90015999999999996</v>
      </c>
      <c r="BD37" t="str">
        <f ca="1"/>
        <v>LINK</v>
      </c>
      <c r="BE37">
        <f ca="1"/>
        <v>531</v>
      </c>
      <c r="BF37">
        <f ca="1"/>
        <v>274.34000000000003</v>
      </c>
      <c r="BG37">
        <f ca="1"/>
        <v>0</v>
      </c>
      <c r="BH37">
        <f ca="1"/>
        <v>-0.48335216572504702</v>
      </c>
      <c r="BK37" s="13"/>
    </row>
    <row r="38" spans="2:63" hidden="1" x14ac:dyDescent="0.25">
      <c r="B38" s="10" t="s">
        <v>393</v>
      </c>
      <c r="C38">
        <v>44.02</v>
      </c>
      <c r="D38">
        <v>25.16</v>
      </c>
      <c r="E38">
        <v>62.957074721780607</v>
      </c>
      <c r="F38">
        <v>1584</v>
      </c>
      <c r="G38">
        <v>1107.5432000000001</v>
      </c>
      <c r="H38">
        <v>-476.45679999999993</v>
      </c>
      <c r="I38" s="11">
        <v>-0.30079343434343397</v>
      </c>
      <c r="J38" s="11">
        <v>-1.66234E-2</v>
      </c>
      <c r="K38">
        <v>0</v>
      </c>
      <c r="L38">
        <v>0</v>
      </c>
      <c r="M38">
        <v>0</v>
      </c>
      <c r="N38">
        <v>0</v>
      </c>
      <c r="O38">
        <v>125.91419999999999</v>
      </c>
      <c r="P38">
        <v>5.032</v>
      </c>
      <c r="Q38">
        <v>20.128</v>
      </c>
      <c r="R38">
        <v>316.80009999999999</v>
      </c>
      <c r="S38">
        <v>220.34989999999999</v>
      </c>
      <c r="T38">
        <v>4.0255999999999998</v>
      </c>
      <c r="U38">
        <v>16.102399999999999</v>
      </c>
      <c r="V38">
        <v>633.60029999999995</v>
      </c>
      <c r="W38">
        <v>283.30689999999998</v>
      </c>
      <c r="X38">
        <v>3.2204800000000002</v>
      </c>
      <c r="Y38">
        <v>12.881919999999999</v>
      </c>
      <c r="Z38">
        <v>709.63229999999999</v>
      </c>
      <c r="AA38">
        <v>377.74259999999998</v>
      </c>
      <c r="AB38">
        <v>2.576384</v>
      </c>
      <c r="AC38">
        <v>10.305536</v>
      </c>
      <c r="AD38">
        <v>811.00829999999996</v>
      </c>
      <c r="AE38">
        <v>503.65679999999998</v>
      </c>
      <c r="AF38">
        <v>2.576384</v>
      </c>
      <c r="AG38">
        <v>7.729152</v>
      </c>
      <c r="AH38">
        <v>1135.4117000000001</v>
      </c>
      <c r="AI38">
        <v>6878.8711999999996</v>
      </c>
      <c r="AJ38">
        <v>2.5119744000000002</v>
      </c>
      <c r="AK38">
        <v>1898</v>
      </c>
      <c r="AL38" s="10">
        <v>6878.8711999999996</v>
      </c>
      <c r="AM38">
        <v>1</v>
      </c>
      <c r="AN38" s="10" t="s">
        <v>13</v>
      </c>
      <c r="AP38">
        <f>IFERROR(HLOOKUP(calculationstable[[#This Row],[Merged]],calculationstable[#All],MATCH(calculationstable[[#This Row],[ticker]],calculationstable[[#All],[ticker]],0),FALSE),"")</f>
        <v>125.91419999999999</v>
      </c>
      <c r="AQ38" t="str">
        <f>IFERROR(IF(AP38&lt;=calculationstable[[#This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FTT</v>
      </c>
      <c r="AR38" t="str">
        <f>IFERROR(IF(LEFT(helper[[#This Row],[take profit feedback]],1)="T","X",""),"")</f>
        <v/>
      </c>
      <c r="AS38" t="str">
        <f>IFERROR(IF(OR(calculationstable[[#This Row],[Selling point 1]]="",calculationstable[[#This Row],[Selling point 1]]=0),"X",""),"")</f>
        <v/>
      </c>
      <c r="AT38" t="str">
        <f>IFERROR(IF(helper[[#This Row],[add to exit]]="","","Add " &amp;calculationstable[[#This Row],[ticker]] &amp;" to Exit Strategy"),"")</f>
        <v/>
      </c>
      <c r="AU38" s="10" t="str">
        <f>IFERROR(IF(OR(calculationstable[[#This Row],[current_price]]="",calculationstable[[#This Row],[current_price]]=0),"Include "&amp;calculationstable[[#This Row],[ticker]]&amp;" in Extra Coins List",""),"")</f>
        <v/>
      </c>
      <c r="AV3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FTT</v>
      </c>
      <c r="AW38" s="6">
        <f>IFERROR(calculationstable[[#This Row],[Current Value]]/SUM(calculationstable[Current Value]),"")</f>
        <v>1.6342900558290185E-2</v>
      </c>
      <c r="AX38" s="10">
        <f>IFERROR(IF((SUMIF(Purchases[Coin],calculationstable[[#This Row],[ticker]],Purchases[No. of coins])=0),NA(),SUMIF(Purchases[Coin],calculationstable[[#This Row],[ticker]],Purchases[No. of coins])),"")</f>
        <v>25.16</v>
      </c>
      <c r="AY38" s="6">
        <f>IFERROR((helper[[#This Row],[Purchased]]-calculationstable[[#This Row],[Coins Held]])/helper[[#This Row],[Purchased]],"")</f>
        <v>0</v>
      </c>
      <c r="AZ38" s="12">
        <f>IFERROR(1-helper[[#This Row],[Sold]],"")</f>
        <v>1</v>
      </c>
      <c r="BA38" s="6">
        <f>IFERROR(calculationstable[[#This Row],[Total Tokens Over]]/helper[[#This Row],[Purchased]],"")</f>
        <v>9.9840000000000012E-2</v>
      </c>
      <c r="BB38" s="12">
        <f>IFERROR(1-helper[[#This Row],[% Not in exit]],"")</f>
        <v>0.90015999999999996</v>
      </c>
      <c r="BD38" t="str">
        <f ca="1"/>
        <v>FTT</v>
      </c>
      <c r="BE38">
        <f ca="1"/>
        <v>1584</v>
      </c>
      <c r="BF38">
        <f ca="1"/>
        <v>1107.5432000000001</v>
      </c>
      <c r="BG38">
        <f ca="1"/>
        <v>0</v>
      </c>
      <c r="BH38">
        <f ca="1"/>
        <v>-0.30079343434343397</v>
      </c>
      <c r="BK38" s="13"/>
    </row>
    <row r="39" spans="2:63" hidden="1" x14ac:dyDescent="0.25">
      <c r="B39" s="10" t="s">
        <v>775</v>
      </c>
      <c r="C39">
        <v>0.43635600000000002</v>
      </c>
      <c r="D39">
        <v>49.56</v>
      </c>
      <c r="E39">
        <v>1.6142050040355125</v>
      </c>
      <c r="F39">
        <v>80</v>
      </c>
      <c r="G39">
        <v>21.625803360000003</v>
      </c>
      <c r="H39">
        <v>-58.374196639999994</v>
      </c>
      <c r="I39" s="11">
        <v>-0.72967745799999995</v>
      </c>
      <c r="J39" s="11">
        <v>-3.9541187419193616E-2</v>
      </c>
      <c r="K39">
        <v>0</v>
      </c>
      <c r="L39">
        <v>0</v>
      </c>
      <c r="M39">
        <v>0</v>
      </c>
      <c r="N39">
        <v>0</v>
      </c>
      <c r="O39">
        <v>3.2284000000000002</v>
      </c>
      <c r="P39">
        <v>9.9120000000000008</v>
      </c>
      <c r="Q39">
        <v>39.648000000000003</v>
      </c>
      <c r="R39">
        <v>16</v>
      </c>
      <c r="S39">
        <v>5.6497000000000002</v>
      </c>
      <c r="T39">
        <v>7.9296000000000006</v>
      </c>
      <c r="U39">
        <v>31.718400000000003</v>
      </c>
      <c r="V39">
        <v>31.9999</v>
      </c>
      <c r="W39">
        <v>7.2638999999999996</v>
      </c>
      <c r="X39">
        <v>6.3436800000000009</v>
      </c>
      <c r="Y39">
        <v>25.374720000000003</v>
      </c>
      <c r="Z39">
        <v>35.8399</v>
      </c>
      <c r="AA39">
        <v>9.6852</v>
      </c>
      <c r="AB39">
        <v>5.0749440000000012</v>
      </c>
      <c r="AC39">
        <v>20.299776000000001</v>
      </c>
      <c r="AD39">
        <v>40.959899999999998</v>
      </c>
      <c r="AE39">
        <v>12.913600000000001</v>
      </c>
      <c r="AF39">
        <v>5.0749440000000003</v>
      </c>
      <c r="AG39">
        <v>15.224832000000001</v>
      </c>
      <c r="AH39">
        <v>57.343800000000002</v>
      </c>
      <c r="AI39">
        <v>347.41649999999998</v>
      </c>
      <c r="AJ39">
        <v>4.9480704000000006</v>
      </c>
      <c r="AK39">
        <v>96</v>
      </c>
      <c r="AL39" s="10">
        <v>347.41649999999998</v>
      </c>
      <c r="AM39">
        <v>1</v>
      </c>
      <c r="AN39" s="10" t="s">
        <v>13</v>
      </c>
      <c r="AP39">
        <f>IFERROR(HLOOKUP(calculationstable[[#This Row],[Merged]],calculationstable[#All],MATCH(calculationstable[[#This Row],[ticker]],calculationstable[[#All],[ticker]],0),FALSE),"")</f>
        <v>3.2284000000000002</v>
      </c>
      <c r="AQ39" t="str">
        <f>IFERROR(IF(AP39&lt;=calculationstable[[#This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EFI</v>
      </c>
      <c r="AR39" t="str">
        <f>IFERROR(IF(LEFT(helper[[#This Row],[take profit feedback]],1)="T","X",""),"")</f>
        <v/>
      </c>
      <c r="AS39" t="str">
        <f>IFERROR(IF(OR(calculationstable[[#This Row],[Selling point 1]]="",calculationstable[[#This Row],[Selling point 1]]=0),"X",""),"")</f>
        <v/>
      </c>
      <c r="AT39" t="str">
        <f>IFERROR(IF(helper[[#This Row],[add to exit]]="","","Add " &amp;calculationstable[[#This Row],[ticker]] &amp;" to Exit Strategy"),"")</f>
        <v/>
      </c>
      <c r="AU39" s="10" t="str">
        <f>IFERROR(IF(OR(calculationstable[[#This Row],[current_price]]="",calculationstable[[#This Row],[current_price]]=0),"Include "&amp;calculationstable[[#This Row],[ticker]]&amp;" in Extra Coins List",""),"")</f>
        <v/>
      </c>
      <c r="AV3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EFI</v>
      </c>
      <c r="AW39" s="6">
        <f>IFERROR(calculationstable[[#This Row],[Current Value]]/SUM(calculationstable[Current Value]),"")</f>
        <v>3.1911021963352561E-4</v>
      </c>
      <c r="AX39" s="10">
        <f>IFERROR(IF((SUMIF(Purchases[Coin],calculationstable[[#This Row],[ticker]],Purchases[No. of coins])=0),NA(),SUMIF(Purchases[Coin],calculationstable[[#This Row],[ticker]],Purchases[No. of coins])),"")</f>
        <v>49.56</v>
      </c>
      <c r="AY39" s="6">
        <f>IFERROR((helper[[#This Row],[Purchased]]-calculationstable[[#This Row],[Coins Held]])/helper[[#This Row],[Purchased]],"")</f>
        <v>0</v>
      </c>
      <c r="AZ39" s="12">
        <f>IFERROR(1-helper[[#This Row],[Sold]],"")</f>
        <v>1</v>
      </c>
      <c r="BA39" s="6">
        <f>IFERROR(calculationstable[[#This Row],[Total Tokens Over]]/helper[[#This Row],[Purchased]],"")</f>
        <v>9.9840000000000012E-2</v>
      </c>
      <c r="BB39" s="12">
        <f>IFERROR(1-helper[[#This Row],[% Not in exit]],"")</f>
        <v>0.90015999999999996</v>
      </c>
      <c r="BD39" t="str">
        <f ca="1"/>
        <v>EFI</v>
      </c>
      <c r="BE39">
        <f ca="1"/>
        <v>80</v>
      </c>
      <c r="BF39">
        <f ca="1"/>
        <v>21.625803360000003</v>
      </c>
      <c r="BG39">
        <f ca="1"/>
        <v>0</v>
      </c>
      <c r="BH39">
        <f ca="1"/>
        <v>-0.72967745799999995</v>
      </c>
      <c r="BK39" s="13"/>
    </row>
    <row r="40" spans="2:63" hidden="1" x14ac:dyDescent="0.25">
      <c r="B40" s="10" t="s">
        <v>413</v>
      </c>
      <c r="C40">
        <v>0.38774199999999998</v>
      </c>
      <c r="D40">
        <v>285</v>
      </c>
      <c r="E40">
        <v>0.35087719298245612</v>
      </c>
      <c r="F40">
        <v>100</v>
      </c>
      <c r="G40">
        <v>110.50646999999999</v>
      </c>
      <c r="H40">
        <v>10.506469999999993</v>
      </c>
      <c r="I40" s="11">
        <v>0.1050647</v>
      </c>
      <c r="J40" s="11">
        <v>-5.3746599999999999E-2</v>
      </c>
      <c r="K40">
        <v>0</v>
      </c>
      <c r="L40">
        <v>0</v>
      </c>
      <c r="M40">
        <v>0</v>
      </c>
      <c r="N40">
        <v>0</v>
      </c>
      <c r="O40">
        <v>0.70179999999999998</v>
      </c>
      <c r="P40">
        <v>57</v>
      </c>
      <c r="Q40">
        <v>228</v>
      </c>
      <c r="R40">
        <v>20.001300000000001</v>
      </c>
      <c r="S40">
        <v>1.2281</v>
      </c>
      <c r="T40">
        <v>45.6</v>
      </c>
      <c r="U40">
        <v>182.4</v>
      </c>
      <c r="V40">
        <v>40.002600000000001</v>
      </c>
      <c r="W40">
        <v>1.5790999999999999</v>
      </c>
      <c r="X40">
        <v>36.480000000000004</v>
      </c>
      <c r="Y40">
        <v>145.92000000000002</v>
      </c>
      <c r="Z40">
        <v>44.802900000000001</v>
      </c>
      <c r="AA40">
        <v>2.1053999999999999</v>
      </c>
      <c r="AB40">
        <v>29.184000000000005</v>
      </c>
      <c r="AC40">
        <v>116.73600000000002</v>
      </c>
      <c r="AD40">
        <v>51.203299999999999</v>
      </c>
      <c r="AE40">
        <v>2.8071999999999999</v>
      </c>
      <c r="AF40">
        <v>29.184000000000005</v>
      </c>
      <c r="AG40">
        <v>87.552000000000021</v>
      </c>
      <c r="AH40">
        <v>71.684700000000007</v>
      </c>
      <c r="AI40">
        <v>434.30020000000002</v>
      </c>
      <c r="AJ40">
        <v>28.454400000000007</v>
      </c>
      <c r="AK40">
        <v>120</v>
      </c>
      <c r="AL40" s="10">
        <v>434.30020000000002</v>
      </c>
      <c r="AM40">
        <v>1</v>
      </c>
      <c r="AN40" s="10" t="s">
        <v>13</v>
      </c>
      <c r="AP40">
        <f>IFERROR(HLOOKUP(calculationstable[[#This Row],[Merged]],calculationstable[#All],MATCH(calculationstable[[#This Row],[ticker]],calculationstable[[#All],[ticker]],0),FALSE),"")</f>
        <v>0.70179999999999998</v>
      </c>
      <c r="AQ40" t="str">
        <f>IFERROR(IF(AP40&lt;=calculationstable[[#This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GRT</v>
      </c>
      <c r="AR40" t="str">
        <f>IFERROR(IF(LEFT(helper[[#This Row],[take profit feedback]],1)="T","X",""),"")</f>
        <v/>
      </c>
      <c r="AS40" t="str">
        <f>IFERROR(IF(OR(calculationstable[[#This Row],[Selling point 1]]="",calculationstable[[#This Row],[Selling point 1]]=0),"X",""),"")</f>
        <v/>
      </c>
      <c r="AT40" t="str">
        <f>IFERROR(IF(helper[[#This Row],[add to exit]]="","","Add " &amp;calculationstable[[#This Row],[ticker]] &amp;" to Exit Strategy"),"")</f>
        <v/>
      </c>
      <c r="AU40" s="10" t="str">
        <f>IFERROR(IF(OR(calculationstable[[#This Row],[current_price]]="",calculationstable[[#This Row],[current_price]]=0),"Include "&amp;calculationstable[[#This Row],[ticker]]&amp;" in Extra Coins List",""),"")</f>
        <v/>
      </c>
      <c r="AV4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GRT</v>
      </c>
      <c r="AW40" s="6">
        <f>IFERROR(calculationstable[[#This Row],[Current Value]]/SUM(calculationstable[Current Value]),"")</f>
        <v>1.6306327827733289E-3</v>
      </c>
      <c r="AX40" s="10">
        <f>IFERROR(IF((SUMIF(Purchases[Coin],calculationstable[[#This Row],[ticker]],Purchases[No. of coins])=0),NA(),SUMIF(Purchases[Coin],calculationstable[[#This Row],[ticker]],Purchases[No. of coins])),"")</f>
        <v>285</v>
      </c>
      <c r="AY40" s="6">
        <f>IFERROR((helper[[#This Row],[Purchased]]-calculationstable[[#This Row],[Coins Held]])/helper[[#This Row],[Purchased]],"")</f>
        <v>0</v>
      </c>
      <c r="AZ40" s="12">
        <f>IFERROR(1-helper[[#This Row],[Sold]],"")</f>
        <v>1</v>
      </c>
      <c r="BA40" s="6">
        <f>IFERROR(calculationstable[[#This Row],[Total Tokens Over]]/helper[[#This Row],[Purchased]],"")</f>
        <v>9.9840000000000026E-2</v>
      </c>
      <c r="BB40" s="12">
        <f>IFERROR(1-helper[[#This Row],[% Not in exit]],"")</f>
        <v>0.90015999999999996</v>
      </c>
      <c r="BD40" t="str">
        <f ca="1"/>
        <v>GRT</v>
      </c>
      <c r="BE40">
        <f ca="1"/>
        <v>100</v>
      </c>
      <c r="BF40">
        <f ca="1"/>
        <v>110.50646999999999</v>
      </c>
      <c r="BG40">
        <f ca="1"/>
        <v>0</v>
      </c>
      <c r="BH40">
        <f ca="1"/>
        <v>0.1050647</v>
      </c>
      <c r="BK40" s="13"/>
    </row>
    <row r="41" spans="2:63" hidden="1" x14ac:dyDescent="0.25">
      <c r="B41" s="10" t="s">
        <v>342</v>
      </c>
      <c r="C41">
        <v>1.44</v>
      </c>
      <c r="D41">
        <v>27.77</v>
      </c>
      <c r="E41">
        <v>3.6010082823190492</v>
      </c>
      <c r="F41">
        <v>100</v>
      </c>
      <c r="G41">
        <v>39.988799999999998</v>
      </c>
      <c r="H41">
        <v>-60.011200000000002</v>
      </c>
      <c r="I41" s="11">
        <v>-0.60011199999999998</v>
      </c>
      <c r="J41" s="11">
        <v>-3.7210100000000003E-2</v>
      </c>
      <c r="K41">
        <v>0</v>
      </c>
      <c r="L41">
        <v>0</v>
      </c>
      <c r="M41">
        <v>0</v>
      </c>
      <c r="N41">
        <v>0</v>
      </c>
      <c r="O41">
        <v>7.202</v>
      </c>
      <c r="P41">
        <v>5.5540000000000003</v>
      </c>
      <c r="Q41">
        <v>22.216000000000001</v>
      </c>
      <c r="R41">
        <v>20</v>
      </c>
      <c r="S41">
        <v>12.6035</v>
      </c>
      <c r="T41">
        <v>4.4432</v>
      </c>
      <c r="U41">
        <v>17.7728</v>
      </c>
      <c r="V41">
        <v>39.999899999999997</v>
      </c>
      <c r="W41">
        <v>16.204499999999999</v>
      </c>
      <c r="X41">
        <v>3.5545600000000004</v>
      </c>
      <c r="Y41">
        <v>14.21824</v>
      </c>
      <c r="Z41">
        <v>44.799900000000001</v>
      </c>
      <c r="AA41">
        <v>21.606000000000002</v>
      </c>
      <c r="AB41">
        <v>2.843648</v>
      </c>
      <c r="AC41">
        <v>11.374592</v>
      </c>
      <c r="AD41">
        <v>51.1999</v>
      </c>
      <c r="AE41">
        <v>28.808</v>
      </c>
      <c r="AF41">
        <v>2.843648</v>
      </c>
      <c r="AG41">
        <v>8.5309439999999999</v>
      </c>
      <c r="AH41">
        <v>71.6798</v>
      </c>
      <c r="AI41">
        <v>434.27100000000002</v>
      </c>
      <c r="AJ41">
        <v>2.7725568000000003</v>
      </c>
      <c r="AK41">
        <v>120</v>
      </c>
      <c r="AL41" s="10">
        <v>434.27100000000002</v>
      </c>
      <c r="AM41">
        <v>1</v>
      </c>
      <c r="AN41" s="10" t="s">
        <v>13</v>
      </c>
      <c r="AP41">
        <f>IFERROR(HLOOKUP(calculationstable[[#This Row],[Merged]],calculationstable[#All],MATCH(calculationstable[[#This Row],[ticker]],calculationstable[[#All],[ticker]],0),FALSE),"")</f>
        <v>7.202</v>
      </c>
      <c r="AQ41" t="str">
        <f>IFERROR(IF(AP41&lt;=calculationstable[[#This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ENJ</v>
      </c>
      <c r="AR41" t="str">
        <f>IFERROR(IF(LEFT(helper[[#This Row],[take profit feedback]],1)="T","X",""),"")</f>
        <v/>
      </c>
      <c r="AS41" t="str">
        <f>IFERROR(IF(OR(calculationstable[[#This Row],[Selling point 1]]="",calculationstable[[#This Row],[Selling point 1]]=0),"X",""),"")</f>
        <v/>
      </c>
      <c r="AT41" t="str">
        <f>IFERROR(IF(helper[[#This Row],[add to exit]]="","","Add " &amp;calculationstable[[#This Row],[ticker]] &amp;" to Exit Strategy"),"")</f>
        <v/>
      </c>
      <c r="AU41" s="10" t="str">
        <f>IFERROR(IF(OR(calculationstable[[#This Row],[current_price]]="",calculationstable[[#This Row],[current_price]]=0),"Include "&amp;calculationstable[[#This Row],[ticker]]&amp;" in Extra Coins List",""),"")</f>
        <v/>
      </c>
      <c r="AV4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ENJ</v>
      </c>
      <c r="AW41" s="6">
        <f>IFERROR(calculationstable[[#This Row],[Current Value]]/SUM(calculationstable[Current Value]),"")</f>
        <v>5.9007448363671455E-4</v>
      </c>
      <c r="AX41" s="10">
        <f>IFERROR(IF((SUMIF(Purchases[Coin],calculationstable[[#This Row],[ticker]],Purchases[No. of coins])=0),NA(),SUMIF(Purchases[Coin],calculationstable[[#This Row],[ticker]],Purchases[No. of coins])),"")</f>
        <v>27.77</v>
      </c>
      <c r="AY41" s="6">
        <f>IFERROR((helper[[#This Row],[Purchased]]-calculationstable[[#This Row],[Coins Held]])/helper[[#This Row],[Purchased]],"")</f>
        <v>0</v>
      </c>
      <c r="AZ41" s="12">
        <f>IFERROR(1-helper[[#This Row],[Sold]],"")</f>
        <v>1</v>
      </c>
      <c r="BA41" s="6">
        <f>IFERROR(calculationstable[[#This Row],[Total Tokens Over]]/helper[[#This Row],[Purchased]],"")</f>
        <v>9.9840000000000012E-2</v>
      </c>
      <c r="BB41" s="12">
        <f>IFERROR(1-helper[[#This Row],[% Not in exit]],"")</f>
        <v>0.90015999999999996</v>
      </c>
      <c r="BD41" t="str">
        <f ca="1"/>
        <v>ENJ</v>
      </c>
      <c r="BE41">
        <f ca="1"/>
        <v>100</v>
      </c>
      <c r="BF41">
        <f ca="1"/>
        <v>39.988799999999998</v>
      </c>
      <c r="BG41">
        <f ca="1"/>
        <v>0</v>
      </c>
      <c r="BH41">
        <f ca="1"/>
        <v>-0.60011199999999998</v>
      </c>
      <c r="BK41" s="13"/>
    </row>
    <row r="42" spans="2:63" hidden="1" x14ac:dyDescent="0.25">
      <c r="B42" s="10" t="s">
        <v>419</v>
      </c>
      <c r="C42">
        <v>0.20865600000000001</v>
      </c>
      <c r="D42">
        <v>200</v>
      </c>
      <c r="E42">
        <v>0.375</v>
      </c>
      <c r="F42">
        <v>75</v>
      </c>
      <c r="G42">
        <v>41.731200000000001</v>
      </c>
      <c r="H42">
        <v>-33.268799999999999</v>
      </c>
      <c r="I42" s="11">
        <v>-0.44358399999999998</v>
      </c>
      <c r="J42" s="11">
        <v>-2.6968999999999999E-3</v>
      </c>
      <c r="K42">
        <v>0</v>
      </c>
      <c r="L42">
        <v>0</v>
      </c>
      <c r="M42">
        <v>0</v>
      </c>
      <c r="N42">
        <v>0</v>
      </c>
      <c r="O42">
        <v>0.75</v>
      </c>
      <c r="P42">
        <v>40</v>
      </c>
      <c r="Q42">
        <v>160</v>
      </c>
      <c r="R42">
        <v>15</v>
      </c>
      <c r="S42">
        <v>1.3125</v>
      </c>
      <c r="T42">
        <v>32</v>
      </c>
      <c r="U42">
        <v>128</v>
      </c>
      <c r="V42">
        <v>30</v>
      </c>
      <c r="W42">
        <v>1.6875</v>
      </c>
      <c r="X42">
        <v>25.6</v>
      </c>
      <c r="Y42">
        <v>102.4</v>
      </c>
      <c r="Z42">
        <v>33.6</v>
      </c>
      <c r="AA42">
        <v>2.25</v>
      </c>
      <c r="AB42">
        <v>20.480000000000004</v>
      </c>
      <c r="AC42">
        <v>81.92</v>
      </c>
      <c r="AD42">
        <v>38.4</v>
      </c>
      <c r="AE42">
        <v>3</v>
      </c>
      <c r="AF42">
        <v>20.48</v>
      </c>
      <c r="AG42">
        <v>61.44</v>
      </c>
      <c r="AH42">
        <v>53.76</v>
      </c>
      <c r="AI42">
        <v>325.70400000000001</v>
      </c>
      <c r="AJ42">
        <v>19.968</v>
      </c>
      <c r="AK42">
        <v>90</v>
      </c>
      <c r="AL42" s="10">
        <v>325.70400000000001</v>
      </c>
      <c r="AM42">
        <v>1</v>
      </c>
      <c r="AN42" s="10" t="s">
        <v>13</v>
      </c>
      <c r="AP42">
        <f>IFERROR(HLOOKUP(calculationstable[[#This Row],[Merged]],calculationstable[#All],MATCH(calculationstable[[#This Row],[ticker]],calculationstable[[#All],[ticker]],0),FALSE),"")</f>
        <v>0.75</v>
      </c>
      <c r="AQ42" t="str">
        <f>IFERROR(IF(AP42&lt;=calculationstable[[#This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HBAR</v>
      </c>
      <c r="AR42" t="str">
        <f>IFERROR(IF(LEFT(helper[[#This Row],[take profit feedback]],1)="T","X",""),"")</f>
        <v/>
      </c>
      <c r="AS42" t="str">
        <f>IFERROR(IF(OR(calculationstable[[#This Row],[Selling point 1]]="",calculationstable[[#This Row],[Selling point 1]]=0),"X",""),"")</f>
        <v/>
      </c>
      <c r="AT42" t="str">
        <f>IFERROR(IF(helper[[#This Row],[add to exit]]="","","Add " &amp;calculationstable[[#This Row],[ticker]] &amp;" to Exit Strategy"),"")</f>
        <v/>
      </c>
      <c r="AU42" s="10" t="str">
        <f>IFERROR(IF(OR(calculationstable[[#This Row],[current_price]]="",calculationstable[[#This Row],[current_price]]=0),"Include "&amp;calculationstable[[#This Row],[ticker]]&amp;" in Extra Coins List",""),"")</f>
        <v/>
      </c>
      <c r="AV4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HBAR</v>
      </c>
      <c r="AW42" s="6">
        <f>IFERROR(calculationstable[[#This Row],[Current Value]]/SUM(calculationstable[Current Value]),"")</f>
        <v>6.1578532718012207E-4</v>
      </c>
      <c r="AX42" s="10">
        <f>IFERROR(IF((SUMIF(Purchases[Coin],calculationstable[[#This Row],[ticker]],Purchases[No. of coins])=0),NA(),SUMIF(Purchases[Coin],calculationstable[[#This Row],[ticker]],Purchases[No. of coins])),"")</f>
        <v>200</v>
      </c>
      <c r="AY42" s="6">
        <f>IFERROR((helper[[#This Row],[Purchased]]-calculationstable[[#This Row],[Coins Held]])/helper[[#This Row],[Purchased]],"")</f>
        <v>0</v>
      </c>
      <c r="AZ42" s="12">
        <f>IFERROR(1-helper[[#This Row],[Sold]],"")</f>
        <v>1</v>
      </c>
      <c r="BA42" s="6">
        <f>IFERROR(calculationstable[[#This Row],[Total Tokens Over]]/helper[[#This Row],[Purchased]],"")</f>
        <v>9.9839999999999998E-2</v>
      </c>
      <c r="BB42" s="12">
        <f>IFERROR(1-helper[[#This Row],[% Not in exit]],"")</f>
        <v>0.90015999999999996</v>
      </c>
      <c r="BD42" t="str">
        <f ca="1"/>
        <v>HBAR</v>
      </c>
      <c r="BE42">
        <f ca="1"/>
        <v>75</v>
      </c>
      <c r="BF42">
        <f ca="1"/>
        <v>41.731200000000001</v>
      </c>
      <c r="BG42">
        <f ca="1"/>
        <v>0</v>
      </c>
      <c r="BH42">
        <f ca="1"/>
        <v>-0.44358399999999998</v>
      </c>
      <c r="BK42" s="13"/>
    </row>
    <row r="43" spans="2:63" hidden="1" x14ac:dyDescent="0.25">
      <c r="B43" s="10" t="s">
        <v>706</v>
      </c>
      <c r="C43">
        <v>15.93</v>
      </c>
      <c r="D43">
        <v>19.100000000000001</v>
      </c>
      <c r="E43">
        <v>36.910994764397905</v>
      </c>
      <c r="F43">
        <v>705</v>
      </c>
      <c r="G43">
        <v>304.26300000000003</v>
      </c>
      <c r="H43">
        <v>-400.73699999999997</v>
      </c>
      <c r="I43" s="11">
        <v>-0.56842127659574504</v>
      </c>
      <c r="J43" s="11">
        <v>-1.9304700000000001E-2</v>
      </c>
      <c r="K43">
        <v>0</v>
      </c>
      <c r="L43">
        <v>0</v>
      </c>
      <c r="M43">
        <v>0</v>
      </c>
      <c r="N43">
        <v>0</v>
      </c>
      <c r="O43">
        <v>73.822000000000003</v>
      </c>
      <c r="P43">
        <v>3.8200000000000003</v>
      </c>
      <c r="Q43">
        <v>15.280000000000001</v>
      </c>
      <c r="R43">
        <v>141</v>
      </c>
      <c r="S43">
        <v>129.1885</v>
      </c>
      <c r="T43">
        <v>3.0560000000000005</v>
      </c>
      <c r="U43">
        <v>12.224</v>
      </c>
      <c r="V43">
        <v>282</v>
      </c>
      <c r="W43">
        <v>166.09950000000001</v>
      </c>
      <c r="X43">
        <v>2.4448000000000003</v>
      </c>
      <c r="Y43">
        <v>9.7791999999999994</v>
      </c>
      <c r="Z43">
        <v>315.83999999999997</v>
      </c>
      <c r="AA43">
        <v>221.46600000000001</v>
      </c>
      <c r="AB43">
        <v>1.95584</v>
      </c>
      <c r="AC43">
        <v>7.8233599999999992</v>
      </c>
      <c r="AD43">
        <v>360.96010000000001</v>
      </c>
      <c r="AE43">
        <v>295.28800000000001</v>
      </c>
      <c r="AF43">
        <v>1.9558399999999998</v>
      </c>
      <c r="AG43">
        <v>5.867519999999999</v>
      </c>
      <c r="AH43">
        <v>505.34410000000003</v>
      </c>
      <c r="AI43">
        <v>3061.6179999999999</v>
      </c>
      <c r="AJ43">
        <v>1.9069439999999998</v>
      </c>
      <c r="AK43">
        <v>845</v>
      </c>
      <c r="AL43" s="10">
        <v>3061.6179999999999</v>
      </c>
      <c r="AM43">
        <v>1</v>
      </c>
      <c r="AN43" s="10" t="s">
        <v>13</v>
      </c>
      <c r="AP43">
        <f>IFERROR(HLOOKUP(calculationstable[[#This Row],[Merged]],calculationstable[#All],MATCH(calculationstable[[#This Row],[ticker]],calculationstable[[#All],[ticker]],0),FALSE),"")</f>
        <v>73.822000000000003</v>
      </c>
      <c r="AQ43" t="str">
        <f>IFERROR(IF(AP43&lt;=calculationstable[[#This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ENS</v>
      </c>
      <c r="AR43" t="str">
        <f>IFERROR(IF(LEFT(helper[[#This Row],[take profit feedback]],1)="T","X",""),"")</f>
        <v/>
      </c>
      <c r="AS43" t="str">
        <f>IFERROR(IF(OR(calculationstable[[#This Row],[Selling point 1]]="",calculationstable[[#This Row],[Selling point 1]]=0),"X",""),"")</f>
        <v/>
      </c>
      <c r="AT43" t="str">
        <f>IFERROR(IF(helper[[#This Row],[add to exit]]="","","Add " &amp;calculationstable[[#This Row],[ticker]] &amp;" to Exit Strategy"),"")</f>
        <v/>
      </c>
      <c r="AU43" s="10" t="str">
        <f>IFERROR(IF(OR(calculationstable[[#This Row],[current_price]]="",calculationstable[[#This Row],[current_price]]=0),"Include "&amp;calculationstable[[#This Row],[ticker]]&amp;" in Extra Coins List",""),"")</f>
        <v/>
      </c>
      <c r="AV4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ENS</v>
      </c>
      <c r="AW43" s="6">
        <f>IFERROR(calculationstable[[#This Row],[Current Value]]/SUM(calculationstable[Current Value]),"")</f>
        <v>4.4897029321899562E-3</v>
      </c>
      <c r="AX43" s="10">
        <f>IFERROR(IF((SUMIF(Purchases[Coin],calculationstable[[#This Row],[ticker]],Purchases[No. of coins])=0),NA(),SUMIF(Purchases[Coin],calculationstable[[#This Row],[ticker]],Purchases[No. of coins])),"")</f>
        <v>19.100000000000001</v>
      </c>
      <c r="AY43" s="6">
        <f>IFERROR((helper[[#This Row],[Purchased]]-calculationstable[[#This Row],[Coins Held]])/helper[[#This Row],[Purchased]],"")</f>
        <v>0</v>
      </c>
      <c r="AZ43" s="12">
        <f>IFERROR(1-helper[[#This Row],[Sold]],"")</f>
        <v>1</v>
      </c>
      <c r="BA43" s="6">
        <f>IFERROR(calculationstable[[#This Row],[Total Tokens Over]]/helper[[#This Row],[Purchased]],"")</f>
        <v>9.9839999999999984E-2</v>
      </c>
      <c r="BB43" s="12">
        <f>IFERROR(1-helper[[#This Row],[% Not in exit]],"")</f>
        <v>0.90016000000000007</v>
      </c>
      <c r="BD43" t="str">
        <f ca="1"/>
        <v>ENS</v>
      </c>
      <c r="BE43">
        <f ca="1"/>
        <v>705</v>
      </c>
      <c r="BF43">
        <f ca="1"/>
        <v>304.26300000000003</v>
      </c>
      <c r="BG43">
        <f ca="1"/>
        <v>0</v>
      </c>
      <c r="BH43">
        <f ca="1"/>
        <v>-0.56842127659574504</v>
      </c>
      <c r="BK43" s="13"/>
    </row>
    <row r="44" spans="2:63" hidden="1" x14ac:dyDescent="0.25">
      <c r="B44" s="10" t="s">
        <v>479</v>
      </c>
      <c r="C44">
        <v>3.08</v>
      </c>
      <c r="D44">
        <v>27</v>
      </c>
      <c r="E44">
        <v>1.8148148148148149</v>
      </c>
      <c r="F44">
        <v>49</v>
      </c>
      <c r="G44">
        <v>83.16</v>
      </c>
      <c r="H44">
        <v>34.159999999999997</v>
      </c>
      <c r="I44" s="11">
        <v>0.69714285714285695</v>
      </c>
      <c r="J44" s="11">
        <v>-3.49871E-2</v>
      </c>
      <c r="K44">
        <v>0</v>
      </c>
      <c r="L44">
        <v>0</v>
      </c>
      <c r="M44">
        <v>0</v>
      </c>
      <c r="N44">
        <v>0</v>
      </c>
      <c r="O44">
        <v>3.6295999999999999</v>
      </c>
      <c r="P44">
        <v>5.4</v>
      </c>
      <c r="Q44">
        <v>21.6</v>
      </c>
      <c r="R44">
        <v>9.7998999999999992</v>
      </c>
      <c r="S44">
        <v>6.3517999999999999</v>
      </c>
      <c r="T44">
        <v>4.32</v>
      </c>
      <c r="U44">
        <v>17.28</v>
      </c>
      <c r="V44">
        <v>19.599799999999998</v>
      </c>
      <c r="W44">
        <v>8.1666000000000007</v>
      </c>
      <c r="X44">
        <v>3.4560000000000004</v>
      </c>
      <c r="Y44">
        <v>13.824000000000002</v>
      </c>
      <c r="Z44">
        <v>21.951799999999999</v>
      </c>
      <c r="AA44">
        <v>10.8888</v>
      </c>
      <c r="AB44">
        <v>2.7648000000000006</v>
      </c>
      <c r="AC44">
        <v>11.059200000000001</v>
      </c>
      <c r="AD44">
        <v>25.087800000000001</v>
      </c>
      <c r="AE44">
        <v>14.5184</v>
      </c>
      <c r="AF44">
        <v>2.7648000000000001</v>
      </c>
      <c r="AG44">
        <v>8.2943999999999996</v>
      </c>
      <c r="AH44">
        <v>35.122900000000001</v>
      </c>
      <c r="AI44">
        <v>212.79150000000001</v>
      </c>
      <c r="AJ44">
        <v>2.6956799999999999</v>
      </c>
      <c r="AK44">
        <v>59</v>
      </c>
      <c r="AL44" s="10">
        <v>212.79150000000001</v>
      </c>
      <c r="AM44">
        <v>1</v>
      </c>
      <c r="AN44" s="10" t="s">
        <v>13</v>
      </c>
      <c r="AP44">
        <f>IFERROR(HLOOKUP(calculationstable[[#This Row],[Merged]],calculationstable[#All],MATCH(calculationstable[[#This Row],[ticker]],calculationstable[[#All],[ticker]],0),FALSE),"")</f>
        <v>3.6295999999999999</v>
      </c>
      <c r="AQ44" t="str">
        <f>IFERROR(IF(AP44&lt;=calculationstable[[#This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SAND</v>
      </c>
      <c r="AR44" t="str">
        <f>IFERROR(IF(LEFT(helper[[#This Row],[take profit feedback]],1)="T","X",""),"")</f>
        <v/>
      </c>
      <c r="AS44" t="str">
        <f>IFERROR(IF(OR(calculationstable[[#This Row],[Selling point 1]]="",calculationstable[[#This Row],[Selling point 1]]=0),"X",""),"")</f>
        <v/>
      </c>
      <c r="AT44" t="str">
        <f>IFERROR(IF(helper[[#This Row],[add to exit]]="","","Add " &amp;calculationstable[[#This Row],[ticker]] &amp;" to Exit Strategy"),"")</f>
        <v/>
      </c>
      <c r="AU44" s="10" t="str">
        <f>IFERROR(IF(OR(calculationstable[[#This Row],[current_price]]="",calculationstable[[#This Row],[current_price]]=0),"Include "&amp;calculationstable[[#This Row],[ticker]]&amp;" in Extra Coins List",""),"")</f>
        <v/>
      </c>
      <c r="AV4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SAND</v>
      </c>
      <c r="AW44" s="6">
        <f>IFERROR(calculationstable[[#This Row],[Current Value]]/SUM(calculationstable[Current Value]),"")</f>
        <v>1.2271084418444462E-3</v>
      </c>
      <c r="AX44" s="10">
        <f>IFERROR(IF((SUMIF(Purchases[Coin],calculationstable[[#This Row],[ticker]],Purchases[No. of coins])=0),NA(),SUMIF(Purchases[Coin],calculationstable[[#This Row],[ticker]],Purchases[No. of coins])),"")</f>
        <v>27</v>
      </c>
      <c r="AY44" s="6">
        <f>IFERROR((helper[[#This Row],[Purchased]]-calculationstable[[#This Row],[Coins Held]])/helper[[#This Row],[Purchased]],"")</f>
        <v>0</v>
      </c>
      <c r="AZ44" s="12">
        <f>IFERROR(1-helper[[#This Row],[Sold]],"")</f>
        <v>1</v>
      </c>
      <c r="BA44" s="6">
        <f>IFERROR(calculationstable[[#This Row],[Total Tokens Over]]/helper[[#This Row],[Purchased]],"")</f>
        <v>9.9839999999999998E-2</v>
      </c>
      <c r="BB44" s="12">
        <f>IFERROR(1-helper[[#This Row],[% Not in exit]],"")</f>
        <v>0.90015999999999996</v>
      </c>
      <c r="BD44" t="str">
        <f ca="1"/>
        <v>SAND</v>
      </c>
      <c r="BE44">
        <f ca="1"/>
        <v>49</v>
      </c>
      <c r="BF44">
        <f ca="1"/>
        <v>83.16</v>
      </c>
      <c r="BG44">
        <f ca="1"/>
        <v>0</v>
      </c>
      <c r="BH44">
        <f ca="1"/>
        <v>0.69714285714285695</v>
      </c>
      <c r="BK44" s="13"/>
    </row>
    <row r="45" spans="2:63" hidden="1" x14ac:dyDescent="0.25">
      <c r="B45" s="10" t="s">
        <v>484</v>
      </c>
      <c r="C45">
        <v>3.31</v>
      </c>
      <c r="D45">
        <v>6.6</v>
      </c>
      <c r="E45">
        <v>14.696969696969697</v>
      </c>
      <c r="F45">
        <v>97</v>
      </c>
      <c r="G45">
        <v>21.846</v>
      </c>
      <c r="H45">
        <v>-75.153999999999996</v>
      </c>
      <c r="I45" s="11">
        <v>-0.77478350515463901</v>
      </c>
      <c r="J45" s="11">
        <v>-1.7525540502349571E-2</v>
      </c>
      <c r="K45">
        <v>0</v>
      </c>
      <c r="L45">
        <v>0</v>
      </c>
      <c r="M45">
        <v>0</v>
      </c>
      <c r="N45">
        <v>0</v>
      </c>
      <c r="O45">
        <v>29.393999999999998</v>
      </c>
      <c r="P45">
        <v>1.32</v>
      </c>
      <c r="Q45">
        <v>5.2799999999999994</v>
      </c>
      <c r="R45">
        <v>19.399999999999999</v>
      </c>
      <c r="S45">
        <v>51.439500000000002</v>
      </c>
      <c r="T45">
        <v>1.0559999999999998</v>
      </c>
      <c r="U45">
        <v>4.2239999999999993</v>
      </c>
      <c r="V45">
        <v>38.8001</v>
      </c>
      <c r="W45">
        <v>66.136499999999998</v>
      </c>
      <c r="X45">
        <v>0.84479999999999988</v>
      </c>
      <c r="Y45">
        <v>3.3791999999999995</v>
      </c>
      <c r="Z45">
        <v>43.456099999999999</v>
      </c>
      <c r="AA45">
        <v>88.182000000000002</v>
      </c>
      <c r="AB45">
        <v>0.67584</v>
      </c>
      <c r="AC45">
        <v>2.7033599999999995</v>
      </c>
      <c r="AD45">
        <v>49.664099999999998</v>
      </c>
      <c r="AE45">
        <v>117.57599999999999</v>
      </c>
      <c r="AF45">
        <v>0.67583999999999989</v>
      </c>
      <c r="AG45">
        <v>2.0275199999999995</v>
      </c>
      <c r="AH45">
        <v>69.529700000000005</v>
      </c>
      <c r="AI45">
        <v>421.24470000000002</v>
      </c>
      <c r="AJ45">
        <v>0.65894399999999986</v>
      </c>
      <c r="AK45">
        <v>116</v>
      </c>
      <c r="AL45" s="10">
        <v>421.24470000000002</v>
      </c>
      <c r="AM45">
        <v>1</v>
      </c>
      <c r="AN45" s="10" t="s">
        <v>13</v>
      </c>
      <c r="AP45">
        <f>IFERROR(HLOOKUP(calculationstable[[#This Row],[Merged]],calculationstable[#All],MATCH(calculationstable[[#This Row],[ticker]],calculationstable[[#All],[ticker]],0),FALSE),"")</f>
        <v>29.393999999999998</v>
      </c>
      <c r="AQ45" t="str">
        <f>IFERROR(IF(AP45&lt;=calculationstable[[#This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ERG</v>
      </c>
      <c r="AR45" t="str">
        <f>IFERROR(IF(LEFT(helper[[#This Row],[take profit feedback]],1)="T","X",""),"")</f>
        <v/>
      </c>
      <c r="AS45" t="str">
        <f>IFERROR(IF(OR(calculationstable[[#This Row],[Selling point 1]]="",calculationstable[[#This Row],[Selling point 1]]=0),"X",""),"")</f>
        <v/>
      </c>
      <c r="AT45" t="str">
        <f>IFERROR(IF(helper[[#This Row],[add to exit]]="","","Add " &amp;calculationstable[[#This Row],[ticker]] &amp;" to Exit Strategy"),"")</f>
        <v/>
      </c>
      <c r="AU45" s="10" t="str">
        <f>IFERROR(IF(OR(calculationstable[[#This Row],[current_price]]="",calculationstable[[#This Row],[current_price]]=0),"Include "&amp;calculationstable[[#This Row],[ticker]]&amp;" in Extra Coins List",""),"")</f>
        <v/>
      </c>
      <c r="AV4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ERG</v>
      </c>
      <c r="AW45" s="6">
        <f>IFERROR(calculationstable[[#This Row],[Current Value]]/SUM(calculationstable[Current Value]),"")</f>
        <v>3.2235943988135848E-4</v>
      </c>
      <c r="AX45" s="10">
        <f>IFERROR(IF((SUMIF(Purchases[Coin],calculationstable[[#This Row],[ticker]],Purchases[No. of coins])=0),NA(),SUMIF(Purchases[Coin],calculationstable[[#This Row],[ticker]],Purchases[No. of coins])),"")</f>
        <v>6.6</v>
      </c>
      <c r="AY45" s="6">
        <f>IFERROR((helper[[#This Row],[Purchased]]-calculationstable[[#This Row],[Coins Held]])/helper[[#This Row],[Purchased]],"")</f>
        <v>0</v>
      </c>
      <c r="AZ45" s="12">
        <f>IFERROR(1-helper[[#This Row],[Sold]],"")</f>
        <v>1</v>
      </c>
      <c r="BA45" s="6">
        <f>IFERROR(calculationstable[[#This Row],[Total Tokens Over]]/helper[[#This Row],[Purchased]],"")</f>
        <v>9.9839999999999984E-2</v>
      </c>
      <c r="BB45" s="12">
        <f>IFERROR(1-helper[[#This Row],[% Not in exit]],"")</f>
        <v>0.90016000000000007</v>
      </c>
      <c r="BD45" t="str">
        <f ca="1"/>
        <v>ERG</v>
      </c>
      <c r="BE45">
        <f ca="1"/>
        <v>97</v>
      </c>
      <c r="BF45">
        <f ca="1"/>
        <v>21.846</v>
      </c>
      <c r="BG45">
        <f ca="1"/>
        <v>0</v>
      </c>
      <c r="BH45">
        <f ca="1"/>
        <v>-0.77478350515463901</v>
      </c>
      <c r="BK45" s="13"/>
    </row>
    <row r="46" spans="2:63" hidden="1" x14ac:dyDescent="0.25">
      <c r="B46" s="10" t="s">
        <v>399</v>
      </c>
      <c r="C46">
        <v>2.88</v>
      </c>
      <c r="D46">
        <v>24.68</v>
      </c>
      <c r="E46">
        <v>9.238249594813615</v>
      </c>
      <c r="F46">
        <v>228.00000000000003</v>
      </c>
      <c r="G46">
        <v>71.078400000000002</v>
      </c>
      <c r="H46">
        <v>-156.92160000000001</v>
      </c>
      <c r="I46" s="11">
        <v>-0.68825263157894701</v>
      </c>
      <c r="J46" s="11">
        <v>-2.4078100000000002E-2</v>
      </c>
      <c r="K46">
        <v>0</v>
      </c>
      <c r="L46">
        <v>0</v>
      </c>
      <c r="M46">
        <v>0</v>
      </c>
      <c r="N46">
        <v>0</v>
      </c>
      <c r="O46">
        <v>18.476400000000002</v>
      </c>
      <c r="P46">
        <v>4.9359999999999999</v>
      </c>
      <c r="Q46">
        <v>19.744</v>
      </c>
      <c r="R46">
        <v>45.599800000000002</v>
      </c>
      <c r="S46">
        <v>32.3337</v>
      </c>
      <c r="T46">
        <v>3.9488000000000003</v>
      </c>
      <c r="U46">
        <v>15.795199999999999</v>
      </c>
      <c r="V46">
        <v>91.1995</v>
      </c>
      <c r="W46">
        <v>41.571899999999999</v>
      </c>
      <c r="X46">
        <v>3.1590400000000001</v>
      </c>
      <c r="Y46">
        <v>12.63616</v>
      </c>
      <c r="Z46">
        <v>102.1435</v>
      </c>
      <c r="AA46">
        <v>55.429200000000002</v>
      </c>
      <c r="AB46">
        <v>2.5272320000000001</v>
      </c>
      <c r="AC46">
        <v>10.108928000000001</v>
      </c>
      <c r="AD46">
        <v>116.7354</v>
      </c>
      <c r="AE46">
        <v>73.905600000000007</v>
      </c>
      <c r="AF46">
        <v>2.5272320000000001</v>
      </c>
      <c r="AG46">
        <v>7.5816960000000009</v>
      </c>
      <c r="AH46">
        <v>163.42949999999999</v>
      </c>
      <c r="AI46">
        <v>990.13480000000004</v>
      </c>
      <c r="AJ46">
        <v>2.4640512000000001</v>
      </c>
      <c r="AK46">
        <v>273</v>
      </c>
      <c r="AL46" s="10">
        <v>990.13480000000004</v>
      </c>
      <c r="AM46">
        <v>1</v>
      </c>
      <c r="AN46" s="10" t="s">
        <v>13</v>
      </c>
      <c r="AP46">
        <f>IFERROR(HLOOKUP(calculationstable[[#This Row],[Merged]],calculationstable[#All],MATCH(calculationstable[[#This Row],[ticker]],calculationstable[[#All],[ticker]],0),FALSE),"")</f>
        <v>18.476400000000002</v>
      </c>
      <c r="AQ46" t="str">
        <f>IFERROR(IF(AP46&lt;=calculationstable[[#This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THETA</v>
      </c>
      <c r="AR46" t="str">
        <f>IFERROR(IF(LEFT(helper[[#This Row],[take profit feedback]],1)="T","X",""),"")</f>
        <v/>
      </c>
      <c r="AS46" t="str">
        <f>IFERROR(IF(OR(calculationstable[[#This Row],[Selling point 1]]="",calculationstable[[#This Row],[Selling point 1]]=0),"X",""),"")</f>
        <v/>
      </c>
      <c r="AT46" t="str">
        <f>IFERROR(IF(helper[[#This Row],[add to exit]]="","","Add " &amp;calculationstable[[#This Row],[ticker]] &amp;" to Exit Strategy"),"")</f>
        <v/>
      </c>
      <c r="AU46" s="10" t="str">
        <f>IFERROR(IF(OR(calculationstable[[#This Row],[current_price]]="",calculationstable[[#This Row],[current_price]]=0),"Include "&amp;calculationstable[[#This Row],[ticker]]&amp;" in Extra Coins List",""),"")</f>
        <v/>
      </c>
      <c r="AV4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THETA</v>
      </c>
      <c r="AW46" s="6">
        <f>IFERROR(calculationstable[[#This Row],[Current Value]]/SUM(calculationstable[Current Value]),"")</f>
        <v>1.0488324275228029E-3</v>
      </c>
      <c r="AX46" s="10">
        <f>IFERROR(IF((SUMIF(Purchases[Coin],calculationstable[[#This Row],[ticker]],Purchases[No. of coins])=0),NA(),SUMIF(Purchases[Coin],calculationstable[[#This Row],[ticker]],Purchases[No. of coins])),"")</f>
        <v>24.68</v>
      </c>
      <c r="AY46" s="6">
        <f>IFERROR((helper[[#This Row],[Purchased]]-calculationstable[[#This Row],[Coins Held]])/helper[[#This Row],[Purchased]],"")</f>
        <v>0</v>
      </c>
      <c r="AZ46" s="12">
        <f>IFERROR(1-helper[[#This Row],[Sold]],"")</f>
        <v>1</v>
      </c>
      <c r="BA46" s="6">
        <f>IFERROR(calculationstable[[#This Row],[Total Tokens Over]]/helper[[#This Row],[Purchased]],"")</f>
        <v>9.9840000000000012E-2</v>
      </c>
      <c r="BB46" s="12">
        <f>IFERROR(1-helper[[#This Row],[% Not in exit]],"")</f>
        <v>0.90015999999999996</v>
      </c>
      <c r="BD46" t="str">
        <f ca="1"/>
        <v>THETA</v>
      </c>
      <c r="BE46">
        <f ca="1"/>
        <v>228.00000000000003</v>
      </c>
      <c r="BF46">
        <f ca="1"/>
        <v>71.078400000000002</v>
      </c>
      <c r="BG46">
        <f ca="1"/>
        <v>0</v>
      </c>
      <c r="BH46">
        <f ca="1"/>
        <v>-0.68825263157894701</v>
      </c>
    </row>
    <row r="47" spans="2:63" hidden="1" x14ac:dyDescent="0.25">
      <c r="B47" s="10" t="s">
        <v>440</v>
      </c>
      <c r="C47">
        <v>0.166494</v>
      </c>
      <c r="D47">
        <v>118</v>
      </c>
      <c r="E47">
        <v>0.16949152542372881</v>
      </c>
      <c r="F47">
        <v>20</v>
      </c>
      <c r="G47">
        <v>19.646291999999999</v>
      </c>
      <c r="H47">
        <v>-0.35370800000000102</v>
      </c>
      <c r="I47" s="11">
        <v>-1.7685400000000101E-2</v>
      </c>
      <c r="J47" s="11">
        <v>-1.75376E-2</v>
      </c>
      <c r="K47">
        <v>0</v>
      </c>
      <c r="L47">
        <v>0</v>
      </c>
      <c r="M47">
        <v>0</v>
      </c>
      <c r="N47">
        <v>0</v>
      </c>
      <c r="O47">
        <v>0.33900000000000002</v>
      </c>
      <c r="P47">
        <v>23.6</v>
      </c>
      <c r="Q47">
        <v>94.4</v>
      </c>
      <c r="R47">
        <v>4.0002000000000004</v>
      </c>
      <c r="S47">
        <v>0.59330000000000005</v>
      </c>
      <c r="T47">
        <v>18.880000000000003</v>
      </c>
      <c r="U47">
        <v>75.52000000000001</v>
      </c>
      <c r="V47">
        <v>8.0004000000000008</v>
      </c>
      <c r="W47">
        <v>0.76280000000000003</v>
      </c>
      <c r="X47">
        <v>15.104000000000003</v>
      </c>
      <c r="Y47">
        <v>60.416000000000011</v>
      </c>
      <c r="Z47">
        <v>8.9603999999999999</v>
      </c>
      <c r="AA47">
        <v>1.0169999999999999</v>
      </c>
      <c r="AB47">
        <v>12.083200000000003</v>
      </c>
      <c r="AC47">
        <v>48.332800000000006</v>
      </c>
      <c r="AD47">
        <v>10.240500000000001</v>
      </c>
      <c r="AE47">
        <v>1.3560000000000001</v>
      </c>
      <c r="AF47">
        <v>12.083200000000001</v>
      </c>
      <c r="AG47">
        <v>36.249600000000001</v>
      </c>
      <c r="AH47">
        <v>14.3367</v>
      </c>
      <c r="AI47">
        <v>86.858699999999999</v>
      </c>
      <c r="AJ47">
        <v>11.781120000000001</v>
      </c>
      <c r="AK47">
        <v>24</v>
      </c>
      <c r="AL47" s="10">
        <v>86.858699999999999</v>
      </c>
      <c r="AM47">
        <v>1</v>
      </c>
      <c r="AN47" s="10" t="s">
        <v>13</v>
      </c>
      <c r="AP47">
        <f>IFERROR(HLOOKUP(calculationstable[[#This Row],[Merged]],calculationstable[#All],MATCH(calculationstable[[#This Row],[ticker]],calculationstable[[#All],[ticker]],0),FALSE),"")</f>
        <v>0.33900000000000002</v>
      </c>
      <c r="AQ47" t="str">
        <f>IFERROR(IF(AP47&lt;=calculationstable[[#This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TFUEL</v>
      </c>
      <c r="AR47" t="str">
        <f>IFERROR(IF(LEFT(helper[[#This Row],[take profit feedback]],1)="T","X",""),"")</f>
        <v/>
      </c>
      <c r="AS47" t="str">
        <f>IFERROR(IF(OR(calculationstable[[#This Row],[Selling point 1]]="",calculationstable[[#This Row],[Selling point 1]]=0),"X",""),"")</f>
        <v/>
      </c>
      <c r="AT47" t="str">
        <f>IFERROR(IF(helper[[#This Row],[add to exit]]="","","Add " &amp;calculationstable[[#This Row],[ticker]] &amp;" to Exit Strategy"),"")</f>
        <v/>
      </c>
      <c r="AU47" s="10" t="str">
        <f>IFERROR(IF(OR(calculationstable[[#This Row],[current_price]]="",calculationstable[[#This Row],[current_price]]=0),"Include "&amp;calculationstable[[#This Row],[ticker]]&amp;" in Extra Coins List",""),"")</f>
        <v/>
      </c>
      <c r="AV4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TFUEL</v>
      </c>
      <c r="AW47" s="6">
        <f>IFERROR(calculationstable[[#This Row],[Current Value]]/SUM(calculationstable[Current Value]),"")</f>
        <v>2.8990056233935797E-4</v>
      </c>
      <c r="AX47" s="10">
        <f>IFERROR(IF((SUMIF(Purchases[Coin],calculationstable[[#This Row],[ticker]],Purchases[No. of coins])=0),NA(),SUMIF(Purchases[Coin],calculationstable[[#This Row],[ticker]],Purchases[No. of coins])),"")</f>
        <v>118</v>
      </c>
      <c r="AY47" s="6">
        <f>IFERROR((helper[[#This Row],[Purchased]]-calculationstable[[#This Row],[Coins Held]])/helper[[#This Row],[Purchased]],"")</f>
        <v>0</v>
      </c>
      <c r="AZ47" s="12">
        <f>IFERROR(1-helper[[#This Row],[Sold]],"")</f>
        <v>1</v>
      </c>
      <c r="BA47" s="6">
        <f>IFERROR(calculationstable[[#This Row],[Total Tokens Over]]/helper[[#This Row],[Purchased]],"")</f>
        <v>9.9840000000000012E-2</v>
      </c>
      <c r="BB47" s="12">
        <f>IFERROR(1-helper[[#This Row],[% Not in exit]],"")</f>
        <v>0.90015999999999996</v>
      </c>
      <c r="BD47" t="str">
        <f ca="1"/>
        <v>TFUEL</v>
      </c>
      <c r="BE47">
        <f ca="1"/>
        <v>20</v>
      </c>
      <c r="BF47">
        <f ca="1"/>
        <v>19.646291999999999</v>
      </c>
      <c r="BG47">
        <f ca="1"/>
        <v>0</v>
      </c>
      <c r="BH47">
        <f ca="1"/>
        <v>-1.7685400000000101E-2</v>
      </c>
    </row>
    <row r="48" spans="2:63" hidden="1" x14ac:dyDescent="0.25">
      <c r="B48" s="10" t="s">
        <v>410</v>
      </c>
      <c r="C48">
        <v>118.36</v>
      </c>
      <c r="D48">
        <v>1.31</v>
      </c>
      <c r="E48">
        <v>301.52671755725191</v>
      </c>
      <c r="F48">
        <v>395</v>
      </c>
      <c r="G48">
        <v>155.05160000000001</v>
      </c>
      <c r="H48">
        <v>-239.94839999999999</v>
      </c>
      <c r="I48" s="11">
        <v>-0.60746430379746796</v>
      </c>
      <c r="J48" s="11">
        <v>-1.2541200000000001E-2</v>
      </c>
      <c r="K48">
        <v>0</v>
      </c>
      <c r="L48">
        <v>0</v>
      </c>
      <c r="M48">
        <v>0</v>
      </c>
      <c r="N48">
        <v>0</v>
      </c>
      <c r="O48">
        <v>603.05340000000001</v>
      </c>
      <c r="P48">
        <v>0.26200000000000001</v>
      </c>
      <c r="Q48">
        <v>1.048</v>
      </c>
      <c r="R48">
        <v>79</v>
      </c>
      <c r="S48">
        <v>1055.3434999999999</v>
      </c>
      <c r="T48">
        <v>0.20960000000000001</v>
      </c>
      <c r="U48">
        <v>0.83840000000000003</v>
      </c>
      <c r="V48">
        <v>158</v>
      </c>
      <c r="W48">
        <v>1356.8701000000001</v>
      </c>
      <c r="X48">
        <v>0.16768000000000002</v>
      </c>
      <c r="Y48">
        <v>0.67071999999999998</v>
      </c>
      <c r="Z48">
        <v>176.96</v>
      </c>
      <c r="AA48">
        <v>1809.1602</v>
      </c>
      <c r="AB48">
        <v>0.13414400000000001</v>
      </c>
      <c r="AC48">
        <v>0.53657599999999994</v>
      </c>
      <c r="AD48">
        <v>202.24</v>
      </c>
      <c r="AE48">
        <v>2412.2136</v>
      </c>
      <c r="AF48">
        <v>0.13414399999999999</v>
      </c>
      <c r="AG48">
        <v>0.40243199999999996</v>
      </c>
      <c r="AH48">
        <v>283.13600000000002</v>
      </c>
      <c r="AI48">
        <v>1715.3742999999999</v>
      </c>
      <c r="AJ48">
        <v>0.13079039999999997</v>
      </c>
      <c r="AK48">
        <v>473</v>
      </c>
      <c r="AL48" s="10">
        <v>1715.3742999999999</v>
      </c>
      <c r="AM48">
        <v>1</v>
      </c>
      <c r="AN48" s="10" t="s">
        <v>13</v>
      </c>
      <c r="AP48">
        <f>IFERROR(HLOOKUP(calculationstable[[#This Row],[Merged]],calculationstable[#All],MATCH(calculationstable[[#This Row],[ticker]],calculationstable[[#All],[ticker]],0),FALSE),"")</f>
        <v>603.05340000000001</v>
      </c>
      <c r="AQ48" t="str">
        <f>IFERROR(IF(AP48&lt;=calculationstable[[#This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QNT</v>
      </c>
      <c r="AR48" t="str">
        <f>IFERROR(IF(LEFT(helper[[#This Row],[take profit feedback]],1)="T","X",""),"")</f>
        <v/>
      </c>
      <c r="AS48" t="str">
        <f>IFERROR(IF(OR(calculationstable[[#This Row],[Selling point 1]]="",calculationstable[[#This Row],[Selling point 1]]=0),"X",""),"")</f>
        <v/>
      </c>
      <c r="AT48" t="str">
        <f>IFERROR(IF(helper[[#This Row],[add to exit]]="","","Add " &amp;calculationstable[[#This Row],[ticker]] &amp;" to Exit Strategy"),"")</f>
        <v/>
      </c>
      <c r="AU48" s="10" t="str">
        <f>IFERROR(IF(OR(calculationstable[[#This Row],[current_price]]="",calculationstable[[#This Row],[current_price]]=0),"Include "&amp;calculationstable[[#This Row],[ticker]]&amp;" in Extra Coins List",""),"")</f>
        <v/>
      </c>
      <c r="AV4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QNT</v>
      </c>
      <c r="AW48" s="6">
        <f>IFERROR(calculationstable[[#This Row],[Current Value]]/SUM(calculationstable[Current Value]),"")</f>
        <v>2.2879404435003406E-3</v>
      </c>
      <c r="AX48" s="10">
        <f>IFERROR(IF((SUMIF(Purchases[Coin],calculationstable[[#This Row],[ticker]],Purchases[No. of coins])=0),NA(),SUMIF(Purchases[Coin],calculationstable[[#This Row],[ticker]],Purchases[No. of coins])),"")</f>
        <v>1.31</v>
      </c>
      <c r="AY48" s="6">
        <f>IFERROR((helper[[#This Row],[Purchased]]-calculationstable[[#This Row],[Coins Held]])/helper[[#This Row],[Purchased]],"")</f>
        <v>0</v>
      </c>
      <c r="AZ48" s="12">
        <f>IFERROR(1-helper[[#This Row],[Sold]],"")</f>
        <v>1</v>
      </c>
      <c r="BA48" s="6">
        <f>IFERROR(calculationstable[[#This Row],[Total Tokens Over]]/helper[[#This Row],[Purchased]],"")</f>
        <v>9.983999999999997E-2</v>
      </c>
      <c r="BB48" s="12">
        <f>IFERROR(1-helper[[#This Row],[% Not in exit]],"")</f>
        <v>0.90016000000000007</v>
      </c>
      <c r="BD48" t="str">
        <f ca="1"/>
        <v>QNT</v>
      </c>
      <c r="BE48">
        <f ca="1"/>
        <v>395</v>
      </c>
      <c r="BF48">
        <f ca="1"/>
        <v>155.05160000000001</v>
      </c>
      <c r="BG48">
        <f ca="1"/>
        <v>0</v>
      </c>
      <c r="BH48">
        <f ca="1"/>
        <v>-0.60746430379746796</v>
      </c>
    </row>
    <row r="49" spans="2:60" hidden="1" x14ac:dyDescent="0.25">
      <c r="B49" s="10" t="s">
        <v>16</v>
      </c>
      <c r="C49">
        <v>148.57</v>
      </c>
      <c r="D49">
        <v>0.53</v>
      </c>
      <c r="E49">
        <v>381.1320754716981</v>
      </c>
      <c r="F49">
        <v>202</v>
      </c>
      <c r="G49">
        <v>78.742099999999994</v>
      </c>
      <c r="H49">
        <v>-123.25790000000001</v>
      </c>
      <c r="I49" s="11">
        <v>-0.61018762376237601</v>
      </c>
      <c r="J49" s="11">
        <v>2.57066E-2</v>
      </c>
      <c r="K49">
        <v>0</v>
      </c>
      <c r="L49">
        <v>0</v>
      </c>
      <c r="M49">
        <v>0</v>
      </c>
      <c r="N49">
        <v>0</v>
      </c>
      <c r="O49">
        <v>762.26419999999996</v>
      </c>
      <c r="P49">
        <v>0.10600000000000001</v>
      </c>
      <c r="Q49">
        <v>0.42400000000000004</v>
      </c>
      <c r="R49">
        <v>40.4</v>
      </c>
      <c r="S49">
        <v>1333.9623999999999</v>
      </c>
      <c r="T49">
        <v>8.4800000000000014E-2</v>
      </c>
      <c r="U49">
        <v>0.33920000000000006</v>
      </c>
      <c r="V49">
        <v>80.8</v>
      </c>
      <c r="W49">
        <v>1715.0944</v>
      </c>
      <c r="X49">
        <v>6.7840000000000011E-2</v>
      </c>
      <c r="Y49">
        <v>0.27136000000000005</v>
      </c>
      <c r="Z49">
        <v>90.495999999999995</v>
      </c>
      <c r="AA49">
        <v>2286.7926000000002</v>
      </c>
      <c r="AB49">
        <v>5.4272000000000015E-2</v>
      </c>
      <c r="AC49">
        <v>0.21708800000000003</v>
      </c>
      <c r="AD49">
        <v>103.42400000000001</v>
      </c>
      <c r="AE49">
        <v>3049.0567999999998</v>
      </c>
      <c r="AF49">
        <v>5.4272000000000008E-2</v>
      </c>
      <c r="AG49">
        <v>0.16281600000000002</v>
      </c>
      <c r="AH49">
        <v>144.7936</v>
      </c>
      <c r="AI49">
        <v>877.22950000000003</v>
      </c>
      <c r="AJ49">
        <v>5.2915200000000009E-2</v>
      </c>
      <c r="AK49">
        <v>242</v>
      </c>
      <c r="AL49" s="10">
        <v>877.22950000000003</v>
      </c>
      <c r="AM49">
        <v>1</v>
      </c>
      <c r="AN49" s="10" t="s">
        <v>13</v>
      </c>
      <c r="AP49">
        <f>IFERROR(HLOOKUP(calculationstable[[#This Row],[Merged]],calculationstable[#All],MATCH(calculationstable[[#This Row],[ticker]],calculationstable[[#All],[ticker]],0),FALSE),"")</f>
        <v>762.26419999999996</v>
      </c>
      <c r="AQ49" t="str">
        <f>IFERROR(IF(AP49&lt;=calculationstable[[#This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KSM</v>
      </c>
      <c r="AR49" t="str">
        <f>IFERROR(IF(LEFT(helper[[#This Row],[take profit feedback]],1)="T","X",""),"")</f>
        <v/>
      </c>
      <c r="AS49" t="str">
        <f>IFERROR(IF(OR(calculationstable[[#This Row],[Selling point 1]]="",calculationstable[[#This Row],[Selling point 1]]=0),"X",""),"")</f>
        <v/>
      </c>
      <c r="AT49" t="str">
        <f>IFERROR(IF(helper[[#This Row],[add to exit]]="","","Add " &amp;calculationstable[[#This Row],[ticker]] &amp;" to Exit Strategy"),"")</f>
        <v/>
      </c>
      <c r="AU49" s="10" t="str">
        <f>IFERROR(IF(OR(calculationstable[[#This Row],[current_price]]="",calculationstable[[#This Row],[current_price]]=0),"Include "&amp;calculationstable[[#This Row],[ticker]]&amp;" in Extra Coins List",""),"")</f>
        <v/>
      </c>
      <c r="AV4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KSM</v>
      </c>
      <c r="AW49" s="6">
        <f>IFERROR(calculationstable[[#This Row],[Current Value]]/SUM(calculationstable[Current Value]),"")</f>
        <v>1.1619179369716157E-3</v>
      </c>
      <c r="AX49" s="10">
        <f>IFERROR(IF((SUMIF(Purchases[Coin],calculationstable[[#This Row],[ticker]],Purchases[No. of coins])=0),NA(),SUMIF(Purchases[Coin],calculationstable[[#This Row],[ticker]],Purchases[No. of coins])),"")</f>
        <v>0.53</v>
      </c>
      <c r="AY49" s="6">
        <f>IFERROR((helper[[#This Row],[Purchased]]-calculationstable[[#This Row],[Coins Held]])/helper[[#This Row],[Purchased]],"")</f>
        <v>0</v>
      </c>
      <c r="AZ49" s="12">
        <f>IFERROR(1-helper[[#This Row],[Sold]],"")</f>
        <v>1</v>
      </c>
      <c r="BA49" s="6">
        <f>IFERROR(calculationstable[[#This Row],[Total Tokens Over]]/helper[[#This Row],[Purchased]],"")</f>
        <v>9.9840000000000012E-2</v>
      </c>
      <c r="BB49" s="12">
        <f>IFERROR(1-helper[[#This Row],[% Not in exit]],"")</f>
        <v>0.90015999999999996</v>
      </c>
      <c r="BD49" t="str">
        <f ca="1"/>
        <v>KSM</v>
      </c>
      <c r="BE49">
        <f ca="1"/>
        <v>202</v>
      </c>
      <c r="BF49">
        <f ca="1"/>
        <v>78.742099999999994</v>
      </c>
      <c r="BG49">
        <f ca="1"/>
        <v>0</v>
      </c>
      <c r="BH49">
        <f ca="1"/>
        <v>-0.61018762376237601</v>
      </c>
    </row>
    <row r="50" spans="2:60" hidden="1" x14ac:dyDescent="0.25">
      <c r="B50" s="10" t="s">
        <v>500</v>
      </c>
      <c r="C50">
        <v>4.5345450000000002E-2</v>
      </c>
      <c r="D50">
        <v>3239.02</v>
      </c>
      <c r="E50">
        <v>0.1015739328562343</v>
      </c>
      <c r="F50">
        <v>329</v>
      </c>
      <c r="G50">
        <v>146.87481945900001</v>
      </c>
      <c r="H50">
        <v>-182.12518054099999</v>
      </c>
      <c r="I50" s="11">
        <v>-0.55357197732826802</v>
      </c>
      <c r="J50" s="11">
        <v>-3.1512100000000001E-2</v>
      </c>
      <c r="K50">
        <v>0</v>
      </c>
      <c r="L50">
        <v>0</v>
      </c>
      <c r="M50">
        <v>0</v>
      </c>
      <c r="N50">
        <v>0</v>
      </c>
      <c r="O50">
        <v>0.20319999999999999</v>
      </c>
      <c r="P50">
        <v>647.80400000000009</v>
      </c>
      <c r="Q50">
        <v>2591.2159999999999</v>
      </c>
      <c r="R50">
        <v>65.816900000000004</v>
      </c>
      <c r="S50">
        <v>0.35560000000000003</v>
      </c>
      <c r="T50">
        <v>518.2432</v>
      </c>
      <c r="U50">
        <v>2072.9728</v>
      </c>
      <c r="V50">
        <v>131.63380000000001</v>
      </c>
      <c r="W50">
        <v>0.4572</v>
      </c>
      <c r="X50">
        <v>414.59456</v>
      </c>
      <c r="Y50">
        <v>1658.37824</v>
      </c>
      <c r="Z50">
        <v>147.4298</v>
      </c>
      <c r="AA50">
        <v>0.60960000000000003</v>
      </c>
      <c r="AB50">
        <v>331.67564800000002</v>
      </c>
      <c r="AC50">
        <v>1326.7025920000001</v>
      </c>
      <c r="AD50">
        <v>168.49119999999999</v>
      </c>
      <c r="AE50">
        <v>0.81279999999999997</v>
      </c>
      <c r="AF50">
        <v>331.67564800000002</v>
      </c>
      <c r="AG50">
        <v>995.02694400000007</v>
      </c>
      <c r="AH50">
        <v>235.8877</v>
      </c>
      <c r="AI50">
        <v>1429.1215</v>
      </c>
      <c r="AJ50">
        <v>323.38375680000001</v>
      </c>
      <c r="AK50">
        <v>394</v>
      </c>
      <c r="AL50" s="10">
        <v>1429.1215</v>
      </c>
      <c r="AM50">
        <v>1</v>
      </c>
      <c r="AN50" s="10" t="s">
        <v>13</v>
      </c>
      <c r="AP50">
        <f>IFERROR(HLOOKUP(calculationstable[[#This Row],[Merged]],calculationstable[#All],MATCH(calculationstable[[#This Row],[ticker]],calculationstable[[#All],[ticker]],0),FALSE),"")</f>
        <v>0.20319999999999999</v>
      </c>
      <c r="AQ50" t="str">
        <f>IFERROR(IF(AP50&lt;=calculationstable[[#This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HERO</v>
      </c>
      <c r="AR50" t="str">
        <f>IFERROR(IF(LEFT(helper[[#This Row],[take profit feedback]],1)="T","X",""),"")</f>
        <v/>
      </c>
      <c r="AS50" t="str">
        <f>IFERROR(IF(OR(calculationstable[[#This Row],[Selling point 1]]="",calculationstable[[#This Row],[Selling point 1]]=0),"X",""),"")</f>
        <v/>
      </c>
      <c r="AT50" t="str">
        <f>IFERROR(IF(helper[[#This Row],[add to exit]]="","","Add " &amp;calculationstable[[#This Row],[ticker]] &amp;" to Exit Strategy"),"")</f>
        <v/>
      </c>
      <c r="AU50" s="10" t="str">
        <f>IFERROR(IF(OR(calculationstable[[#This Row],[current_price]]="",calculationstable[[#This Row],[current_price]]=0),"Include "&amp;calculationstable[[#This Row],[ticker]]&amp;" in Extra Coins List",""),"")</f>
        <v/>
      </c>
      <c r="AV5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HERO</v>
      </c>
      <c r="AW50" s="6">
        <f>IFERROR(calculationstable[[#This Row],[Current Value]]/SUM(calculationstable[Current Value]),"")</f>
        <v>2.1672839207854478E-3</v>
      </c>
      <c r="AX50" s="10">
        <f>IFERROR(IF((SUMIF(Purchases[Coin],calculationstable[[#This Row],[ticker]],Purchases[No. of coins])=0),NA(),SUMIF(Purchases[Coin],calculationstable[[#This Row],[ticker]],Purchases[No. of coins])),"")</f>
        <v>3239.02</v>
      </c>
      <c r="AY50" s="6">
        <f>IFERROR((helper[[#This Row],[Purchased]]-calculationstable[[#This Row],[Coins Held]])/helper[[#This Row],[Purchased]],"")</f>
        <v>0</v>
      </c>
      <c r="AZ50" s="12">
        <f>IFERROR(1-helper[[#This Row],[Sold]],"")</f>
        <v>1</v>
      </c>
      <c r="BA50" s="6">
        <f>IFERROR(calculationstable[[#This Row],[Total Tokens Over]]/helper[[#This Row],[Purchased]],"")</f>
        <v>9.9839999999999998E-2</v>
      </c>
      <c r="BB50" s="12">
        <f>IFERROR(1-helper[[#This Row],[% Not in exit]],"")</f>
        <v>0.90015999999999996</v>
      </c>
      <c r="BD50" t="str">
        <f ca="1"/>
        <v>HERO</v>
      </c>
      <c r="BE50">
        <f ca="1"/>
        <v>329</v>
      </c>
      <c r="BF50">
        <f ca="1"/>
        <v>146.87481945900001</v>
      </c>
      <c r="BG50">
        <f ca="1"/>
        <v>0</v>
      </c>
      <c r="BH50">
        <f ca="1"/>
        <v>-0.55357197732826802</v>
      </c>
    </row>
    <row r="51" spans="2:60" hidden="1" x14ac:dyDescent="0.25">
      <c r="B51" s="10" t="s">
        <v>624</v>
      </c>
      <c r="C51">
        <v>2.6</v>
      </c>
      <c r="D51">
        <v>254.51</v>
      </c>
      <c r="E51">
        <v>3.0411378727751366</v>
      </c>
      <c r="F51">
        <v>774</v>
      </c>
      <c r="G51">
        <v>661.726</v>
      </c>
      <c r="H51">
        <v>-112.274</v>
      </c>
      <c r="I51" s="11">
        <v>-0.14505684754522</v>
      </c>
      <c r="J51" s="11">
        <v>-4.7516599999999999E-2</v>
      </c>
      <c r="K51">
        <v>0</v>
      </c>
      <c r="L51">
        <v>0</v>
      </c>
      <c r="M51">
        <v>0</v>
      </c>
      <c r="N51">
        <v>0</v>
      </c>
      <c r="O51">
        <v>6.0822000000000003</v>
      </c>
      <c r="P51">
        <v>50.902000000000001</v>
      </c>
      <c r="Q51">
        <v>203.608</v>
      </c>
      <c r="R51">
        <v>154.79810000000001</v>
      </c>
      <c r="S51">
        <v>10.6439</v>
      </c>
      <c r="T51">
        <v>40.721600000000002</v>
      </c>
      <c r="U51">
        <v>162.88640000000001</v>
      </c>
      <c r="V51">
        <v>309.59609999999998</v>
      </c>
      <c r="W51">
        <v>13.685</v>
      </c>
      <c r="X51">
        <v>32.577280000000002</v>
      </c>
      <c r="Y51">
        <v>130.30912000000001</v>
      </c>
      <c r="Z51">
        <v>346.74770000000001</v>
      </c>
      <c r="AA51">
        <v>18.246600000000001</v>
      </c>
      <c r="AB51">
        <v>26.061824000000001</v>
      </c>
      <c r="AC51">
        <v>104.24729600000001</v>
      </c>
      <c r="AD51">
        <v>396.28309999999999</v>
      </c>
      <c r="AE51">
        <v>24.328800000000001</v>
      </c>
      <c r="AF51">
        <v>26.061824000000001</v>
      </c>
      <c r="AG51">
        <v>78.185472000000004</v>
      </c>
      <c r="AH51">
        <v>554.79629999999997</v>
      </c>
      <c r="AI51">
        <v>3361.2233999999999</v>
      </c>
      <c r="AJ51">
        <v>25.410278400000003</v>
      </c>
      <c r="AK51">
        <v>927</v>
      </c>
      <c r="AL51" s="10">
        <v>3361.2233999999999</v>
      </c>
      <c r="AM51">
        <v>1</v>
      </c>
      <c r="AN51" s="10" t="s">
        <v>13</v>
      </c>
      <c r="AP51">
        <f>IFERROR(HLOOKUP(calculationstable[[#This Row],[Merged]],calculationstable[#All],MATCH(calculationstable[[#This Row],[ticker]],calculationstable[[#All],[ticker]],0),FALSE),"")</f>
        <v>6.0822000000000003</v>
      </c>
      <c r="AQ51" t="str">
        <f>IFERROR(IF(AP51&lt;=calculationstable[[#This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RNDR</v>
      </c>
      <c r="AR51" t="str">
        <f>IFERROR(IF(LEFT(helper[[#This Row],[take profit feedback]],1)="T","X",""),"")</f>
        <v/>
      </c>
      <c r="AS51" t="str">
        <f>IFERROR(IF(OR(calculationstable[[#This Row],[Selling point 1]]="",calculationstable[[#This Row],[Selling point 1]]=0),"X",""),"")</f>
        <v/>
      </c>
      <c r="AT51" t="str">
        <f>IFERROR(IF(helper[[#This Row],[add to exit]]="","","Add " &amp;calculationstable[[#This Row],[ticker]] &amp;" to Exit Strategy"),"")</f>
        <v/>
      </c>
      <c r="AU51" s="10" t="str">
        <f>IFERROR(IF(OR(calculationstable[[#This Row],[current_price]]="",calculationstable[[#This Row],[current_price]]=0),"Include "&amp;calculationstable[[#This Row],[ticker]]&amp;" in Extra Coins List",""),"")</f>
        <v/>
      </c>
      <c r="AV5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RNDR</v>
      </c>
      <c r="AW51" s="6">
        <f>IFERROR(calculationstable[[#This Row],[Current Value]]/SUM(calculationstable[Current Value]),"")</f>
        <v>9.7644247328999272E-3</v>
      </c>
      <c r="AX51" s="10">
        <f>IFERROR(IF((SUMIF(Purchases[Coin],calculationstable[[#This Row],[ticker]],Purchases[No. of coins])=0),NA(),SUMIF(Purchases[Coin],calculationstable[[#This Row],[ticker]],Purchases[No. of coins])),"")</f>
        <v>254.51</v>
      </c>
      <c r="AY51" s="6">
        <f>IFERROR((helper[[#This Row],[Purchased]]-calculationstable[[#This Row],[Coins Held]])/helper[[#This Row],[Purchased]],"")</f>
        <v>0</v>
      </c>
      <c r="AZ51" s="12">
        <f>IFERROR(1-helper[[#This Row],[Sold]],"")</f>
        <v>1</v>
      </c>
      <c r="BA51" s="6">
        <f>IFERROR(calculationstable[[#This Row],[Total Tokens Over]]/helper[[#This Row],[Purchased]],"")</f>
        <v>9.9840000000000012E-2</v>
      </c>
      <c r="BB51" s="12">
        <f>IFERROR(1-helper[[#This Row],[% Not in exit]],"")</f>
        <v>0.90015999999999996</v>
      </c>
      <c r="BD51" t="str">
        <f ca="1"/>
        <v>RNDR</v>
      </c>
      <c r="BE51">
        <f ca="1"/>
        <v>774</v>
      </c>
      <c r="BF51">
        <f ca="1"/>
        <v>661.726</v>
      </c>
      <c r="BG51">
        <f ca="1"/>
        <v>0</v>
      </c>
      <c r="BH51">
        <f ca="1"/>
        <v>-0.14505684754522</v>
      </c>
    </row>
    <row r="52" spans="2:60" hidden="1" x14ac:dyDescent="0.25">
      <c r="B52" s="10" t="s">
        <v>925</v>
      </c>
      <c r="C52">
        <v>0.78899300000000006</v>
      </c>
      <c r="D52">
        <v>216</v>
      </c>
      <c r="E52">
        <v>0.46296296296296297</v>
      </c>
      <c r="F52">
        <v>100</v>
      </c>
      <c r="G52">
        <v>170.42248800000002</v>
      </c>
      <c r="H52">
        <v>70.422488000000016</v>
      </c>
      <c r="I52" s="11">
        <v>0.70422488000000005</v>
      </c>
      <c r="J52" s="11">
        <v>0.10345840000000001</v>
      </c>
      <c r="K52">
        <v>0</v>
      </c>
      <c r="L52">
        <v>0</v>
      </c>
      <c r="M52">
        <v>0</v>
      </c>
      <c r="N52">
        <v>0</v>
      </c>
      <c r="O52">
        <v>0.92600000000000005</v>
      </c>
      <c r="P52">
        <v>43.2</v>
      </c>
      <c r="Q52">
        <v>172.8</v>
      </c>
      <c r="R52">
        <v>20.0016</v>
      </c>
      <c r="S52">
        <v>1.6205000000000001</v>
      </c>
      <c r="T52">
        <v>34.56</v>
      </c>
      <c r="U52">
        <v>138.24</v>
      </c>
      <c r="V52">
        <v>40.0032</v>
      </c>
      <c r="W52">
        <v>2.0834999999999999</v>
      </c>
      <c r="X52">
        <v>27.648000000000003</v>
      </c>
      <c r="Y52">
        <v>110.59200000000001</v>
      </c>
      <c r="Z52">
        <v>44.803600000000003</v>
      </c>
      <c r="AA52">
        <v>2.778</v>
      </c>
      <c r="AB52">
        <v>22.118400000000005</v>
      </c>
      <c r="AC52">
        <v>88.473600000000005</v>
      </c>
      <c r="AD52">
        <v>51.204099999999997</v>
      </c>
      <c r="AE52">
        <v>3.7040000000000002</v>
      </c>
      <c r="AF52">
        <v>22.118400000000001</v>
      </c>
      <c r="AG52">
        <v>66.355199999999996</v>
      </c>
      <c r="AH52">
        <v>71.685699999999997</v>
      </c>
      <c r="AI52">
        <v>434.30669999999998</v>
      </c>
      <c r="AJ52">
        <v>21.565439999999999</v>
      </c>
      <c r="AK52">
        <v>120</v>
      </c>
      <c r="AL52" s="10">
        <v>434.30669999999998</v>
      </c>
      <c r="AM52">
        <v>1</v>
      </c>
      <c r="AN52" s="10" t="s">
        <v>13</v>
      </c>
      <c r="AP52">
        <f>IFERROR(HLOOKUP(calculationstable[[#This Row],[Merged]],calculationstable[#All],MATCH(calculationstable[[#This Row],[ticker]],calculationstable[[#All],[ticker]],0),FALSE),"")</f>
        <v>0.92600000000000005</v>
      </c>
      <c r="AQ52" t="str">
        <f>IFERROR(IF(AP52&lt;=calculationstable[[#This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OGN</v>
      </c>
      <c r="AR52" t="str">
        <f>IFERROR(IF(LEFT(helper[[#This Row],[take profit feedback]],1)="T","X",""),"")</f>
        <v/>
      </c>
      <c r="AS52" t="str">
        <f>IFERROR(IF(OR(calculationstable[[#This Row],[Selling point 1]]="",calculationstable[[#This Row],[Selling point 1]]=0),"X",""),"")</f>
        <v/>
      </c>
      <c r="AT52" t="str">
        <f>IFERROR(IF(helper[[#This Row],[add to exit]]="","","Add " &amp;calculationstable[[#This Row],[ticker]] &amp;" to Exit Strategy"),"")</f>
        <v/>
      </c>
      <c r="AU52" s="10" t="str">
        <f>IFERROR(IF(OR(calculationstable[[#This Row],[current_price]]="",calculationstable[[#This Row],[current_price]]=0),"Include "&amp;calculationstable[[#This Row],[ticker]]&amp;" in Extra Coins List",""),"")</f>
        <v/>
      </c>
      <c r="AV5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OGN</v>
      </c>
      <c r="AW52" s="6">
        <f>IFERROR(calculationstable[[#This Row],[Current Value]]/SUM(calculationstable[Current Value]),"")</f>
        <v>2.5147531710550007E-3</v>
      </c>
      <c r="AX52" s="10">
        <f>IFERROR(IF((SUMIF(Purchases[Coin],calculationstable[[#This Row],[ticker]],Purchases[No. of coins])=0),NA(),SUMIF(Purchases[Coin],calculationstable[[#This Row],[ticker]],Purchases[No. of coins])),"")</f>
        <v>216</v>
      </c>
      <c r="AY52" s="6">
        <f>IFERROR((helper[[#This Row],[Purchased]]-calculationstable[[#This Row],[Coins Held]])/helper[[#This Row],[Purchased]],"")</f>
        <v>0</v>
      </c>
      <c r="AZ52" s="12">
        <f>IFERROR(1-helper[[#This Row],[Sold]],"")</f>
        <v>1</v>
      </c>
      <c r="BA52" s="6">
        <f>IFERROR(calculationstable[[#This Row],[Total Tokens Over]]/helper[[#This Row],[Purchased]],"")</f>
        <v>9.9839999999999998E-2</v>
      </c>
      <c r="BB52" s="12">
        <f>IFERROR(1-helper[[#This Row],[% Not in exit]],"")</f>
        <v>0.90015999999999996</v>
      </c>
      <c r="BD52" t="str">
        <f ca="1"/>
        <v>OGN</v>
      </c>
      <c r="BE52">
        <f ca="1"/>
        <v>100</v>
      </c>
      <c r="BF52">
        <f ca="1"/>
        <v>170.42248800000002</v>
      </c>
      <c r="BG52">
        <f ca="1"/>
        <v>0</v>
      </c>
      <c r="BH52">
        <f ca="1"/>
        <v>0.70422488000000005</v>
      </c>
    </row>
    <row r="53" spans="2:60" hidden="1" x14ac:dyDescent="0.25">
      <c r="B53" s="10" t="s">
        <v>778</v>
      </c>
      <c r="C53">
        <v>6.2569E-2</v>
      </c>
      <c r="D53">
        <v>177.97</v>
      </c>
      <c r="E53">
        <v>0.44951396302747654</v>
      </c>
      <c r="F53">
        <v>80</v>
      </c>
      <c r="G53">
        <v>11.13540493</v>
      </c>
      <c r="H53">
        <v>-68.864595070000007</v>
      </c>
      <c r="I53" s="11">
        <v>-0.86080743837499996</v>
      </c>
      <c r="J53" s="11">
        <v>-9.1360666035238389E-2</v>
      </c>
      <c r="K53">
        <v>0</v>
      </c>
      <c r="L53">
        <v>0</v>
      </c>
      <c r="M53">
        <v>0</v>
      </c>
      <c r="N53">
        <v>0</v>
      </c>
      <c r="O53">
        <v>0.89900000000000002</v>
      </c>
      <c r="P53">
        <v>35.594000000000001</v>
      </c>
      <c r="Q53">
        <v>142.376</v>
      </c>
      <c r="R53">
        <v>15.999499999999999</v>
      </c>
      <c r="S53">
        <v>1.5732999999999999</v>
      </c>
      <c r="T53">
        <v>28.475200000000001</v>
      </c>
      <c r="U53">
        <v>113.9008</v>
      </c>
      <c r="V53">
        <v>31.998999999999999</v>
      </c>
      <c r="W53">
        <v>2.0228000000000002</v>
      </c>
      <c r="X53">
        <v>22.780160000000002</v>
      </c>
      <c r="Y53">
        <v>91.120640000000009</v>
      </c>
      <c r="Z53">
        <v>35.838900000000002</v>
      </c>
      <c r="AA53">
        <v>2.6970000000000001</v>
      </c>
      <c r="AB53">
        <v>18.224128000000004</v>
      </c>
      <c r="AC53">
        <v>72.896512000000001</v>
      </c>
      <c r="AD53">
        <v>40.9587</v>
      </c>
      <c r="AE53">
        <v>3.5960000000000001</v>
      </c>
      <c r="AF53">
        <v>18.224128</v>
      </c>
      <c r="AG53">
        <v>54.672384000000001</v>
      </c>
      <c r="AH53">
        <v>57.342199999999998</v>
      </c>
      <c r="AI53">
        <v>347.40679999999998</v>
      </c>
      <c r="AJ53">
        <v>17.768524800000002</v>
      </c>
      <c r="AK53">
        <v>96</v>
      </c>
      <c r="AL53" s="10">
        <v>347.40679999999998</v>
      </c>
      <c r="AM53">
        <v>1</v>
      </c>
      <c r="AN53" s="10" t="s">
        <v>13</v>
      </c>
      <c r="AP53">
        <f>IFERROR(HLOOKUP(calculationstable[[#This Row],[Merged]],calculationstable[#All],MATCH(calculationstable[[#This Row],[ticker]],calculationstable[[#All],[ticker]],0),FALSE),"")</f>
        <v>0.89900000000000002</v>
      </c>
      <c r="AQ53" t="str">
        <f>IFERROR(IF(AP53&lt;=calculationstable[[#This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KYL</v>
      </c>
      <c r="AR53" t="str">
        <f>IFERROR(IF(LEFT(helper[[#This Row],[take profit feedback]],1)="T","X",""),"")</f>
        <v/>
      </c>
      <c r="AS53" t="str">
        <f>IFERROR(IF(OR(calculationstable[[#This Row],[Selling point 1]]="",calculationstable[[#This Row],[Selling point 1]]=0),"X",""),"")</f>
        <v/>
      </c>
      <c r="AT53" t="str">
        <f>IFERROR(IF(helper[[#This Row],[add to exit]]="","","Add " &amp;calculationstable[[#This Row],[ticker]] &amp;" to Exit Strategy"),"")</f>
        <v/>
      </c>
      <c r="AU53" s="10" t="str">
        <f>IFERROR(IF(OR(calculationstable[[#This Row],[current_price]]="",calculationstable[[#This Row],[current_price]]=0),"Include "&amp;calculationstable[[#This Row],[ticker]]&amp;" in Extra Coins List",""),"")</f>
        <v/>
      </c>
      <c r="AV5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KYL</v>
      </c>
      <c r="AW53" s="6">
        <f>IFERROR(calculationstable[[#This Row],[Current Value]]/SUM(calculationstable[Current Value]),"")</f>
        <v>1.6431396576430091E-4</v>
      </c>
      <c r="AX53" s="10">
        <f>IFERROR(IF((SUMIF(Purchases[Coin],calculationstable[[#This Row],[ticker]],Purchases[No. of coins])=0),NA(),SUMIF(Purchases[Coin],calculationstable[[#This Row],[ticker]],Purchases[No. of coins])),"")</f>
        <v>177.97</v>
      </c>
      <c r="AY53" s="6">
        <f>IFERROR((helper[[#This Row],[Purchased]]-calculationstable[[#This Row],[Coins Held]])/helper[[#This Row],[Purchased]],"")</f>
        <v>0</v>
      </c>
      <c r="AZ53" s="12">
        <f>IFERROR(1-helper[[#This Row],[Sold]],"")</f>
        <v>1</v>
      </c>
      <c r="BA53" s="6">
        <f>IFERROR(calculationstable[[#This Row],[Total Tokens Over]]/helper[[#This Row],[Purchased]],"")</f>
        <v>9.9840000000000012E-2</v>
      </c>
      <c r="BB53" s="12">
        <f>IFERROR(1-helper[[#This Row],[% Not in exit]],"")</f>
        <v>0.90015999999999996</v>
      </c>
      <c r="BD53" t="str">
        <f ca="1"/>
        <v>KYL</v>
      </c>
      <c r="BE53">
        <f ca="1"/>
        <v>80</v>
      </c>
      <c r="BF53">
        <f ca="1"/>
        <v>11.13540493</v>
      </c>
      <c r="BG53">
        <f ca="1"/>
        <v>0</v>
      </c>
      <c r="BH53">
        <f ca="1"/>
        <v>-0.86080743837499996</v>
      </c>
    </row>
    <row r="54" spans="2:60" hidden="1" x14ac:dyDescent="0.25">
      <c r="B54" s="10" t="s">
        <v>689</v>
      </c>
      <c r="C54">
        <v>1.49</v>
      </c>
      <c r="D54">
        <v>58.32</v>
      </c>
      <c r="E54">
        <v>1.5432098765432098</v>
      </c>
      <c r="F54">
        <v>90</v>
      </c>
      <c r="G54">
        <v>86.896799999999999</v>
      </c>
      <c r="H54">
        <v>-3.1032000000000011</v>
      </c>
      <c r="I54" s="11">
        <v>-3.4479999999999997E-2</v>
      </c>
      <c r="J54" s="11">
        <v>-6.5480399999999994E-2</v>
      </c>
      <c r="K54">
        <v>0</v>
      </c>
      <c r="L54">
        <v>0</v>
      </c>
      <c r="M54">
        <v>0</v>
      </c>
      <c r="N54">
        <v>0</v>
      </c>
      <c r="O54">
        <v>3.0863999999999998</v>
      </c>
      <c r="P54">
        <v>11.664000000000001</v>
      </c>
      <c r="Q54">
        <v>46.655999999999999</v>
      </c>
      <c r="R54">
        <v>17.9999</v>
      </c>
      <c r="S54">
        <v>5.4012000000000002</v>
      </c>
      <c r="T54">
        <v>9.3312000000000008</v>
      </c>
      <c r="U54">
        <v>37.324799999999996</v>
      </c>
      <c r="V54">
        <v>35.9998</v>
      </c>
      <c r="W54">
        <v>6.9443999999999999</v>
      </c>
      <c r="X54">
        <v>7.4649599999999996</v>
      </c>
      <c r="Y54">
        <v>29.859839999999998</v>
      </c>
      <c r="Z54">
        <v>40.319699999999997</v>
      </c>
      <c r="AA54">
        <v>9.2591999999999999</v>
      </c>
      <c r="AB54">
        <v>5.9719680000000004</v>
      </c>
      <c r="AC54">
        <v>23.887871999999998</v>
      </c>
      <c r="AD54">
        <v>46.079700000000003</v>
      </c>
      <c r="AE54">
        <v>12.345599999999999</v>
      </c>
      <c r="AF54">
        <v>5.9719679999999995</v>
      </c>
      <c r="AG54">
        <v>17.915903999999998</v>
      </c>
      <c r="AH54">
        <v>64.511600000000001</v>
      </c>
      <c r="AI54">
        <v>390.84230000000002</v>
      </c>
      <c r="AJ54">
        <v>5.8226687999999989</v>
      </c>
      <c r="AK54">
        <v>108</v>
      </c>
      <c r="AL54" s="10">
        <v>390.84230000000002</v>
      </c>
      <c r="AM54">
        <v>1</v>
      </c>
      <c r="AN54" s="10" t="s">
        <v>13</v>
      </c>
      <c r="AP54">
        <f>IFERROR(HLOOKUP(calculationstable[[#This Row],[Merged]],calculationstable[#All],MATCH(calculationstable[[#This Row],[ticker]],calculationstable[[#All],[ticker]],0),FALSE),"")</f>
        <v>3.0863999999999998</v>
      </c>
      <c r="AQ54" t="str">
        <f>IFERROR(IF(AP54&lt;=calculationstable[[#This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LOOKS</v>
      </c>
      <c r="AR54" t="str">
        <f>IFERROR(IF(LEFT(helper[[#This Row],[take profit feedback]],1)="T","X",""),"")</f>
        <v/>
      </c>
      <c r="AS54" t="str">
        <f>IFERROR(IF(OR(calculationstable[[#This Row],[Selling point 1]]="",calculationstable[[#This Row],[Selling point 1]]=0),"X",""),"")</f>
        <v/>
      </c>
      <c r="AT54" t="str">
        <f>IFERROR(IF(helper[[#This Row],[add to exit]]="","","Add " &amp;calculationstable[[#This Row],[ticker]] &amp;" to Exit Strategy"),"")</f>
        <v/>
      </c>
      <c r="AU54" s="10" t="str">
        <f>IFERROR(IF(OR(calculationstable[[#This Row],[current_price]]="",calculationstable[[#This Row],[current_price]]=0),"Include "&amp;calculationstable[[#This Row],[ticker]]&amp;" in Extra Coins List",""),"")</f>
        <v/>
      </c>
      <c r="AV5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LOOKS</v>
      </c>
      <c r="AW54" s="6">
        <f>IFERROR(calculationstable[[#This Row],[Current Value]]/SUM(calculationstable[Current Value]),"")</f>
        <v>1.2822486393610927E-3</v>
      </c>
      <c r="AX54" s="10">
        <f>IFERROR(IF((SUMIF(Purchases[Coin],calculationstable[[#This Row],[ticker]],Purchases[No. of coins])=0),NA(),SUMIF(Purchases[Coin],calculationstable[[#This Row],[ticker]],Purchases[No. of coins])),"")</f>
        <v>58.32</v>
      </c>
      <c r="AY54" s="6">
        <f>IFERROR((helper[[#This Row],[Purchased]]-calculationstable[[#This Row],[Coins Held]])/helper[[#This Row],[Purchased]],"")</f>
        <v>0</v>
      </c>
      <c r="AZ54" s="12">
        <f>IFERROR(1-helper[[#This Row],[Sold]],"")</f>
        <v>1</v>
      </c>
      <c r="BA54" s="6">
        <f>IFERROR(calculationstable[[#This Row],[Total Tokens Over]]/helper[[#This Row],[Purchased]],"")</f>
        <v>9.9839999999999984E-2</v>
      </c>
      <c r="BB54" s="12">
        <f>IFERROR(1-helper[[#This Row],[% Not in exit]],"")</f>
        <v>0.90016000000000007</v>
      </c>
      <c r="BD54" t="str">
        <f ca="1"/>
        <v>LOOKS</v>
      </c>
      <c r="BE54">
        <f ca="1"/>
        <v>90</v>
      </c>
      <c r="BF54">
        <f ca="1"/>
        <v>86.896799999999999</v>
      </c>
      <c r="BG54">
        <f ca="1"/>
        <v>0</v>
      </c>
      <c r="BH54">
        <f ca="1"/>
        <v>-3.4479999999999997E-2</v>
      </c>
    </row>
    <row r="55" spans="2:60" hidden="1" x14ac:dyDescent="0.25">
      <c r="B55" s="10" t="s">
        <v>498</v>
      </c>
      <c r="C55">
        <v>2.64</v>
      </c>
      <c r="D55">
        <v>35.74</v>
      </c>
      <c r="E55">
        <v>8.9535534415221036</v>
      </c>
      <c r="F55">
        <v>320</v>
      </c>
      <c r="G55">
        <v>94.353600000000014</v>
      </c>
      <c r="H55">
        <v>-225.64639999999997</v>
      </c>
      <c r="I55" s="11">
        <v>-0.70514500000000002</v>
      </c>
      <c r="J55" s="11">
        <v>-1.56159E-2</v>
      </c>
      <c r="K55">
        <v>0</v>
      </c>
      <c r="L55">
        <v>0</v>
      </c>
      <c r="M55">
        <v>0</v>
      </c>
      <c r="N55">
        <v>0</v>
      </c>
      <c r="O55">
        <v>17.9072</v>
      </c>
      <c r="P55">
        <v>7.1480000000000006</v>
      </c>
      <c r="Q55">
        <v>28.592000000000002</v>
      </c>
      <c r="R55">
        <v>64.000299999999996</v>
      </c>
      <c r="S55">
        <v>31.337599999999998</v>
      </c>
      <c r="T55">
        <v>5.7184000000000008</v>
      </c>
      <c r="U55">
        <v>22.873600000000003</v>
      </c>
      <c r="V55">
        <v>128.00069999999999</v>
      </c>
      <c r="W55">
        <v>40.291200000000003</v>
      </c>
      <c r="X55">
        <v>4.574720000000001</v>
      </c>
      <c r="Y55">
        <v>18.298880000000004</v>
      </c>
      <c r="Z55">
        <v>143.36070000000001</v>
      </c>
      <c r="AA55">
        <v>53.721600000000002</v>
      </c>
      <c r="AB55">
        <v>3.6597760000000008</v>
      </c>
      <c r="AC55">
        <v>14.639104000000003</v>
      </c>
      <c r="AD55">
        <v>163.8409</v>
      </c>
      <c r="AE55">
        <v>71.628799999999998</v>
      </c>
      <c r="AF55">
        <v>3.6597760000000008</v>
      </c>
      <c r="AG55">
        <v>10.979328000000002</v>
      </c>
      <c r="AH55">
        <v>229.37719999999999</v>
      </c>
      <c r="AI55">
        <v>1389.6776</v>
      </c>
      <c r="AJ55">
        <v>3.5682816000000006</v>
      </c>
      <c r="AK55">
        <v>383</v>
      </c>
      <c r="AL55" s="10">
        <v>1389.6776</v>
      </c>
      <c r="AM55">
        <v>1</v>
      </c>
      <c r="AN55" s="10" t="s">
        <v>13</v>
      </c>
      <c r="AP55">
        <f>IFERROR(HLOOKUP(calculationstable[[#This Row],[Merged]],calculationstable[#All],MATCH(calculationstable[[#This Row],[ticker]],calculationstable[[#All],[ticker]],0),FALSE),"")</f>
        <v>17.9072</v>
      </c>
      <c r="AQ55" t="str">
        <f>IFERROR(IF(AP55&lt;=calculationstable[[#This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SRM</v>
      </c>
      <c r="AR55" t="str">
        <f>IFERROR(IF(LEFT(helper[[#This Row],[take profit feedback]],1)="T","X",""),"")</f>
        <v/>
      </c>
      <c r="AS55" t="str">
        <f>IFERROR(IF(OR(calculationstable[[#This Row],[Selling point 1]]="",calculationstable[[#This Row],[Selling point 1]]=0),"X",""),"")</f>
        <v/>
      </c>
      <c r="AT55" t="str">
        <f>IFERROR(IF(helper[[#This Row],[add to exit]]="","","Add " &amp;calculationstable[[#This Row],[ticker]] &amp;" to Exit Strategy"),"")</f>
        <v/>
      </c>
      <c r="AU55" s="10" t="str">
        <f>IFERROR(IF(OR(calculationstable[[#This Row],[current_price]]="",calculationstable[[#This Row],[current_price]]=0),"Include "&amp;calculationstable[[#This Row],[ticker]]&amp;" in Extra Coins List",""),"")</f>
        <v/>
      </c>
      <c r="AV5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SRM</v>
      </c>
      <c r="AW55" s="6">
        <f>IFERROR(calculationstable[[#This Row],[Current Value]]/SUM(calculationstable[Current Value]),"")</f>
        <v>1.392281133699064E-3</v>
      </c>
      <c r="AX55" s="10">
        <f>IFERROR(IF((SUMIF(Purchases[Coin],calculationstable[[#This Row],[ticker]],Purchases[No. of coins])=0),NA(),SUMIF(Purchases[Coin],calculationstable[[#This Row],[ticker]],Purchases[No. of coins])),"")</f>
        <v>35.74</v>
      </c>
      <c r="AY55" s="6">
        <f>IFERROR((helper[[#This Row],[Purchased]]-calculationstable[[#This Row],[Coins Held]])/helper[[#This Row],[Purchased]],"")</f>
        <v>0</v>
      </c>
      <c r="AZ55" s="12">
        <f>IFERROR(1-helper[[#This Row],[Sold]],"")</f>
        <v>1</v>
      </c>
      <c r="BA55" s="6">
        <f>IFERROR(calculationstable[[#This Row],[Total Tokens Over]]/helper[[#This Row],[Purchased]],"")</f>
        <v>9.9840000000000012E-2</v>
      </c>
      <c r="BB55" s="12">
        <f>IFERROR(1-helper[[#This Row],[% Not in exit]],"")</f>
        <v>0.90015999999999996</v>
      </c>
      <c r="BD55" t="str">
        <f ca="1"/>
        <v>SRM</v>
      </c>
      <c r="BE55">
        <f ca="1"/>
        <v>320</v>
      </c>
      <c r="BF55">
        <f ca="1"/>
        <v>94.353600000000014</v>
      </c>
      <c r="BG55">
        <f ca="1"/>
        <v>0</v>
      </c>
      <c r="BH55">
        <f ca="1"/>
        <v>-0.70514500000000002</v>
      </c>
    </row>
    <row r="56" spans="2:60" hidden="1" x14ac:dyDescent="0.25">
      <c r="B56" s="10" t="s">
        <v>697</v>
      </c>
      <c r="C56">
        <v>0.54863300000000004</v>
      </c>
      <c r="D56">
        <v>130</v>
      </c>
      <c r="E56">
        <v>0.7615384615384615</v>
      </c>
      <c r="F56">
        <v>99</v>
      </c>
      <c r="G56">
        <v>71.32229000000001</v>
      </c>
      <c r="H56">
        <v>-27.67770999999999</v>
      </c>
      <c r="I56" s="11">
        <v>-0.27957282828282798</v>
      </c>
      <c r="J56" s="11">
        <v>8.1647000000000004E-3</v>
      </c>
      <c r="K56">
        <v>0</v>
      </c>
      <c r="L56">
        <v>0</v>
      </c>
      <c r="M56">
        <v>0</v>
      </c>
      <c r="N56">
        <v>0</v>
      </c>
      <c r="O56">
        <v>1.5229999999999999</v>
      </c>
      <c r="P56">
        <v>26</v>
      </c>
      <c r="Q56">
        <v>104</v>
      </c>
      <c r="R56">
        <v>19.798999999999999</v>
      </c>
      <c r="S56">
        <v>2.6652</v>
      </c>
      <c r="T56">
        <v>20.8</v>
      </c>
      <c r="U56">
        <v>83.2</v>
      </c>
      <c r="V56">
        <v>39.597999999999999</v>
      </c>
      <c r="W56">
        <v>3.4266999999999999</v>
      </c>
      <c r="X56">
        <v>16.64</v>
      </c>
      <c r="Y56">
        <v>66.56</v>
      </c>
      <c r="Z56">
        <v>44.349800000000002</v>
      </c>
      <c r="AA56">
        <v>4.569</v>
      </c>
      <c r="AB56">
        <v>13.312000000000001</v>
      </c>
      <c r="AC56">
        <v>53.248000000000005</v>
      </c>
      <c r="AD56">
        <v>50.685400000000001</v>
      </c>
      <c r="AE56">
        <v>6.0919999999999996</v>
      </c>
      <c r="AF56">
        <v>13.312000000000001</v>
      </c>
      <c r="AG56">
        <v>39.936000000000007</v>
      </c>
      <c r="AH56">
        <v>70.959599999999995</v>
      </c>
      <c r="AI56">
        <v>429.9076</v>
      </c>
      <c r="AJ56">
        <v>12.979200000000002</v>
      </c>
      <c r="AK56">
        <v>119</v>
      </c>
      <c r="AL56" s="10">
        <v>429.9076</v>
      </c>
      <c r="AM56">
        <v>1</v>
      </c>
      <c r="AN56" s="10" t="s">
        <v>13</v>
      </c>
      <c r="AP56">
        <f>IFERROR(HLOOKUP(calculationstable[[#This Row],[Merged]],calculationstable[#All],MATCH(calculationstable[[#This Row],[ticker]],calculationstable[[#All],[ticker]],0),FALSE),"")</f>
        <v>1.5229999999999999</v>
      </c>
      <c r="AQ56" t="str">
        <f>IFERROR(IF(AP56&lt;=calculationstable[[#This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SYS</v>
      </c>
      <c r="AR56" t="str">
        <f>IFERROR(IF(LEFT(helper[[#This Row],[take profit feedback]],1)="T","X",""),"")</f>
        <v/>
      </c>
      <c r="AS56" t="str">
        <f>IFERROR(IF(OR(calculationstable[[#This Row],[Selling point 1]]="",calculationstable[[#This Row],[Selling point 1]]=0),"X",""),"")</f>
        <v/>
      </c>
      <c r="AT56" t="str">
        <f>IFERROR(IF(helper[[#This Row],[add to exit]]="","","Add " &amp;calculationstable[[#This Row],[ticker]] &amp;" to Exit Strategy"),"")</f>
        <v/>
      </c>
      <c r="AU56" s="10" t="str">
        <f>IFERROR(IF(OR(calculationstable[[#This Row],[current_price]]="",calculationstable[[#This Row],[current_price]]=0),"Include "&amp;calculationstable[[#This Row],[ticker]]&amp;" in Extra Coins List",""),"")</f>
        <v/>
      </c>
      <c r="AV5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SYS</v>
      </c>
      <c r="AW56" s="6">
        <f>IFERROR(calculationstable[[#This Row],[Current Value]]/SUM(calculationstable[Current Value]),"")</f>
        <v>1.0524312668431666E-3</v>
      </c>
      <c r="AX56" s="10">
        <f>IFERROR(IF((SUMIF(Purchases[Coin],calculationstable[[#This Row],[ticker]],Purchases[No. of coins])=0),NA(),SUMIF(Purchases[Coin],calculationstable[[#This Row],[ticker]],Purchases[No. of coins])),"")</f>
        <v>130</v>
      </c>
      <c r="AY56" s="6">
        <f>IFERROR((helper[[#This Row],[Purchased]]-calculationstable[[#This Row],[Coins Held]])/helper[[#This Row],[Purchased]],"")</f>
        <v>0</v>
      </c>
      <c r="AZ56" s="12">
        <f>IFERROR(1-helper[[#This Row],[Sold]],"")</f>
        <v>1</v>
      </c>
      <c r="BA56" s="6">
        <f>IFERROR(calculationstable[[#This Row],[Total Tokens Over]]/helper[[#This Row],[Purchased]],"")</f>
        <v>9.9840000000000012E-2</v>
      </c>
      <c r="BB56" s="12">
        <f>IFERROR(1-helper[[#This Row],[% Not in exit]],"")</f>
        <v>0.90015999999999996</v>
      </c>
      <c r="BD56" t="str">
        <f ca="1"/>
        <v>SYS</v>
      </c>
      <c r="BE56">
        <f ca="1"/>
        <v>99</v>
      </c>
      <c r="BF56">
        <f ca="1"/>
        <v>71.32229000000001</v>
      </c>
      <c r="BG56">
        <f ca="1"/>
        <v>0</v>
      </c>
      <c r="BH56">
        <f ca="1"/>
        <v>-0.27957282828282798</v>
      </c>
    </row>
    <row r="57" spans="2:60" hidden="1" x14ac:dyDescent="0.25">
      <c r="B57" s="10" t="s">
        <v>463</v>
      </c>
      <c r="C57">
        <v>2.7</v>
      </c>
      <c r="D57">
        <v>32.21</v>
      </c>
      <c r="E57">
        <v>8.6929524992238427</v>
      </c>
      <c r="F57">
        <v>280</v>
      </c>
      <c r="G57">
        <v>86.967000000000013</v>
      </c>
      <c r="H57">
        <v>-193.03299999999999</v>
      </c>
      <c r="I57" s="11">
        <v>-0.689403571428571</v>
      </c>
      <c r="J57" s="11">
        <v>-4.9889200000000002E-2</v>
      </c>
      <c r="K57">
        <v>0</v>
      </c>
      <c r="L57">
        <v>0</v>
      </c>
      <c r="M57">
        <v>0</v>
      </c>
      <c r="N57">
        <v>0</v>
      </c>
      <c r="O57">
        <v>17.385999999999999</v>
      </c>
      <c r="P57">
        <v>6.4420000000000002</v>
      </c>
      <c r="Q57">
        <v>25.768000000000001</v>
      </c>
      <c r="R57">
        <v>56.000300000000003</v>
      </c>
      <c r="S57">
        <v>30.4255</v>
      </c>
      <c r="T57">
        <v>5.1536000000000008</v>
      </c>
      <c r="U57">
        <v>20.6144</v>
      </c>
      <c r="V57">
        <v>112.00060000000001</v>
      </c>
      <c r="W57">
        <v>39.118499999999997</v>
      </c>
      <c r="X57">
        <v>4.1228800000000003</v>
      </c>
      <c r="Y57">
        <v>16.491520000000001</v>
      </c>
      <c r="Z57">
        <v>125.44070000000001</v>
      </c>
      <c r="AA57">
        <v>52.158000000000001</v>
      </c>
      <c r="AB57">
        <v>3.2983040000000003</v>
      </c>
      <c r="AC57">
        <v>13.193216000000001</v>
      </c>
      <c r="AD57">
        <v>143.36080000000001</v>
      </c>
      <c r="AE57">
        <v>69.543999999999997</v>
      </c>
      <c r="AF57">
        <v>3.2983040000000003</v>
      </c>
      <c r="AG57">
        <v>9.8949120000000015</v>
      </c>
      <c r="AH57">
        <v>200.70509999999999</v>
      </c>
      <c r="AI57">
        <v>1215.9682</v>
      </c>
      <c r="AJ57">
        <v>3.2158464000000007</v>
      </c>
      <c r="AK57">
        <v>335</v>
      </c>
      <c r="AL57" s="10">
        <v>1215.9682</v>
      </c>
      <c r="AM57">
        <v>1</v>
      </c>
      <c r="AN57" s="10" t="s">
        <v>13</v>
      </c>
      <c r="AP57">
        <f>IFERROR(HLOOKUP(calculationstable[[#This Row],[Merged]],calculationstable[#All],MATCH(calculationstable[[#This Row],[ticker]],calculationstable[[#All],[ticker]],0),FALSE),"")</f>
        <v>17.385999999999999</v>
      </c>
      <c r="AQ57" t="str">
        <f>IFERROR(IF(AP57&lt;=calculationstable[[#This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RAY</v>
      </c>
      <c r="AR57" t="str">
        <f>IFERROR(IF(LEFT(helper[[#This Row],[take profit feedback]],1)="T","X",""),"")</f>
        <v/>
      </c>
      <c r="AS57" t="str">
        <f>IFERROR(IF(OR(calculationstable[[#This Row],[Selling point 1]]="",calculationstable[[#This Row],[Selling point 1]]=0),"X",""),"")</f>
        <v/>
      </c>
      <c r="AT57" t="str">
        <f>IFERROR(IF(helper[[#This Row],[add to exit]]="","","Add " &amp;calculationstable[[#This Row],[ticker]] &amp;" to Exit Strategy"),"")</f>
        <v/>
      </c>
      <c r="AU57" s="10" t="str">
        <f>IFERROR(IF(OR(calculationstable[[#This Row],[current_price]]="",calculationstable[[#This Row],[current_price]]=0),"Include "&amp;calculationstable[[#This Row],[ticker]]&amp;" in Extra Coins List",""),"")</f>
        <v/>
      </c>
      <c r="AV5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RAY</v>
      </c>
      <c r="AW57" s="6">
        <f>IFERROR(calculationstable[[#This Row],[Current Value]]/SUM(calculationstable[Current Value]),"")</f>
        <v>1.2832845101236889E-3</v>
      </c>
      <c r="AX57" s="10">
        <f>IFERROR(IF((SUMIF(Purchases[Coin],calculationstable[[#This Row],[ticker]],Purchases[No. of coins])=0),NA(),SUMIF(Purchases[Coin],calculationstable[[#This Row],[ticker]],Purchases[No. of coins])),"")</f>
        <v>32.21</v>
      </c>
      <c r="AY57" s="6">
        <f>IFERROR((helper[[#This Row],[Purchased]]-calculationstable[[#This Row],[Coins Held]])/helper[[#This Row],[Purchased]],"")</f>
        <v>0</v>
      </c>
      <c r="AZ57" s="12">
        <f>IFERROR(1-helper[[#This Row],[Sold]],"")</f>
        <v>1</v>
      </c>
      <c r="BA57" s="6">
        <f>IFERROR(calculationstable[[#This Row],[Total Tokens Over]]/helper[[#This Row],[Purchased]],"")</f>
        <v>9.9840000000000012E-2</v>
      </c>
      <c r="BB57" s="12">
        <f>IFERROR(1-helper[[#This Row],[% Not in exit]],"")</f>
        <v>0.90015999999999996</v>
      </c>
      <c r="BD57" t="str">
        <f ca="1"/>
        <v>RAY</v>
      </c>
      <c r="BE57">
        <f ca="1"/>
        <v>280</v>
      </c>
      <c r="BF57">
        <f ca="1"/>
        <v>86.967000000000013</v>
      </c>
      <c r="BG57">
        <f ca="1"/>
        <v>0</v>
      </c>
      <c r="BH57">
        <f ca="1"/>
        <v>-0.689403571428571</v>
      </c>
    </row>
    <row r="58" spans="2:60" hidden="1" x14ac:dyDescent="0.25">
      <c r="B58" s="10" t="s">
        <v>606</v>
      </c>
      <c r="C58">
        <v>59.08</v>
      </c>
      <c r="D58">
        <v>0.22500000000000001</v>
      </c>
      <c r="E58">
        <v>355.55555555555554</v>
      </c>
      <c r="F58">
        <v>80</v>
      </c>
      <c r="G58">
        <v>13.292999999999999</v>
      </c>
      <c r="H58">
        <v>-66.706999999999994</v>
      </c>
      <c r="I58" s="11">
        <v>-0.83383750000000001</v>
      </c>
      <c r="J58" s="11">
        <v>5.8691495221073225E-2</v>
      </c>
      <c r="K58">
        <v>0</v>
      </c>
      <c r="L58">
        <v>0</v>
      </c>
      <c r="M58">
        <v>0</v>
      </c>
      <c r="N58">
        <v>0</v>
      </c>
      <c r="O58">
        <v>711.11120000000005</v>
      </c>
      <c r="P58">
        <v>4.5000000000000005E-2</v>
      </c>
      <c r="Q58">
        <v>0.18</v>
      </c>
      <c r="R58">
        <v>16</v>
      </c>
      <c r="S58">
        <v>1244.4446</v>
      </c>
      <c r="T58">
        <v>3.5999999999999997E-2</v>
      </c>
      <c r="U58">
        <v>0.14399999999999999</v>
      </c>
      <c r="V58">
        <v>32</v>
      </c>
      <c r="W58">
        <v>1600.0001999999999</v>
      </c>
      <c r="X58">
        <v>2.8799999999999999E-2</v>
      </c>
      <c r="Y58">
        <v>0.1152</v>
      </c>
      <c r="Z58">
        <v>35.840000000000003</v>
      </c>
      <c r="AA58">
        <v>2133.3335999999999</v>
      </c>
      <c r="AB58">
        <v>2.3040000000000001E-2</v>
      </c>
      <c r="AC58">
        <v>9.2159999999999992E-2</v>
      </c>
      <c r="AD58">
        <v>40.96</v>
      </c>
      <c r="AE58">
        <v>2844.4448000000002</v>
      </c>
      <c r="AF58">
        <v>2.3039999999999998E-2</v>
      </c>
      <c r="AG58">
        <v>6.9119999999999987E-2</v>
      </c>
      <c r="AH58">
        <v>57.344000000000001</v>
      </c>
      <c r="AI58">
        <v>347.41759999999999</v>
      </c>
      <c r="AJ58">
        <v>2.2463999999999998E-2</v>
      </c>
      <c r="AK58">
        <v>96</v>
      </c>
      <c r="AL58" s="10">
        <v>347.41759999999999</v>
      </c>
      <c r="AM58">
        <v>1</v>
      </c>
      <c r="AN58" s="10" t="s">
        <v>13</v>
      </c>
      <c r="AP58">
        <f>IFERROR(HLOOKUP(calculationstable[[#This Row],[Merged]],calculationstable[#All],MATCH(calculationstable[[#This Row],[ticker]],calculationstable[[#All],[ticker]],0),FALSE),"")</f>
        <v>711.11120000000005</v>
      </c>
      <c r="AQ58" t="str">
        <f>IFERROR(IF(AP58&lt;=calculationstable[[#This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MOVR</v>
      </c>
      <c r="AR58" t="str">
        <f>IFERROR(IF(LEFT(helper[[#This Row],[take profit feedback]],1)="T","X",""),"")</f>
        <v/>
      </c>
      <c r="AS58" t="str">
        <f>IFERROR(IF(OR(calculationstable[[#This Row],[Selling point 1]]="",calculationstable[[#This Row],[Selling point 1]]=0),"X",""),"")</f>
        <v/>
      </c>
      <c r="AT58" t="str">
        <f>IFERROR(IF(helper[[#This Row],[add to exit]]="","","Add " &amp;calculationstable[[#This Row],[ticker]] &amp;" to Exit Strategy"),"")</f>
        <v/>
      </c>
      <c r="AU58" s="10" t="str">
        <f>IFERROR(IF(OR(calculationstable[[#This Row],[current_price]]="",calculationstable[[#This Row],[current_price]]=0),"Include "&amp;calculationstable[[#This Row],[ticker]]&amp;" in Extra Coins List",""),"")</f>
        <v/>
      </c>
      <c r="AV5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MOVR</v>
      </c>
      <c r="AW58" s="6">
        <f>IFERROR(calculationstable[[#This Row],[Current Value]]/SUM(calculationstable[Current Value]),"")</f>
        <v>1.9615142517361979E-4</v>
      </c>
      <c r="AX58" s="10">
        <f>IFERROR(IF((SUMIF(Purchases[Coin],calculationstable[[#This Row],[ticker]],Purchases[No. of coins])=0),NA(),SUMIF(Purchases[Coin],calculationstable[[#This Row],[ticker]],Purchases[No. of coins])),"")</f>
        <v>0.22500000000000001</v>
      </c>
      <c r="AY58" s="6">
        <f>IFERROR((helper[[#This Row],[Purchased]]-calculationstable[[#This Row],[Coins Held]])/helper[[#This Row],[Purchased]],"")</f>
        <v>0</v>
      </c>
      <c r="AZ58" s="12">
        <f>IFERROR(1-helper[[#This Row],[Sold]],"")</f>
        <v>1</v>
      </c>
      <c r="BA58" s="6">
        <f>IFERROR(calculationstable[[#This Row],[Total Tokens Over]]/helper[[#This Row],[Purchased]],"")</f>
        <v>9.9839999999999984E-2</v>
      </c>
      <c r="BB58" s="12">
        <f>IFERROR(1-helper[[#This Row],[% Not in exit]],"")</f>
        <v>0.90016000000000007</v>
      </c>
      <c r="BD58" t="str">
        <f ca="1"/>
        <v>MOVR</v>
      </c>
      <c r="BE58">
        <f ca="1"/>
        <v>80</v>
      </c>
      <c r="BF58">
        <f ca="1"/>
        <v>13.292999999999999</v>
      </c>
      <c r="BG58">
        <f ca="1"/>
        <v>0</v>
      </c>
      <c r="BH58">
        <f ca="1"/>
        <v>-0.83383750000000001</v>
      </c>
    </row>
    <row r="59" spans="2:60" hidden="1" x14ac:dyDescent="0.25">
      <c r="B59" s="10" t="s">
        <v>771</v>
      </c>
      <c r="C59">
        <v>5.7569500000000003E-3</v>
      </c>
      <c r="D59">
        <v>4850</v>
      </c>
      <c r="E59">
        <v>1.6494845360824743E-2</v>
      </c>
      <c r="F59">
        <v>80</v>
      </c>
      <c r="G59">
        <v>27.921207500000001</v>
      </c>
      <c r="H59">
        <v>-52.078792499999999</v>
      </c>
      <c r="I59" s="11">
        <v>-0.65098490625000005</v>
      </c>
      <c r="J59" s="11">
        <v>-7.4536854930575741E-2</v>
      </c>
      <c r="K59">
        <v>0</v>
      </c>
      <c r="L59">
        <v>0</v>
      </c>
      <c r="M59">
        <v>0</v>
      </c>
      <c r="N59">
        <v>0</v>
      </c>
      <c r="O59">
        <v>3.3000000000000002E-2</v>
      </c>
      <c r="P59">
        <v>970</v>
      </c>
      <c r="Q59">
        <v>3880</v>
      </c>
      <c r="R59">
        <v>16.004999999999999</v>
      </c>
      <c r="S59">
        <v>5.7799999999999997E-2</v>
      </c>
      <c r="T59">
        <v>776</v>
      </c>
      <c r="U59">
        <v>3104</v>
      </c>
      <c r="V59">
        <v>32.01</v>
      </c>
      <c r="W59">
        <v>7.4300000000000005E-2</v>
      </c>
      <c r="X59">
        <v>620.80000000000007</v>
      </c>
      <c r="Y59">
        <v>2483.1999999999998</v>
      </c>
      <c r="Z59">
        <v>35.851199999999999</v>
      </c>
      <c r="AA59">
        <v>9.9000000000000005E-2</v>
      </c>
      <c r="AB59">
        <v>496.64</v>
      </c>
      <c r="AC59">
        <v>1986.56</v>
      </c>
      <c r="AD59">
        <v>40.972799999999999</v>
      </c>
      <c r="AE59">
        <v>0.13200000000000001</v>
      </c>
      <c r="AF59">
        <v>496.64</v>
      </c>
      <c r="AG59">
        <v>1489.92</v>
      </c>
      <c r="AH59">
        <v>57.361899999999999</v>
      </c>
      <c r="AI59">
        <v>347.52620000000002</v>
      </c>
      <c r="AJ59">
        <v>484.22400000000005</v>
      </c>
      <c r="AK59">
        <v>96</v>
      </c>
      <c r="AL59" s="10">
        <v>347.52620000000002</v>
      </c>
      <c r="AM59">
        <v>1</v>
      </c>
      <c r="AN59" s="10" t="s">
        <v>13</v>
      </c>
      <c r="AP59">
        <f>IFERROR(HLOOKUP(calculationstable[[#This Row],[Merged]],calculationstable[#All],MATCH(calculationstable[[#This Row],[ticker]],calculationstable[[#All],[ticker]],0),FALSE),"")</f>
        <v>3.3000000000000002E-2</v>
      </c>
      <c r="AQ59" t="str">
        <f>IFERROR(IF(AP59&lt;=calculationstable[[#This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MTV</v>
      </c>
      <c r="AR59" t="str">
        <f>IFERROR(IF(LEFT(helper[[#This Row],[take profit feedback]],1)="T","X",""),"")</f>
        <v/>
      </c>
      <c r="AS59" t="str">
        <f>IFERROR(IF(OR(calculationstable[[#This Row],[Selling point 1]]="",calculationstable[[#This Row],[Selling point 1]]=0),"X",""),"")</f>
        <v/>
      </c>
      <c r="AT59" t="str">
        <f>IFERROR(IF(helper[[#This Row],[add to exit]]="","","Add " &amp;calculationstable[[#This Row],[ticker]] &amp;" to Exit Strategy"),"")</f>
        <v/>
      </c>
      <c r="AU59" s="10" t="str">
        <f>IFERROR(IF(OR(calculationstable[[#This Row],[current_price]]="",calculationstable[[#This Row],[current_price]]=0),"Include "&amp;calculationstable[[#This Row],[ticker]]&amp;" in Extra Coins List",""),"")</f>
        <v/>
      </c>
      <c r="AV5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MTV</v>
      </c>
      <c r="AW59" s="6">
        <f>IFERROR(calculationstable[[#This Row],[Current Value]]/SUM(calculationstable[Current Value]),"")</f>
        <v>4.1200516389779303E-4</v>
      </c>
      <c r="AX59" s="10">
        <f>IFERROR(IF((SUMIF(Purchases[Coin],calculationstable[[#This Row],[ticker]],Purchases[No. of coins])=0),NA(),SUMIF(Purchases[Coin],calculationstable[[#This Row],[ticker]],Purchases[No. of coins])),"")</f>
        <v>4850</v>
      </c>
      <c r="AY59" s="6">
        <f>IFERROR((helper[[#This Row],[Purchased]]-calculationstable[[#This Row],[Coins Held]])/helper[[#This Row],[Purchased]],"")</f>
        <v>0</v>
      </c>
      <c r="AZ59" s="12">
        <f>IFERROR(1-helper[[#This Row],[Sold]],"")</f>
        <v>1</v>
      </c>
      <c r="BA59" s="6">
        <f>IFERROR(calculationstable[[#This Row],[Total Tokens Over]]/helper[[#This Row],[Purchased]],"")</f>
        <v>9.9840000000000012E-2</v>
      </c>
      <c r="BB59" s="12">
        <f>IFERROR(1-helper[[#This Row],[% Not in exit]],"")</f>
        <v>0.90015999999999996</v>
      </c>
      <c r="BD59" t="str">
        <f ca="1"/>
        <v>MTV</v>
      </c>
      <c r="BE59">
        <f ca="1"/>
        <v>80</v>
      </c>
      <c r="BF59">
        <f ca="1"/>
        <v>27.921207500000001</v>
      </c>
      <c r="BG59">
        <f ca="1"/>
        <v>0</v>
      </c>
      <c r="BH59">
        <f ca="1"/>
        <v>-0.65098490625000005</v>
      </c>
    </row>
    <row r="60" spans="2:60" hidden="1" x14ac:dyDescent="0.25">
      <c r="B60" s="10" t="s">
        <v>768</v>
      </c>
      <c r="C60">
        <v>1.75</v>
      </c>
      <c r="D60">
        <v>33.950000000000003</v>
      </c>
      <c r="E60">
        <v>2.7687776141384388</v>
      </c>
      <c r="F60">
        <v>94</v>
      </c>
      <c r="G60">
        <v>59.412500000000009</v>
      </c>
      <c r="H60">
        <v>-34.587499999999991</v>
      </c>
      <c r="I60" s="11">
        <v>-0.36795212765957402</v>
      </c>
      <c r="J60" s="11">
        <v>-4.2828820926389406E-2</v>
      </c>
      <c r="K60">
        <v>0</v>
      </c>
      <c r="L60">
        <v>0</v>
      </c>
      <c r="M60">
        <v>0</v>
      </c>
      <c r="N60">
        <v>0</v>
      </c>
      <c r="O60">
        <v>5.5376000000000003</v>
      </c>
      <c r="P60">
        <v>6.7900000000000009</v>
      </c>
      <c r="Q60">
        <v>27.160000000000004</v>
      </c>
      <c r="R60">
        <v>18.8002</v>
      </c>
      <c r="S60">
        <v>9.6907999999999994</v>
      </c>
      <c r="T60">
        <v>5.4320000000000013</v>
      </c>
      <c r="U60">
        <v>21.728000000000002</v>
      </c>
      <c r="V60">
        <v>37.600299999999997</v>
      </c>
      <c r="W60">
        <v>12.4596</v>
      </c>
      <c r="X60">
        <v>4.3456000000000001</v>
      </c>
      <c r="Y60">
        <v>17.382400000000001</v>
      </c>
      <c r="Z60">
        <v>42.112299999999998</v>
      </c>
      <c r="AA60">
        <v>16.6128</v>
      </c>
      <c r="AB60">
        <v>3.4764800000000005</v>
      </c>
      <c r="AC60">
        <v>13.90592</v>
      </c>
      <c r="AD60">
        <v>48.128399999999999</v>
      </c>
      <c r="AE60">
        <v>22.150400000000001</v>
      </c>
      <c r="AF60">
        <v>3.47648</v>
      </c>
      <c r="AG60">
        <v>10.42944</v>
      </c>
      <c r="AH60">
        <v>67.3797</v>
      </c>
      <c r="AI60">
        <v>408.21899999999999</v>
      </c>
      <c r="AJ60">
        <v>3.3895679999999997</v>
      </c>
      <c r="AK60">
        <v>113</v>
      </c>
      <c r="AL60" s="10">
        <v>408.21899999999999</v>
      </c>
      <c r="AM60">
        <v>1</v>
      </c>
      <c r="AN60" s="10" t="s">
        <v>13</v>
      </c>
      <c r="AP60">
        <f>IFERROR(HLOOKUP(calculationstable[[#This Row],[Merged]],calculationstable[#All],MATCH(calculationstable[[#This Row],[ticker]],calculationstable[[#All],[ticker]],0),FALSE),"")</f>
        <v>5.5376000000000003</v>
      </c>
      <c r="AQ60" t="str">
        <f>IFERROR(IF(AP60&lt;=calculationstable[[#This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NTVRK</v>
      </c>
      <c r="AR60" t="str">
        <f>IFERROR(IF(LEFT(helper[[#This Row],[take profit feedback]],1)="T","X",""),"")</f>
        <v/>
      </c>
      <c r="AS60" t="str">
        <f>IFERROR(IF(OR(calculationstable[[#This Row],[Selling point 1]]="",calculationstable[[#This Row],[Selling point 1]]=0),"X",""),"")</f>
        <v/>
      </c>
      <c r="AT60" t="str">
        <f>IFERROR(IF(helper[[#This Row],[add to exit]]="","","Add " &amp;calculationstable[[#This Row],[ticker]] &amp;" to Exit Strategy"),"")</f>
        <v/>
      </c>
      <c r="AU60" s="10" t="str">
        <f>IFERROR(IF(OR(calculationstable[[#This Row],[current_price]]="",calculationstable[[#This Row],[current_price]]=0),"Include "&amp;calculationstable[[#This Row],[ticker]]&amp;" in Extra Coins List",""),"")</f>
        <v/>
      </c>
      <c r="AV6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NTVRK</v>
      </c>
      <c r="AW60" s="6">
        <f>IFERROR(calculationstable[[#This Row],[Current Value]]/SUM(calculationstable[Current Value]),"")</f>
        <v>8.766904798110049E-4</v>
      </c>
      <c r="AX60" s="10">
        <f>IFERROR(IF((SUMIF(Purchases[Coin],calculationstable[[#This Row],[ticker]],Purchases[No. of coins])=0),NA(),SUMIF(Purchases[Coin],calculationstable[[#This Row],[ticker]],Purchases[No. of coins])),"")</f>
        <v>33.950000000000003</v>
      </c>
      <c r="AY60" s="6">
        <f>IFERROR((helper[[#This Row],[Purchased]]-calculationstable[[#This Row],[Coins Held]])/helper[[#This Row],[Purchased]],"")</f>
        <v>0</v>
      </c>
      <c r="AZ60" s="12">
        <f>IFERROR(1-helper[[#This Row],[Sold]],"")</f>
        <v>1</v>
      </c>
      <c r="BA60" s="6">
        <f>IFERROR(calculationstable[[#This Row],[Total Tokens Over]]/helper[[#This Row],[Purchased]],"")</f>
        <v>9.9839999999999984E-2</v>
      </c>
      <c r="BB60" s="12">
        <f>IFERROR(1-helper[[#This Row],[% Not in exit]],"")</f>
        <v>0.90016000000000007</v>
      </c>
      <c r="BD60" t="str">
        <f ca="1"/>
        <v>NTVRK</v>
      </c>
      <c r="BE60">
        <f ca="1"/>
        <v>94</v>
      </c>
      <c r="BF60">
        <f ca="1"/>
        <v>59.412500000000009</v>
      </c>
      <c r="BG60">
        <f ca="1"/>
        <v>0</v>
      </c>
      <c r="BH60">
        <f ca="1"/>
        <v>-0.36795212765957402</v>
      </c>
    </row>
    <row r="61" spans="2:60" hidden="1" x14ac:dyDescent="0.25">
      <c r="B61" s="10" t="s">
        <v>763</v>
      </c>
      <c r="C61">
        <v>14.05</v>
      </c>
      <c r="D61">
        <v>12</v>
      </c>
      <c r="E61">
        <v>19.083333333333332</v>
      </c>
      <c r="F61">
        <v>229</v>
      </c>
      <c r="G61">
        <v>168.60000000000002</v>
      </c>
      <c r="H61">
        <v>-60.399999999999977</v>
      </c>
      <c r="I61" s="11">
        <v>-0.26375545851528398</v>
      </c>
      <c r="J61" s="11">
        <v>-1.7982352527012527E-2</v>
      </c>
      <c r="K61">
        <v>0</v>
      </c>
      <c r="L61">
        <v>0</v>
      </c>
      <c r="M61">
        <v>0</v>
      </c>
      <c r="N61">
        <v>0</v>
      </c>
      <c r="O61">
        <v>38.166600000000003</v>
      </c>
      <c r="P61">
        <v>2.4000000000000004</v>
      </c>
      <c r="Q61">
        <v>9.6</v>
      </c>
      <c r="R61">
        <v>45.799900000000001</v>
      </c>
      <c r="S61">
        <v>66.791600000000003</v>
      </c>
      <c r="T61">
        <v>1.92</v>
      </c>
      <c r="U61">
        <v>7.68</v>
      </c>
      <c r="V61">
        <v>91.599800000000002</v>
      </c>
      <c r="W61">
        <v>85.874899999999997</v>
      </c>
      <c r="X61">
        <v>1.536</v>
      </c>
      <c r="Y61">
        <v>6.1440000000000001</v>
      </c>
      <c r="Z61">
        <v>102.59180000000001</v>
      </c>
      <c r="AA61">
        <v>114.49979999999999</v>
      </c>
      <c r="AB61">
        <v>1.2288000000000001</v>
      </c>
      <c r="AC61">
        <v>4.9152000000000005</v>
      </c>
      <c r="AD61">
        <v>117.2478</v>
      </c>
      <c r="AE61">
        <v>152.66640000000001</v>
      </c>
      <c r="AF61">
        <v>1.2288000000000001</v>
      </c>
      <c r="AG61">
        <v>3.6864000000000003</v>
      </c>
      <c r="AH61">
        <v>164.14689999999999</v>
      </c>
      <c r="AI61">
        <v>994.48109999999997</v>
      </c>
      <c r="AJ61">
        <v>1.19808</v>
      </c>
      <c r="AK61">
        <v>274</v>
      </c>
      <c r="AL61" s="10">
        <v>994.48109999999997</v>
      </c>
      <c r="AM61">
        <v>1</v>
      </c>
      <c r="AN61" s="10" t="s">
        <v>13</v>
      </c>
      <c r="AP61">
        <f>IFERROR(HLOOKUP(calculationstable[[#This Row],[Merged]],calculationstable[#All],MATCH(calculationstable[[#This Row],[ticker]],calculationstable[[#All],[ticker]],0),FALSE),"")</f>
        <v>38.166600000000003</v>
      </c>
      <c r="AQ61" t="str">
        <f>IFERROR(IF(AP61&lt;=calculationstable[[#This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RMRK</v>
      </c>
      <c r="AR61" t="str">
        <f>IFERROR(IF(LEFT(helper[[#This Row],[take profit feedback]],1)="T","X",""),"")</f>
        <v/>
      </c>
      <c r="AS61" t="str">
        <f>IFERROR(IF(OR(calculationstable[[#This Row],[Selling point 1]]="",calculationstable[[#This Row],[Selling point 1]]=0),"X",""),"")</f>
        <v/>
      </c>
      <c r="AT61" t="str">
        <f>IFERROR(IF(helper[[#This Row],[add to exit]]="","","Add " &amp;calculationstable[[#This Row],[ticker]] &amp;" to Exit Strategy"),"")</f>
        <v/>
      </c>
      <c r="AU61" s="10" t="str">
        <f>IFERROR(IF(OR(calculationstable[[#This Row],[current_price]]="",calculationstable[[#This Row],[current_price]]=0),"Include "&amp;calculationstable[[#This Row],[ticker]]&amp;" in Extra Coins List",""),"")</f>
        <v/>
      </c>
      <c r="AV6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RMRK</v>
      </c>
      <c r="AW61" s="6">
        <f>IFERROR(calculationstable[[#This Row],[Current Value]]/SUM(calculationstable[Current Value]),"")</f>
        <v>2.4878605494826076E-3</v>
      </c>
      <c r="AX61" s="10">
        <f>IFERROR(IF((SUMIF(Purchases[Coin],calculationstable[[#This Row],[ticker]],Purchases[No. of coins])=0),NA(),SUMIF(Purchases[Coin],calculationstable[[#This Row],[ticker]],Purchases[No. of coins])),"")</f>
        <v>12</v>
      </c>
      <c r="AY61" s="6">
        <f>IFERROR((helper[[#This Row],[Purchased]]-calculationstable[[#This Row],[Coins Held]])/helper[[#This Row],[Purchased]],"")</f>
        <v>0</v>
      </c>
      <c r="AZ61" s="12">
        <f>IFERROR(1-helper[[#This Row],[Sold]],"")</f>
        <v>1</v>
      </c>
      <c r="BA61" s="6">
        <f>IFERROR(calculationstable[[#This Row],[Total Tokens Over]]/helper[[#This Row],[Purchased]],"")</f>
        <v>9.9839999999999998E-2</v>
      </c>
      <c r="BB61" s="12">
        <f>IFERROR(1-helper[[#This Row],[% Not in exit]],"")</f>
        <v>0.90015999999999996</v>
      </c>
      <c r="BD61" t="str">
        <f ca="1"/>
        <v>RMRK</v>
      </c>
      <c r="BE61">
        <f ca="1"/>
        <v>229</v>
      </c>
      <c r="BF61">
        <f ca="1"/>
        <v>168.60000000000002</v>
      </c>
      <c r="BG61">
        <f ca="1"/>
        <v>0</v>
      </c>
      <c r="BH61">
        <f ca="1"/>
        <v>-0.26375545851528398</v>
      </c>
    </row>
    <row r="62" spans="2:60" hidden="1" x14ac:dyDescent="0.25">
      <c r="B62" s="10" t="s">
        <v>766</v>
      </c>
      <c r="C62">
        <v>1.54</v>
      </c>
      <c r="D62">
        <v>56.92</v>
      </c>
      <c r="E62">
        <v>1.7568517217146873</v>
      </c>
      <c r="F62">
        <v>100</v>
      </c>
      <c r="G62">
        <v>87.656800000000004</v>
      </c>
      <c r="H62">
        <v>-12.343199999999996</v>
      </c>
      <c r="I62" s="11">
        <v>-0.123432</v>
      </c>
      <c r="J62" s="11">
        <v>-1.18119091987068E-2</v>
      </c>
      <c r="K62">
        <v>0</v>
      </c>
      <c r="L62">
        <v>0</v>
      </c>
      <c r="M62">
        <v>0</v>
      </c>
      <c r="N62">
        <v>0</v>
      </c>
      <c r="O62">
        <v>3.5137999999999998</v>
      </c>
      <c r="P62">
        <v>11.384</v>
      </c>
      <c r="Q62">
        <v>45.536000000000001</v>
      </c>
      <c r="R62">
        <v>20.000499999999999</v>
      </c>
      <c r="S62">
        <v>6.1490999999999998</v>
      </c>
      <c r="T62">
        <v>9.1072000000000006</v>
      </c>
      <c r="U62">
        <v>36.428800000000003</v>
      </c>
      <c r="V62">
        <v>40.001100000000001</v>
      </c>
      <c r="W62">
        <v>7.9059999999999997</v>
      </c>
      <c r="X62">
        <v>7.2857600000000007</v>
      </c>
      <c r="Y62">
        <v>29.143040000000003</v>
      </c>
      <c r="Z62">
        <v>44.801200000000001</v>
      </c>
      <c r="AA62">
        <v>10.541399999999999</v>
      </c>
      <c r="AB62">
        <v>5.8286080000000009</v>
      </c>
      <c r="AC62">
        <v>23.314432000000004</v>
      </c>
      <c r="AD62">
        <v>51.2014</v>
      </c>
      <c r="AE62">
        <v>14.055199999999999</v>
      </c>
      <c r="AF62">
        <v>5.8286080000000009</v>
      </c>
      <c r="AG62">
        <v>17.485824000000001</v>
      </c>
      <c r="AH62">
        <v>71.682000000000002</v>
      </c>
      <c r="AI62">
        <v>434.28390000000002</v>
      </c>
      <c r="AJ62">
        <v>5.6828928000000003</v>
      </c>
      <c r="AK62">
        <v>120</v>
      </c>
      <c r="AL62" s="10">
        <v>434.28390000000002</v>
      </c>
      <c r="AM62">
        <v>1</v>
      </c>
      <c r="AN62" s="10" t="s">
        <v>13</v>
      </c>
      <c r="AP62">
        <f>IFERROR(HLOOKUP(calculationstable[[#This Row],[Merged]],calculationstable[#All],MATCH(calculationstable[[#This Row],[ticker]],calculationstable[[#All],[ticker]],0),FALSE),"")</f>
        <v>3.5137999999999998</v>
      </c>
      <c r="AQ62" t="str">
        <f>IFERROR(IF(AP62&lt;=calculationstable[[#This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OVR</v>
      </c>
      <c r="AR62" t="str">
        <f>IFERROR(IF(LEFT(helper[[#This Row],[take profit feedback]],1)="T","X",""),"")</f>
        <v/>
      </c>
      <c r="AS62" t="str">
        <f>IFERROR(IF(OR(calculationstable[[#This Row],[Selling point 1]]="",calculationstable[[#This Row],[Selling point 1]]=0),"X",""),"")</f>
        <v/>
      </c>
      <c r="AT62" t="str">
        <f>IFERROR(IF(helper[[#This Row],[add to exit]]="","","Add " &amp;calculationstable[[#This Row],[ticker]] &amp;" to Exit Strategy"),"")</f>
        <v/>
      </c>
      <c r="AU62" s="10" t="str">
        <f>IFERROR(IF(OR(calculationstable[[#This Row],[current_price]]="",calculationstable[[#This Row],[current_price]]=0),"Include "&amp;calculationstable[[#This Row],[ticker]]&amp;" in Extra Coins List",""),"")</f>
        <v/>
      </c>
      <c r="AV6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OVR</v>
      </c>
      <c r="AW62" s="6">
        <f>IFERROR(calculationstable[[#This Row],[Current Value]]/SUM(calculationstable[Current Value]),"")</f>
        <v>1.2934631946256644E-3</v>
      </c>
      <c r="AX62" s="10">
        <f>IFERROR(IF((SUMIF(Purchases[Coin],calculationstable[[#This Row],[ticker]],Purchases[No. of coins])=0),NA(),SUMIF(Purchases[Coin],calculationstable[[#This Row],[ticker]],Purchases[No. of coins])),"")</f>
        <v>56.92</v>
      </c>
      <c r="AY62" s="6">
        <f>IFERROR((helper[[#This Row],[Purchased]]-calculationstable[[#This Row],[Coins Held]])/helper[[#This Row],[Purchased]],"")</f>
        <v>0</v>
      </c>
      <c r="AZ62" s="12">
        <f>IFERROR(1-helper[[#This Row],[Sold]],"")</f>
        <v>1</v>
      </c>
      <c r="BA62" s="6">
        <f>IFERROR(calculationstable[[#This Row],[Total Tokens Over]]/helper[[#This Row],[Purchased]],"")</f>
        <v>9.9839999999999998E-2</v>
      </c>
      <c r="BB62" s="12">
        <f>IFERROR(1-helper[[#This Row],[% Not in exit]],"")</f>
        <v>0.90015999999999996</v>
      </c>
      <c r="BD62" t="str">
        <f ca="1"/>
        <v>OVR</v>
      </c>
      <c r="BE62">
        <f ca="1"/>
        <v>100</v>
      </c>
      <c r="BF62">
        <f ca="1"/>
        <v>87.656800000000004</v>
      </c>
      <c r="BG62">
        <f ca="1"/>
        <v>0</v>
      </c>
      <c r="BH62">
        <f ca="1"/>
        <v>-0.123432</v>
      </c>
    </row>
    <row r="63" spans="2:60" hidden="1" x14ac:dyDescent="0.25">
      <c r="B63" s="10" t="s">
        <v>774</v>
      </c>
      <c r="C63">
        <v>4.1900000000000004</v>
      </c>
      <c r="D63">
        <v>4</v>
      </c>
      <c r="E63">
        <v>21.5</v>
      </c>
      <c r="F63">
        <v>86</v>
      </c>
      <c r="G63">
        <v>16.760000000000002</v>
      </c>
      <c r="H63">
        <v>-69.239999999999995</v>
      </c>
      <c r="I63" s="11">
        <v>-0.80511627906976702</v>
      </c>
      <c r="J63" s="11">
        <v>-0.12655420330950312</v>
      </c>
      <c r="K63">
        <v>0</v>
      </c>
      <c r="L63">
        <v>0</v>
      </c>
      <c r="M63">
        <v>0</v>
      </c>
      <c r="N63">
        <v>0</v>
      </c>
      <c r="O63">
        <v>43</v>
      </c>
      <c r="P63">
        <v>0.8</v>
      </c>
      <c r="Q63">
        <v>3.2</v>
      </c>
      <c r="R63">
        <v>17.2</v>
      </c>
      <c r="S63">
        <v>75.25</v>
      </c>
      <c r="T63">
        <v>0.64000000000000012</v>
      </c>
      <c r="U63">
        <v>2.56</v>
      </c>
      <c r="V63">
        <v>34.4</v>
      </c>
      <c r="W63">
        <v>96.75</v>
      </c>
      <c r="X63">
        <v>0.51200000000000001</v>
      </c>
      <c r="Y63">
        <v>2.048</v>
      </c>
      <c r="Z63">
        <v>38.527999999999999</v>
      </c>
      <c r="AA63">
        <v>129</v>
      </c>
      <c r="AB63">
        <v>0.40960000000000002</v>
      </c>
      <c r="AC63">
        <v>1.6384000000000001</v>
      </c>
      <c r="AD63">
        <v>44.031999999999996</v>
      </c>
      <c r="AE63">
        <v>172</v>
      </c>
      <c r="AF63">
        <v>0.40960000000000002</v>
      </c>
      <c r="AG63">
        <v>1.2288000000000001</v>
      </c>
      <c r="AH63">
        <v>61.644799999999996</v>
      </c>
      <c r="AI63">
        <v>373.47390000000001</v>
      </c>
      <c r="AJ63">
        <v>0.39936000000000005</v>
      </c>
      <c r="AK63">
        <v>103</v>
      </c>
      <c r="AL63" s="10">
        <v>373.47390000000001</v>
      </c>
      <c r="AM63">
        <v>1</v>
      </c>
      <c r="AN63" s="10" t="s">
        <v>13</v>
      </c>
      <c r="AP63">
        <f>IFERROR(HLOOKUP(calculationstable[[#This Row],[Merged]],calculationstable[#All],MATCH(calculationstable[[#This Row],[ticker]],calculationstable[[#All],[ticker]],0),FALSE),"")</f>
        <v>43</v>
      </c>
      <c r="AQ63" t="str">
        <f>IFERROR(IF(AP63&lt;=calculationstable[[#This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PDEX</v>
      </c>
      <c r="AR63" t="str">
        <f>IFERROR(IF(LEFT(helper[[#This Row],[take profit feedback]],1)="T","X",""),"")</f>
        <v/>
      </c>
      <c r="AS63" t="str">
        <f>IFERROR(IF(OR(calculationstable[[#This Row],[Selling point 1]]="",calculationstable[[#This Row],[Selling point 1]]=0),"X",""),"")</f>
        <v/>
      </c>
      <c r="AT63" t="str">
        <f>IFERROR(IF(helper[[#This Row],[add to exit]]="","","Add " &amp;calculationstable[[#This Row],[ticker]] &amp;" to Exit Strategy"),"")</f>
        <v/>
      </c>
      <c r="AU63" s="10" t="str">
        <f>IFERROR(IF(OR(calculationstable[[#This Row],[current_price]]="",calculationstable[[#This Row],[current_price]]=0),"Include "&amp;calculationstable[[#This Row],[ticker]]&amp;" in Extra Coins List",""),"")</f>
        <v/>
      </c>
      <c r="AV6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PDEX</v>
      </c>
      <c r="AW63" s="6">
        <f>IFERROR(calculationstable[[#This Row],[Current Value]]/SUM(calculationstable[Current Value]),"")</f>
        <v>2.4731045557134344E-4</v>
      </c>
      <c r="AX63" s="10">
        <f>IFERROR(IF((SUMIF(Purchases[Coin],calculationstable[[#This Row],[ticker]],Purchases[No. of coins])=0),NA(),SUMIF(Purchases[Coin],calculationstable[[#This Row],[ticker]],Purchases[No. of coins])),"")</f>
        <v>4</v>
      </c>
      <c r="AY63" s="6">
        <f>IFERROR((helper[[#This Row],[Purchased]]-calculationstable[[#This Row],[Coins Held]])/helper[[#This Row],[Purchased]],"")</f>
        <v>0</v>
      </c>
      <c r="AZ63" s="12">
        <f>IFERROR(1-helper[[#This Row],[Sold]],"")</f>
        <v>1</v>
      </c>
      <c r="BA63" s="6">
        <f>IFERROR(calculationstable[[#This Row],[Total Tokens Over]]/helper[[#This Row],[Purchased]],"")</f>
        <v>9.9840000000000012E-2</v>
      </c>
      <c r="BB63" s="12">
        <f>IFERROR(1-helper[[#This Row],[% Not in exit]],"")</f>
        <v>0.90015999999999996</v>
      </c>
      <c r="BD63" t="str">
        <f ca="1"/>
        <v>PDEX</v>
      </c>
      <c r="BE63">
        <f ca="1"/>
        <v>86</v>
      </c>
      <c r="BF63">
        <f ca="1"/>
        <v>16.760000000000002</v>
      </c>
      <c r="BG63">
        <f ca="1"/>
        <v>0</v>
      </c>
      <c r="BH63">
        <f ca="1"/>
        <v>-0.80511627906976702</v>
      </c>
    </row>
    <row r="64" spans="2:60" hidden="1" x14ac:dyDescent="0.25">
      <c r="B64" s="10" t="s">
        <v>777</v>
      </c>
      <c r="C64">
        <v>0.248469</v>
      </c>
      <c r="D64">
        <v>43.47</v>
      </c>
      <c r="E64">
        <v>1.840349666436623</v>
      </c>
      <c r="F64">
        <v>80</v>
      </c>
      <c r="G64">
        <v>10.800947429999999</v>
      </c>
      <c r="H64">
        <v>-69.199052570000006</v>
      </c>
      <c r="I64" s="11">
        <v>-0.86498815712499999</v>
      </c>
      <c r="J64" s="11">
        <v>-1.9399578064074895E-2</v>
      </c>
      <c r="K64">
        <v>0</v>
      </c>
      <c r="L64">
        <v>0</v>
      </c>
      <c r="M64">
        <v>0</v>
      </c>
      <c r="N64">
        <v>0</v>
      </c>
      <c r="O64">
        <v>3.6806000000000001</v>
      </c>
      <c r="P64">
        <v>8.6940000000000008</v>
      </c>
      <c r="Q64">
        <v>34.775999999999996</v>
      </c>
      <c r="R64">
        <v>15.999599999999999</v>
      </c>
      <c r="S64">
        <v>6.4410999999999996</v>
      </c>
      <c r="T64">
        <v>6.9551999999999996</v>
      </c>
      <c r="U64">
        <v>27.820799999999998</v>
      </c>
      <c r="V64">
        <v>31.999099999999999</v>
      </c>
      <c r="W64">
        <v>8.2812999999999999</v>
      </c>
      <c r="X64">
        <v>5.5641600000000002</v>
      </c>
      <c r="Y64">
        <v>22.256639999999997</v>
      </c>
      <c r="Z64">
        <v>35.838999999999999</v>
      </c>
      <c r="AA64">
        <v>11.0418</v>
      </c>
      <c r="AB64">
        <v>4.4513279999999993</v>
      </c>
      <c r="AC64">
        <v>17.805311999999997</v>
      </c>
      <c r="AD64">
        <v>40.9589</v>
      </c>
      <c r="AE64">
        <v>14.7224</v>
      </c>
      <c r="AF64">
        <v>4.4513279999999993</v>
      </c>
      <c r="AG64">
        <v>13.353983999999997</v>
      </c>
      <c r="AH64">
        <v>57.342500000000001</v>
      </c>
      <c r="AI64">
        <v>347.40820000000002</v>
      </c>
      <c r="AJ64">
        <v>4.3400447999999994</v>
      </c>
      <c r="AK64">
        <v>96</v>
      </c>
      <c r="AL64" s="10">
        <v>347.40820000000002</v>
      </c>
      <c r="AM64">
        <v>1</v>
      </c>
      <c r="AN64" s="10" t="s">
        <v>13</v>
      </c>
      <c r="AP64">
        <f>IFERROR(HLOOKUP(calculationstable[[#This Row],[Merged]],calculationstable[#All],MATCH(calculationstable[[#This Row],[ticker]],calculationstable[[#All],[ticker]],0),FALSE),"")</f>
        <v>3.6806000000000001</v>
      </c>
      <c r="AQ64" t="str">
        <f>IFERROR(IF(AP64&lt;=calculationstable[[#This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POLC</v>
      </c>
      <c r="AR64" t="str">
        <f>IFERROR(IF(LEFT(helper[[#This Row],[take profit feedback]],1)="T","X",""),"")</f>
        <v/>
      </c>
      <c r="AS64" t="str">
        <f>IFERROR(IF(OR(calculationstable[[#This Row],[Selling point 1]]="",calculationstable[[#This Row],[Selling point 1]]=0),"X",""),"")</f>
        <v/>
      </c>
      <c r="AT64" t="str">
        <f>IFERROR(IF(helper[[#This Row],[add to exit]]="","","Add " &amp;calculationstable[[#This Row],[ticker]] &amp;" to Exit Strategy"),"")</f>
        <v/>
      </c>
      <c r="AU64" s="10" t="str">
        <f>IFERROR(IF(OR(calculationstable[[#This Row],[current_price]]="",calculationstable[[#This Row],[current_price]]=0),"Include "&amp;calculationstable[[#This Row],[ticker]]&amp;" in Extra Coins List",""),"")</f>
        <v/>
      </c>
      <c r="AV6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POLC</v>
      </c>
      <c r="AW64" s="6">
        <f>IFERROR(calculationstable[[#This Row],[Current Value]]/SUM(calculationstable[Current Value]),"")</f>
        <v>1.5937871297824765E-4</v>
      </c>
      <c r="AX64" s="10">
        <f>IFERROR(IF((SUMIF(Purchases[Coin],calculationstable[[#This Row],[ticker]],Purchases[No. of coins])=0),NA(),SUMIF(Purchases[Coin],calculationstable[[#This Row],[ticker]],Purchases[No. of coins])),"")</f>
        <v>43.47</v>
      </c>
      <c r="AY64" s="6">
        <f>IFERROR((helper[[#This Row],[Purchased]]-calculationstable[[#This Row],[Coins Held]])/helper[[#This Row],[Purchased]],"")</f>
        <v>0</v>
      </c>
      <c r="AZ64" s="12">
        <f>IFERROR(1-helper[[#This Row],[Sold]],"")</f>
        <v>1</v>
      </c>
      <c r="BA64" s="6">
        <f>IFERROR(calculationstable[[#This Row],[Total Tokens Over]]/helper[[#This Row],[Purchased]],"")</f>
        <v>9.9839999999999984E-2</v>
      </c>
      <c r="BB64" s="12">
        <f>IFERROR(1-helper[[#This Row],[% Not in exit]],"")</f>
        <v>0.90016000000000007</v>
      </c>
      <c r="BD64" t="str">
        <f ca="1"/>
        <v>POLC</v>
      </c>
      <c r="BE64">
        <f ca="1"/>
        <v>80</v>
      </c>
      <c r="BF64">
        <f ca="1"/>
        <v>10.800947429999999</v>
      </c>
      <c r="BG64">
        <f ca="1"/>
        <v>0</v>
      </c>
      <c r="BH64">
        <f ca="1"/>
        <v>-0.86498815712499999</v>
      </c>
    </row>
    <row r="65" spans="2:60" hidden="1" x14ac:dyDescent="0.25">
      <c r="B65" s="10" t="s">
        <v>767</v>
      </c>
      <c r="C65">
        <v>1.61</v>
      </c>
      <c r="D65">
        <v>44.85</v>
      </c>
      <c r="E65">
        <v>7.3801560758082498</v>
      </c>
      <c r="F65">
        <v>331</v>
      </c>
      <c r="G65">
        <v>72.208500000000001</v>
      </c>
      <c r="H65">
        <v>-258.79149999999998</v>
      </c>
      <c r="I65" s="11">
        <v>-0.78184743202416895</v>
      </c>
      <c r="J65" s="11">
        <v>-4.0997658160043929E-2</v>
      </c>
      <c r="K65">
        <v>0</v>
      </c>
      <c r="L65">
        <v>0</v>
      </c>
      <c r="M65">
        <v>0</v>
      </c>
      <c r="N65">
        <v>0</v>
      </c>
      <c r="O65">
        <v>14.760400000000001</v>
      </c>
      <c r="P65">
        <v>8.9700000000000006</v>
      </c>
      <c r="Q65">
        <v>35.880000000000003</v>
      </c>
      <c r="R65">
        <v>66.200400000000002</v>
      </c>
      <c r="S65">
        <v>25.8307</v>
      </c>
      <c r="T65">
        <v>7.176000000000001</v>
      </c>
      <c r="U65">
        <v>28.704000000000001</v>
      </c>
      <c r="V65">
        <v>132.4008</v>
      </c>
      <c r="W65">
        <v>33.210900000000002</v>
      </c>
      <c r="X65">
        <v>5.7408000000000001</v>
      </c>
      <c r="Y65">
        <v>22.963200000000001</v>
      </c>
      <c r="Z65">
        <v>148.28890000000001</v>
      </c>
      <c r="AA65">
        <v>44.281199999999998</v>
      </c>
      <c r="AB65">
        <v>4.5926400000000003</v>
      </c>
      <c r="AC65">
        <v>18.370560000000001</v>
      </c>
      <c r="AD65">
        <v>169.47300000000001</v>
      </c>
      <c r="AE65">
        <v>59.041600000000003</v>
      </c>
      <c r="AF65">
        <v>4.5926400000000003</v>
      </c>
      <c r="AG65">
        <v>13.777920000000002</v>
      </c>
      <c r="AH65">
        <v>237.26220000000001</v>
      </c>
      <c r="AI65">
        <v>1437.4489000000001</v>
      </c>
      <c r="AJ65">
        <v>4.4778240000000009</v>
      </c>
      <c r="AK65">
        <v>397</v>
      </c>
      <c r="AL65" s="10">
        <v>1437.4489000000001</v>
      </c>
      <c r="AM65">
        <v>1</v>
      </c>
      <c r="AN65" s="10" t="s">
        <v>13</v>
      </c>
      <c r="AP65">
        <f>IFERROR(HLOOKUP(calculationstable[[#This Row],[Merged]],calculationstable[#All],MATCH(calculationstable[[#This Row],[ticker]],calculationstable[[#All],[ticker]],0),FALSE),"")</f>
        <v>14.760400000000001</v>
      </c>
      <c r="AQ65" t="str">
        <f>IFERROR(IF(AP65&lt;=calculationstable[[#This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POLIS</v>
      </c>
      <c r="AR65" t="str">
        <f>IFERROR(IF(LEFT(helper[[#This Row],[take profit feedback]],1)="T","X",""),"")</f>
        <v/>
      </c>
      <c r="AS65" t="str">
        <f>IFERROR(IF(OR(calculationstable[[#This Row],[Selling point 1]]="",calculationstable[[#This Row],[Selling point 1]]=0),"X",""),"")</f>
        <v/>
      </c>
      <c r="AT65" t="str">
        <f>IFERROR(IF(helper[[#This Row],[add to exit]]="","","Add " &amp;calculationstable[[#This Row],[ticker]] &amp;" to Exit Strategy"),"")</f>
        <v/>
      </c>
      <c r="AU65" s="10" t="str">
        <f>IFERROR(IF(OR(calculationstable[[#This Row],[current_price]]="",calculationstable[[#This Row],[current_price]]=0),"Include "&amp;calculationstable[[#This Row],[ticker]]&amp;" in Extra Coins List",""),"")</f>
        <v/>
      </c>
      <c r="AV6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POLIS</v>
      </c>
      <c r="AW65" s="6">
        <f>IFERROR(calculationstable[[#This Row],[Current Value]]/SUM(calculationstable[Current Value]),"")</f>
        <v>1.0655081760813454E-3</v>
      </c>
      <c r="AX65" s="10">
        <f>IFERROR(IF((SUMIF(Purchases[Coin],calculationstable[[#This Row],[ticker]],Purchases[No. of coins])=0),NA(),SUMIF(Purchases[Coin],calculationstable[[#This Row],[ticker]],Purchases[No. of coins])),"")</f>
        <v>44.85</v>
      </c>
      <c r="AY65" s="6">
        <f>IFERROR((helper[[#This Row],[Purchased]]-calculationstable[[#This Row],[Coins Held]])/helper[[#This Row],[Purchased]],"")</f>
        <v>0</v>
      </c>
      <c r="AZ65" s="12">
        <f>IFERROR(1-helper[[#This Row],[Sold]],"")</f>
        <v>1</v>
      </c>
      <c r="BA65" s="6">
        <f>IFERROR(calculationstable[[#This Row],[Total Tokens Over]]/helper[[#This Row],[Purchased]],"")</f>
        <v>9.9840000000000012E-2</v>
      </c>
      <c r="BB65" s="12">
        <f>IFERROR(1-helper[[#This Row],[% Not in exit]],"")</f>
        <v>0.90015999999999996</v>
      </c>
      <c r="BD65" t="str">
        <f ca="1"/>
        <v>POLIS</v>
      </c>
      <c r="BE65">
        <f ca="1"/>
        <v>331</v>
      </c>
      <c r="BF65">
        <f ca="1"/>
        <v>72.208500000000001</v>
      </c>
      <c r="BG65">
        <f ca="1"/>
        <v>0</v>
      </c>
      <c r="BH65">
        <f ca="1"/>
        <v>-0.78184743202416895</v>
      </c>
    </row>
    <row r="66" spans="2:60" hidden="1" x14ac:dyDescent="0.25">
      <c r="B66" s="10" t="s">
        <v>625</v>
      </c>
      <c r="D66">
        <v>46.776400000000002</v>
      </c>
      <c r="E66">
        <v>16.097861314680053</v>
      </c>
      <c r="F66">
        <v>753</v>
      </c>
      <c r="I66" s="11"/>
      <c r="J66" s="11"/>
      <c r="K66">
        <v>0</v>
      </c>
      <c r="L66">
        <v>0</v>
      </c>
      <c r="M66">
        <v>0</v>
      </c>
      <c r="N66">
        <v>0</v>
      </c>
      <c r="O66">
        <v>32.195799999999998</v>
      </c>
      <c r="P66">
        <v>9.3552800000000005</v>
      </c>
      <c r="Q66">
        <v>37.421120000000002</v>
      </c>
      <c r="R66">
        <v>150.60040000000001</v>
      </c>
      <c r="S66">
        <v>56.342599999999997</v>
      </c>
      <c r="T66">
        <v>7.4842240000000011</v>
      </c>
      <c r="U66">
        <v>29.936896000000001</v>
      </c>
      <c r="V66">
        <v>301.20069999999998</v>
      </c>
      <c r="W66">
        <v>72.440600000000003</v>
      </c>
      <c r="X66">
        <v>5.9873792000000003</v>
      </c>
      <c r="Y66">
        <v>23.949516800000001</v>
      </c>
      <c r="Z66">
        <v>337.34480000000002</v>
      </c>
      <c r="AA66">
        <v>96.587400000000002</v>
      </c>
      <c r="AB66">
        <v>4.7899033600000003</v>
      </c>
      <c r="AC66">
        <v>19.159613440000001</v>
      </c>
      <c r="AD66">
        <v>385.5369</v>
      </c>
      <c r="AE66">
        <v>128.78319999999999</v>
      </c>
      <c r="AF66">
        <v>4.7899033600000003</v>
      </c>
      <c r="AG66">
        <v>14.369710080000001</v>
      </c>
      <c r="AH66">
        <v>539.75170000000003</v>
      </c>
      <c r="AI66">
        <v>3270.076</v>
      </c>
      <c r="AJ66">
        <v>4.6701557760000005</v>
      </c>
      <c r="AK66">
        <v>902</v>
      </c>
      <c r="AL66" s="10">
        <v>3270.076</v>
      </c>
      <c r="AM66">
        <v>1</v>
      </c>
      <c r="AN66" s="10" t="s">
        <v>13</v>
      </c>
      <c r="AP66">
        <f>IFERROR(HLOOKUP(calculationstable[[#This Row],[Merged]],calculationstable[#All],MATCH(calculationstable[[#This Row],[ticker]],calculationstable[[#All],[ticker]],0),FALSE),"")</f>
        <v>32.195799999999998</v>
      </c>
      <c r="AQ66" t="str">
        <f>IFERROR(IF(AP66&lt;=calculationstable[[#This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PYR</v>
      </c>
      <c r="AR66" t="str">
        <f>IFERROR(IF(LEFT(helper[[#This Row],[take profit feedback]],1)="T","X",""),"")</f>
        <v/>
      </c>
      <c r="AS66" t="str">
        <f>IFERROR(IF(OR(calculationstable[[#This Row],[Selling point 1]]="",calculationstable[[#This Row],[Selling point 1]]=0),"X",""),"")</f>
        <v/>
      </c>
      <c r="AT66" t="str">
        <f>IFERROR(IF(helper[[#This Row],[add to exit]]="","","Add " &amp;calculationstable[[#This Row],[ticker]] &amp;" to Exit Strategy"),"")</f>
        <v/>
      </c>
      <c r="AU66" s="10" t="str">
        <f>IFERROR(IF(OR(calculationstable[[#This Row],[current_price]]="",calculationstable[[#This Row],[current_price]]=0),"Include "&amp;calculationstable[[#This Row],[ticker]]&amp;" in Extra Coins List",""),"")</f>
        <v>Include PYR in Extra Coins List</v>
      </c>
      <c r="AV6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Include PYR in Extra Coins List</v>
      </c>
      <c r="AW66" s="6">
        <f>IFERROR(calculationstable[[#This Row],[Current Value]]/SUM(calculationstable[Current Value]),"")</f>
        <v>0</v>
      </c>
      <c r="AX66" s="10">
        <f>IFERROR(IF((SUMIF(Purchases[Coin],calculationstable[[#This Row],[ticker]],Purchases[No. of coins])=0),NA(),SUMIF(Purchases[Coin],calculationstable[[#This Row],[ticker]],Purchases[No. of coins])),"")</f>
        <v>46.776400000000002</v>
      </c>
      <c r="AY66" s="6">
        <f>IFERROR((helper[[#This Row],[Purchased]]-calculationstable[[#This Row],[Coins Held]])/helper[[#This Row],[Purchased]],"")</f>
        <v>0</v>
      </c>
      <c r="AZ66" s="12">
        <f>IFERROR(1-helper[[#This Row],[Sold]],"")</f>
        <v>1</v>
      </c>
      <c r="BA66" s="6">
        <f>IFERROR(calculationstable[[#This Row],[Total Tokens Over]]/helper[[#This Row],[Purchased]],"")</f>
        <v>9.9840000000000012E-2</v>
      </c>
      <c r="BB66" s="12">
        <f>IFERROR(1-helper[[#This Row],[% Not in exit]],"")</f>
        <v>0.90015999999999996</v>
      </c>
      <c r="BD66" t="str">
        <f ca="1"/>
        <v>PYR</v>
      </c>
      <c r="BE66">
        <f ca="1"/>
        <v>753</v>
      </c>
      <c r="BF66">
        <f ca="1"/>
        <v>0</v>
      </c>
      <c r="BG66">
        <f ca="1"/>
        <v>0</v>
      </c>
      <c r="BH66">
        <f ca="1"/>
        <v>0</v>
      </c>
    </row>
    <row r="67" spans="2:60" hidden="1" x14ac:dyDescent="0.25">
      <c r="B67" s="10" t="s">
        <v>773</v>
      </c>
      <c r="C67">
        <v>1.24</v>
      </c>
      <c r="D67">
        <v>14.71</v>
      </c>
      <c r="E67">
        <v>5.5064581917063222</v>
      </c>
      <c r="F67">
        <v>81</v>
      </c>
      <c r="G67">
        <v>18.240400000000001</v>
      </c>
      <c r="H67">
        <v>-62.759599999999999</v>
      </c>
      <c r="I67" s="11">
        <v>-0.77480987654320999</v>
      </c>
      <c r="J67" s="11">
        <v>-2.1360907346733408E-2</v>
      </c>
      <c r="K67">
        <v>0</v>
      </c>
      <c r="L67">
        <v>0</v>
      </c>
      <c r="M67">
        <v>0</v>
      </c>
      <c r="N67">
        <v>0</v>
      </c>
      <c r="O67">
        <v>11.013</v>
      </c>
      <c r="P67">
        <v>2.9420000000000002</v>
      </c>
      <c r="Q67">
        <v>11.768000000000001</v>
      </c>
      <c r="R67">
        <v>16.200099999999999</v>
      </c>
      <c r="S67">
        <v>19.2727</v>
      </c>
      <c r="T67">
        <v>2.3536000000000001</v>
      </c>
      <c r="U67">
        <v>9.4144000000000005</v>
      </c>
      <c r="V67">
        <v>32.400199999999998</v>
      </c>
      <c r="W67">
        <v>24.779299999999999</v>
      </c>
      <c r="X67">
        <v>1.8828800000000001</v>
      </c>
      <c r="Y67">
        <v>7.5315200000000004</v>
      </c>
      <c r="Z67">
        <v>36.2883</v>
      </c>
      <c r="AA67">
        <v>33.039000000000001</v>
      </c>
      <c r="AB67">
        <v>1.5063040000000001</v>
      </c>
      <c r="AC67">
        <v>6.0252160000000003</v>
      </c>
      <c r="AD67">
        <v>41.472299999999997</v>
      </c>
      <c r="AE67">
        <v>44.052</v>
      </c>
      <c r="AF67">
        <v>1.5063040000000001</v>
      </c>
      <c r="AG67">
        <v>4.5189120000000003</v>
      </c>
      <c r="AH67">
        <v>58.061199999999999</v>
      </c>
      <c r="AI67">
        <v>351.76299999999998</v>
      </c>
      <c r="AJ67">
        <v>1.4686464000000001</v>
      </c>
      <c r="AK67">
        <v>97</v>
      </c>
      <c r="AL67" s="10">
        <v>351.76299999999998</v>
      </c>
      <c r="AM67">
        <v>1</v>
      </c>
      <c r="AN67" s="10" t="s">
        <v>13</v>
      </c>
      <c r="AP67">
        <f>IFERROR(HLOOKUP(calculationstable[[#This Row],[Merged]],calculationstable[#All],MATCH(calculationstable[[#This Row],[ticker]],calculationstable[[#All],[ticker]],0),FALSE),"")</f>
        <v>11.013</v>
      </c>
      <c r="AQ67" t="str">
        <f>IFERROR(IF(AP67&lt;=calculationstable[[#This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WILD</v>
      </c>
      <c r="AR67" t="str">
        <f>IFERROR(IF(LEFT(helper[[#This Row],[take profit feedback]],1)="T","X",""),"")</f>
        <v/>
      </c>
      <c r="AS67" t="str">
        <f>IFERROR(IF(OR(calculationstable[[#This Row],[Selling point 1]]="",calculationstable[[#This Row],[Selling point 1]]=0),"X",""),"")</f>
        <v/>
      </c>
      <c r="AT67" t="str">
        <f>IFERROR(IF(helper[[#This Row],[add to exit]]="","","Add " &amp;calculationstable[[#This Row],[ticker]] &amp;" to Exit Strategy"),"")</f>
        <v/>
      </c>
      <c r="AU67" s="10" t="str">
        <f>IFERROR(IF(OR(calculationstable[[#This Row],[current_price]]="",calculationstable[[#This Row],[current_price]]=0),"Include "&amp;calculationstable[[#This Row],[ticker]]&amp;" in Extra Coins List",""),"")</f>
        <v/>
      </c>
      <c r="AV6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WILD</v>
      </c>
      <c r="AW67" s="6">
        <f>IFERROR(calculationstable[[#This Row],[Current Value]]/SUM(calculationstable[Current Value]),"")</f>
        <v>2.6915522874722747E-4</v>
      </c>
      <c r="AX67" s="10">
        <f>IFERROR(IF((SUMIF(Purchases[Coin],calculationstable[[#This Row],[ticker]],Purchases[No. of coins])=0),NA(),SUMIF(Purchases[Coin],calculationstable[[#This Row],[ticker]],Purchases[No. of coins])),"")</f>
        <v>14.71</v>
      </c>
      <c r="AY67" s="6">
        <f>IFERROR((helper[[#This Row],[Purchased]]-calculationstable[[#This Row],[Coins Held]])/helper[[#This Row],[Purchased]],"")</f>
        <v>0</v>
      </c>
      <c r="AZ67" s="12">
        <f>IFERROR(1-helper[[#This Row],[Sold]],"")</f>
        <v>1</v>
      </c>
      <c r="BA67" s="6">
        <f>IFERROR(calculationstable[[#This Row],[Total Tokens Over]]/helper[[#This Row],[Purchased]],"")</f>
        <v>9.9839999999999998E-2</v>
      </c>
      <c r="BB67" s="12">
        <f>IFERROR(1-helper[[#This Row],[% Not in exit]],"")</f>
        <v>0.90015999999999996</v>
      </c>
      <c r="BD67" t="str">
        <f ca="1"/>
        <v>WILD</v>
      </c>
      <c r="BE67">
        <f ca="1"/>
        <v>81</v>
      </c>
      <c r="BF67">
        <f ca="1"/>
        <v>18.240400000000001</v>
      </c>
      <c r="BG67">
        <f ca="1"/>
        <v>0</v>
      </c>
      <c r="BH67">
        <f ca="1"/>
        <v>-0.77480987654320999</v>
      </c>
    </row>
    <row r="68" spans="2:60" hidden="1" x14ac:dyDescent="0.25">
      <c r="B68" s="10" t="s">
        <v>821</v>
      </c>
      <c r="C68">
        <v>0.96592699999999998</v>
      </c>
      <c r="D68">
        <v>28.58</v>
      </c>
      <c r="E68">
        <v>6.1231630510846751</v>
      </c>
      <c r="F68">
        <v>175</v>
      </c>
      <c r="G68">
        <v>27.606193659999999</v>
      </c>
      <c r="H68">
        <v>-147.39380634</v>
      </c>
      <c r="I68" s="11">
        <v>-0.84225032194285698</v>
      </c>
      <c r="J68" s="11">
        <v>-4.1254794924854794E-2</v>
      </c>
      <c r="K68">
        <v>0</v>
      </c>
      <c r="L68">
        <v>0</v>
      </c>
      <c r="M68">
        <v>0</v>
      </c>
      <c r="N68">
        <v>0</v>
      </c>
      <c r="O68">
        <v>12.2464</v>
      </c>
      <c r="P68">
        <v>5.7160000000000002</v>
      </c>
      <c r="Q68">
        <v>22.863999999999997</v>
      </c>
      <c r="R68">
        <v>35.0002</v>
      </c>
      <c r="S68">
        <v>21.4312</v>
      </c>
      <c r="T68">
        <v>4.5728</v>
      </c>
      <c r="U68">
        <v>18.291199999999996</v>
      </c>
      <c r="V68">
        <v>70.000399999999999</v>
      </c>
      <c r="W68">
        <v>27.554400000000001</v>
      </c>
      <c r="X68">
        <v>3.6582399999999993</v>
      </c>
      <c r="Y68">
        <v>14.632959999999997</v>
      </c>
      <c r="Z68">
        <v>78.400499999999994</v>
      </c>
      <c r="AA68">
        <v>36.739199999999997</v>
      </c>
      <c r="AB68">
        <v>2.9265919999999994</v>
      </c>
      <c r="AC68">
        <v>11.706367999999998</v>
      </c>
      <c r="AD68">
        <v>89.600499999999997</v>
      </c>
      <c r="AE68">
        <v>48.985599999999998</v>
      </c>
      <c r="AF68">
        <v>2.9265919999999994</v>
      </c>
      <c r="AG68">
        <v>8.7797759999999982</v>
      </c>
      <c r="AH68">
        <v>125.4408</v>
      </c>
      <c r="AI68">
        <v>759.98059999999998</v>
      </c>
      <c r="AJ68">
        <v>2.8534271999999996</v>
      </c>
      <c r="AK68">
        <v>210</v>
      </c>
      <c r="AL68" s="10">
        <v>759.98059999999998</v>
      </c>
      <c r="AM68">
        <v>1</v>
      </c>
      <c r="AN68" s="10" t="s">
        <v>13</v>
      </c>
      <c r="AP68">
        <f>IFERROR(HLOOKUP(calculationstable[[#This Row],[Merged]],calculationstable[#All],MATCH(calculationstable[[#This Row],[ticker]],calculationstable[[#All],[ticker]],0),FALSE),"")</f>
        <v>12.2464</v>
      </c>
      <c r="AQ68" t="str">
        <f>IFERROR(IF(AP68&lt;=calculationstable[[#This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RELAY</v>
      </c>
      <c r="AR68" t="str">
        <f>IFERROR(IF(LEFT(helper[[#This Row],[take profit feedback]],1)="T","X",""),"")</f>
        <v/>
      </c>
      <c r="AS68" t="str">
        <f>IFERROR(IF(OR(calculationstable[[#This Row],[Selling point 1]]="",calculationstable[[#This Row],[Selling point 1]]=0),"X",""),"")</f>
        <v/>
      </c>
      <c r="AT68" t="str">
        <f>IFERROR(IF(helper[[#This Row],[add to exit]]="","","Add " &amp;calculationstable[[#This Row],[ticker]] &amp;" to Exit Strategy"),"")</f>
        <v/>
      </c>
      <c r="AU68" s="10" t="str">
        <f>IFERROR(IF(OR(calculationstable[[#This Row],[current_price]]="",calculationstable[[#This Row],[current_price]]=0),"Include "&amp;calculationstable[[#This Row],[ticker]]&amp;" in Extra Coins List",""),"")</f>
        <v/>
      </c>
      <c r="AV6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RELAY</v>
      </c>
      <c r="AW68" s="6">
        <f>IFERROR(calculationstable[[#This Row],[Current Value]]/SUM(calculationstable[Current Value]),"")</f>
        <v>4.073568216375496E-4</v>
      </c>
      <c r="AX68" s="10">
        <f>IFERROR(IF((SUMIF(Purchases[Coin],calculationstable[[#This Row],[ticker]],Purchases[No. of coins])=0),NA(),SUMIF(Purchases[Coin],calculationstable[[#This Row],[ticker]],Purchases[No. of coins])),"")</f>
        <v>28.58</v>
      </c>
      <c r="AY68" s="6">
        <f>IFERROR((helper[[#This Row],[Purchased]]-calculationstable[[#This Row],[Coins Held]])/helper[[#This Row],[Purchased]],"")</f>
        <v>0</v>
      </c>
      <c r="AZ68" s="12">
        <f>IFERROR(1-helper[[#This Row],[Sold]],"")</f>
        <v>1</v>
      </c>
      <c r="BA68" s="6">
        <f>IFERROR(calculationstable[[#This Row],[Total Tokens Over]]/helper[[#This Row],[Purchased]],"")</f>
        <v>9.9839999999999998E-2</v>
      </c>
      <c r="BB68" s="12">
        <f>IFERROR(1-helper[[#This Row],[% Not in exit]],"")</f>
        <v>0.90015999999999996</v>
      </c>
      <c r="BD68" t="str">
        <f ca="1"/>
        <v>RELAY</v>
      </c>
      <c r="BE68">
        <f ca="1"/>
        <v>175</v>
      </c>
      <c r="BF68">
        <f ca="1"/>
        <v>27.606193659999999</v>
      </c>
      <c r="BG68">
        <f ca="1"/>
        <v>0</v>
      </c>
      <c r="BH68">
        <f ca="1"/>
        <v>-0.84225032194285698</v>
      </c>
    </row>
    <row r="69" spans="2:60" hidden="1" x14ac:dyDescent="0.25">
      <c r="B69" s="10" t="s">
        <v>769</v>
      </c>
      <c r="C69">
        <v>0.70725700000000002</v>
      </c>
      <c r="D69">
        <v>116.14</v>
      </c>
      <c r="E69">
        <v>1.7392801790941967</v>
      </c>
      <c r="F69">
        <v>202</v>
      </c>
      <c r="G69">
        <v>82.140827979999997</v>
      </c>
      <c r="H69">
        <v>-119.85917202</v>
      </c>
      <c r="I69" s="11">
        <v>-0.59336223772277197</v>
      </c>
      <c r="J69" s="11">
        <v>-1.6313909940201536E-2</v>
      </c>
      <c r="K69">
        <v>0</v>
      </c>
      <c r="L69">
        <v>0</v>
      </c>
      <c r="M69">
        <v>0</v>
      </c>
      <c r="N69">
        <v>0</v>
      </c>
      <c r="O69">
        <v>3.4786000000000001</v>
      </c>
      <c r="P69">
        <v>23.228000000000002</v>
      </c>
      <c r="Q69">
        <v>92.912000000000006</v>
      </c>
      <c r="R69">
        <v>40.400500000000001</v>
      </c>
      <c r="S69">
        <v>6.0876000000000001</v>
      </c>
      <c r="T69">
        <v>18.582400000000003</v>
      </c>
      <c r="U69">
        <v>74.329599999999999</v>
      </c>
      <c r="V69">
        <v>80.800899999999999</v>
      </c>
      <c r="W69">
        <v>7.8269000000000002</v>
      </c>
      <c r="X69">
        <v>14.865920000000001</v>
      </c>
      <c r="Y69">
        <v>59.463679999999997</v>
      </c>
      <c r="Z69">
        <v>90.497</v>
      </c>
      <c r="AA69">
        <v>10.4358</v>
      </c>
      <c r="AB69">
        <v>11.892735999999999</v>
      </c>
      <c r="AC69">
        <v>47.570943999999997</v>
      </c>
      <c r="AD69">
        <v>103.4252</v>
      </c>
      <c r="AE69">
        <v>13.914400000000001</v>
      </c>
      <c r="AF69">
        <v>11.892735999999999</v>
      </c>
      <c r="AG69">
        <v>35.678207999999998</v>
      </c>
      <c r="AH69">
        <v>144.7953</v>
      </c>
      <c r="AI69">
        <v>877.23940000000005</v>
      </c>
      <c r="AJ69">
        <v>11.595417599999999</v>
      </c>
      <c r="AK69">
        <v>242</v>
      </c>
      <c r="AL69" s="10">
        <v>877.23940000000005</v>
      </c>
      <c r="AM69">
        <v>1</v>
      </c>
      <c r="AN69" s="10" t="s">
        <v>13</v>
      </c>
      <c r="AP69">
        <f>IFERROR(HLOOKUP(calculationstable[[#This Row],[Merged]],calculationstable[#All],MATCH(calculationstable[[#This Row],[ticker]],calculationstable[[#All],[ticker]],0),FALSE),"")</f>
        <v>3.4786000000000001</v>
      </c>
      <c r="AQ69" t="str">
        <f>IFERROR(IF(AP69&lt;=calculationstable[[#This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SHDW</v>
      </c>
      <c r="AR69" t="str">
        <f>IFERROR(IF(LEFT(helper[[#This Row],[take profit feedback]],1)="T","X",""),"")</f>
        <v/>
      </c>
      <c r="AS69" t="str">
        <f>IFERROR(IF(OR(calculationstable[[#This Row],[Selling point 1]]="",calculationstable[[#This Row],[Selling point 1]]=0),"X",""),"")</f>
        <v/>
      </c>
      <c r="AT69" t="str">
        <f>IFERROR(IF(helper[[#This Row],[add to exit]]="","","Add " &amp;calculationstable[[#This Row],[ticker]] &amp;" to Exit Strategy"),"")</f>
        <v/>
      </c>
      <c r="AU69" s="10" t="str">
        <f>IFERROR(IF(OR(calculationstable[[#This Row],[current_price]]="",calculationstable[[#This Row],[current_price]]=0),"Include "&amp;calculationstable[[#This Row],[ticker]]&amp;" in Extra Coins List",""),"")</f>
        <v/>
      </c>
      <c r="AV6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SHDW</v>
      </c>
      <c r="AW69" s="6">
        <f>IFERROR(calculationstable[[#This Row],[Current Value]]/SUM(calculationstable[Current Value]),"")</f>
        <v>1.2120695458676105E-3</v>
      </c>
      <c r="AX69" s="10">
        <f>IFERROR(IF((SUMIF(Purchases[Coin],calculationstable[[#This Row],[ticker]],Purchases[No. of coins])=0),NA(),SUMIF(Purchases[Coin],calculationstable[[#This Row],[ticker]],Purchases[No. of coins])),"")</f>
        <v>116.14</v>
      </c>
      <c r="AY69" s="6">
        <f>IFERROR((helper[[#This Row],[Purchased]]-calculationstable[[#This Row],[Coins Held]])/helper[[#This Row],[Purchased]],"")</f>
        <v>0</v>
      </c>
      <c r="AZ69" s="12">
        <f>IFERROR(1-helper[[#This Row],[Sold]],"")</f>
        <v>1</v>
      </c>
      <c r="BA69" s="6">
        <f>IFERROR(calculationstable[[#This Row],[Total Tokens Over]]/helper[[#This Row],[Purchased]],"")</f>
        <v>9.9839999999999998E-2</v>
      </c>
      <c r="BB69" s="12">
        <f>IFERROR(1-helper[[#This Row],[% Not in exit]],"")</f>
        <v>0.90015999999999996</v>
      </c>
      <c r="BD69" t="str">
        <f ca="1"/>
        <v>SHDW</v>
      </c>
      <c r="BE69">
        <f ca="1"/>
        <v>202</v>
      </c>
      <c r="BF69">
        <f ca="1"/>
        <v>82.140827979999997</v>
      </c>
      <c r="BG69">
        <f ca="1"/>
        <v>0</v>
      </c>
      <c r="BH69">
        <f ca="1"/>
        <v>-0.59336223772277197</v>
      </c>
    </row>
    <row r="70" spans="2:60" hidden="1" x14ac:dyDescent="0.25">
      <c r="B70" s="10" t="s">
        <v>776</v>
      </c>
      <c r="C70">
        <v>0.62237500000000001</v>
      </c>
      <c r="D70">
        <v>15.73</v>
      </c>
      <c r="E70">
        <v>5.085823267641449</v>
      </c>
      <c r="F70">
        <v>80</v>
      </c>
      <c r="G70">
        <v>9.7899587500000003</v>
      </c>
      <c r="H70">
        <v>-70.210041250000003</v>
      </c>
      <c r="I70" s="11">
        <v>-0.87762551562500002</v>
      </c>
      <c r="J70" s="11">
        <v>-4.7581373577860797E-2</v>
      </c>
      <c r="K70">
        <v>0</v>
      </c>
      <c r="L70">
        <v>0</v>
      </c>
      <c r="M70">
        <v>0</v>
      </c>
      <c r="N70">
        <v>0</v>
      </c>
      <c r="O70">
        <v>10.1716</v>
      </c>
      <c r="P70">
        <v>3.1460000000000004</v>
      </c>
      <c r="Q70">
        <v>12.584</v>
      </c>
      <c r="R70">
        <v>15.9999</v>
      </c>
      <c r="S70">
        <v>17.8003</v>
      </c>
      <c r="T70">
        <v>2.5167999999999999</v>
      </c>
      <c r="U70">
        <v>10.0672</v>
      </c>
      <c r="V70">
        <v>31.9999</v>
      </c>
      <c r="W70">
        <v>22.886099999999999</v>
      </c>
      <c r="X70">
        <v>2.0134400000000001</v>
      </c>
      <c r="Y70">
        <v>8.0537600000000005</v>
      </c>
      <c r="Z70">
        <v>35.839799999999997</v>
      </c>
      <c r="AA70">
        <v>30.514800000000001</v>
      </c>
      <c r="AB70">
        <v>1.6107520000000002</v>
      </c>
      <c r="AC70">
        <v>6.4430080000000007</v>
      </c>
      <c r="AD70">
        <v>40.959800000000001</v>
      </c>
      <c r="AE70">
        <v>40.686399999999999</v>
      </c>
      <c r="AF70">
        <v>1.6107520000000002</v>
      </c>
      <c r="AG70">
        <v>4.832256000000001</v>
      </c>
      <c r="AH70">
        <v>57.343699999999998</v>
      </c>
      <c r="AI70">
        <v>347.416</v>
      </c>
      <c r="AJ70">
        <v>1.5704832000000004</v>
      </c>
      <c r="AK70">
        <v>96</v>
      </c>
      <c r="AL70" s="10">
        <v>347.416</v>
      </c>
      <c r="AM70">
        <v>1</v>
      </c>
      <c r="AN70" s="10" t="s">
        <v>13</v>
      </c>
      <c r="AP70">
        <f>IFERROR(HLOOKUP(calculationstable[[#This Row],[Merged]],calculationstable[#All],MATCH(calculationstable[[#This Row],[ticker]],calculationstable[[#All],[ticker]],0),FALSE),"")</f>
        <v>10.1716</v>
      </c>
      <c r="AQ70" t="str">
        <f>IFERROR(IF(AP70&lt;=calculationstable[[#This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WND</v>
      </c>
      <c r="AR70" t="str">
        <f>IFERROR(IF(LEFT(helper[[#This Row],[take profit feedback]],1)="T","X",""),"")</f>
        <v/>
      </c>
      <c r="AS70" t="str">
        <f>IFERROR(IF(OR(calculationstable[[#This Row],[Selling point 1]]="",calculationstable[[#This Row],[Selling point 1]]=0),"X",""),"")</f>
        <v/>
      </c>
      <c r="AT70" t="str">
        <f>IFERROR(IF(helper[[#This Row],[add to exit]]="","","Add " &amp;calculationstable[[#This Row],[ticker]] &amp;" to Exit Strategy"),"")</f>
        <v/>
      </c>
      <c r="AU70" s="10" t="str">
        <f>IFERROR(IF(OR(calculationstable[[#This Row],[current_price]]="",calculationstable[[#This Row],[current_price]]=0),"Include "&amp;calculationstable[[#This Row],[ticker]]&amp;" in Extra Coins List",""),"")</f>
        <v/>
      </c>
      <c r="AV7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WND</v>
      </c>
      <c r="AW70" s="6">
        <f>IFERROR(calculationstable[[#This Row],[Current Value]]/SUM(calculationstable[Current Value]),"")</f>
        <v>1.44460570315463E-4</v>
      </c>
      <c r="AX70" s="10">
        <f>IFERROR(IF((SUMIF(Purchases[Coin],calculationstable[[#This Row],[ticker]],Purchases[No. of coins])=0),NA(),SUMIF(Purchases[Coin],calculationstable[[#This Row],[ticker]],Purchases[No. of coins])),"")</f>
        <v>15.73</v>
      </c>
      <c r="AY70" s="6">
        <f>IFERROR((helper[[#This Row],[Purchased]]-calculationstable[[#This Row],[Coins Held]])/helper[[#This Row],[Purchased]],"")</f>
        <v>0</v>
      </c>
      <c r="AZ70" s="12">
        <f>IFERROR(1-helper[[#This Row],[Sold]],"")</f>
        <v>1</v>
      </c>
      <c r="BA70" s="6">
        <f>IFERROR(calculationstable[[#This Row],[Total Tokens Over]]/helper[[#This Row],[Purchased]],"")</f>
        <v>9.9840000000000026E-2</v>
      </c>
      <c r="BB70" s="12">
        <f>IFERROR(1-helper[[#This Row],[% Not in exit]],"")</f>
        <v>0.90015999999999996</v>
      </c>
      <c r="BD70" t="str">
        <f ca="1"/>
        <v>WND</v>
      </c>
      <c r="BE70">
        <f ca="1"/>
        <v>80</v>
      </c>
      <c r="BF70">
        <f ca="1"/>
        <v>9.7899587500000003</v>
      </c>
      <c r="BG70">
        <f ca="1"/>
        <v>0</v>
      </c>
      <c r="BH70">
        <f ca="1"/>
        <v>-0.87762551562500002</v>
      </c>
    </row>
    <row r="71" spans="2:60" hidden="1" x14ac:dyDescent="0.25">
      <c r="B71" s="10" t="s">
        <v>779</v>
      </c>
      <c r="C71">
        <v>0.16400700000000001</v>
      </c>
      <c r="D71">
        <v>60.75</v>
      </c>
      <c r="E71">
        <v>1.2839506172839505</v>
      </c>
      <c r="F71">
        <v>78</v>
      </c>
      <c r="G71">
        <v>9.9634252500000002</v>
      </c>
      <c r="H71">
        <v>-68.03657475</v>
      </c>
      <c r="I71" s="11">
        <v>-0.87226377884615403</v>
      </c>
      <c r="J71" s="11">
        <v>-4.5451451257136052E-2</v>
      </c>
      <c r="K71">
        <v>0</v>
      </c>
      <c r="L71">
        <v>0</v>
      </c>
      <c r="M71">
        <v>0</v>
      </c>
      <c r="N71">
        <v>0</v>
      </c>
      <c r="O71">
        <v>2.5680000000000001</v>
      </c>
      <c r="P71">
        <v>12.15</v>
      </c>
      <c r="Q71">
        <v>48.6</v>
      </c>
      <c r="R71">
        <v>15.6006</v>
      </c>
      <c r="S71">
        <v>4.4939999999999998</v>
      </c>
      <c r="T71">
        <v>9.7200000000000006</v>
      </c>
      <c r="U71">
        <v>38.880000000000003</v>
      </c>
      <c r="V71">
        <v>31.2012</v>
      </c>
      <c r="W71">
        <v>5.7779999999999996</v>
      </c>
      <c r="X71">
        <v>7.7760000000000007</v>
      </c>
      <c r="Y71">
        <v>31.104000000000003</v>
      </c>
      <c r="Z71">
        <v>34.945300000000003</v>
      </c>
      <c r="AA71">
        <v>7.7039999999999997</v>
      </c>
      <c r="AB71">
        <v>6.2208000000000006</v>
      </c>
      <c r="AC71">
        <v>24.883200000000002</v>
      </c>
      <c r="AD71">
        <v>39.9375</v>
      </c>
      <c r="AE71">
        <v>10.272</v>
      </c>
      <c r="AF71">
        <v>6.2208000000000006</v>
      </c>
      <c r="AG71">
        <v>18.662400000000002</v>
      </c>
      <c r="AH71">
        <v>55.912599999999998</v>
      </c>
      <c r="AI71">
        <v>338.74520000000001</v>
      </c>
      <c r="AJ71">
        <v>6.0652800000000013</v>
      </c>
      <c r="AK71">
        <v>93</v>
      </c>
      <c r="AL71" s="10">
        <v>338.74520000000001</v>
      </c>
      <c r="AM71">
        <v>1</v>
      </c>
      <c r="AN71" s="10" t="s">
        <v>13</v>
      </c>
      <c r="AP71">
        <f>IFERROR(HLOOKUP(calculationstable[[#This Row],[Merged]],calculationstable[#All],MATCH(calculationstable[[#This Row],[ticker]],calculationstable[[#All],[ticker]],0),FALSE),"")</f>
        <v>2.5680000000000001</v>
      </c>
      <c r="AQ71" t="str">
        <f>IFERROR(IF(AP71&lt;=calculationstable[[#This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STEP</v>
      </c>
      <c r="AR71" t="str">
        <f>IFERROR(IF(LEFT(helper[[#This Row],[take profit feedback]],1)="T","X",""),"")</f>
        <v/>
      </c>
      <c r="AS71" t="str">
        <f>IFERROR(IF(OR(calculationstable[[#This Row],[Selling point 1]]="",calculationstable[[#This Row],[Selling point 1]]=0),"X",""),"")</f>
        <v/>
      </c>
      <c r="AT71" t="str">
        <f>IFERROR(IF(helper[[#This Row],[add to exit]]="","","Add " &amp;calculationstable[[#This Row],[ticker]] &amp;" to Exit Strategy"),"")</f>
        <v/>
      </c>
      <c r="AU71" s="10" t="str">
        <f>IFERROR(IF(OR(calculationstable[[#This Row],[current_price]]="",calculationstable[[#This Row],[current_price]]=0),"Include "&amp;calculationstable[[#This Row],[ticker]]&amp;" in Extra Coins List",""),"")</f>
        <v/>
      </c>
      <c r="AV7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STEP</v>
      </c>
      <c r="AW71" s="6">
        <f>IFERROR(calculationstable[[#This Row],[Current Value]]/SUM(calculationstable[Current Value]),"")</f>
        <v>1.4702024090862328E-4</v>
      </c>
      <c r="AX71" s="10">
        <f>IFERROR(IF((SUMIF(Purchases[Coin],calculationstable[[#This Row],[ticker]],Purchases[No. of coins])=0),NA(),SUMIF(Purchases[Coin],calculationstable[[#This Row],[ticker]],Purchases[No. of coins])),"")</f>
        <v>60.75</v>
      </c>
      <c r="AY71" s="6">
        <f>IFERROR((helper[[#This Row],[Purchased]]-calculationstable[[#This Row],[Coins Held]])/helper[[#This Row],[Purchased]],"")</f>
        <v>0</v>
      </c>
      <c r="AZ71" s="12">
        <f>IFERROR(1-helper[[#This Row],[Sold]],"")</f>
        <v>1</v>
      </c>
      <c r="BA71" s="6">
        <f>IFERROR(calculationstable[[#This Row],[Total Tokens Over]]/helper[[#This Row],[Purchased]],"")</f>
        <v>9.9840000000000026E-2</v>
      </c>
      <c r="BB71" s="12">
        <f>IFERROR(1-helper[[#This Row],[% Not in exit]],"")</f>
        <v>0.90015999999999996</v>
      </c>
      <c r="BD71" t="str">
        <f ca="1"/>
        <v>STEP</v>
      </c>
      <c r="BE71">
        <f ca="1"/>
        <v>78</v>
      </c>
      <c r="BF71">
        <f ca="1"/>
        <v>9.9634252500000002</v>
      </c>
      <c r="BG71">
        <f ca="1"/>
        <v>0</v>
      </c>
      <c r="BH71">
        <f ca="1"/>
        <v>-0.87226377884615403</v>
      </c>
    </row>
    <row r="72" spans="2:60" hidden="1" x14ac:dyDescent="0.25">
      <c r="B72" s="10" t="s">
        <v>760</v>
      </c>
      <c r="C72">
        <v>3.99</v>
      </c>
      <c r="D72">
        <v>65.89</v>
      </c>
      <c r="E72">
        <v>8.7721960843830633</v>
      </c>
      <c r="F72">
        <v>578</v>
      </c>
      <c r="G72">
        <v>262.90110000000004</v>
      </c>
      <c r="H72">
        <v>-315.09889999999996</v>
      </c>
      <c r="I72" s="11">
        <v>-0.54515380622837395</v>
      </c>
      <c r="J72" s="11">
        <v>-7.0637718609885033E-2</v>
      </c>
      <c r="K72">
        <v>0</v>
      </c>
      <c r="L72">
        <v>0</v>
      </c>
      <c r="M72">
        <v>0</v>
      </c>
      <c r="N72">
        <v>0</v>
      </c>
      <c r="O72">
        <v>17.5444</v>
      </c>
      <c r="P72">
        <v>13.178000000000001</v>
      </c>
      <c r="Q72">
        <v>52.712000000000003</v>
      </c>
      <c r="R72">
        <v>115.6001</v>
      </c>
      <c r="S72">
        <v>30.7027</v>
      </c>
      <c r="T72">
        <v>10.542400000000001</v>
      </c>
      <c r="U72">
        <v>42.169600000000003</v>
      </c>
      <c r="V72">
        <v>231.20009999999999</v>
      </c>
      <c r="W72">
        <v>39.474899999999998</v>
      </c>
      <c r="X72">
        <v>8.4339200000000005</v>
      </c>
      <c r="Y72">
        <v>33.735680000000002</v>
      </c>
      <c r="Z72">
        <v>258.94409999999999</v>
      </c>
      <c r="AA72">
        <v>52.633200000000002</v>
      </c>
      <c r="AB72">
        <v>6.7471360000000011</v>
      </c>
      <c r="AC72">
        <v>26.988544000000001</v>
      </c>
      <c r="AD72">
        <v>295.93610000000001</v>
      </c>
      <c r="AE72">
        <v>70.177599999999998</v>
      </c>
      <c r="AF72">
        <v>6.7471360000000002</v>
      </c>
      <c r="AG72">
        <v>20.241408</v>
      </c>
      <c r="AH72">
        <v>414.31060000000002</v>
      </c>
      <c r="AI72">
        <v>2510.0933</v>
      </c>
      <c r="AJ72">
        <v>6.5784576000000001</v>
      </c>
      <c r="AK72">
        <v>692</v>
      </c>
      <c r="AL72" s="10">
        <v>2510.0933</v>
      </c>
      <c r="AM72">
        <v>1</v>
      </c>
      <c r="AN72" s="10" t="s">
        <v>13</v>
      </c>
      <c r="AP72">
        <f>IFERROR(HLOOKUP(calculationstable[[#This Row],[Merged]],calculationstable[#All],MATCH(calculationstable[[#This Row],[ticker]],calculationstable[[#All],[ticker]],0),FALSE),"")</f>
        <v>17.5444</v>
      </c>
      <c r="AQ72" t="str">
        <f>IFERROR(IF(AP72&lt;=calculationstable[[#This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XAVA</v>
      </c>
      <c r="AR72" t="str">
        <f>IFERROR(IF(LEFT(helper[[#This Row],[take profit feedback]],1)="T","X",""),"")</f>
        <v/>
      </c>
      <c r="AS72" t="str">
        <f>IFERROR(IF(OR(calculationstable[[#This Row],[Selling point 1]]="",calculationstable[[#This Row],[Selling point 1]]=0),"X",""),"")</f>
        <v/>
      </c>
      <c r="AT72" t="str">
        <f>IFERROR(IF(helper[[#This Row],[add to exit]]="","","Add " &amp;calculationstable[[#This Row],[ticker]] &amp;" to Exit Strategy"),"")</f>
        <v/>
      </c>
      <c r="AU72" s="10" t="str">
        <f>IFERROR(IF(OR(calculationstable[[#This Row],[current_price]]="",calculationstable[[#This Row],[current_price]]=0),"Include "&amp;calculationstable[[#This Row],[ticker]]&amp;" in Extra Coins List",""),"")</f>
        <v/>
      </c>
      <c r="AV7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XAVA</v>
      </c>
      <c r="AW72" s="6">
        <f>IFERROR(calculationstable[[#This Row],[Current Value]]/SUM(calculationstable[Current Value]),"")</f>
        <v>3.87936699350879E-3</v>
      </c>
      <c r="AX72" s="10">
        <f>IFERROR(IF((SUMIF(Purchases[Coin],calculationstable[[#This Row],[ticker]],Purchases[No. of coins])=0),NA(),SUMIF(Purchases[Coin],calculationstable[[#This Row],[ticker]],Purchases[No. of coins])),"")</f>
        <v>65.89</v>
      </c>
      <c r="AY72" s="6">
        <f>IFERROR((helper[[#This Row],[Purchased]]-calculationstable[[#This Row],[Coins Held]])/helper[[#This Row],[Purchased]],"")</f>
        <v>0</v>
      </c>
      <c r="AZ72" s="12">
        <f>IFERROR(1-helper[[#This Row],[Sold]],"")</f>
        <v>1</v>
      </c>
      <c r="BA72" s="6">
        <f>IFERROR(calculationstable[[#This Row],[Total Tokens Over]]/helper[[#This Row],[Purchased]],"")</f>
        <v>9.9839999999999998E-2</v>
      </c>
      <c r="BB72" s="12">
        <f>IFERROR(1-helper[[#This Row],[% Not in exit]],"")</f>
        <v>0.90015999999999996</v>
      </c>
      <c r="BD72" t="str">
        <f ca="1"/>
        <v>XAVA</v>
      </c>
      <c r="BE72">
        <f ca="1"/>
        <v>578</v>
      </c>
      <c r="BF72">
        <f ca="1"/>
        <v>262.90110000000004</v>
      </c>
      <c r="BG72">
        <f ca="1"/>
        <v>0</v>
      </c>
      <c r="BH72">
        <f ca="1"/>
        <v>-0.54515380622837395</v>
      </c>
    </row>
    <row r="73" spans="2:60" hidden="1" x14ac:dyDescent="0.25">
      <c r="B73" s="10" t="s">
        <v>780</v>
      </c>
      <c r="C73">
        <v>4.2485500000000002E-3</v>
      </c>
      <c r="D73">
        <v>1372.8</v>
      </c>
      <c r="E73">
        <v>6.2645687645687648E-2</v>
      </c>
      <c r="F73">
        <v>86</v>
      </c>
      <c r="G73">
        <v>5.8324094400000002</v>
      </c>
      <c r="H73">
        <v>-80.167590559999994</v>
      </c>
      <c r="I73" s="11">
        <v>-0.93218128558139501</v>
      </c>
      <c r="J73" s="11">
        <v>-0.14602460248203383</v>
      </c>
      <c r="K73">
        <v>0</v>
      </c>
      <c r="L73">
        <v>0</v>
      </c>
      <c r="M73">
        <v>0</v>
      </c>
      <c r="N73">
        <v>0</v>
      </c>
      <c r="O73">
        <v>0.12520000000000001</v>
      </c>
      <c r="P73">
        <v>274.56</v>
      </c>
      <c r="Q73">
        <v>1098.24</v>
      </c>
      <c r="R73">
        <v>17.1875</v>
      </c>
      <c r="S73">
        <v>0.21909999999999999</v>
      </c>
      <c r="T73">
        <v>219.64800000000002</v>
      </c>
      <c r="U73">
        <v>878.59199999999998</v>
      </c>
      <c r="V73">
        <v>34.374899999999997</v>
      </c>
      <c r="W73">
        <v>0.28170000000000001</v>
      </c>
      <c r="X73">
        <v>175.7184</v>
      </c>
      <c r="Y73">
        <v>702.87360000000001</v>
      </c>
      <c r="Z73">
        <v>38.499899999999997</v>
      </c>
      <c r="AA73">
        <v>0.37559999999999999</v>
      </c>
      <c r="AB73">
        <v>140.57472000000001</v>
      </c>
      <c r="AC73">
        <v>562.29888000000005</v>
      </c>
      <c r="AD73">
        <v>43.999899999999997</v>
      </c>
      <c r="AE73">
        <v>0.50080000000000002</v>
      </c>
      <c r="AF73">
        <v>140.57472000000001</v>
      </c>
      <c r="AG73">
        <v>421.72416000000004</v>
      </c>
      <c r="AH73">
        <v>61.599800000000002</v>
      </c>
      <c r="AI73">
        <v>373.20150000000001</v>
      </c>
      <c r="AJ73">
        <v>137.06035200000002</v>
      </c>
      <c r="AK73">
        <v>103</v>
      </c>
      <c r="AL73" s="10">
        <v>373.20150000000001</v>
      </c>
      <c r="AM73">
        <v>1</v>
      </c>
      <c r="AN73" s="10" t="s">
        <v>13</v>
      </c>
      <c r="AP73">
        <f>IFERROR(HLOOKUP(calculationstable[[#This Row],[Merged]],calculationstable[#All],MATCH(calculationstable[[#This Row],[ticker]],calculationstable[[#All],[ticker]],0),FALSE),"")</f>
        <v>0.12520000000000001</v>
      </c>
      <c r="AQ73" t="str">
        <f>IFERROR(IF(AP73&lt;=calculationstable[[#This Row],[current_price]],"Take Profit On " &amp;calculationstable[[#This Row],[ticker]]&amp;" "&amp; calculationstable[[#This Row],[Merged]],"Wait for price target on "&amp;calculationstable[[#This Row],[ticker]]),"")</f>
        <v>Wait for price target on WEYU</v>
      </c>
      <c r="AR73" t="str">
        <f>IFERROR(IF(LEFT(helper[[#This Row],[take profit feedback]],1)="T","X",""),"")</f>
        <v/>
      </c>
      <c r="AS73" t="str">
        <f>IFERROR(IF(OR(calculationstable[[#This Row],[Selling point 1]]="",calculationstable[[#This Row],[Selling point 1]]=0),"X",""),"")</f>
        <v/>
      </c>
      <c r="AT73" t="str">
        <f>IFERROR(IF(helper[[#This Row],[add to exit]]="","","Add " &amp;calculationstable[[#This Row],[ticker]] &amp;" to Exit Strategy"),"")</f>
        <v/>
      </c>
      <c r="AU73" s="10" t="str">
        <f>IFERROR(IF(OR(calculationstable[[#This Row],[current_price]]="",calculationstable[[#This Row],[current_price]]=0),"Include "&amp;calculationstable[[#This Row],[ticker]]&amp;" in Extra Coins List",""),"")</f>
        <v/>
      </c>
      <c r="AV7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>Wait for price target on WEYU</v>
      </c>
      <c r="AW73" s="6">
        <f>IFERROR(calculationstable[[#This Row],[Current Value]]/SUM(calculationstable[Current Value]),"")</f>
        <v>8.6062997355907162E-5</v>
      </c>
      <c r="AX73" s="10">
        <f>IFERROR(IF((SUMIF(Purchases[Coin],calculationstable[[#This Row],[ticker]],Purchases[No. of coins])=0),NA(),SUMIF(Purchases[Coin],calculationstable[[#This Row],[ticker]],Purchases[No. of coins])),"")</f>
        <v>1372.8</v>
      </c>
      <c r="AY73" s="6">
        <f>IFERROR((helper[[#This Row],[Purchased]]-calculationstable[[#This Row],[Coins Held]])/helper[[#This Row],[Purchased]],"")</f>
        <v>0</v>
      </c>
      <c r="AZ73" s="12">
        <f>IFERROR(1-helper[[#This Row],[Sold]],"")</f>
        <v>1</v>
      </c>
      <c r="BA73" s="6">
        <f>IFERROR(calculationstable[[#This Row],[Total Tokens Over]]/helper[[#This Row],[Purchased]],"")</f>
        <v>9.9840000000000026E-2</v>
      </c>
      <c r="BB73" s="12">
        <f>IFERROR(1-helper[[#This Row],[% Not in exit]],"")</f>
        <v>0.90015999999999996</v>
      </c>
      <c r="BD73" t="str">
        <f ca="1"/>
        <v>WEYU</v>
      </c>
      <c r="BE73">
        <f ca="1"/>
        <v>86</v>
      </c>
      <c r="BG73">
        <f ca="1"/>
        <v>0</v>
      </c>
    </row>
    <row r="74" spans="2:60" x14ac:dyDescent="0.25">
      <c r="AP74" t="str">
        <f>IFERROR(HLOOKUP(calculationstable[[#This Row],[Merged]],calculationstable[#All],MATCH(calculationstable[[#This Row],[ticker]],calculationstable[[#All],[ticker]],0),FALSE),"")</f>
        <v/>
      </c>
      <c r="AQ74" t="str">
        <f>IFERROR(IF(AP74&lt;=calculationstable[[#This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4" t="str">
        <f>IFERROR(IF(LEFT(helper[[#This Row],[take profit feedback]],1)="T","X",""),"")</f>
        <v/>
      </c>
      <c r="AS74" t="str">
        <f>IFERROR(IF(OR(calculationstable[[#This Row],[Selling point 1]]="",calculationstable[[#This Row],[Selling point 1]]=0),"X",""),"")</f>
        <v/>
      </c>
      <c r="AT74" t="str">
        <f>IFERROR(IF(helper[[#This Row],[add to exit]]="","","Add " &amp;calculationstable[[#This Row],[ticker]] &amp;" to Exit Strategy"),"")</f>
        <v/>
      </c>
      <c r="AU74" s="10" t="str">
        <f>IFERROR(IF(OR(calculationstable[[#This Row],[current_price]]="",calculationstable[[#This Row],[current_price]]=0),"Include "&amp;calculationstable[[#This Row],[ticker]]&amp;" in Extra Coins List",""),"")</f>
        <v/>
      </c>
      <c r="AV7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4" s="6" t="str">
        <f>IFERROR(calculationstable[[#This Row],[Current Value]]/SUM(calculationstable[Current Value]),"")</f>
        <v/>
      </c>
      <c r="AX74" s="10" t="str">
        <f>IFERROR(IF((SUMIF(Purchases[Coin],calculationstable[[#This Row],[ticker]],Purchases[No. of coins])=0),NA(),SUMIF(Purchases[Coin],calculationstable[[#This Row],[ticker]],Purchases[No. of coins])),"")</f>
        <v/>
      </c>
      <c r="AY74" s="6" t="str">
        <f>IFERROR((helper[[#This Row],[Purchased]]-calculationstable[[#This Row],[Coins Held]])/helper[[#This Row],[Purchased]],"")</f>
        <v/>
      </c>
      <c r="AZ74" s="12" t="str">
        <f>IFERROR(1-helper[[#This Row],[Sold]],"")</f>
        <v/>
      </c>
      <c r="BA74" s="6" t="str">
        <f>IFERROR(calculationstable[[#This Row],[Total Tokens Over]]/helper[[#This Row],[Purchased]],"")</f>
        <v/>
      </c>
      <c r="BB74" s="12" t="str">
        <f>IFERROR(1-helper[[#This Row],[% Not in exit]],"")</f>
        <v/>
      </c>
    </row>
    <row r="75" spans="2:60" x14ac:dyDescent="0.25">
      <c r="AP75" t="str">
        <f>IFERROR(HLOOKUP(calculationstable[[#This Row],[Merged]],calculationstable[#All],MATCH(calculationstable[[#This Row],[ticker]],calculationstable[[#All],[ticker]],0),FALSE),"")</f>
        <v/>
      </c>
      <c r="AQ75" t="str">
        <f>IFERROR(IF(AP75&lt;=calculationstable[[#This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5" t="str">
        <f>IFERROR(IF(LEFT(helper[[#This Row],[take profit feedback]],1)="T","X",""),"")</f>
        <v/>
      </c>
      <c r="AS75" t="str">
        <f>IFERROR(IF(OR(calculationstable[[#This Row],[Selling point 1]]="",calculationstable[[#This Row],[Selling point 1]]=0),"X",""),"")</f>
        <v/>
      </c>
      <c r="AT75" t="str">
        <f>IFERROR(IF(helper[[#This Row],[add to exit]]="","","Add " &amp;calculationstable[[#This Row],[ticker]] &amp;" to Exit Strategy"),"")</f>
        <v/>
      </c>
      <c r="AU75" s="10" t="str">
        <f>IFERROR(IF(OR(calculationstable[[#This Row],[current_price]]="",calculationstable[[#This Row],[current_price]]=0),"Include "&amp;calculationstable[[#This Row],[ticker]]&amp;" in Extra Coins List",""),"")</f>
        <v/>
      </c>
      <c r="AV7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5" s="6" t="str">
        <f>IFERROR(calculationstable[[#This Row],[Current Value]]/SUM(calculationstable[Current Value]),"")</f>
        <v/>
      </c>
      <c r="AX75" s="10" t="str">
        <f>IFERROR(IF((SUMIF(Purchases[Coin],calculationstable[[#This Row],[ticker]],Purchases[No. of coins])=0),NA(),SUMIF(Purchases[Coin],calculationstable[[#This Row],[ticker]],Purchases[No. of coins])),"")</f>
        <v/>
      </c>
      <c r="AY75" s="6" t="str">
        <f>IFERROR((helper[[#This Row],[Purchased]]-calculationstable[[#This Row],[Coins Held]])/helper[[#This Row],[Purchased]],"")</f>
        <v/>
      </c>
      <c r="AZ75" s="12" t="str">
        <f>IFERROR(1-helper[[#This Row],[Sold]],"")</f>
        <v/>
      </c>
      <c r="BA75" s="6" t="str">
        <f>IFERROR(calculationstable[[#This Row],[Total Tokens Over]]/helper[[#This Row],[Purchased]],"")</f>
        <v/>
      </c>
      <c r="BB75" s="12" t="str">
        <f>IFERROR(1-helper[[#This Row],[% Not in exit]],"")</f>
        <v/>
      </c>
    </row>
    <row r="76" spans="2:60" x14ac:dyDescent="0.25">
      <c r="AP76" t="str">
        <f>IFERROR(HLOOKUP(calculationstable[[#This Row],[Merged]],calculationstable[#All],MATCH(calculationstable[[#This Row],[ticker]],calculationstable[[#All],[ticker]],0),FALSE),"")</f>
        <v/>
      </c>
      <c r="AQ76" t="str">
        <f>IFERROR(IF(AP76&lt;=calculationstable[[#This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6" t="str">
        <f>IFERROR(IF(LEFT(helper[[#This Row],[take profit feedback]],1)="T","X",""),"")</f>
        <v/>
      </c>
      <c r="AS76" t="str">
        <f>IFERROR(IF(OR(calculationstable[[#This Row],[Selling point 1]]="",calculationstable[[#This Row],[Selling point 1]]=0),"X",""),"")</f>
        <v/>
      </c>
      <c r="AT76" t="str">
        <f>IFERROR(IF(helper[[#This Row],[add to exit]]="","","Add " &amp;calculationstable[[#This Row],[ticker]] &amp;" to Exit Strategy"),"")</f>
        <v/>
      </c>
      <c r="AU76" s="10" t="str">
        <f>IFERROR(IF(OR(calculationstable[[#This Row],[current_price]]="",calculationstable[[#This Row],[current_price]]=0),"Include "&amp;calculationstable[[#This Row],[ticker]]&amp;" in Extra Coins List",""),"")</f>
        <v/>
      </c>
      <c r="AV7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6" s="6" t="str">
        <f>IFERROR(calculationstable[[#This Row],[Current Value]]/SUM(calculationstable[Current Value]),"")</f>
        <v/>
      </c>
      <c r="AX76" s="10" t="str">
        <f>IFERROR(IF((SUMIF(Purchases[Coin],calculationstable[[#This Row],[ticker]],Purchases[No. of coins])=0),NA(),SUMIF(Purchases[Coin],calculationstable[[#This Row],[ticker]],Purchases[No. of coins])),"")</f>
        <v/>
      </c>
      <c r="AY76" s="6" t="str">
        <f>IFERROR((helper[[#This Row],[Purchased]]-calculationstable[[#This Row],[Coins Held]])/helper[[#This Row],[Purchased]],"")</f>
        <v/>
      </c>
      <c r="AZ76" s="12" t="str">
        <f>IFERROR(1-helper[[#This Row],[Sold]],"")</f>
        <v/>
      </c>
      <c r="BA76" s="6" t="str">
        <f>IFERROR(calculationstable[[#This Row],[Total Tokens Over]]/helper[[#This Row],[Purchased]],"")</f>
        <v/>
      </c>
      <c r="BB76" s="12" t="str">
        <f>IFERROR(1-helper[[#This Row],[% Not in exit]],"")</f>
        <v/>
      </c>
    </row>
    <row r="77" spans="2:60" x14ac:dyDescent="0.25">
      <c r="AP77" t="str">
        <f>IFERROR(HLOOKUP(calculationstable[[#This Row],[Merged]],calculationstable[#All],MATCH(calculationstable[[#This Row],[ticker]],calculationstable[[#All],[ticker]],0),FALSE),"")</f>
        <v/>
      </c>
      <c r="AQ77" t="str">
        <f>IFERROR(IF(AP77&lt;=calculationstable[[#This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7" t="str">
        <f>IFERROR(IF(LEFT(helper[[#This Row],[take profit feedback]],1)="T","X",""),"")</f>
        <v/>
      </c>
      <c r="AS77" t="str">
        <f>IFERROR(IF(OR(calculationstable[[#This Row],[Selling point 1]]="",calculationstable[[#This Row],[Selling point 1]]=0),"X",""),"")</f>
        <v/>
      </c>
      <c r="AT77" t="str">
        <f>IFERROR(IF(helper[[#This Row],[add to exit]]="","","Add " &amp;calculationstable[[#This Row],[ticker]] &amp;" to Exit Strategy"),"")</f>
        <v/>
      </c>
      <c r="AU77" s="10" t="str">
        <f>IFERROR(IF(OR(calculationstable[[#This Row],[current_price]]="",calculationstable[[#This Row],[current_price]]=0),"Include "&amp;calculationstable[[#This Row],[ticker]]&amp;" in Extra Coins List",""),"")</f>
        <v/>
      </c>
      <c r="AV77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7" s="6" t="str">
        <f>IFERROR(calculationstable[[#This Row],[Current Value]]/SUM(calculationstable[Current Value]),"")</f>
        <v/>
      </c>
      <c r="AX77" s="10" t="str">
        <f>IFERROR(IF((SUMIF(Purchases[Coin],calculationstable[[#This Row],[ticker]],Purchases[No. of coins])=0),NA(),SUMIF(Purchases[Coin],calculationstable[[#This Row],[ticker]],Purchases[No. of coins])),"")</f>
        <v/>
      </c>
      <c r="AY77" s="6" t="str">
        <f>IFERROR((helper[[#This Row],[Purchased]]-calculationstable[[#This Row],[Coins Held]])/helper[[#This Row],[Purchased]],"")</f>
        <v/>
      </c>
      <c r="AZ77" s="12" t="str">
        <f>IFERROR(1-helper[[#This Row],[Sold]],"")</f>
        <v/>
      </c>
      <c r="BA77" s="6" t="str">
        <f>IFERROR(calculationstable[[#This Row],[Total Tokens Over]]/helper[[#This Row],[Purchased]],"")</f>
        <v/>
      </c>
      <c r="BB77" s="12" t="str">
        <f>IFERROR(1-helper[[#This Row],[% Not in exit]],"")</f>
        <v/>
      </c>
    </row>
    <row r="78" spans="2:60" x14ac:dyDescent="0.25">
      <c r="AP78" t="str">
        <f>IFERROR(HLOOKUP(calculationstable[[#This Row],[Merged]],calculationstable[#All],MATCH(calculationstable[[#This Row],[ticker]],calculationstable[[#All],[ticker]],0),FALSE),"")</f>
        <v/>
      </c>
      <c r="AQ78" t="str">
        <f>IFERROR(IF(AP78&lt;=calculationstable[[#This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8" t="str">
        <f>IFERROR(IF(LEFT(helper[[#This Row],[take profit feedback]],1)="T","X",""),"")</f>
        <v/>
      </c>
      <c r="AS78" t="str">
        <f>IFERROR(IF(OR(calculationstable[[#This Row],[Selling point 1]]="",calculationstable[[#This Row],[Selling point 1]]=0),"X",""),"")</f>
        <v/>
      </c>
      <c r="AT78" t="str">
        <f>IFERROR(IF(helper[[#This Row],[add to exit]]="","","Add " &amp;calculationstable[[#This Row],[ticker]] &amp;" to Exit Strategy"),"")</f>
        <v/>
      </c>
      <c r="AU78" s="10" t="str">
        <f>IFERROR(IF(OR(calculationstable[[#This Row],[current_price]]="",calculationstable[[#This Row],[current_price]]=0),"Include "&amp;calculationstable[[#This Row],[ticker]]&amp;" in Extra Coins List",""),"")</f>
        <v/>
      </c>
      <c r="AV78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8" s="6" t="str">
        <f>IFERROR(calculationstable[[#This Row],[Current Value]]/SUM(calculationstable[Current Value]),"")</f>
        <v/>
      </c>
      <c r="AX78" s="10" t="str">
        <f>IFERROR(IF((SUMIF(Purchases[Coin],calculationstable[[#This Row],[ticker]],Purchases[No. of coins])=0),NA(),SUMIF(Purchases[Coin],calculationstable[[#This Row],[ticker]],Purchases[No. of coins])),"")</f>
        <v/>
      </c>
      <c r="AY78" s="6" t="str">
        <f>IFERROR((helper[[#This Row],[Purchased]]-calculationstable[[#This Row],[Coins Held]])/helper[[#This Row],[Purchased]],"")</f>
        <v/>
      </c>
      <c r="AZ78" s="12" t="str">
        <f>IFERROR(1-helper[[#This Row],[Sold]],"")</f>
        <v/>
      </c>
      <c r="BA78" s="6" t="str">
        <f>IFERROR(calculationstable[[#This Row],[Total Tokens Over]]/helper[[#This Row],[Purchased]],"")</f>
        <v/>
      </c>
      <c r="BB78" s="12" t="str">
        <f>IFERROR(1-helper[[#This Row],[% Not in exit]],"")</f>
        <v/>
      </c>
    </row>
    <row r="79" spans="2:60" x14ac:dyDescent="0.25">
      <c r="AP79" t="str">
        <f>IFERROR(HLOOKUP(calculationstable[[#This Row],[Merged]],calculationstable[#All],MATCH(calculationstable[[#This Row],[ticker]],calculationstable[[#All],[ticker]],0),FALSE),"")</f>
        <v/>
      </c>
      <c r="AQ79" t="str">
        <f>IFERROR(IF(AP79&lt;=calculationstable[[#This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79" t="str">
        <f>IFERROR(IF(LEFT(helper[[#This Row],[take profit feedback]],1)="T","X",""),"")</f>
        <v/>
      </c>
      <c r="AS79" t="str">
        <f>IFERROR(IF(OR(calculationstable[[#This Row],[Selling point 1]]="",calculationstable[[#This Row],[Selling point 1]]=0),"X",""),"")</f>
        <v/>
      </c>
      <c r="AT79" t="str">
        <f>IFERROR(IF(helper[[#This Row],[add to exit]]="","","Add " &amp;calculationstable[[#This Row],[ticker]] &amp;" to Exit Strategy"),"")</f>
        <v/>
      </c>
      <c r="AU79" s="10" t="str">
        <f>IFERROR(IF(OR(calculationstable[[#This Row],[current_price]]="",calculationstable[[#This Row],[current_price]]=0),"Include "&amp;calculationstable[[#This Row],[ticker]]&amp;" in Extra Coins List",""),"")</f>
        <v/>
      </c>
      <c r="AV79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79" s="6" t="str">
        <f>IFERROR(calculationstable[[#This Row],[Current Value]]/SUM(calculationstable[Current Value]),"")</f>
        <v/>
      </c>
      <c r="AX79" s="10" t="str">
        <f>IFERROR(IF((SUMIF(Purchases[Coin],calculationstable[[#This Row],[ticker]],Purchases[No. of coins])=0),NA(),SUMIF(Purchases[Coin],calculationstable[[#This Row],[ticker]],Purchases[No. of coins])),"")</f>
        <v/>
      </c>
      <c r="AY79" s="6" t="str">
        <f>IFERROR((helper[[#This Row],[Purchased]]-calculationstable[[#This Row],[Coins Held]])/helper[[#This Row],[Purchased]],"")</f>
        <v/>
      </c>
      <c r="AZ79" s="12" t="str">
        <f>IFERROR(1-helper[[#This Row],[Sold]],"")</f>
        <v/>
      </c>
      <c r="BA79" s="6" t="str">
        <f>IFERROR(calculationstable[[#This Row],[Total Tokens Over]]/helper[[#This Row],[Purchased]],"")</f>
        <v/>
      </c>
      <c r="BB79" s="12" t="str">
        <f>IFERROR(1-helper[[#This Row],[% Not in exit]],"")</f>
        <v/>
      </c>
    </row>
    <row r="80" spans="2:60" x14ac:dyDescent="0.25">
      <c r="AP80" t="str">
        <f>IFERROR(HLOOKUP(calculationstable[[#This Row],[Merged]],calculationstable[#All],MATCH(calculationstable[[#This Row],[ticker]],calculationstable[[#All],[ticker]],0),FALSE),"")</f>
        <v/>
      </c>
      <c r="AQ80" t="str">
        <f>IFERROR(IF(AP80&lt;=calculationstable[[#This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0" t="str">
        <f>IFERROR(IF(LEFT(helper[[#This Row],[take profit feedback]],1)="T","X",""),"")</f>
        <v/>
      </c>
      <c r="AS80" t="str">
        <f>IFERROR(IF(OR(calculationstable[[#This Row],[Selling point 1]]="",calculationstable[[#This Row],[Selling point 1]]=0),"X",""),"")</f>
        <v/>
      </c>
      <c r="AT80" t="str">
        <f>IFERROR(IF(helper[[#This Row],[add to exit]]="","","Add " &amp;calculationstable[[#This Row],[ticker]] &amp;" to Exit Strategy"),"")</f>
        <v/>
      </c>
      <c r="AU80" s="10" t="str">
        <f>IFERROR(IF(OR(calculationstable[[#This Row],[current_price]]="",calculationstable[[#This Row],[current_price]]=0),"Include "&amp;calculationstable[[#This Row],[ticker]]&amp;" in Extra Coins List",""),"")</f>
        <v/>
      </c>
      <c r="AV80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0" s="6" t="str">
        <f>IFERROR(calculationstable[[#This Row],[Current Value]]/SUM(calculationstable[Current Value]),"")</f>
        <v/>
      </c>
      <c r="AX80" s="10" t="str">
        <f>IFERROR(IF((SUMIF(Purchases[Coin],calculationstable[[#This Row],[ticker]],Purchases[No. of coins])=0),NA(),SUMIF(Purchases[Coin],calculationstable[[#This Row],[ticker]],Purchases[No. of coins])),"")</f>
        <v/>
      </c>
      <c r="AY80" s="6" t="str">
        <f>IFERROR((helper[[#This Row],[Purchased]]-calculationstable[[#This Row],[Coins Held]])/helper[[#This Row],[Purchased]],"")</f>
        <v/>
      </c>
      <c r="AZ80" s="12" t="str">
        <f>IFERROR(1-helper[[#This Row],[Sold]],"")</f>
        <v/>
      </c>
      <c r="BA80" s="6" t="str">
        <f>IFERROR(calculationstable[[#This Row],[Total Tokens Over]]/helper[[#This Row],[Purchased]],"")</f>
        <v/>
      </c>
      <c r="BB80" s="12" t="str">
        <f>IFERROR(1-helper[[#This Row],[% Not in exit]],"")</f>
        <v/>
      </c>
    </row>
    <row r="81" spans="42:54" x14ac:dyDescent="0.25">
      <c r="AP81" t="str">
        <f>IFERROR(HLOOKUP(calculationstable[[#This Row],[Merged]],calculationstable[#All],MATCH(calculationstable[[#This Row],[ticker]],calculationstable[[#All],[ticker]],0),FALSE),"")</f>
        <v/>
      </c>
      <c r="AQ81" t="str">
        <f>IFERROR(IF(AP81&lt;=calculationstable[[#This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1" t="str">
        <f>IFERROR(IF(LEFT(helper[[#This Row],[take profit feedback]],1)="T","X",""),"")</f>
        <v/>
      </c>
      <c r="AS81" t="str">
        <f>IFERROR(IF(OR(calculationstable[[#This Row],[Selling point 1]]="",calculationstable[[#This Row],[Selling point 1]]=0),"X",""),"")</f>
        <v/>
      </c>
      <c r="AT81" t="str">
        <f>IFERROR(IF(helper[[#This Row],[add to exit]]="","","Add " &amp;calculationstable[[#This Row],[ticker]] &amp;" to Exit Strategy"),"")</f>
        <v/>
      </c>
      <c r="AU81" s="10" t="str">
        <f>IFERROR(IF(OR(calculationstable[[#This Row],[current_price]]="",calculationstable[[#This Row],[current_price]]=0),"Include "&amp;calculationstable[[#This Row],[ticker]]&amp;" in Extra Coins List",""),"")</f>
        <v/>
      </c>
      <c r="AV81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1" s="6" t="str">
        <f>IFERROR(calculationstable[[#This Row],[Current Value]]/SUM(calculationstable[Current Value]),"")</f>
        <v/>
      </c>
      <c r="AX81" s="10" t="str">
        <f>IFERROR(IF((SUMIF(Purchases[Coin],calculationstable[[#This Row],[ticker]],Purchases[No. of coins])=0),NA(),SUMIF(Purchases[Coin],calculationstable[[#This Row],[ticker]],Purchases[No. of coins])),"")</f>
        <v/>
      </c>
      <c r="AY81" s="6" t="str">
        <f>IFERROR((helper[[#This Row],[Purchased]]-calculationstable[[#This Row],[Coins Held]])/helper[[#This Row],[Purchased]],"")</f>
        <v/>
      </c>
      <c r="AZ81" s="12" t="str">
        <f>IFERROR(1-helper[[#This Row],[Sold]],"")</f>
        <v/>
      </c>
      <c r="BA81" s="6" t="str">
        <f>IFERROR(calculationstable[[#This Row],[Total Tokens Over]]/helper[[#This Row],[Purchased]],"")</f>
        <v/>
      </c>
      <c r="BB81" s="12" t="str">
        <f>IFERROR(1-helper[[#This Row],[% Not in exit]],"")</f>
        <v/>
      </c>
    </row>
    <row r="82" spans="42:54" x14ac:dyDescent="0.25">
      <c r="AP82" t="str">
        <f>IFERROR(HLOOKUP(calculationstable[[#This Row],[Merged]],calculationstable[#All],MATCH(calculationstable[[#This Row],[ticker]],calculationstable[[#All],[ticker]],0),FALSE),"")</f>
        <v/>
      </c>
      <c r="AQ82" t="str">
        <f>IFERROR(IF(AP82&lt;=calculationstable[[#This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2" t="str">
        <f>IFERROR(IF(LEFT(helper[[#This Row],[take profit feedback]],1)="T","X",""),"")</f>
        <v/>
      </c>
      <c r="AS82" t="str">
        <f>IFERROR(IF(OR(calculationstable[[#This Row],[Selling point 1]]="",calculationstable[[#This Row],[Selling point 1]]=0),"X",""),"")</f>
        <v/>
      </c>
      <c r="AT82" t="str">
        <f>IFERROR(IF(helper[[#This Row],[add to exit]]="","","Add " &amp;calculationstable[[#This Row],[ticker]] &amp;" to Exit Strategy"),"")</f>
        <v/>
      </c>
      <c r="AU82" s="10" t="str">
        <f>IFERROR(IF(OR(calculationstable[[#This Row],[current_price]]="",calculationstable[[#This Row],[current_price]]=0),"Include "&amp;calculationstable[[#This Row],[ticker]]&amp;" in Extra Coins List",""),"")</f>
        <v/>
      </c>
      <c r="AV82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2" s="6" t="str">
        <f>IFERROR(calculationstable[[#This Row],[Current Value]]/SUM(calculationstable[Current Value]),"")</f>
        <v/>
      </c>
      <c r="AX82" s="10" t="str">
        <f>IFERROR(IF((SUMIF(Purchases[Coin],calculationstable[[#This Row],[ticker]],Purchases[No. of coins])=0),NA(),SUMIF(Purchases[Coin],calculationstable[[#This Row],[ticker]],Purchases[No. of coins])),"")</f>
        <v/>
      </c>
      <c r="AY82" s="6" t="str">
        <f>IFERROR((helper[[#This Row],[Purchased]]-calculationstable[[#This Row],[Coins Held]])/helper[[#This Row],[Purchased]],"")</f>
        <v/>
      </c>
      <c r="AZ82" s="12" t="str">
        <f>IFERROR(1-helper[[#This Row],[Sold]],"")</f>
        <v/>
      </c>
      <c r="BA82" s="6" t="str">
        <f>IFERROR(calculationstable[[#This Row],[Total Tokens Over]]/helper[[#This Row],[Purchased]],"")</f>
        <v/>
      </c>
      <c r="BB82" s="12" t="str">
        <f>IFERROR(1-helper[[#This Row],[% Not in exit]],"")</f>
        <v/>
      </c>
    </row>
    <row r="83" spans="42:54" x14ac:dyDescent="0.25">
      <c r="AP83" t="str">
        <f>IFERROR(HLOOKUP(calculationstable[[#This Row],[Merged]],calculationstable[#All],MATCH(calculationstable[[#This Row],[ticker]],calculationstable[[#All],[ticker]],0),FALSE),"")</f>
        <v/>
      </c>
      <c r="AQ83" t="str">
        <f>IFERROR(IF(AP83&lt;=calculationstable[[#This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3" t="str">
        <f>IFERROR(IF(LEFT(helper[[#This Row],[take profit feedback]],1)="T","X",""),"")</f>
        <v/>
      </c>
      <c r="AS83" t="str">
        <f>IFERROR(IF(OR(calculationstable[[#This Row],[Selling point 1]]="",calculationstable[[#This Row],[Selling point 1]]=0),"X",""),"")</f>
        <v/>
      </c>
      <c r="AT83" t="str">
        <f>IFERROR(IF(helper[[#This Row],[add to exit]]="","","Add " &amp;calculationstable[[#This Row],[ticker]] &amp;" to Exit Strategy"),"")</f>
        <v/>
      </c>
      <c r="AU83" s="10" t="str">
        <f>IFERROR(IF(OR(calculationstable[[#This Row],[current_price]]="",calculationstable[[#This Row],[current_price]]=0),"Include "&amp;calculationstable[[#This Row],[ticker]]&amp;" in Extra Coins List",""),"")</f>
        <v/>
      </c>
      <c r="AV83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3" s="6" t="str">
        <f>IFERROR(calculationstable[[#This Row],[Current Value]]/SUM(calculationstable[Current Value]),"")</f>
        <v/>
      </c>
      <c r="AX83" s="10" t="str">
        <f>IFERROR(IF((SUMIF(Purchases[Coin],calculationstable[[#This Row],[ticker]],Purchases[No. of coins])=0),NA(),SUMIF(Purchases[Coin],calculationstable[[#This Row],[ticker]],Purchases[No. of coins])),"")</f>
        <v/>
      </c>
      <c r="AY83" s="6" t="str">
        <f>IFERROR((helper[[#This Row],[Purchased]]-calculationstable[[#This Row],[Coins Held]])/helper[[#This Row],[Purchased]],"")</f>
        <v/>
      </c>
      <c r="AZ83" s="12" t="str">
        <f>IFERROR(1-helper[[#This Row],[Sold]],"")</f>
        <v/>
      </c>
      <c r="BA83" s="6" t="str">
        <f>IFERROR(calculationstable[[#This Row],[Total Tokens Over]]/helper[[#This Row],[Purchased]],"")</f>
        <v/>
      </c>
      <c r="BB83" s="12" t="str">
        <f>IFERROR(1-helper[[#This Row],[% Not in exit]],"")</f>
        <v/>
      </c>
    </row>
    <row r="84" spans="42:54" x14ac:dyDescent="0.25">
      <c r="AP84" t="str">
        <f>IFERROR(HLOOKUP(calculationstable[[#This Row],[Merged]],calculationstable[#All],MATCH(calculationstable[[#This Row],[ticker]],calculationstable[[#All],[ticker]],0),FALSE),"")</f>
        <v/>
      </c>
      <c r="AQ84" t="str">
        <f>IFERROR(IF(AP84&lt;=calculationstable[[#This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4" t="str">
        <f>IFERROR(IF(LEFT(helper[[#This Row],[take profit feedback]],1)="T","X",""),"")</f>
        <v/>
      </c>
      <c r="AS84" t="str">
        <f>IFERROR(IF(OR(calculationstable[[#This Row],[Selling point 1]]="",calculationstable[[#This Row],[Selling point 1]]=0),"X",""),"")</f>
        <v/>
      </c>
      <c r="AT84" t="str">
        <f>IFERROR(IF(helper[[#This Row],[add to exit]]="","","Add " &amp;calculationstable[[#This Row],[ticker]] &amp;" to Exit Strategy"),"")</f>
        <v/>
      </c>
      <c r="AU84" s="10" t="str">
        <f>IFERROR(IF(OR(calculationstable[[#This Row],[current_price]]="",calculationstable[[#This Row],[current_price]]=0),"Include "&amp;calculationstable[[#This Row],[ticker]]&amp;" in Extra Coins List",""),"")</f>
        <v/>
      </c>
      <c r="AV84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4" s="6" t="str">
        <f>IFERROR(calculationstable[[#This Row],[Current Value]]/SUM(calculationstable[Current Value]),"")</f>
        <v/>
      </c>
      <c r="AX84" s="10" t="str">
        <f>IFERROR(IF((SUMIF(Purchases[Coin],calculationstable[[#This Row],[ticker]],Purchases[No. of coins])=0),NA(),SUMIF(Purchases[Coin],calculationstable[[#This Row],[ticker]],Purchases[No. of coins])),"")</f>
        <v/>
      </c>
      <c r="AY84" s="6" t="str">
        <f>IFERROR((helper[[#This Row],[Purchased]]-calculationstable[[#This Row],[Coins Held]])/helper[[#This Row],[Purchased]],"")</f>
        <v/>
      </c>
      <c r="AZ84" s="12" t="str">
        <f>IFERROR(1-helper[[#This Row],[Sold]],"")</f>
        <v/>
      </c>
      <c r="BA84" s="6" t="str">
        <f>IFERROR(calculationstable[[#This Row],[Total Tokens Over]]/helper[[#This Row],[Purchased]],"")</f>
        <v/>
      </c>
      <c r="BB84" s="12" t="str">
        <f>IFERROR(1-helper[[#This Row],[% Not in exit]],"")</f>
        <v/>
      </c>
    </row>
    <row r="85" spans="42:54" x14ac:dyDescent="0.25">
      <c r="AP85" t="str">
        <f>IFERROR(HLOOKUP(calculationstable[[#This Row],[Merged]],calculationstable[#All],MATCH(calculationstable[[#This Row],[ticker]],calculationstable[[#All],[ticker]],0),FALSE),"")</f>
        <v/>
      </c>
      <c r="AQ85" t="str">
        <f>IFERROR(IF(AP85&lt;=calculationstable[[#This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5" t="str">
        <f>IFERROR(IF(LEFT(helper[[#This Row],[take profit feedback]],1)="T","X",""),"")</f>
        <v/>
      </c>
      <c r="AS85" t="str">
        <f>IFERROR(IF(OR(calculationstable[[#This Row],[Selling point 1]]="",calculationstable[[#This Row],[Selling point 1]]=0),"X",""),"")</f>
        <v/>
      </c>
      <c r="AT85" t="str">
        <f>IFERROR(IF(helper[[#This Row],[add to exit]]="","","Add " &amp;calculationstable[[#This Row],[ticker]] &amp;" to Exit Strategy"),"")</f>
        <v/>
      </c>
      <c r="AU85" s="10" t="str">
        <f>IFERROR(IF(OR(calculationstable[[#This Row],[current_price]]="",calculationstable[[#This Row],[current_price]]=0),"Include "&amp;calculationstable[[#This Row],[ticker]]&amp;" in Extra Coins List",""),"")</f>
        <v/>
      </c>
      <c r="AV85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5" s="6" t="str">
        <f>IFERROR(calculationstable[[#This Row],[Current Value]]/SUM(calculationstable[Current Value]),"")</f>
        <v/>
      </c>
      <c r="AX85" s="10" t="str">
        <f>IFERROR(IF((SUMIF(Purchases[Coin],calculationstable[[#This Row],[ticker]],Purchases[No. of coins])=0),NA(),SUMIF(Purchases[Coin],calculationstable[[#This Row],[ticker]],Purchases[No. of coins])),"")</f>
        <v/>
      </c>
      <c r="AY85" s="6" t="str">
        <f>IFERROR((helper[[#This Row],[Purchased]]-calculationstable[[#This Row],[Coins Held]])/helper[[#This Row],[Purchased]],"")</f>
        <v/>
      </c>
      <c r="AZ85" s="12" t="str">
        <f>IFERROR(1-helper[[#This Row],[Sold]],"")</f>
        <v/>
      </c>
      <c r="BA85" s="6" t="str">
        <f>IFERROR(calculationstable[[#This Row],[Total Tokens Over]]/helper[[#This Row],[Purchased]],"")</f>
        <v/>
      </c>
      <c r="BB85" s="12" t="str">
        <f>IFERROR(1-helper[[#This Row],[% Not in exit]],"")</f>
        <v/>
      </c>
    </row>
    <row r="86" spans="42:54" x14ac:dyDescent="0.25">
      <c r="AP86" t="str">
        <f>IFERROR(HLOOKUP(calculationstable[[#This Row],[Merged]],calculationstable[#All],MATCH(calculationstable[[#This Row],[ticker]],calculationstable[[#All],[ticker]],0),FALSE),"")</f>
        <v/>
      </c>
      <c r="AQ86" t="str">
        <f>IFERROR(IF(AP86&lt;=calculationstable[[#This Row],[current_price]],"Take Profit On " &amp;calculationstable[[#This Row],[ticker]]&amp;" "&amp; calculationstable[[#This Row],[Merged]],"Wait for price target on "&amp;calculationstable[[#This Row],[ticker]]),"")</f>
        <v/>
      </c>
      <c r="AR86" t="str">
        <f>IFERROR(IF(LEFT(helper[[#This Row],[take profit feedback]],1)="T","X",""),"")</f>
        <v/>
      </c>
      <c r="AS86" t="str">
        <f>IFERROR(IF(OR(calculationstable[[#This Row],[Selling point 1]]="",calculationstable[[#This Row],[Selling point 1]]=0),"X",""),"")</f>
        <v/>
      </c>
      <c r="AT86" t="str">
        <f>IFERROR(IF(helper[[#This Row],[add to exit]]="","","Add " &amp;calculationstable[[#This Row],[ticker]] &amp;" to Exit Strategy"),"")</f>
        <v/>
      </c>
      <c r="AU86" s="10" t="str">
        <f>IFERROR(IF(OR(calculationstable[[#This Row],[current_price]]="",calculationstable[[#This Row],[current_price]]=0),"Include "&amp;calculationstable[[#This Row],[ticker]]&amp;" in Extra Coins List",""),"")</f>
        <v/>
      </c>
      <c r="AV86" s="10" t="str">
        <f>IFERROR(IF(helper[[#This Row],[missing price]]&lt;&gt;"",helper[[#This Row],[missing price]],IF(helper[[#This Row],[add to exit feedback]]&lt;&gt;"",helper[[#This Row],[add to exit feedback]],helper[[#This Row],[take profit feedback]])),"")</f>
        <v/>
      </c>
      <c r="AW86" s="6" t="str">
        <f>IFERROR(calculationstable[[#This Row],[Current Value]]/SUM(calculationstable[Current Value]),"")</f>
        <v/>
      </c>
      <c r="AX86" s="10" t="str">
        <f>IFERROR(IF((SUMIF(Purchases[Coin],calculationstable[[#This Row],[ticker]],Purchases[No. of coins])=0),NA(),SUMIF(Purchases[Coin],calculationstable[[#This Row],[ticker]],Purchases[No. of coins])),"")</f>
        <v/>
      </c>
      <c r="AY86" s="6" t="str">
        <f>IFERROR((helper[[#This Row],[Purchased]]-calculationstable[[#This Row],[Coins Held]])/helper[[#This Row],[Purchased]],"")</f>
        <v/>
      </c>
      <c r="AZ86" s="12" t="str">
        <f>IFERROR(1-helper[[#This Row],[Sold]],"")</f>
        <v/>
      </c>
      <c r="BA86" s="6" t="str">
        <f>IFERROR(calculationstable[[#This Row],[Total Tokens Over]]/helper[[#This Row],[Purchased]],"")</f>
        <v/>
      </c>
      <c r="BB86" s="12" t="str">
        <f>IFERROR(1-helper[[#This Row],[% Not in exit]],"")</f>
        <v/>
      </c>
    </row>
  </sheetData>
  <phoneticPr fontId="6" type="noConversion"/>
  <hyperlinks>
    <hyperlink ref="V3" r:id="rId1" xr:uid="{80D91BFE-33E3-4FE8-9A63-FBFF0CAB696E}"/>
  </hyperlinks>
  <pageMargins left="0.7" right="0.7" top="0.75" bottom="0.75" header="0.3" footer="0.3"/>
  <ignoredErrors>
    <ignoredError sqref="F4" calculatedColumn="1"/>
  </ignoredErrors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C104B-4B94-4023-AC67-83028822F2FC}">
  <sheetPr codeName="Sheet6"/>
  <dimension ref="A1:J36"/>
  <sheetViews>
    <sheetView showGridLines="0" showRowColHeaders="0" topLeftCell="A13" workbookViewId="0">
      <selection activeCell="D35" sqref="D35:F35"/>
    </sheetView>
  </sheetViews>
  <sheetFormatPr baseColWidth="10" defaultColWidth="9.140625" defaultRowHeight="15" x14ac:dyDescent="0.25"/>
  <cols>
    <col min="2" max="2" width="5.140625" customWidth="1"/>
    <col min="3" max="4" width="18.140625" customWidth="1"/>
    <col min="5" max="5" width="19.42578125" bestFit="1" customWidth="1"/>
    <col min="6" max="6" width="23.5703125" bestFit="1" customWidth="1"/>
    <col min="7" max="7" width="114.140625" customWidth="1"/>
  </cols>
  <sheetData>
    <row r="1" spans="1:10" ht="62.25" customHeight="1" x14ac:dyDescent="0.25">
      <c r="G1" s="20"/>
      <c r="H1" s="20"/>
      <c r="I1" s="20"/>
      <c r="J1" s="20"/>
    </row>
    <row r="2" spans="1:10" x14ac:dyDescent="0.25">
      <c r="G2" s="1"/>
      <c r="H2" s="1"/>
      <c r="I2" s="1"/>
      <c r="J2" s="1"/>
    </row>
    <row r="3" spans="1:10" x14ac:dyDescent="0.25">
      <c r="A3" s="20"/>
      <c r="B3" s="2"/>
      <c r="C3" s="2"/>
      <c r="D3" s="2"/>
    </row>
    <row r="4" spans="1:10" x14ac:dyDescent="0.25">
      <c r="D4" s="23" t="s">
        <v>839</v>
      </c>
      <c r="E4" s="20" t="s">
        <v>834</v>
      </c>
      <c r="F4" s="20" t="s">
        <v>587</v>
      </c>
      <c r="G4" s="23" t="s">
        <v>833</v>
      </c>
    </row>
    <row r="7" spans="1:10" x14ac:dyDescent="0.25">
      <c r="C7" s="15" t="s">
        <v>571</v>
      </c>
      <c r="D7" s="15" t="s">
        <v>378</v>
      </c>
      <c r="E7" s="16" t="s">
        <v>569</v>
      </c>
      <c r="F7" s="16" t="s">
        <v>570</v>
      </c>
      <c r="G7" s="16" t="s">
        <v>572</v>
      </c>
    </row>
    <row r="8" spans="1:10" x14ac:dyDescent="0.25">
      <c r="C8">
        <v>1</v>
      </c>
      <c r="D8" s="22" t="s">
        <v>761</v>
      </c>
      <c r="E8" s="22" t="s">
        <v>781</v>
      </c>
      <c r="F8" s="22" t="s">
        <v>782</v>
      </c>
      <c r="G8" t="str">
        <f>extra[[#This Row],[ID]]</f>
        <v>bundles</v>
      </c>
    </row>
    <row r="9" spans="1:10" x14ac:dyDescent="0.25">
      <c r="C9">
        <f>IFERROR(IF(D8="","",C8+1),"")</f>
        <v>2</v>
      </c>
      <c r="D9" s="22" t="s">
        <v>762</v>
      </c>
      <c r="E9" s="22" t="s">
        <v>783</v>
      </c>
      <c r="F9" s="22" t="s">
        <v>784</v>
      </c>
      <c r="G9" t="str">
        <f>extra[[#This Row],[ID]]&amp;"%2C"&amp;G8</f>
        <v>b-protocol%2Cbundles</v>
      </c>
    </row>
    <row r="10" spans="1:10" x14ac:dyDescent="0.25">
      <c r="C10">
        <f t="shared" ref="C10:C23" si="0">IFERROR(IF(D9="","",C9+1),"")</f>
        <v>3</v>
      </c>
      <c r="D10" s="22" t="s">
        <v>763</v>
      </c>
      <c r="E10" s="22" t="s">
        <v>785</v>
      </c>
      <c r="F10" s="22" t="s">
        <v>763</v>
      </c>
      <c r="G10" t="str">
        <f>extra[[#This Row],[ID]]&amp;"%2C"&amp;G9</f>
        <v>rmrk%2Cb-protocol%2Cbundles</v>
      </c>
    </row>
    <row r="11" spans="1:10" x14ac:dyDescent="0.25">
      <c r="C11">
        <f t="shared" si="0"/>
        <v>4</v>
      </c>
      <c r="D11" s="22" t="s">
        <v>765</v>
      </c>
      <c r="E11" s="22" t="s">
        <v>817</v>
      </c>
      <c r="F11" s="22" t="s">
        <v>818</v>
      </c>
      <c r="G11" t="str">
        <f>extra[[#This Row],[ID]]&amp;"%2C"&amp;G10</f>
        <v>cream-2%2Crmrk%2Cb-protocol%2Cbundles</v>
      </c>
    </row>
    <row r="12" spans="1:10" x14ac:dyDescent="0.25">
      <c r="C12">
        <f t="shared" si="0"/>
        <v>5</v>
      </c>
      <c r="D12" s="22" t="s">
        <v>766</v>
      </c>
      <c r="E12" s="22" t="s">
        <v>792</v>
      </c>
      <c r="F12" s="22" t="s">
        <v>793</v>
      </c>
      <c r="G12" t="str">
        <f>extra[[#This Row],[ID]]&amp;"%2C"&amp;G11</f>
        <v>ovr%2Ccream-2%2Crmrk%2Cb-protocol%2Cbundles</v>
      </c>
    </row>
    <row r="13" spans="1:10" x14ac:dyDescent="0.25">
      <c r="C13">
        <f t="shared" si="0"/>
        <v>6</v>
      </c>
      <c r="D13" s="22" t="s">
        <v>767</v>
      </c>
      <c r="E13" s="22" t="s">
        <v>797</v>
      </c>
      <c r="F13" s="22" t="s">
        <v>796</v>
      </c>
      <c r="G13" t="str">
        <f>extra[[#This Row],[ID]]&amp;"%2C"&amp;G12</f>
        <v>star-atlas-dao%2Covr%2Ccream-2%2Crmrk%2Cb-protocol%2Cbundles</v>
      </c>
    </row>
    <row r="14" spans="1:10" x14ac:dyDescent="0.25">
      <c r="C14">
        <f t="shared" si="0"/>
        <v>7</v>
      </c>
      <c r="D14" s="22" t="s">
        <v>768</v>
      </c>
      <c r="E14" s="22" t="s">
        <v>788</v>
      </c>
      <c r="F14" s="22" t="s">
        <v>789</v>
      </c>
      <c r="G14" t="str">
        <f>extra[[#This Row],[ID]]&amp;"%2C"&amp;G13</f>
        <v>netvrk%2Cstar-atlas-dao%2Covr%2Ccream-2%2Crmrk%2Cb-protocol%2Cbundles</v>
      </c>
    </row>
    <row r="15" spans="1:10" x14ac:dyDescent="0.25">
      <c r="C15">
        <f t="shared" si="0"/>
        <v>8</v>
      </c>
      <c r="D15" s="22" t="s">
        <v>769</v>
      </c>
      <c r="E15" s="22" t="s">
        <v>806</v>
      </c>
      <c r="F15" s="22" t="s">
        <v>807</v>
      </c>
      <c r="G15" t="str">
        <f>extra[[#This Row],[ID]]&amp;"%2C"&amp;G14</f>
        <v>genesysgo-shadow%2Cnetvrk%2Cstar-atlas-dao%2Covr%2Ccream-2%2Crmrk%2Cb-protocol%2Cbundles</v>
      </c>
    </row>
    <row r="16" spans="1:10" x14ac:dyDescent="0.25">
      <c r="C16">
        <f t="shared" si="0"/>
        <v>9</v>
      </c>
      <c r="D16" s="22" t="s">
        <v>770</v>
      </c>
      <c r="E16" s="22" t="s">
        <v>790</v>
      </c>
      <c r="F16" s="22" t="s">
        <v>791</v>
      </c>
      <c r="G16" t="str">
        <f>extra[[#This Row],[ID]]&amp;"%2C"&amp;G15</f>
        <v>star-atlas%2Cgenesysgo-shadow%2Cnetvrk%2Cstar-atlas-dao%2Covr%2Ccream-2%2Crmrk%2Cb-protocol%2Cbundles</v>
      </c>
    </row>
    <row r="17" spans="3:7" x14ac:dyDescent="0.25">
      <c r="C17">
        <f t="shared" si="0"/>
        <v>10</v>
      </c>
      <c r="D17" s="33" t="s">
        <v>771</v>
      </c>
      <c r="E17" s="33" t="s">
        <v>802</v>
      </c>
      <c r="F17" s="33" t="s">
        <v>803</v>
      </c>
      <c r="G17" t="str">
        <f>extra[[#This Row],[ID]]&amp;"%2C"&amp;G16</f>
        <v>multivac%2Cstar-atlas%2Cgenesysgo-shadow%2Cnetvrk%2Cstar-atlas-dao%2Covr%2Ccream-2%2Crmrk%2Cb-protocol%2Cbundles</v>
      </c>
    </row>
    <row r="18" spans="3:7" x14ac:dyDescent="0.25">
      <c r="C18">
        <f t="shared" si="0"/>
        <v>11</v>
      </c>
      <c r="D18" s="33" t="s">
        <v>772</v>
      </c>
      <c r="E18" s="33" t="s">
        <v>786</v>
      </c>
      <c r="F18" s="33" t="s">
        <v>787</v>
      </c>
      <c r="G18" t="str">
        <f>extra[[#This Row],[ID]]&amp;"%2C"&amp;G17</f>
        <v>auction%2Cmultivac%2Cstar-atlas%2Cgenesysgo-shadow%2Cnetvrk%2Cstar-atlas-dao%2Covr%2Ccream-2%2Crmrk%2Cb-protocol%2Cbundles</v>
      </c>
    </row>
    <row r="19" spans="3:7" x14ac:dyDescent="0.25">
      <c r="C19">
        <f t="shared" si="0"/>
        <v>12</v>
      </c>
      <c r="D19" s="33" t="s">
        <v>773</v>
      </c>
      <c r="E19" s="33" t="s">
        <v>801</v>
      </c>
      <c r="F19" s="33" t="s">
        <v>800</v>
      </c>
      <c r="G19" t="str">
        <f>extra[[#This Row],[ID]]&amp;"%2C"&amp;G18</f>
        <v>wilder-world%2Cauction%2Cmultivac%2Cstar-atlas%2Cgenesysgo-shadow%2Cnetvrk%2Cstar-atlas-dao%2Covr%2Ccream-2%2Crmrk%2Cb-protocol%2Cbundles</v>
      </c>
    </row>
    <row r="20" spans="3:7" x14ac:dyDescent="0.25">
      <c r="C20">
        <f t="shared" si="0"/>
        <v>13</v>
      </c>
      <c r="D20" s="33" t="s">
        <v>774</v>
      </c>
      <c r="E20" s="33" t="s">
        <v>795</v>
      </c>
      <c r="F20" s="33" t="s">
        <v>794</v>
      </c>
      <c r="G20" t="str">
        <f>extra[[#This Row],[ID]]&amp;"%2C"&amp;G19</f>
        <v>polkadex%2Cwilder-world%2Cauction%2Cmultivac%2Cstar-atlas%2Cgenesysgo-shadow%2Cnetvrk%2Cstar-atlas-dao%2Covr%2Ccream-2%2Crmrk%2Cb-protocol%2Cbundles</v>
      </c>
    </row>
    <row r="21" spans="3:7" x14ac:dyDescent="0.25">
      <c r="C21">
        <f t="shared" si="0"/>
        <v>14</v>
      </c>
      <c r="D21" s="33" t="s">
        <v>484</v>
      </c>
      <c r="E21" s="33" t="s">
        <v>271</v>
      </c>
      <c r="F21" s="33" t="s">
        <v>272</v>
      </c>
      <c r="G21" t="str">
        <f>extra[[#This Row],[ID]]&amp;"%2C"&amp;G20</f>
        <v>ergo%2Cpolkadex%2Cwilder-world%2Cauction%2Cmultivac%2Cstar-atlas%2Cgenesysgo-shadow%2Cnetvrk%2Cstar-atlas-dao%2Covr%2Ccream-2%2Crmrk%2Cb-protocol%2Cbundles</v>
      </c>
    </row>
    <row r="22" spans="3:7" x14ac:dyDescent="0.25">
      <c r="C22">
        <f t="shared" si="0"/>
        <v>15</v>
      </c>
      <c r="D22" s="33" t="s">
        <v>775</v>
      </c>
      <c r="E22" s="33" t="s">
        <v>816</v>
      </c>
      <c r="F22" s="33" t="s">
        <v>815</v>
      </c>
      <c r="G22" t="str">
        <f>extra[[#This Row],[ID]]&amp;"%2C"&amp;G21</f>
        <v>efinity%2Cergo%2Cpolkadex%2Cwilder-world%2Cauction%2Cmultivac%2Cstar-atlas%2Cgenesysgo-shadow%2Cnetvrk%2Cstar-atlas-dao%2Covr%2Ccream-2%2Crmrk%2Cb-protocol%2Cbundles</v>
      </c>
    </row>
    <row r="23" spans="3:7" x14ac:dyDescent="0.25">
      <c r="C23">
        <f t="shared" si="0"/>
        <v>16</v>
      </c>
      <c r="D23" s="33" t="s">
        <v>776</v>
      </c>
      <c r="E23" s="33" t="s">
        <v>813</v>
      </c>
      <c r="F23" s="33" t="s">
        <v>812</v>
      </c>
      <c r="G23" t="str">
        <f>extra[[#This Row],[ID]]&amp;"%2C"&amp;G22</f>
        <v>wonderhero%2Cefinity%2Cergo%2Cpolkadex%2Cwilder-world%2Cauction%2Cmultivac%2Cstar-atlas%2Cgenesysgo-shadow%2Cnetvrk%2Cstar-atlas-dao%2Covr%2Ccream-2%2Crmrk%2Cb-protocol%2Cbundles</v>
      </c>
    </row>
    <row r="24" spans="3:7" x14ac:dyDescent="0.25">
      <c r="C24">
        <f>C23+1</f>
        <v>17</v>
      </c>
      <c r="D24" s="33" t="s">
        <v>777</v>
      </c>
      <c r="E24" s="33" t="s">
        <v>811</v>
      </c>
      <c r="F24" s="33" t="s">
        <v>810</v>
      </c>
      <c r="G24" t="str">
        <f>extra[[#This Row],[ID]]&amp;"%2C"&amp;G23</f>
        <v>polka-city%2Cwonderhero%2Cefinity%2Cergo%2Cpolkadex%2Cwilder-world%2Cauction%2Cmultivac%2Cstar-atlas%2Cgenesysgo-shadow%2Cnetvrk%2Cstar-atlas-dao%2Covr%2Ccream-2%2Crmrk%2Cb-protocol%2Cbundles</v>
      </c>
    </row>
    <row r="25" spans="3:7" x14ac:dyDescent="0.25">
      <c r="C25">
        <f t="shared" ref="C25:C33" si="1">C24+1</f>
        <v>18</v>
      </c>
      <c r="D25" s="33" t="s">
        <v>778</v>
      </c>
      <c r="E25" s="33" t="s">
        <v>809</v>
      </c>
      <c r="F25" s="33" t="s">
        <v>808</v>
      </c>
      <c r="G25" t="str">
        <f>extra[[#This Row],[ID]]&amp;"%2C"&amp;G24</f>
        <v>kylin-network%2Cpolka-city%2Cwonderhero%2Cefinity%2Cergo%2Cpolkadex%2Cwilder-world%2Cauction%2Cmultivac%2Cstar-atlas%2Cgenesysgo-shadow%2Cnetvrk%2Cstar-atlas-dao%2Covr%2Ccream-2%2Crmrk%2Cb-protocol%2Cbundles</v>
      </c>
    </row>
    <row r="26" spans="3:7" x14ac:dyDescent="0.25">
      <c r="C26">
        <f t="shared" si="1"/>
        <v>19</v>
      </c>
      <c r="D26" s="33" t="s">
        <v>779</v>
      </c>
      <c r="E26" s="33" t="s">
        <v>805</v>
      </c>
      <c r="F26" s="33" t="s">
        <v>804</v>
      </c>
      <c r="G26" t="str">
        <f>extra[[#This Row],[ID]]&amp;"%2C"&amp;G25</f>
        <v>step-finance%2Ckylin-network%2Cpolka-city%2Cwonderhero%2Cefinity%2Cergo%2Cpolkadex%2Cwilder-world%2Cauction%2Cmultivac%2Cstar-atlas%2Cgenesysgo-shadow%2Cnetvrk%2Cstar-atlas-dao%2Covr%2Ccream-2%2Crmrk%2Cb-protocol%2Cbundles</v>
      </c>
    </row>
    <row r="27" spans="3:7" x14ac:dyDescent="0.25">
      <c r="C27">
        <f t="shared" si="1"/>
        <v>20</v>
      </c>
      <c r="D27" s="33" t="s">
        <v>780</v>
      </c>
      <c r="E27" s="33" t="s">
        <v>814</v>
      </c>
      <c r="F27" s="33" t="s">
        <v>780</v>
      </c>
      <c r="G27" t="str">
        <f>extra[[#This Row],[ID]]&amp;"%2C"&amp;G26</f>
        <v>weyu%2Cstep-finance%2Ckylin-network%2Cpolka-city%2Cwonderhero%2Cefinity%2Cergo%2Cpolkadex%2Cwilder-world%2Cauction%2Cmultivac%2Cstar-atlas%2Cgenesysgo-shadow%2Cnetvrk%2Cstar-atlas-dao%2Covr%2Ccream-2%2Crmrk%2Cb-protocol%2Cbundles</v>
      </c>
    </row>
    <row r="28" spans="3:7" x14ac:dyDescent="0.25">
      <c r="C28">
        <f t="shared" si="1"/>
        <v>21</v>
      </c>
      <c r="D28" s="33" t="s">
        <v>822</v>
      </c>
      <c r="E28" s="33" t="s">
        <v>826</v>
      </c>
      <c r="F28" s="33" t="s">
        <v>825</v>
      </c>
      <c r="G28" t="str">
        <f>extra[[#This Row],[ID]]&amp;"%2C"&amp;G27</f>
        <v>deficliq%2Cweyu%2Cstep-finance%2Ckylin-network%2Cpolka-city%2Cwonderhero%2Cefinity%2Cergo%2Cpolkadex%2Cwilder-world%2Cauction%2Cmultivac%2Cstar-atlas%2Cgenesysgo-shadow%2Cnetvrk%2Cstar-atlas-dao%2Covr%2Ccream-2%2Crmrk%2Cb-protocol%2Cbundles</v>
      </c>
    </row>
    <row r="29" spans="3:7" x14ac:dyDescent="0.25">
      <c r="C29">
        <f t="shared" si="1"/>
        <v>22</v>
      </c>
      <c r="D29" s="33" t="s">
        <v>821</v>
      </c>
      <c r="E29" s="33" t="s">
        <v>824</v>
      </c>
      <c r="F29" s="33" t="s">
        <v>823</v>
      </c>
      <c r="G29" t="str">
        <f>extra[[#This Row],[ID]]&amp;"%2C"&amp;G28</f>
        <v>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0" spans="3:7" x14ac:dyDescent="0.25">
      <c r="C30">
        <f t="shared" si="1"/>
        <v>23</v>
      </c>
      <c r="D30" s="33" t="s">
        <v>760</v>
      </c>
      <c r="E30" s="33" t="s">
        <v>799</v>
      </c>
      <c r="F30" s="33" t="s">
        <v>798</v>
      </c>
      <c r="G30" t="str">
        <f>extra[[#This Row],[ID]]&amp;"%2C"&amp;G29</f>
        <v>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1" spans="3:7" x14ac:dyDescent="0.25">
      <c r="C31">
        <f t="shared" si="1"/>
        <v>24</v>
      </c>
      <c r="D31" s="33" t="s">
        <v>764</v>
      </c>
      <c r="E31" s="33" t="s">
        <v>819</v>
      </c>
      <c r="F31" s="33" t="s">
        <v>820</v>
      </c>
      <c r="G31" t="str">
        <f>extra[[#This Row],[ID]]&amp;"%2C"&amp;G30</f>
        <v>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2" spans="3:7" x14ac:dyDescent="0.25">
      <c r="C32">
        <f t="shared" si="1"/>
        <v>25</v>
      </c>
      <c r="D32" s="33" t="s">
        <v>606</v>
      </c>
      <c r="E32" s="33" t="s">
        <v>605</v>
      </c>
      <c r="F32" s="33" t="s">
        <v>607</v>
      </c>
      <c r="G32" t="str">
        <f>extra[[#This Row],[ID]]&amp;"%2C"&amp;G31</f>
        <v>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3" spans="3:7" x14ac:dyDescent="0.25">
      <c r="C33">
        <f t="shared" si="1"/>
        <v>26</v>
      </c>
      <c r="D33" s="33" t="s">
        <v>849</v>
      </c>
      <c r="E33" s="33" t="s">
        <v>851</v>
      </c>
      <c r="F33" s="33" t="s">
        <v>850</v>
      </c>
      <c r="G33" t="str">
        <f>extra[[#This Row],[ID]]&amp;"%2C"&amp;G32</f>
        <v>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4" spans="3:7" x14ac:dyDescent="0.25">
      <c r="C34">
        <f>C33+1</f>
        <v>27</v>
      </c>
      <c r="D34" s="33" t="s">
        <v>904</v>
      </c>
      <c r="E34" s="33" t="s">
        <v>905</v>
      </c>
      <c r="F34" s="33" t="s">
        <v>906</v>
      </c>
      <c r="G34" t="str">
        <f>extra[[#This Row],[ID]]&amp;"%2C"&amp;G33</f>
        <v>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5" spans="3:7" x14ac:dyDescent="0.25">
      <c r="C35">
        <f>C34+1</f>
        <v>28</v>
      </c>
      <c r="D35" s="33"/>
      <c r="E35" s="33"/>
      <c r="F35" s="33"/>
      <c r="G35" t="str">
        <f>extra[[#This Row],[ID]]&amp;"%2C"&amp;G34</f>
        <v>%2C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  <row r="36" spans="3:7" x14ac:dyDescent="0.25">
      <c r="C36">
        <f>C35+1</f>
        <v>29</v>
      </c>
      <c r="D36" s="120"/>
      <c r="E36" s="120"/>
      <c r="F36" s="120"/>
      <c r="G36" s="10" t="str">
        <f>extra[[#This Row],[Name]]&amp;"%2C"&amp;G35</f>
        <v>%2C%2Carc%2Canchorust%2Cmoonriver%2Cdepo%2Cavalaunch%2Crelay-token%2Cdeficliq%2Cweyu%2Cstep-finance%2Ckylin-network%2Cpolka-city%2Cwonderhero%2Cefinity%2Cergo%2Cpolkadex%2Cwilder-world%2Cauction%2Cmultivac%2Cstar-atlas%2Cgenesysgo-shadow%2Cnetvrk%2Cstar-atlas-dao%2Covr%2Ccream-2%2Crmrk%2Cb-protocol%2Cbundles</v>
      </c>
    </row>
  </sheetData>
  <pageMargins left="0.7" right="0.7" top="0.75" bottom="0.75" header="0.3" footer="0.3"/>
  <pageSetup orientation="portrait" horizontalDpi="4294967293" verticalDpi="4294967293" r:id="rId1"/>
  <ignoredErrors>
    <ignoredError sqref="C8:C23 G8:G23" calculatedColumn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5398-4BA7-4248-884A-2A9826ED9684}">
  <sheetPr codeName="Sheet8">
    <tabColor rgb="FF92D050"/>
  </sheetPr>
  <dimension ref="A1:J280"/>
  <sheetViews>
    <sheetView showGridLines="0" showRowColHeaders="0" zoomScaleNormal="100" workbookViewId="0"/>
  </sheetViews>
  <sheetFormatPr baseColWidth="10" defaultColWidth="9.140625" defaultRowHeight="15" x14ac:dyDescent="0.25"/>
  <cols>
    <col min="1" max="1" width="27.7109375" bestFit="1" customWidth="1"/>
    <col min="2" max="2" width="11.28515625" bestFit="1" customWidth="1"/>
    <col min="3" max="3" width="23.7109375" bestFit="1" customWidth="1"/>
    <col min="4" max="4" width="15.140625" bestFit="1" customWidth="1"/>
    <col min="5" max="5" width="30.5703125" bestFit="1" customWidth="1"/>
    <col min="6" max="6" width="27.85546875" style="4" bestFit="1" customWidth="1"/>
    <col min="7" max="7" width="20.5703125" style="4" bestFit="1" customWidth="1"/>
    <col min="8" max="8" width="23.85546875" style="4" bestFit="1" customWidth="1"/>
    <col min="9" max="9" width="26.28515625" style="4" bestFit="1" customWidth="1"/>
    <col min="10" max="10" width="41.7109375" style="5" bestFit="1" customWidth="1"/>
  </cols>
  <sheetData>
    <row r="1" spans="1:10" x14ac:dyDescent="0.25">
      <c r="A1" t="s">
        <v>343</v>
      </c>
      <c r="B1" t="s">
        <v>344</v>
      </c>
      <c r="C1" t="s">
        <v>345</v>
      </c>
      <c r="D1" t="s">
        <v>346</v>
      </c>
      <c r="E1" t="s">
        <v>347</v>
      </c>
      <c r="F1"/>
      <c r="G1"/>
      <c r="H1"/>
      <c r="I1"/>
      <c r="J1"/>
    </row>
    <row r="2" spans="1:10" x14ac:dyDescent="0.25">
      <c r="A2" t="s">
        <v>21</v>
      </c>
      <c r="B2" s="10" t="s">
        <v>1</v>
      </c>
      <c r="C2" t="s">
        <v>22</v>
      </c>
      <c r="D2">
        <v>41302</v>
      </c>
      <c r="E2" s="18">
        <v>-1.7226100000000001E-2</v>
      </c>
      <c r="F2"/>
      <c r="G2"/>
      <c r="H2"/>
      <c r="I2"/>
      <c r="J2"/>
    </row>
    <row r="3" spans="1:10" x14ac:dyDescent="0.25">
      <c r="A3" t="s">
        <v>23</v>
      </c>
      <c r="B3" s="10" t="s">
        <v>15</v>
      </c>
      <c r="C3" t="s">
        <v>24</v>
      </c>
      <c r="D3">
        <v>2858.56</v>
      </c>
      <c r="E3" s="18">
        <v>-2.9141299999999998E-2</v>
      </c>
      <c r="F3"/>
      <c r="G3"/>
      <c r="H3"/>
      <c r="I3"/>
      <c r="J3"/>
    </row>
    <row r="4" spans="1:10" x14ac:dyDescent="0.25">
      <c r="A4" t="s">
        <v>28</v>
      </c>
      <c r="B4" s="10" t="s">
        <v>380</v>
      </c>
      <c r="C4" t="s">
        <v>29</v>
      </c>
      <c r="D4">
        <v>1</v>
      </c>
      <c r="E4" s="18">
        <v>1.7657E-3</v>
      </c>
      <c r="F4"/>
      <c r="G4"/>
      <c r="H4"/>
      <c r="I4"/>
      <c r="J4"/>
    </row>
    <row r="5" spans="1:10" x14ac:dyDescent="0.25">
      <c r="A5" t="s">
        <v>27</v>
      </c>
      <c r="B5" s="10" t="s">
        <v>381</v>
      </c>
      <c r="C5" t="s">
        <v>381</v>
      </c>
      <c r="D5">
        <v>389.89</v>
      </c>
      <c r="E5" s="18">
        <v>-1.87469E-2</v>
      </c>
      <c r="F5"/>
      <c r="G5"/>
      <c r="H5"/>
      <c r="I5"/>
      <c r="J5"/>
    </row>
    <row r="6" spans="1:10" x14ac:dyDescent="0.25">
      <c r="A6" t="s">
        <v>38</v>
      </c>
      <c r="B6" s="10" t="s">
        <v>384</v>
      </c>
      <c r="C6" t="s">
        <v>39</v>
      </c>
      <c r="D6">
        <v>0.99963100000000005</v>
      </c>
      <c r="E6" s="18">
        <v>1.5533999999999999E-3</v>
      </c>
      <c r="F6"/>
      <c r="G6"/>
      <c r="H6"/>
      <c r="I6"/>
      <c r="J6"/>
    </row>
    <row r="7" spans="1:10" x14ac:dyDescent="0.25">
      <c r="A7" t="s">
        <v>30</v>
      </c>
      <c r="B7" s="10" t="s">
        <v>31</v>
      </c>
      <c r="C7" t="s">
        <v>31</v>
      </c>
      <c r="D7">
        <v>0.80497200000000002</v>
      </c>
      <c r="E7" s="18">
        <v>-9.8101999999999998E-3</v>
      </c>
      <c r="F7"/>
      <c r="G7"/>
      <c r="H7"/>
      <c r="I7"/>
      <c r="J7"/>
    </row>
    <row r="8" spans="1:10" x14ac:dyDescent="0.25">
      <c r="A8" t="s">
        <v>51</v>
      </c>
      <c r="B8" s="10" t="s">
        <v>385</v>
      </c>
      <c r="C8" t="s">
        <v>17</v>
      </c>
      <c r="D8">
        <v>90.78</v>
      </c>
      <c r="E8" s="18">
        <v>-4.8357000000000001E-3</v>
      </c>
      <c r="F8"/>
      <c r="G8"/>
      <c r="H8"/>
      <c r="I8"/>
      <c r="J8"/>
    </row>
    <row r="9" spans="1:10" x14ac:dyDescent="0.25">
      <c r="A9" t="s">
        <v>32</v>
      </c>
      <c r="B9" s="10" t="s">
        <v>382</v>
      </c>
      <c r="C9" t="s">
        <v>33</v>
      </c>
      <c r="D9">
        <v>88.33</v>
      </c>
      <c r="E9" s="18">
        <v>-3.4190699999999997E-2</v>
      </c>
      <c r="F9"/>
      <c r="G9"/>
      <c r="H9"/>
      <c r="I9"/>
      <c r="J9"/>
    </row>
    <row r="10" spans="1:10" x14ac:dyDescent="0.25">
      <c r="A10" t="s">
        <v>25</v>
      </c>
      <c r="B10" s="10" t="s">
        <v>338</v>
      </c>
      <c r="C10" t="s">
        <v>26</v>
      </c>
      <c r="D10">
        <v>0.87888299999999997</v>
      </c>
      <c r="E10" s="18">
        <v>-1.9133600000000001E-2</v>
      </c>
      <c r="F10"/>
      <c r="G10"/>
      <c r="H10"/>
      <c r="I10"/>
      <c r="J10"/>
    </row>
    <row r="11" spans="1:10" x14ac:dyDescent="0.25">
      <c r="A11" t="s">
        <v>60</v>
      </c>
      <c r="B11" s="10" t="s">
        <v>61</v>
      </c>
      <c r="C11" t="s">
        <v>62</v>
      </c>
      <c r="D11">
        <v>84.12</v>
      </c>
      <c r="E11" s="18">
        <v>-5.1882699999999997E-2</v>
      </c>
      <c r="F11"/>
      <c r="G11"/>
      <c r="H11"/>
      <c r="I11"/>
      <c r="J11"/>
    </row>
    <row r="12" spans="1:10" x14ac:dyDescent="0.25">
      <c r="A12" t="s">
        <v>36</v>
      </c>
      <c r="B12" s="10" t="s">
        <v>4</v>
      </c>
      <c r="C12" t="s">
        <v>37</v>
      </c>
      <c r="D12">
        <v>18.72</v>
      </c>
      <c r="E12" s="18">
        <v>-2.82454E-2</v>
      </c>
      <c r="F12"/>
      <c r="G12"/>
      <c r="H12"/>
      <c r="I12"/>
      <c r="J12"/>
    </row>
    <row r="13" spans="1:10" x14ac:dyDescent="0.25">
      <c r="A13" t="s">
        <v>49</v>
      </c>
      <c r="B13" s="10" t="s">
        <v>386</v>
      </c>
      <c r="C13" t="s">
        <v>50</v>
      </c>
      <c r="D13">
        <v>0.99960400000000005</v>
      </c>
      <c r="E13" s="18">
        <v>1.8373E-3</v>
      </c>
      <c r="F13"/>
      <c r="G13"/>
      <c r="H13"/>
      <c r="I13"/>
      <c r="J13"/>
    </row>
    <row r="14" spans="1:10" x14ac:dyDescent="0.25">
      <c r="A14" t="s">
        <v>34</v>
      </c>
      <c r="B14" s="10" t="s">
        <v>383</v>
      </c>
      <c r="C14" t="s">
        <v>35</v>
      </c>
      <c r="D14">
        <v>0.119328</v>
      </c>
      <c r="E14" s="18">
        <v>-2.77215E-2</v>
      </c>
      <c r="F14"/>
      <c r="G14"/>
      <c r="H14"/>
      <c r="I14"/>
      <c r="J14"/>
    </row>
    <row r="15" spans="1:10" x14ac:dyDescent="0.25">
      <c r="A15" t="s">
        <v>144</v>
      </c>
      <c r="B15" s="10" t="s">
        <v>427</v>
      </c>
      <c r="C15" t="s">
        <v>145</v>
      </c>
      <c r="D15">
        <v>1.004</v>
      </c>
      <c r="E15" s="18">
        <v>1.6550000000000001E-4</v>
      </c>
      <c r="F15"/>
      <c r="G15"/>
      <c r="H15"/>
      <c r="I15"/>
      <c r="J15"/>
    </row>
    <row r="16" spans="1:10" x14ac:dyDescent="0.25">
      <c r="A16" t="s">
        <v>119</v>
      </c>
      <c r="B16" s="10" t="s">
        <v>418</v>
      </c>
      <c r="C16" t="s">
        <v>120</v>
      </c>
      <c r="D16">
        <v>2.2940000000000001E-5</v>
      </c>
      <c r="E16" s="18">
        <v>-4.6376899999999999E-2</v>
      </c>
      <c r="F16"/>
      <c r="G16"/>
      <c r="H16"/>
      <c r="I16"/>
      <c r="J16"/>
    </row>
    <row r="17" spans="1:10" x14ac:dyDescent="0.25">
      <c r="A17" t="s">
        <v>54</v>
      </c>
      <c r="B17" s="10" t="s">
        <v>391</v>
      </c>
      <c r="C17" t="s">
        <v>55</v>
      </c>
      <c r="D17">
        <v>41257</v>
      </c>
      <c r="E17" s="18">
        <v>-1.8534800000000001E-2</v>
      </c>
      <c r="F17"/>
      <c r="G17"/>
      <c r="H17"/>
      <c r="I17"/>
      <c r="J17"/>
    </row>
    <row r="18" spans="1:10" x14ac:dyDescent="0.25">
      <c r="A18" t="s">
        <v>102</v>
      </c>
      <c r="B18" s="10" t="s">
        <v>408</v>
      </c>
      <c r="C18" t="s">
        <v>626</v>
      </c>
      <c r="D18">
        <v>0.40515000000000001</v>
      </c>
      <c r="E18" s="18">
        <v>-2.8802500000000002E-2</v>
      </c>
      <c r="F18"/>
      <c r="G18"/>
      <c r="H18"/>
      <c r="I18"/>
      <c r="J18"/>
    </row>
    <row r="19" spans="1:10" x14ac:dyDescent="0.25">
      <c r="A19" t="s">
        <v>58</v>
      </c>
      <c r="B19" s="10" t="s">
        <v>394</v>
      </c>
      <c r="C19" t="s">
        <v>59</v>
      </c>
      <c r="D19">
        <v>1.46</v>
      </c>
      <c r="E19" s="18">
        <v>-3.9312600000000003E-2</v>
      </c>
      <c r="F19"/>
      <c r="G19"/>
      <c r="H19"/>
      <c r="I19"/>
      <c r="J19"/>
    </row>
    <row r="20" spans="1:10" x14ac:dyDescent="0.25">
      <c r="A20" t="s">
        <v>78</v>
      </c>
      <c r="B20" s="10" t="s">
        <v>401</v>
      </c>
      <c r="C20" t="s">
        <v>79</v>
      </c>
      <c r="D20">
        <v>1</v>
      </c>
      <c r="E20" s="18">
        <v>2.4445000000000001E-3</v>
      </c>
      <c r="F20"/>
      <c r="G20"/>
      <c r="H20"/>
      <c r="I20"/>
      <c r="J20"/>
    </row>
    <row r="21" spans="1:10" x14ac:dyDescent="0.25">
      <c r="A21" t="s">
        <v>77</v>
      </c>
      <c r="B21" s="10" t="s">
        <v>397</v>
      </c>
      <c r="C21" t="s">
        <v>872</v>
      </c>
      <c r="D21">
        <v>27.81</v>
      </c>
      <c r="E21" s="18">
        <v>-2.10954E-2</v>
      </c>
      <c r="F21"/>
      <c r="G21"/>
      <c r="H21"/>
      <c r="I21"/>
      <c r="J21"/>
    </row>
    <row r="22" spans="1:10" x14ac:dyDescent="0.25">
      <c r="A22" t="s">
        <v>47</v>
      </c>
      <c r="B22" s="10" t="s">
        <v>388</v>
      </c>
      <c r="C22" t="s">
        <v>48</v>
      </c>
      <c r="D22">
        <v>114.84</v>
      </c>
      <c r="E22" s="18">
        <v>-1.6735E-2</v>
      </c>
      <c r="F22"/>
      <c r="G22"/>
      <c r="H22"/>
      <c r="I22"/>
      <c r="J22"/>
    </row>
    <row r="23" spans="1:10" x14ac:dyDescent="0.25">
      <c r="A23" t="s">
        <v>103</v>
      </c>
      <c r="B23" s="10" t="s">
        <v>414</v>
      </c>
      <c r="C23" t="s">
        <v>104</v>
      </c>
      <c r="D23">
        <v>2857.19</v>
      </c>
      <c r="E23" s="18">
        <v>-2.76776E-2</v>
      </c>
      <c r="F23"/>
      <c r="G23"/>
      <c r="H23"/>
      <c r="I23"/>
      <c r="J23"/>
    </row>
    <row r="24" spans="1:10" x14ac:dyDescent="0.25">
      <c r="A24" t="s">
        <v>128</v>
      </c>
      <c r="B24" s="10" t="s">
        <v>412</v>
      </c>
      <c r="C24" t="s">
        <v>129</v>
      </c>
      <c r="D24">
        <v>10.6</v>
      </c>
      <c r="E24" s="18">
        <v>-5.5204900000000001E-2</v>
      </c>
      <c r="F24"/>
      <c r="G24"/>
      <c r="H24"/>
      <c r="I24"/>
      <c r="J24"/>
    </row>
    <row r="25" spans="1:10" x14ac:dyDescent="0.25">
      <c r="A25" t="s">
        <v>40</v>
      </c>
      <c r="B25" s="10" t="s">
        <v>3</v>
      </c>
      <c r="C25" t="s">
        <v>42</v>
      </c>
      <c r="D25">
        <v>14.5</v>
      </c>
      <c r="E25" s="18">
        <v>-3.0028900000000001E-2</v>
      </c>
      <c r="F25"/>
      <c r="G25"/>
      <c r="H25"/>
      <c r="I25"/>
      <c r="J25"/>
    </row>
    <row r="26" spans="1:10" x14ac:dyDescent="0.25">
      <c r="A26" t="s">
        <v>43</v>
      </c>
      <c r="B26" s="10" t="s">
        <v>387</v>
      </c>
      <c r="C26" t="s">
        <v>44</v>
      </c>
      <c r="D26">
        <v>329.47</v>
      </c>
      <c r="E26" s="18">
        <v>1.8126799999999998E-2</v>
      </c>
      <c r="F26"/>
      <c r="G26"/>
      <c r="H26"/>
      <c r="I26"/>
      <c r="J26"/>
    </row>
    <row r="27" spans="1:10" x14ac:dyDescent="0.25">
      <c r="A27" t="s">
        <v>75</v>
      </c>
      <c r="B27" s="10" t="s">
        <v>400</v>
      </c>
      <c r="C27" t="s">
        <v>76</v>
      </c>
      <c r="D27">
        <v>6.1606000000000001E-2</v>
      </c>
      <c r="E27" s="18">
        <v>-2.1627999999999999E-3</v>
      </c>
      <c r="F27"/>
      <c r="G27"/>
      <c r="H27"/>
      <c r="I27"/>
      <c r="J27"/>
    </row>
    <row r="28" spans="1:10" x14ac:dyDescent="0.25">
      <c r="A28" t="s">
        <v>71</v>
      </c>
      <c r="B28" s="10" t="s">
        <v>393</v>
      </c>
      <c r="C28" t="s">
        <v>72</v>
      </c>
      <c r="D28">
        <v>44.02</v>
      </c>
      <c r="E28" s="18">
        <v>-1.66234E-2</v>
      </c>
      <c r="F28"/>
      <c r="G28"/>
      <c r="H28"/>
      <c r="I28"/>
      <c r="J28"/>
    </row>
    <row r="29" spans="1:10" x14ac:dyDescent="0.25">
      <c r="A29" t="s">
        <v>130</v>
      </c>
      <c r="B29" s="10" t="s">
        <v>421</v>
      </c>
      <c r="C29" t="s">
        <v>131</v>
      </c>
      <c r="D29">
        <v>6.08</v>
      </c>
      <c r="E29" s="18">
        <v>4.2494000000000004E-3</v>
      </c>
      <c r="F29"/>
      <c r="G29"/>
      <c r="H29"/>
      <c r="I29"/>
      <c r="J29"/>
    </row>
    <row r="30" spans="1:10" x14ac:dyDescent="0.25">
      <c r="A30" t="s">
        <v>67</v>
      </c>
      <c r="B30" s="10" t="s">
        <v>398</v>
      </c>
      <c r="C30" t="s">
        <v>68</v>
      </c>
      <c r="D30">
        <v>38.49</v>
      </c>
      <c r="E30" s="18">
        <v>0.15163889999999999</v>
      </c>
      <c r="F30"/>
      <c r="G30"/>
      <c r="H30"/>
      <c r="I30"/>
      <c r="J30"/>
    </row>
    <row r="31" spans="1:10" x14ac:dyDescent="0.25">
      <c r="A31" t="s">
        <v>80</v>
      </c>
      <c r="B31" s="10" t="s">
        <v>81</v>
      </c>
      <c r="C31" t="s">
        <v>81</v>
      </c>
      <c r="D31">
        <v>19.2</v>
      </c>
      <c r="E31" s="18">
        <v>-4.7013100000000002E-2</v>
      </c>
      <c r="F31"/>
      <c r="G31"/>
      <c r="H31"/>
      <c r="I31"/>
      <c r="J31"/>
    </row>
    <row r="32" spans="1:10" x14ac:dyDescent="0.25">
      <c r="A32" t="s">
        <v>94</v>
      </c>
      <c r="B32" s="10" t="s">
        <v>390</v>
      </c>
      <c r="C32" t="s">
        <v>95</v>
      </c>
      <c r="D32">
        <v>0.73847499999999999</v>
      </c>
      <c r="E32" s="18">
        <v>-2.8074200000000001E-2</v>
      </c>
      <c r="F32"/>
      <c r="G32"/>
      <c r="H32"/>
      <c r="I32"/>
      <c r="J32"/>
    </row>
    <row r="33" spans="1:10" x14ac:dyDescent="0.25">
      <c r="A33" t="s">
        <v>65</v>
      </c>
      <c r="B33" s="10" t="s">
        <v>396</v>
      </c>
      <c r="C33" t="s">
        <v>66</v>
      </c>
      <c r="D33">
        <v>0.19800899999999999</v>
      </c>
      <c r="E33" s="18">
        <v>-7.0292000000000002E-3</v>
      </c>
      <c r="F33"/>
      <c r="G33"/>
      <c r="H33"/>
      <c r="I33"/>
      <c r="J33"/>
    </row>
    <row r="34" spans="1:10" x14ac:dyDescent="0.25">
      <c r="A34" t="s">
        <v>45</v>
      </c>
      <c r="B34" s="10" t="s">
        <v>389</v>
      </c>
      <c r="C34" t="s">
        <v>46</v>
      </c>
      <c r="D34">
        <v>9.3000000000000007</v>
      </c>
      <c r="E34" s="18">
        <v>-3.2606599999999999E-2</v>
      </c>
      <c r="F34"/>
      <c r="G34"/>
      <c r="H34"/>
      <c r="I34"/>
      <c r="J34"/>
    </row>
    <row r="35" spans="1:10" x14ac:dyDescent="0.25">
      <c r="A35" t="s">
        <v>620</v>
      </c>
      <c r="B35" s="10" t="s">
        <v>419</v>
      </c>
      <c r="C35" t="s">
        <v>619</v>
      </c>
      <c r="D35">
        <v>0.20865600000000001</v>
      </c>
      <c r="E35" s="18">
        <v>-2.6968999999999999E-3</v>
      </c>
      <c r="F35"/>
      <c r="G35"/>
      <c r="H35"/>
      <c r="I35"/>
      <c r="J35"/>
    </row>
    <row r="36" spans="1:10" x14ac:dyDescent="0.25">
      <c r="A36" t="s">
        <v>109</v>
      </c>
      <c r="B36" s="10" t="s">
        <v>416</v>
      </c>
      <c r="C36" t="s">
        <v>110</v>
      </c>
      <c r="D36">
        <v>49.68</v>
      </c>
      <c r="E36" s="18">
        <v>-3.5984700000000001E-2</v>
      </c>
      <c r="F36"/>
      <c r="G36"/>
      <c r="H36"/>
      <c r="I36"/>
      <c r="J36"/>
    </row>
    <row r="37" spans="1:10" x14ac:dyDescent="0.25">
      <c r="A37" t="s">
        <v>195</v>
      </c>
      <c r="B37" s="10" t="s">
        <v>456</v>
      </c>
      <c r="C37" t="s">
        <v>196</v>
      </c>
      <c r="D37">
        <v>2.4</v>
      </c>
      <c r="E37" s="18">
        <v>-3.4600899999999997E-2</v>
      </c>
      <c r="F37"/>
      <c r="G37"/>
      <c r="H37"/>
      <c r="I37"/>
      <c r="J37"/>
    </row>
    <row r="38" spans="1:10" x14ac:dyDescent="0.25">
      <c r="A38" t="s">
        <v>52</v>
      </c>
      <c r="B38" s="10" t="s">
        <v>392</v>
      </c>
      <c r="C38" t="s">
        <v>53</v>
      </c>
      <c r="D38">
        <v>16.760000000000002</v>
      </c>
      <c r="E38" s="18">
        <v>-3.4813700000000003E-2</v>
      </c>
      <c r="F38"/>
      <c r="G38"/>
      <c r="H38"/>
      <c r="I38"/>
      <c r="J38"/>
    </row>
    <row r="39" spans="1:10" x14ac:dyDescent="0.25">
      <c r="A39" t="s">
        <v>117</v>
      </c>
      <c r="B39" s="10" t="s">
        <v>337</v>
      </c>
      <c r="C39" t="s">
        <v>118</v>
      </c>
      <c r="D39">
        <v>160.68</v>
      </c>
      <c r="E39" s="18">
        <v>5.0575999999999998E-3</v>
      </c>
      <c r="F39"/>
      <c r="G39"/>
      <c r="H39"/>
      <c r="I39"/>
      <c r="J39"/>
    </row>
    <row r="40" spans="1:10" x14ac:dyDescent="0.25">
      <c r="A40" t="s">
        <v>248</v>
      </c>
      <c r="B40" s="10" t="s">
        <v>479</v>
      </c>
      <c r="C40" t="s">
        <v>249</v>
      </c>
      <c r="D40">
        <v>3.08</v>
      </c>
      <c r="E40" s="18">
        <v>-3.49871E-2</v>
      </c>
      <c r="F40"/>
      <c r="G40"/>
      <c r="H40"/>
      <c r="I40"/>
      <c r="J40"/>
    </row>
    <row r="41" spans="1:10" x14ac:dyDescent="0.25">
      <c r="A41" t="s">
        <v>84</v>
      </c>
      <c r="B41" s="10" t="s">
        <v>404</v>
      </c>
      <c r="C41" t="s">
        <v>85</v>
      </c>
      <c r="D41">
        <v>191.9</v>
      </c>
      <c r="E41" s="18">
        <v>-2.8352499999999999E-2</v>
      </c>
      <c r="F41"/>
      <c r="G41"/>
      <c r="H41"/>
      <c r="I41"/>
      <c r="J41"/>
    </row>
    <row r="42" spans="1:10" x14ac:dyDescent="0.25">
      <c r="A42" t="s">
        <v>63</v>
      </c>
      <c r="B42" s="10" t="s">
        <v>340</v>
      </c>
      <c r="C42" t="s">
        <v>64</v>
      </c>
      <c r="D42">
        <v>4.9791790000000002E-2</v>
      </c>
      <c r="E42" s="18">
        <v>-2.03786E-2</v>
      </c>
      <c r="F42"/>
      <c r="G42"/>
      <c r="H42"/>
      <c r="I42"/>
      <c r="J42"/>
    </row>
    <row r="43" spans="1:10" x14ac:dyDescent="0.25">
      <c r="A43" t="s">
        <v>134</v>
      </c>
      <c r="B43" s="10" t="s">
        <v>420</v>
      </c>
      <c r="C43" t="s">
        <v>135</v>
      </c>
      <c r="D43">
        <v>32.42</v>
      </c>
      <c r="E43" s="18">
        <v>7.8100000000000001E-3</v>
      </c>
      <c r="F43"/>
      <c r="G43"/>
      <c r="H43"/>
      <c r="I43"/>
      <c r="J43"/>
    </row>
    <row r="44" spans="1:10" x14ac:dyDescent="0.25">
      <c r="A44" t="s">
        <v>73</v>
      </c>
      <c r="B44" s="10" t="s">
        <v>402</v>
      </c>
      <c r="C44" t="s">
        <v>74</v>
      </c>
      <c r="D44">
        <v>57.46</v>
      </c>
      <c r="E44" s="18">
        <v>-3.056E-2</v>
      </c>
      <c r="F44"/>
      <c r="G44"/>
      <c r="H44"/>
      <c r="I44"/>
      <c r="J44"/>
    </row>
    <row r="45" spans="1:10" x14ac:dyDescent="0.25">
      <c r="A45" t="s">
        <v>105</v>
      </c>
      <c r="B45" s="10" t="s">
        <v>415</v>
      </c>
      <c r="C45" t="s">
        <v>106</v>
      </c>
      <c r="D45">
        <v>1.24</v>
      </c>
      <c r="E45" s="18">
        <v>-6.42485E-2</v>
      </c>
      <c r="F45"/>
      <c r="G45"/>
      <c r="H45"/>
      <c r="I45"/>
      <c r="J45"/>
    </row>
    <row r="46" spans="1:10" x14ac:dyDescent="0.25">
      <c r="A46" t="s">
        <v>56</v>
      </c>
      <c r="B46" s="10" t="s">
        <v>395</v>
      </c>
      <c r="C46" t="s">
        <v>57</v>
      </c>
      <c r="D46">
        <v>17.649999999999999</v>
      </c>
      <c r="E46" s="18">
        <v>-2.19717E-2</v>
      </c>
      <c r="F46"/>
      <c r="G46"/>
      <c r="H46"/>
      <c r="I46"/>
      <c r="J46"/>
    </row>
    <row r="47" spans="1:10" x14ac:dyDescent="0.25">
      <c r="A47" t="s">
        <v>115</v>
      </c>
      <c r="B47" s="10" t="s">
        <v>417</v>
      </c>
      <c r="C47" t="s">
        <v>116</v>
      </c>
      <c r="D47">
        <v>1.1000000000000001</v>
      </c>
      <c r="E47" s="18">
        <v>-1.2701199999999999E-2</v>
      </c>
      <c r="F47"/>
      <c r="G47"/>
      <c r="H47"/>
      <c r="I47"/>
      <c r="J47"/>
    </row>
    <row r="48" spans="1:10" x14ac:dyDescent="0.25">
      <c r="A48" t="s">
        <v>258</v>
      </c>
      <c r="B48" s="10" t="s">
        <v>472</v>
      </c>
      <c r="C48" t="s">
        <v>259</v>
      </c>
      <c r="D48">
        <v>9.07</v>
      </c>
      <c r="E48" s="18">
        <v>-1.2647200000000001E-2</v>
      </c>
      <c r="F48"/>
      <c r="G48"/>
      <c r="H48"/>
      <c r="I48"/>
      <c r="J48"/>
    </row>
    <row r="49" spans="1:10" x14ac:dyDescent="0.25">
      <c r="A49" t="s">
        <v>107</v>
      </c>
      <c r="B49" s="10" t="s">
        <v>339</v>
      </c>
      <c r="C49" t="s">
        <v>108</v>
      </c>
      <c r="D49">
        <v>3.31</v>
      </c>
      <c r="E49" s="18">
        <v>1.08288E-2</v>
      </c>
      <c r="F49"/>
      <c r="G49"/>
      <c r="H49"/>
      <c r="I49"/>
      <c r="J49"/>
    </row>
    <row r="50" spans="1:10" x14ac:dyDescent="0.25">
      <c r="A50" t="s">
        <v>69</v>
      </c>
      <c r="B50" s="10" t="s">
        <v>399</v>
      </c>
      <c r="C50" t="s">
        <v>70</v>
      </c>
      <c r="D50">
        <v>2.88</v>
      </c>
      <c r="E50" s="18">
        <v>-2.4078100000000002E-2</v>
      </c>
      <c r="F50"/>
      <c r="G50"/>
      <c r="H50"/>
      <c r="I50"/>
      <c r="J50"/>
    </row>
    <row r="51" spans="1:10" x14ac:dyDescent="0.25">
      <c r="A51" t="s">
        <v>327</v>
      </c>
      <c r="B51" s="10" t="s">
        <v>517</v>
      </c>
      <c r="C51" t="s">
        <v>328</v>
      </c>
      <c r="D51">
        <v>0.99947600000000003</v>
      </c>
      <c r="E51" s="18">
        <v>1.9191E-3</v>
      </c>
      <c r="F51"/>
      <c r="G51"/>
      <c r="H51"/>
      <c r="I51"/>
      <c r="J51"/>
    </row>
    <row r="52" spans="1:10" x14ac:dyDescent="0.25">
      <c r="A52" t="s">
        <v>602</v>
      </c>
      <c r="B52" s="10" t="s">
        <v>603</v>
      </c>
      <c r="C52" t="s">
        <v>604</v>
      </c>
      <c r="D52">
        <v>0.99853000000000003</v>
      </c>
      <c r="E52" s="18">
        <v>1.0537000000000001E-3</v>
      </c>
      <c r="F52"/>
      <c r="G52"/>
      <c r="H52"/>
      <c r="I52"/>
      <c r="J52"/>
    </row>
    <row r="53" spans="1:10" x14ac:dyDescent="0.25">
      <c r="A53" t="s">
        <v>132</v>
      </c>
      <c r="B53" s="10" t="s">
        <v>430</v>
      </c>
      <c r="C53" t="s">
        <v>133</v>
      </c>
      <c r="D53">
        <v>8.5399999999999991</v>
      </c>
      <c r="E53" s="18">
        <v>-2.8635399999999998E-2</v>
      </c>
      <c r="F53"/>
      <c r="G53"/>
      <c r="H53"/>
      <c r="I53"/>
      <c r="J53"/>
    </row>
    <row r="54" spans="1:10" x14ac:dyDescent="0.25">
      <c r="A54" t="s">
        <v>86</v>
      </c>
      <c r="B54" s="10" t="s">
        <v>403</v>
      </c>
      <c r="C54" t="s">
        <v>87</v>
      </c>
      <c r="D54">
        <v>2.254712E-2</v>
      </c>
      <c r="E54" s="18">
        <v>5.2890000000000001E-4</v>
      </c>
      <c r="F54"/>
      <c r="G54"/>
      <c r="H54"/>
      <c r="I54"/>
      <c r="J54"/>
    </row>
    <row r="55" spans="1:10" x14ac:dyDescent="0.25">
      <c r="A55" t="s">
        <v>96</v>
      </c>
      <c r="B55" s="10" t="s">
        <v>413</v>
      </c>
      <c r="C55" t="s">
        <v>97</v>
      </c>
      <c r="D55">
        <v>0.38774199999999998</v>
      </c>
      <c r="E55" s="18">
        <v>-5.3746599999999999E-2</v>
      </c>
      <c r="F55"/>
      <c r="G55"/>
      <c r="H55"/>
      <c r="I55"/>
      <c r="J55"/>
    </row>
    <row r="56" spans="1:10" x14ac:dyDescent="0.25">
      <c r="A56" t="s">
        <v>158</v>
      </c>
      <c r="B56" s="10" t="s">
        <v>435</v>
      </c>
      <c r="C56" t="s">
        <v>159</v>
      </c>
      <c r="D56">
        <v>21.9</v>
      </c>
      <c r="E56" s="18">
        <v>-7.6947699999999994E-2</v>
      </c>
      <c r="F56"/>
      <c r="G56"/>
      <c r="H56"/>
      <c r="I56"/>
      <c r="J56"/>
    </row>
    <row r="57" spans="1:10" x14ac:dyDescent="0.25">
      <c r="A57" t="s">
        <v>82</v>
      </c>
      <c r="B57" s="10" t="s">
        <v>83</v>
      </c>
      <c r="C57" t="s">
        <v>83</v>
      </c>
      <c r="D57">
        <v>2.21</v>
      </c>
      <c r="E57" s="18">
        <v>5.4799999999999996E-3</v>
      </c>
      <c r="F57"/>
      <c r="G57"/>
      <c r="H57"/>
      <c r="I57"/>
      <c r="J57"/>
    </row>
    <row r="58" spans="1:10" x14ac:dyDescent="0.25">
      <c r="A58" t="s">
        <v>170</v>
      </c>
      <c r="B58" s="10" t="s">
        <v>443</v>
      </c>
      <c r="C58" t="s">
        <v>171</v>
      </c>
      <c r="D58">
        <v>172.78</v>
      </c>
      <c r="E58" s="18">
        <v>-3.1640000000000001E-2</v>
      </c>
      <c r="F58"/>
      <c r="G58"/>
      <c r="H58"/>
      <c r="I58"/>
      <c r="J58"/>
    </row>
    <row r="59" spans="1:10" x14ac:dyDescent="0.25">
      <c r="A59" t="s">
        <v>98</v>
      </c>
      <c r="B59" s="10" t="s">
        <v>405</v>
      </c>
      <c r="C59" t="s">
        <v>99</v>
      </c>
      <c r="D59">
        <v>2.1926089999999999E-2</v>
      </c>
      <c r="E59" s="18">
        <v>9.3800000000000003E-4</v>
      </c>
      <c r="F59"/>
      <c r="G59"/>
      <c r="H59"/>
      <c r="I59"/>
      <c r="J59"/>
    </row>
    <row r="60" spans="1:10" x14ac:dyDescent="0.25">
      <c r="A60" t="s">
        <v>181</v>
      </c>
      <c r="B60" s="10" t="s">
        <v>448</v>
      </c>
      <c r="C60" t="s">
        <v>182</v>
      </c>
      <c r="D60">
        <v>5.96</v>
      </c>
      <c r="E60" s="18">
        <v>3.2048399999999998E-2</v>
      </c>
      <c r="F60"/>
      <c r="G60"/>
      <c r="H60"/>
      <c r="I60"/>
      <c r="J60"/>
    </row>
    <row r="61" spans="1:10" x14ac:dyDescent="0.25">
      <c r="A61" t="s">
        <v>100</v>
      </c>
      <c r="B61" s="10" t="s">
        <v>406</v>
      </c>
      <c r="C61" t="s">
        <v>101</v>
      </c>
      <c r="D61">
        <v>0.75177099999999997</v>
      </c>
      <c r="E61" s="18">
        <v>-5.4470999999999999E-3</v>
      </c>
      <c r="F61"/>
      <c r="G61"/>
      <c r="H61"/>
      <c r="I61"/>
      <c r="J61"/>
    </row>
    <row r="62" spans="1:10" x14ac:dyDescent="0.25">
      <c r="A62" t="s">
        <v>90</v>
      </c>
      <c r="B62" s="10" t="s">
        <v>411</v>
      </c>
      <c r="C62" t="s">
        <v>91</v>
      </c>
      <c r="D62">
        <v>151.07</v>
      </c>
      <c r="E62" s="18">
        <v>-3.2992599999999997E-2</v>
      </c>
      <c r="F62"/>
      <c r="G62"/>
      <c r="H62"/>
      <c r="I62"/>
      <c r="J62"/>
    </row>
    <row r="63" spans="1:10" x14ac:dyDescent="0.25">
      <c r="A63" t="s">
        <v>160</v>
      </c>
      <c r="B63" s="10" t="s">
        <v>440</v>
      </c>
      <c r="C63" t="s">
        <v>161</v>
      </c>
      <c r="D63">
        <v>0.166494</v>
      </c>
      <c r="E63" s="18">
        <v>-1.75376E-2</v>
      </c>
      <c r="F63"/>
      <c r="G63"/>
      <c r="H63"/>
      <c r="I63"/>
      <c r="J63"/>
    </row>
    <row r="64" spans="1:10" x14ac:dyDescent="0.25">
      <c r="A64" t="s">
        <v>232</v>
      </c>
      <c r="B64" s="10" t="s">
        <v>477</v>
      </c>
      <c r="C64" t="s">
        <v>233</v>
      </c>
      <c r="D64">
        <v>3.1177599999999998E-3</v>
      </c>
      <c r="E64" s="18">
        <v>-4.2084400000000001E-2</v>
      </c>
      <c r="F64"/>
      <c r="G64"/>
      <c r="H64"/>
      <c r="I64"/>
      <c r="J64"/>
    </row>
    <row r="65" spans="1:10" x14ac:dyDescent="0.25">
      <c r="A65" t="s">
        <v>125</v>
      </c>
      <c r="B65" s="10" t="s">
        <v>425</v>
      </c>
      <c r="C65" t="s">
        <v>126</v>
      </c>
      <c r="D65">
        <v>1982.78</v>
      </c>
      <c r="E65" s="18">
        <v>-3.1449699999999997E-2</v>
      </c>
      <c r="F65"/>
      <c r="G65"/>
      <c r="H65"/>
      <c r="I65"/>
      <c r="J65"/>
    </row>
    <row r="66" spans="1:10" x14ac:dyDescent="0.25">
      <c r="A66" t="s">
        <v>566</v>
      </c>
      <c r="B66" s="10" t="s">
        <v>567</v>
      </c>
      <c r="C66" t="s">
        <v>568</v>
      </c>
      <c r="D66">
        <v>0.23180999999999999</v>
      </c>
      <c r="E66" s="18">
        <v>-5.6059499999999998E-2</v>
      </c>
      <c r="F66"/>
      <c r="G66"/>
      <c r="H66"/>
      <c r="I66"/>
      <c r="J66"/>
    </row>
    <row r="67" spans="1:10" x14ac:dyDescent="0.25">
      <c r="A67" t="s">
        <v>88</v>
      </c>
      <c r="B67" s="10" t="s">
        <v>409</v>
      </c>
      <c r="C67" t="s">
        <v>89</v>
      </c>
      <c r="D67">
        <v>6.25</v>
      </c>
      <c r="E67" s="18">
        <v>-1.8049200000000001E-2</v>
      </c>
      <c r="F67"/>
      <c r="G67"/>
      <c r="H67"/>
      <c r="I67"/>
      <c r="J67"/>
    </row>
    <row r="68" spans="1:10" x14ac:dyDescent="0.25">
      <c r="A68" t="s">
        <v>627</v>
      </c>
      <c r="B68" s="10" t="s">
        <v>424</v>
      </c>
      <c r="C68" t="s">
        <v>127</v>
      </c>
      <c r="D68">
        <v>1.8199999999999999E-6</v>
      </c>
      <c r="E68" s="18">
        <v>-2.4203499999999999E-2</v>
      </c>
      <c r="F68"/>
      <c r="G68"/>
      <c r="H68"/>
      <c r="I68"/>
      <c r="J68"/>
    </row>
    <row r="69" spans="1:10" x14ac:dyDescent="0.25">
      <c r="A69" t="s">
        <v>121</v>
      </c>
      <c r="B69" s="10" t="s">
        <v>422</v>
      </c>
      <c r="C69" t="s">
        <v>122</v>
      </c>
      <c r="D69">
        <v>86.02</v>
      </c>
      <c r="E69" s="18">
        <v>4.3706700000000001E-2</v>
      </c>
      <c r="F69"/>
      <c r="G69"/>
      <c r="H69"/>
      <c r="I69"/>
      <c r="J69"/>
    </row>
    <row r="70" spans="1:10" x14ac:dyDescent="0.25">
      <c r="A70" t="s">
        <v>164</v>
      </c>
      <c r="B70" s="10" t="s">
        <v>438</v>
      </c>
      <c r="C70" t="s">
        <v>165</v>
      </c>
      <c r="D70">
        <v>41231</v>
      </c>
      <c r="E70" s="18">
        <v>-1.5636500000000001E-2</v>
      </c>
      <c r="F70"/>
      <c r="G70"/>
      <c r="H70"/>
      <c r="I70"/>
      <c r="J70"/>
    </row>
    <row r="71" spans="1:10" x14ac:dyDescent="0.25">
      <c r="A71" t="s">
        <v>150</v>
      </c>
      <c r="B71" s="10" t="s">
        <v>423</v>
      </c>
      <c r="C71" t="s">
        <v>151</v>
      </c>
      <c r="D71">
        <v>32.049999999999997</v>
      </c>
      <c r="E71" s="18">
        <v>-4.7239099999999999E-2</v>
      </c>
      <c r="F71"/>
      <c r="G71"/>
      <c r="H71"/>
      <c r="I71"/>
      <c r="J71"/>
    </row>
    <row r="72" spans="1:10" x14ac:dyDescent="0.25">
      <c r="A72" t="s">
        <v>111</v>
      </c>
      <c r="B72" s="10" t="s">
        <v>112</v>
      </c>
      <c r="C72" t="s">
        <v>112</v>
      </c>
      <c r="D72">
        <v>22.53</v>
      </c>
      <c r="E72" s="18">
        <v>2.6477500000000001E-2</v>
      </c>
      <c r="F72"/>
      <c r="G72"/>
      <c r="H72"/>
      <c r="I72"/>
      <c r="J72"/>
    </row>
    <row r="73" spans="1:10" x14ac:dyDescent="0.25">
      <c r="A73" t="s">
        <v>113</v>
      </c>
      <c r="B73" s="10" t="s">
        <v>410</v>
      </c>
      <c r="C73" t="s">
        <v>114</v>
      </c>
      <c r="D73">
        <v>118.36</v>
      </c>
      <c r="E73" s="18">
        <v>-1.2541200000000001E-2</v>
      </c>
      <c r="F73"/>
      <c r="G73"/>
      <c r="H73"/>
      <c r="I73"/>
      <c r="J73"/>
    </row>
    <row r="74" spans="1:10" x14ac:dyDescent="0.25">
      <c r="A74" t="s">
        <v>176</v>
      </c>
      <c r="B74" s="10" t="s">
        <v>436</v>
      </c>
      <c r="C74" t="s">
        <v>177</v>
      </c>
      <c r="D74">
        <v>0.13275100000000001</v>
      </c>
      <c r="E74" s="18">
        <v>-4.9208300000000003E-2</v>
      </c>
      <c r="F74"/>
      <c r="G74"/>
      <c r="H74"/>
      <c r="I74"/>
      <c r="J74"/>
    </row>
    <row r="75" spans="1:10" x14ac:dyDescent="0.25">
      <c r="A75" t="s">
        <v>634</v>
      </c>
      <c r="B75" s="10" t="s">
        <v>635</v>
      </c>
      <c r="C75" t="s">
        <v>635</v>
      </c>
      <c r="D75">
        <v>34.19</v>
      </c>
      <c r="E75" s="18">
        <v>-3.2192999999999999E-2</v>
      </c>
      <c r="F75"/>
      <c r="G75"/>
      <c r="H75"/>
      <c r="I75"/>
      <c r="J75"/>
    </row>
    <row r="76" spans="1:10" x14ac:dyDescent="0.25">
      <c r="A76" t="s">
        <v>92</v>
      </c>
      <c r="B76" s="10" t="s">
        <v>407</v>
      </c>
      <c r="C76" t="s">
        <v>93</v>
      </c>
      <c r="D76">
        <v>8.0909999999999996E-5</v>
      </c>
      <c r="E76" s="18">
        <v>-1.4661499999999999E-2</v>
      </c>
      <c r="F76"/>
      <c r="G76"/>
      <c r="H76"/>
      <c r="I76"/>
      <c r="J76"/>
    </row>
    <row r="77" spans="1:10" x14ac:dyDescent="0.25">
      <c r="A77" t="s">
        <v>138</v>
      </c>
      <c r="B77" s="10" t="s">
        <v>429</v>
      </c>
      <c r="C77" t="s">
        <v>139</v>
      </c>
      <c r="D77">
        <v>9.14</v>
      </c>
      <c r="E77" s="18">
        <v>1.763E-4</v>
      </c>
      <c r="F77"/>
      <c r="G77"/>
      <c r="H77"/>
      <c r="I77"/>
      <c r="J77"/>
    </row>
    <row r="78" spans="1:10" x14ac:dyDescent="0.25">
      <c r="A78" t="s">
        <v>185</v>
      </c>
      <c r="B78" s="10" t="s">
        <v>446</v>
      </c>
      <c r="C78" t="s">
        <v>186</v>
      </c>
      <c r="D78">
        <v>0.99953599999999998</v>
      </c>
      <c r="E78" s="18">
        <v>2.1713000000000001E-3</v>
      </c>
      <c r="F78"/>
      <c r="G78"/>
      <c r="H78"/>
      <c r="I78"/>
      <c r="J78"/>
    </row>
    <row r="79" spans="1:10" x14ac:dyDescent="0.25">
      <c r="A79" t="s">
        <v>209</v>
      </c>
      <c r="B79" s="10" t="s">
        <v>465</v>
      </c>
      <c r="C79" t="s">
        <v>210</v>
      </c>
      <c r="D79">
        <v>18.2</v>
      </c>
      <c r="E79" s="18">
        <v>-1.86407E-2</v>
      </c>
      <c r="F79"/>
      <c r="G79"/>
      <c r="H79"/>
      <c r="I79"/>
      <c r="J79"/>
    </row>
    <row r="80" spans="1:10" x14ac:dyDescent="0.25">
      <c r="A80" t="s">
        <v>140</v>
      </c>
      <c r="B80" s="10" t="s">
        <v>428</v>
      </c>
      <c r="C80" t="s">
        <v>141</v>
      </c>
      <c r="D80">
        <v>3.24</v>
      </c>
      <c r="E80" s="18">
        <v>-1.49871E-2</v>
      </c>
      <c r="F80"/>
      <c r="G80"/>
      <c r="H80"/>
      <c r="I80"/>
      <c r="J80"/>
    </row>
    <row r="81" spans="1:10" x14ac:dyDescent="0.25">
      <c r="A81" t="s">
        <v>123</v>
      </c>
      <c r="B81" s="10" t="s">
        <v>16</v>
      </c>
      <c r="C81" t="s">
        <v>124</v>
      </c>
      <c r="D81">
        <v>148.57</v>
      </c>
      <c r="E81" s="18">
        <v>2.57066E-2</v>
      </c>
      <c r="F81"/>
      <c r="G81"/>
      <c r="H81"/>
      <c r="I81"/>
      <c r="J81"/>
    </row>
    <row r="82" spans="1:10" x14ac:dyDescent="0.25">
      <c r="A82" t="s">
        <v>168</v>
      </c>
      <c r="B82" s="10" t="s">
        <v>342</v>
      </c>
      <c r="C82" t="s">
        <v>169</v>
      </c>
      <c r="D82">
        <v>1.44</v>
      </c>
      <c r="E82" s="18">
        <v>-3.7210100000000003E-2</v>
      </c>
      <c r="F82"/>
      <c r="G82"/>
      <c r="H82"/>
      <c r="I82"/>
      <c r="J82"/>
    </row>
    <row r="83" spans="1:10" x14ac:dyDescent="0.25">
      <c r="A83" t="s">
        <v>174</v>
      </c>
      <c r="B83" s="10" t="s">
        <v>444</v>
      </c>
      <c r="C83" t="s">
        <v>175</v>
      </c>
      <c r="D83">
        <v>1.3</v>
      </c>
      <c r="E83" s="18">
        <v>-4.6087999999999997E-3</v>
      </c>
      <c r="F83"/>
      <c r="G83"/>
      <c r="H83"/>
      <c r="I83"/>
      <c r="J83"/>
    </row>
    <row r="84" spans="1:10" x14ac:dyDescent="0.25">
      <c r="A84" t="s">
        <v>631</v>
      </c>
      <c r="B84" s="10" t="s">
        <v>632</v>
      </c>
      <c r="C84" t="s">
        <v>633</v>
      </c>
      <c r="D84">
        <v>4.0407930000000002E-2</v>
      </c>
      <c r="E84" s="18">
        <v>-3.9743500000000001E-2</v>
      </c>
      <c r="F84"/>
      <c r="G84"/>
      <c r="H84"/>
      <c r="I84"/>
      <c r="J84"/>
    </row>
    <row r="85" spans="1:10" x14ac:dyDescent="0.25">
      <c r="A85" t="s">
        <v>931</v>
      </c>
      <c r="B85" s="10" t="s">
        <v>932</v>
      </c>
      <c r="C85" t="s">
        <v>933</v>
      </c>
      <c r="D85">
        <v>10.16</v>
      </c>
      <c r="E85" s="18">
        <v>-0.12268220000000001</v>
      </c>
      <c r="F85"/>
      <c r="G85"/>
      <c r="H85"/>
      <c r="I85"/>
      <c r="J85"/>
    </row>
    <row r="86" spans="1:10" x14ac:dyDescent="0.25">
      <c r="A86" t="s">
        <v>191</v>
      </c>
      <c r="B86" s="10" t="s">
        <v>454</v>
      </c>
      <c r="C86" t="s">
        <v>192</v>
      </c>
      <c r="D86">
        <v>0.81967500000000004</v>
      </c>
      <c r="E86" s="18">
        <v>-2.1820300000000001E-2</v>
      </c>
      <c r="F86"/>
      <c r="G86"/>
      <c r="H86"/>
      <c r="I86"/>
      <c r="J86"/>
    </row>
    <row r="87" spans="1:10" x14ac:dyDescent="0.25">
      <c r="A87" t="s">
        <v>213</v>
      </c>
      <c r="B87" s="10" t="s">
        <v>214</v>
      </c>
      <c r="C87" t="s">
        <v>214</v>
      </c>
      <c r="D87">
        <v>2.19</v>
      </c>
      <c r="E87" s="18">
        <v>-1.6035600000000001E-2</v>
      </c>
      <c r="F87"/>
      <c r="G87"/>
      <c r="H87"/>
      <c r="I87"/>
      <c r="J87"/>
    </row>
    <row r="88" spans="1:10" x14ac:dyDescent="0.25">
      <c r="A88" t="s">
        <v>266</v>
      </c>
      <c r="B88" s="10" t="s">
        <v>478</v>
      </c>
      <c r="C88" t="s">
        <v>267</v>
      </c>
      <c r="D88">
        <v>2.85</v>
      </c>
      <c r="E88" s="18">
        <v>-4.8676400000000002E-2</v>
      </c>
      <c r="F88"/>
      <c r="G88"/>
      <c r="H88"/>
      <c r="I88"/>
      <c r="J88"/>
    </row>
    <row r="89" spans="1:10" x14ac:dyDescent="0.25">
      <c r="A89" t="s">
        <v>136</v>
      </c>
      <c r="B89" s="10" t="s">
        <v>426</v>
      </c>
      <c r="C89" t="s">
        <v>137</v>
      </c>
      <c r="D89">
        <v>2.559517E-2</v>
      </c>
      <c r="E89" s="18">
        <v>-5.561E-2</v>
      </c>
      <c r="F89"/>
      <c r="G89"/>
      <c r="H89"/>
      <c r="I89"/>
      <c r="J89"/>
    </row>
    <row r="90" spans="1:10" x14ac:dyDescent="0.25">
      <c r="A90" t="s">
        <v>148</v>
      </c>
      <c r="B90" s="10" t="s">
        <v>432</v>
      </c>
      <c r="C90" t="s">
        <v>149</v>
      </c>
      <c r="D90">
        <v>114.06</v>
      </c>
      <c r="E90" s="18">
        <v>0.1155277</v>
      </c>
      <c r="F90"/>
      <c r="G90"/>
      <c r="H90"/>
      <c r="I90"/>
      <c r="J90"/>
    </row>
    <row r="91" spans="1:10" x14ac:dyDescent="0.25">
      <c r="A91" t="s">
        <v>628</v>
      </c>
      <c r="B91" s="10" t="s">
        <v>629</v>
      </c>
      <c r="C91" t="s">
        <v>630</v>
      </c>
      <c r="D91">
        <v>0.12292599999999999</v>
      </c>
      <c r="E91" s="18">
        <v>-2.5325E-3</v>
      </c>
      <c r="F91"/>
      <c r="G91"/>
      <c r="H91"/>
      <c r="I91"/>
      <c r="J91"/>
    </row>
    <row r="92" spans="1:10" x14ac:dyDescent="0.25">
      <c r="A92" t="s">
        <v>156</v>
      </c>
      <c r="B92" s="10" t="s">
        <v>341</v>
      </c>
      <c r="C92" t="s">
        <v>157</v>
      </c>
      <c r="D92">
        <v>5.21</v>
      </c>
      <c r="E92" s="18">
        <v>1.5228200000000001E-2</v>
      </c>
      <c r="F92"/>
      <c r="G92"/>
      <c r="H92"/>
      <c r="I92"/>
      <c r="J92"/>
    </row>
    <row r="93" spans="1:10" x14ac:dyDescent="0.25">
      <c r="A93" t="s">
        <v>152</v>
      </c>
      <c r="B93" s="10" t="s">
        <v>437</v>
      </c>
      <c r="C93" t="s">
        <v>153</v>
      </c>
      <c r="D93">
        <v>0.202624</v>
      </c>
      <c r="E93" s="18">
        <v>-2.0785600000000001E-2</v>
      </c>
      <c r="F93"/>
      <c r="G93"/>
      <c r="H93"/>
      <c r="I93"/>
      <c r="J93"/>
    </row>
    <row r="94" spans="1:10" x14ac:dyDescent="0.25">
      <c r="A94" t="s">
        <v>588</v>
      </c>
      <c r="B94" s="10" t="s">
        <v>589</v>
      </c>
      <c r="C94" t="s">
        <v>590</v>
      </c>
      <c r="D94">
        <v>6.06</v>
      </c>
      <c r="E94" s="18">
        <v>-3.2199100000000001E-2</v>
      </c>
      <c r="F94"/>
      <c r="G94"/>
      <c r="H94"/>
      <c r="I94"/>
      <c r="J94"/>
    </row>
    <row r="95" spans="1:10" x14ac:dyDescent="0.25">
      <c r="A95" t="s">
        <v>335</v>
      </c>
      <c r="B95" s="10" t="s">
        <v>522</v>
      </c>
      <c r="C95" t="s">
        <v>336</v>
      </c>
      <c r="D95">
        <v>18.87</v>
      </c>
      <c r="E95" s="18">
        <v>-3.7310999999999997E-2</v>
      </c>
      <c r="F95"/>
      <c r="G95"/>
      <c r="H95"/>
      <c r="I95"/>
      <c r="J95"/>
    </row>
    <row r="96" spans="1:10" x14ac:dyDescent="0.25">
      <c r="A96" t="s">
        <v>282</v>
      </c>
      <c r="B96" s="10" t="s">
        <v>493</v>
      </c>
      <c r="C96" t="s">
        <v>283</v>
      </c>
      <c r="D96">
        <v>0.82255800000000001</v>
      </c>
      <c r="E96" s="18">
        <v>-9.41168E-2</v>
      </c>
      <c r="F96"/>
      <c r="G96"/>
      <c r="H96"/>
      <c r="I96"/>
      <c r="J96"/>
    </row>
    <row r="97" spans="1:10" x14ac:dyDescent="0.25">
      <c r="A97" t="s">
        <v>636</v>
      </c>
      <c r="B97" s="10" t="s">
        <v>637</v>
      </c>
      <c r="C97" t="s">
        <v>638</v>
      </c>
      <c r="D97">
        <v>17.62</v>
      </c>
      <c r="E97" s="18">
        <v>-1.0864E-3</v>
      </c>
      <c r="F97"/>
      <c r="G97"/>
      <c r="H97"/>
      <c r="I97"/>
      <c r="J97"/>
    </row>
    <row r="98" spans="1:10" x14ac:dyDescent="0.25">
      <c r="A98" t="s">
        <v>224</v>
      </c>
      <c r="B98" s="10" t="s">
        <v>458</v>
      </c>
      <c r="C98" t="s">
        <v>225</v>
      </c>
      <c r="D98">
        <v>1</v>
      </c>
      <c r="E98" s="18">
        <v>1.0525000000000001E-3</v>
      </c>
      <c r="F98"/>
      <c r="G98"/>
      <c r="H98"/>
      <c r="I98"/>
      <c r="J98"/>
    </row>
    <row r="99" spans="1:10" x14ac:dyDescent="0.25">
      <c r="A99" t="s">
        <v>827</v>
      </c>
      <c r="B99" s="10" t="s">
        <v>828</v>
      </c>
      <c r="C99" t="s">
        <v>829</v>
      </c>
      <c r="D99">
        <v>1.1200000000000001</v>
      </c>
      <c r="E99" s="18">
        <v>-1.45176E-2</v>
      </c>
      <c r="F99"/>
      <c r="G99"/>
      <c r="H99"/>
      <c r="I99"/>
      <c r="J99"/>
    </row>
    <row r="100" spans="1:10" x14ac:dyDescent="0.25">
      <c r="A100" t="s">
        <v>238</v>
      </c>
      <c r="B100" s="10" t="s">
        <v>474</v>
      </c>
      <c r="C100" t="s">
        <v>239</v>
      </c>
      <c r="D100">
        <v>6.41</v>
      </c>
      <c r="E100" s="18">
        <v>9.8931999999999996E-3</v>
      </c>
      <c r="F100"/>
      <c r="G100"/>
      <c r="H100"/>
      <c r="I100"/>
      <c r="J100"/>
    </row>
    <row r="101" spans="1:10" x14ac:dyDescent="0.25">
      <c r="A101" t="s">
        <v>859</v>
      </c>
      <c r="B101" s="10" t="s">
        <v>860</v>
      </c>
      <c r="C101" t="s">
        <v>861</v>
      </c>
      <c r="D101">
        <v>32.159999999999997</v>
      </c>
      <c r="E101" s="18">
        <v>-0.49226229999999999</v>
      </c>
      <c r="F101"/>
      <c r="G101"/>
      <c r="H101"/>
      <c r="I101"/>
      <c r="J101"/>
    </row>
    <row r="102" spans="1:10" x14ac:dyDescent="0.25">
      <c r="A102" t="s">
        <v>166</v>
      </c>
      <c r="B102" s="10" t="s">
        <v>441</v>
      </c>
      <c r="C102" t="s">
        <v>167</v>
      </c>
      <c r="D102">
        <v>9.9803000000000003E-2</v>
      </c>
      <c r="E102" s="18">
        <v>-4.4489999999999998E-3</v>
      </c>
      <c r="F102"/>
      <c r="G102"/>
      <c r="H102"/>
      <c r="I102"/>
      <c r="J102"/>
    </row>
    <row r="103" spans="1:10" x14ac:dyDescent="0.25">
      <c r="A103" t="s">
        <v>240</v>
      </c>
      <c r="B103" s="10" t="s">
        <v>451</v>
      </c>
      <c r="C103" t="s">
        <v>241</v>
      </c>
      <c r="D103">
        <v>2.1</v>
      </c>
      <c r="E103" s="18">
        <v>-1.96378E-2</v>
      </c>
      <c r="F103"/>
      <c r="G103"/>
      <c r="H103"/>
      <c r="I103"/>
      <c r="J103"/>
    </row>
    <row r="104" spans="1:10" x14ac:dyDescent="0.25">
      <c r="A104" t="s">
        <v>228</v>
      </c>
      <c r="B104" s="10" t="s">
        <v>466</v>
      </c>
      <c r="C104" t="s">
        <v>229</v>
      </c>
      <c r="D104">
        <v>2.14</v>
      </c>
      <c r="E104" s="18">
        <v>-5.0745199999999997E-2</v>
      </c>
      <c r="F104"/>
      <c r="G104"/>
      <c r="H104"/>
      <c r="I104"/>
      <c r="J104"/>
    </row>
    <row r="105" spans="1:10" x14ac:dyDescent="0.25">
      <c r="A105" t="s">
        <v>298</v>
      </c>
      <c r="B105" s="10" t="s">
        <v>512</v>
      </c>
      <c r="C105" t="s">
        <v>299</v>
      </c>
      <c r="D105">
        <v>0.230964</v>
      </c>
      <c r="E105" s="18">
        <v>-5.6861000000000002E-2</v>
      </c>
      <c r="F105"/>
      <c r="G105"/>
      <c r="H105"/>
      <c r="I105"/>
      <c r="J105"/>
    </row>
    <row r="106" spans="1:10" x14ac:dyDescent="0.25">
      <c r="A106" t="s">
        <v>154</v>
      </c>
      <c r="B106" s="10" t="s">
        <v>434</v>
      </c>
      <c r="C106" t="s">
        <v>155</v>
      </c>
      <c r="D106">
        <v>55.63</v>
      </c>
      <c r="E106" s="18">
        <v>3.3891499999999998E-2</v>
      </c>
      <c r="F106"/>
      <c r="G106"/>
      <c r="H106"/>
      <c r="I106"/>
      <c r="J106"/>
    </row>
    <row r="107" spans="1:10" x14ac:dyDescent="0.25">
      <c r="A107" t="s">
        <v>162</v>
      </c>
      <c r="B107" s="10" t="s">
        <v>439</v>
      </c>
      <c r="C107" t="s">
        <v>163</v>
      </c>
      <c r="D107">
        <v>4.3185799999999998E-3</v>
      </c>
      <c r="E107" s="18">
        <v>-7.0575299999999994E-2</v>
      </c>
      <c r="F107"/>
      <c r="G107"/>
      <c r="H107"/>
      <c r="I107"/>
      <c r="J107"/>
    </row>
    <row r="108" spans="1:10" x14ac:dyDescent="0.25">
      <c r="A108" t="s">
        <v>142</v>
      </c>
      <c r="B108" s="10" t="s">
        <v>431</v>
      </c>
      <c r="C108" t="s">
        <v>143</v>
      </c>
      <c r="D108">
        <v>114.62</v>
      </c>
      <c r="E108" s="18">
        <v>-2.7993799999999999E-2</v>
      </c>
      <c r="F108"/>
      <c r="G108"/>
      <c r="H108"/>
      <c r="I108"/>
      <c r="J108"/>
    </row>
    <row r="109" spans="1:10" x14ac:dyDescent="0.25">
      <c r="A109" t="s">
        <v>41</v>
      </c>
      <c r="B109" s="10" t="s">
        <v>473</v>
      </c>
      <c r="C109" t="s">
        <v>3</v>
      </c>
      <c r="D109">
        <v>127.19</v>
      </c>
      <c r="E109" s="18">
        <v>-4.6483000000000002E-3</v>
      </c>
      <c r="F109"/>
      <c r="G109"/>
      <c r="H109"/>
      <c r="I109"/>
      <c r="J109"/>
    </row>
    <row r="110" spans="1:10" x14ac:dyDescent="0.25">
      <c r="A110" t="s">
        <v>333</v>
      </c>
      <c r="B110" s="10" t="s">
        <v>521</v>
      </c>
      <c r="C110" t="s">
        <v>334</v>
      </c>
      <c r="D110">
        <v>4.53</v>
      </c>
      <c r="E110" s="18">
        <v>-3.0514800000000002E-2</v>
      </c>
      <c r="F110"/>
      <c r="G110"/>
      <c r="H110"/>
      <c r="I110"/>
      <c r="J110"/>
    </row>
    <row r="111" spans="1:10" x14ac:dyDescent="0.25">
      <c r="A111" t="s">
        <v>300</v>
      </c>
      <c r="B111" s="10" t="s">
        <v>499</v>
      </c>
      <c r="C111" t="s">
        <v>301</v>
      </c>
      <c r="D111">
        <v>0.98885900000000004</v>
      </c>
      <c r="E111" s="18">
        <v>-8.1881999999999996E-3</v>
      </c>
      <c r="F111"/>
      <c r="G111"/>
      <c r="H111"/>
      <c r="I111"/>
      <c r="J111"/>
    </row>
    <row r="112" spans="1:10" x14ac:dyDescent="0.25">
      <c r="A112" t="s">
        <v>242</v>
      </c>
      <c r="B112" s="10" t="s">
        <v>471</v>
      </c>
      <c r="C112" t="s">
        <v>243</v>
      </c>
      <c r="D112">
        <v>2.17684E-2</v>
      </c>
      <c r="E112" s="18">
        <v>0</v>
      </c>
      <c r="F112"/>
      <c r="G112"/>
      <c r="H112"/>
      <c r="I112"/>
      <c r="J112"/>
    </row>
    <row r="113" spans="1:10" x14ac:dyDescent="0.25">
      <c r="A113" t="s">
        <v>256</v>
      </c>
      <c r="B113" s="10" t="s">
        <v>486</v>
      </c>
      <c r="C113" t="s">
        <v>257</v>
      </c>
      <c r="D113">
        <v>7.5551999999999994E-2</v>
      </c>
      <c r="E113" s="18">
        <v>-6.4268500000000006E-2</v>
      </c>
      <c r="F113"/>
      <c r="G113"/>
      <c r="H113"/>
      <c r="I113"/>
      <c r="J113"/>
    </row>
    <row r="114" spans="1:10" x14ac:dyDescent="0.25">
      <c r="A114" t="s">
        <v>178</v>
      </c>
      <c r="B114" s="10" t="s">
        <v>447</v>
      </c>
      <c r="C114" t="s">
        <v>179</v>
      </c>
      <c r="D114">
        <v>6.86</v>
      </c>
      <c r="E114" s="18">
        <v>6.8488599999999997E-2</v>
      </c>
      <c r="F114"/>
      <c r="G114"/>
      <c r="H114"/>
      <c r="I114"/>
      <c r="J114"/>
    </row>
    <row r="115" spans="1:10" x14ac:dyDescent="0.25">
      <c r="A115" t="s">
        <v>641</v>
      </c>
      <c r="B115" s="10" t="s">
        <v>642</v>
      </c>
      <c r="C115" t="s">
        <v>643</v>
      </c>
      <c r="D115">
        <v>8.09</v>
      </c>
      <c r="E115" s="18">
        <v>-1.8528200000000002E-2</v>
      </c>
      <c r="F115"/>
      <c r="G115"/>
      <c r="H115"/>
      <c r="I115"/>
      <c r="J115"/>
    </row>
    <row r="116" spans="1:10" x14ac:dyDescent="0.25">
      <c r="A116" t="s">
        <v>183</v>
      </c>
      <c r="B116" s="10" t="s">
        <v>450</v>
      </c>
      <c r="C116" t="s">
        <v>184</v>
      </c>
      <c r="D116">
        <v>19853.41</v>
      </c>
      <c r="E116" s="18">
        <v>-3.4821299999999999E-2</v>
      </c>
      <c r="F116"/>
      <c r="G116"/>
      <c r="H116"/>
      <c r="I116"/>
      <c r="J116"/>
    </row>
    <row r="117" spans="1:10" x14ac:dyDescent="0.25">
      <c r="A117" t="s">
        <v>315</v>
      </c>
      <c r="B117" s="10" t="s">
        <v>514</v>
      </c>
      <c r="C117" t="s">
        <v>316</v>
      </c>
      <c r="D117">
        <v>2.58</v>
      </c>
      <c r="E117" s="18">
        <v>-6.6509200000000004E-2</v>
      </c>
      <c r="F117"/>
      <c r="G117"/>
      <c r="H117"/>
      <c r="I117"/>
      <c r="J117"/>
    </row>
    <row r="118" spans="1:10" x14ac:dyDescent="0.25">
      <c r="A118" t="s">
        <v>187</v>
      </c>
      <c r="B118" s="10" t="s">
        <v>452</v>
      </c>
      <c r="C118" t="s">
        <v>188</v>
      </c>
      <c r="D118">
        <v>38.99</v>
      </c>
      <c r="E118" s="18">
        <v>0.23071330000000001</v>
      </c>
      <c r="F118"/>
      <c r="G118"/>
      <c r="H118"/>
      <c r="I118"/>
      <c r="J118"/>
    </row>
    <row r="119" spans="1:10" x14ac:dyDescent="0.25">
      <c r="A119" t="s">
        <v>199</v>
      </c>
      <c r="B119" s="10" t="s">
        <v>453</v>
      </c>
      <c r="C119" t="s">
        <v>200</v>
      </c>
      <c r="D119">
        <v>4.76</v>
      </c>
      <c r="E119" s="18">
        <v>-5.7745999999999999E-2</v>
      </c>
      <c r="F119"/>
      <c r="G119"/>
      <c r="H119"/>
      <c r="I119"/>
      <c r="J119"/>
    </row>
    <row r="120" spans="1:10" x14ac:dyDescent="0.25">
      <c r="A120" t="s">
        <v>215</v>
      </c>
      <c r="B120" s="10" t="s">
        <v>459</v>
      </c>
      <c r="C120" t="s">
        <v>216</v>
      </c>
      <c r="D120">
        <v>1.0980000000000001</v>
      </c>
      <c r="E120" s="18">
        <v>-1.5516500000000001E-2</v>
      </c>
      <c r="F120"/>
      <c r="G120"/>
      <c r="H120"/>
      <c r="I120"/>
      <c r="J120"/>
    </row>
    <row r="121" spans="1:10" x14ac:dyDescent="0.25">
      <c r="A121" t="s">
        <v>644</v>
      </c>
      <c r="B121" s="10" t="s">
        <v>645</v>
      </c>
      <c r="C121" t="s">
        <v>646</v>
      </c>
      <c r="D121">
        <v>0.78828200000000004</v>
      </c>
      <c r="E121" s="18">
        <v>1.7966200000000002E-2</v>
      </c>
      <c r="F121"/>
      <c r="G121"/>
      <c r="H121"/>
      <c r="I121"/>
      <c r="J121"/>
    </row>
    <row r="122" spans="1:10" x14ac:dyDescent="0.25">
      <c r="A122" t="s">
        <v>222</v>
      </c>
      <c r="B122" s="10" t="s">
        <v>467</v>
      </c>
      <c r="C122" t="s">
        <v>223</v>
      </c>
      <c r="D122">
        <v>96.2</v>
      </c>
      <c r="E122" s="18">
        <v>-2.7913299999999999E-2</v>
      </c>
      <c r="F122"/>
      <c r="G122"/>
      <c r="H122"/>
      <c r="I122"/>
      <c r="J122"/>
    </row>
    <row r="123" spans="1:10" x14ac:dyDescent="0.25">
      <c r="A123" t="s">
        <v>284</v>
      </c>
      <c r="B123" s="10" t="s">
        <v>504</v>
      </c>
      <c r="C123" t="s">
        <v>285</v>
      </c>
      <c r="D123">
        <v>26.26</v>
      </c>
      <c r="E123" s="18">
        <v>-4.3151700000000001E-2</v>
      </c>
      <c r="F123"/>
      <c r="G123"/>
      <c r="H123"/>
      <c r="I123"/>
      <c r="J123"/>
    </row>
    <row r="124" spans="1:10" x14ac:dyDescent="0.25">
      <c r="A124" t="s">
        <v>172</v>
      </c>
      <c r="B124" s="10" t="s">
        <v>442</v>
      </c>
      <c r="C124" t="s">
        <v>173</v>
      </c>
      <c r="D124">
        <v>5.2937999999999999E-2</v>
      </c>
      <c r="E124" s="18">
        <v>-1.0429600000000001E-2</v>
      </c>
      <c r="F124"/>
      <c r="G124"/>
      <c r="H124"/>
      <c r="I124"/>
      <c r="J124"/>
    </row>
    <row r="125" spans="1:10" x14ac:dyDescent="0.25">
      <c r="A125" t="s">
        <v>647</v>
      </c>
      <c r="B125" s="10" t="s">
        <v>648</v>
      </c>
      <c r="C125" t="s">
        <v>649</v>
      </c>
      <c r="D125">
        <v>1.7142330000000001E-2</v>
      </c>
      <c r="E125" s="18">
        <v>-2.9452200000000001E-2</v>
      </c>
      <c r="F125"/>
      <c r="G125"/>
      <c r="H125"/>
      <c r="I125"/>
      <c r="J125"/>
    </row>
    <row r="126" spans="1:10" x14ac:dyDescent="0.25">
      <c r="A126" t="s">
        <v>275</v>
      </c>
      <c r="B126" s="10" t="s">
        <v>495</v>
      </c>
      <c r="C126" t="s">
        <v>275</v>
      </c>
      <c r="D126">
        <v>1.55</v>
      </c>
      <c r="E126" s="18">
        <v>-5.7619900000000002E-2</v>
      </c>
      <c r="F126"/>
      <c r="G126"/>
      <c r="H126"/>
      <c r="I126"/>
      <c r="J126"/>
    </row>
    <row r="127" spans="1:10" x14ac:dyDescent="0.25">
      <c r="A127" t="s">
        <v>146</v>
      </c>
      <c r="B127" s="10" t="s">
        <v>433</v>
      </c>
      <c r="C127" t="s">
        <v>147</v>
      </c>
      <c r="D127">
        <v>3.23</v>
      </c>
      <c r="E127" s="18">
        <v>-2.2801999999999999E-2</v>
      </c>
      <c r="F127"/>
      <c r="G127"/>
      <c r="H127"/>
      <c r="I127"/>
      <c r="J127"/>
    </row>
    <row r="128" spans="1:10" x14ac:dyDescent="0.25">
      <c r="A128" t="s">
        <v>236</v>
      </c>
      <c r="B128" s="10" t="s">
        <v>475</v>
      </c>
      <c r="C128" t="s">
        <v>237</v>
      </c>
      <c r="D128">
        <v>7.4654999999999999E-2</v>
      </c>
      <c r="E128" s="18">
        <v>-2.3661499999999999E-2</v>
      </c>
      <c r="F128"/>
      <c r="G128"/>
      <c r="H128"/>
      <c r="I128"/>
      <c r="J128"/>
    </row>
    <row r="129" spans="1:10" x14ac:dyDescent="0.25">
      <c r="A129" t="s">
        <v>244</v>
      </c>
      <c r="B129" s="10" t="s">
        <v>482</v>
      </c>
      <c r="C129" t="s">
        <v>245</v>
      </c>
      <c r="D129">
        <v>41209</v>
      </c>
      <c r="E129" s="18">
        <v>-1.9195799999999999E-2</v>
      </c>
      <c r="F129"/>
      <c r="G129"/>
      <c r="H129"/>
      <c r="I129"/>
      <c r="J129"/>
    </row>
    <row r="130" spans="1:10" x14ac:dyDescent="0.25">
      <c r="A130" t="s">
        <v>319</v>
      </c>
      <c r="B130" s="10" t="s">
        <v>518</v>
      </c>
      <c r="C130" t="s">
        <v>320</v>
      </c>
      <c r="D130">
        <v>1925.82</v>
      </c>
      <c r="E130" s="18">
        <v>6.4362999999999998E-3</v>
      </c>
      <c r="F130"/>
      <c r="G130"/>
      <c r="H130"/>
      <c r="I130"/>
      <c r="J130"/>
    </row>
    <row r="131" spans="1:10" x14ac:dyDescent="0.25">
      <c r="A131" t="s">
        <v>211</v>
      </c>
      <c r="B131" s="10" t="s">
        <v>462</v>
      </c>
      <c r="C131" t="s">
        <v>212</v>
      </c>
      <c r="D131">
        <v>2.35</v>
      </c>
      <c r="E131" s="18">
        <v>-2.3077799999999999E-2</v>
      </c>
      <c r="F131"/>
      <c r="G131"/>
      <c r="H131"/>
      <c r="I131"/>
      <c r="J131"/>
    </row>
    <row r="132" spans="1:10" x14ac:dyDescent="0.25">
      <c r="A132" t="s">
        <v>694</v>
      </c>
      <c r="B132" s="10" t="s">
        <v>624</v>
      </c>
      <c r="C132" t="s">
        <v>695</v>
      </c>
      <c r="D132">
        <v>2.6</v>
      </c>
      <c r="E132" s="18">
        <v>-4.7516599999999999E-2</v>
      </c>
      <c r="F132"/>
      <c r="G132"/>
      <c r="H132"/>
      <c r="I132"/>
      <c r="J132"/>
    </row>
    <row r="133" spans="1:10" x14ac:dyDescent="0.25">
      <c r="A133" t="s">
        <v>180</v>
      </c>
      <c r="B133" s="10" t="s">
        <v>445</v>
      </c>
      <c r="C133" t="s">
        <v>5</v>
      </c>
      <c r="D133">
        <v>4.249994E-2</v>
      </c>
      <c r="E133" s="18">
        <v>-2.91673E-2</v>
      </c>
      <c r="F133"/>
      <c r="G133"/>
      <c r="H133"/>
      <c r="I133"/>
      <c r="J133"/>
    </row>
    <row r="134" spans="1:10" x14ac:dyDescent="0.25">
      <c r="A134" t="s">
        <v>653</v>
      </c>
      <c r="B134" s="10" t="s">
        <v>654</v>
      </c>
      <c r="C134" t="s">
        <v>655</v>
      </c>
      <c r="D134">
        <v>91.66</v>
      </c>
      <c r="E134" s="18">
        <v>-3.1188799999999999E-2</v>
      </c>
      <c r="F134"/>
      <c r="G134"/>
      <c r="H134"/>
      <c r="I134"/>
      <c r="J134"/>
    </row>
    <row r="135" spans="1:10" x14ac:dyDescent="0.25">
      <c r="A135" t="s">
        <v>305</v>
      </c>
      <c r="B135" s="10" t="s">
        <v>505</v>
      </c>
      <c r="C135" t="s">
        <v>306</v>
      </c>
      <c r="D135">
        <v>311.41000000000003</v>
      </c>
      <c r="E135" s="18">
        <v>-2.8041199999999999E-2</v>
      </c>
      <c r="F135"/>
      <c r="G135"/>
      <c r="H135"/>
      <c r="I135"/>
      <c r="J135"/>
    </row>
    <row r="136" spans="1:10" x14ac:dyDescent="0.25">
      <c r="A136" t="s">
        <v>193</v>
      </c>
      <c r="B136" s="10" t="s">
        <v>455</v>
      </c>
      <c r="C136" t="s">
        <v>194</v>
      </c>
      <c r="D136">
        <v>5.5192999999999999E-2</v>
      </c>
      <c r="E136" s="18">
        <v>-5.6002099999999999E-2</v>
      </c>
      <c r="F136"/>
      <c r="G136"/>
      <c r="H136"/>
      <c r="I136"/>
      <c r="J136"/>
    </row>
    <row r="137" spans="1:10" x14ac:dyDescent="0.25">
      <c r="A137" t="s">
        <v>207</v>
      </c>
      <c r="B137" s="10" t="s">
        <v>449</v>
      </c>
      <c r="C137" t="s">
        <v>208</v>
      </c>
      <c r="D137">
        <v>0.78271100000000005</v>
      </c>
      <c r="E137" s="18">
        <v>-2.6713799999999999E-2</v>
      </c>
      <c r="F137"/>
      <c r="G137"/>
      <c r="H137"/>
      <c r="I137"/>
      <c r="J137"/>
    </row>
    <row r="138" spans="1:10" x14ac:dyDescent="0.25">
      <c r="A138" t="s">
        <v>329</v>
      </c>
      <c r="B138" s="10" t="s">
        <v>523</v>
      </c>
      <c r="C138" t="s">
        <v>330</v>
      </c>
      <c r="D138">
        <v>0.57749700000000004</v>
      </c>
      <c r="E138" s="18">
        <v>-2.14098E-2</v>
      </c>
      <c r="F138"/>
      <c r="G138"/>
      <c r="H138"/>
      <c r="I138"/>
      <c r="J138"/>
    </row>
    <row r="139" spans="1:10" x14ac:dyDescent="0.25">
      <c r="A139" t="s">
        <v>639</v>
      </c>
      <c r="B139" s="10" t="s">
        <v>640</v>
      </c>
      <c r="C139" t="s">
        <v>202</v>
      </c>
      <c r="D139">
        <v>1.008E-3</v>
      </c>
      <c r="E139" s="18">
        <v>4.5461E-3</v>
      </c>
      <c r="F139"/>
      <c r="G139"/>
      <c r="H139"/>
      <c r="I139"/>
      <c r="J139"/>
    </row>
    <row r="140" spans="1:10" x14ac:dyDescent="0.25">
      <c r="A140" t="s">
        <v>268</v>
      </c>
      <c r="B140" s="10" t="s">
        <v>490</v>
      </c>
      <c r="C140" t="s">
        <v>599</v>
      </c>
      <c r="D140">
        <v>3.48</v>
      </c>
      <c r="E140" s="18">
        <v>2.6108699999999999E-2</v>
      </c>
      <c r="F140"/>
      <c r="G140"/>
      <c r="H140"/>
      <c r="I140"/>
      <c r="J140"/>
    </row>
    <row r="141" spans="1:10" x14ac:dyDescent="0.25">
      <c r="A141" t="s">
        <v>189</v>
      </c>
      <c r="B141" s="10" t="s">
        <v>190</v>
      </c>
      <c r="C141" t="s">
        <v>190</v>
      </c>
      <c r="D141">
        <v>2.411379E-2</v>
      </c>
      <c r="E141" s="18">
        <v>-1.18443E-2</v>
      </c>
      <c r="F141"/>
      <c r="G141"/>
      <c r="H141"/>
      <c r="I141"/>
      <c r="J141"/>
    </row>
    <row r="142" spans="1:10" x14ac:dyDescent="0.25">
      <c r="A142" t="s">
        <v>656</v>
      </c>
      <c r="B142" s="10" t="s">
        <v>506</v>
      </c>
      <c r="C142" t="s">
        <v>657</v>
      </c>
      <c r="D142">
        <v>0.99908300000000005</v>
      </c>
      <c r="E142" s="18">
        <v>3.6200000000000002E-4</v>
      </c>
      <c r="F142"/>
      <c r="G142"/>
      <c r="H142"/>
      <c r="I142"/>
      <c r="J142"/>
    </row>
    <row r="143" spans="1:10" x14ac:dyDescent="0.25">
      <c r="A143" t="s">
        <v>290</v>
      </c>
      <c r="B143" s="10" t="s">
        <v>503</v>
      </c>
      <c r="C143" t="s">
        <v>291</v>
      </c>
      <c r="D143">
        <v>0.28294000000000002</v>
      </c>
      <c r="E143" s="18">
        <v>-1.00628E-2</v>
      </c>
      <c r="F143"/>
      <c r="G143"/>
      <c r="H143"/>
      <c r="I143"/>
      <c r="J143"/>
    </row>
    <row r="144" spans="1:10" x14ac:dyDescent="0.25">
      <c r="A144" t="s">
        <v>673</v>
      </c>
      <c r="B144" s="10" t="s">
        <v>674</v>
      </c>
      <c r="C144" t="s">
        <v>675</v>
      </c>
      <c r="D144">
        <v>2.68</v>
      </c>
      <c r="E144" s="18">
        <v>-6.7054199999999994E-2</v>
      </c>
      <c r="F144"/>
      <c r="G144"/>
      <c r="H144"/>
      <c r="I144"/>
      <c r="J144"/>
    </row>
    <row r="145" spans="1:10" x14ac:dyDescent="0.25">
      <c r="A145" t="s">
        <v>323</v>
      </c>
      <c r="B145" s="10" t="s">
        <v>511</v>
      </c>
      <c r="C145" t="s">
        <v>324</v>
      </c>
      <c r="D145">
        <v>31.38</v>
      </c>
      <c r="E145" s="18">
        <v>-1.8252999999999998E-2</v>
      </c>
      <c r="F145"/>
      <c r="G145"/>
      <c r="H145"/>
      <c r="I145"/>
      <c r="J145"/>
    </row>
    <row r="146" spans="1:10" x14ac:dyDescent="0.25">
      <c r="A146" t="s">
        <v>203</v>
      </c>
      <c r="B146" s="10" t="s">
        <v>460</v>
      </c>
      <c r="C146" t="s">
        <v>204</v>
      </c>
      <c r="D146">
        <v>41.03</v>
      </c>
      <c r="E146" s="18">
        <v>-1.0959399999999999E-2</v>
      </c>
      <c r="F146"/>
      <c r="G146"/>
      <c r="H146"/>
      <c r="I146"/>
      <c r="J146"/>
    </row>
    <row r="147" spans="1:10" x14ac:dyDescent="0.25">
      <c r="A147" t="s">
        <v>650</v>
      </c>
      <c r="B147" s="10" t="s">
        <v>651</v>
      </c>
      <c r="C147" t="s">
        <v>652</v>
      </c>
      <c r="D147">
        <v>0.19226199999999999</v>
      </c>
      <c r="E147" s="18">
        <v>-3.2614200000000003E-2</v>
      </c>
      <c r="F147"/>
      <c r="G147"/>
      <c r="H147"/>
      <c r="I147"/>
      <c r="J147"/>
    </row>
    <row r="148" spans="1:10" x14ac:dyDescent="0.25">
      <c r="A148" t="s">
        <v>676</v>
      </c>
      <c r="B148" s="10" t="s">
        <v>677</v>
      </c>
      <c r="C148" t="s">
        <v>678</v>
      </c>
      <c r="D148">
        <v>2.13</v>
      </c>
      <c r="E148" s="18">
        <v>-7.6393500000000003E-2</v>
      </c>
      <c r="F148"/>
      <c r="G148"/>
      <c r="H148"/>
      <c r="I148"/>
      <c r="J148"/>
    </row>
    <row r="149" spans="1:10" x14ac:dyDescent="0.25">
      <c r="A149" t="s">
        <v>307</v>
      </c>
      <c r="B149" s="10" t="s">
        <v>513</v>
      </c>
      <c r="C149" t="s">
        <v>308</v>
      </c>
      <c r="D149">
        <v>0.21901399999999999</v>
      </c>
      <c r="E149" s="18">
        <v>-3.8977999999999999E-3</v>
      </c>
      <c r="F149"/>
      <c r="G149"/>
      <c r="H149"/>
      <c r="I149"/>
      <c r="J149"/>
    </row>
    <row r="150" spans="1:10" x14ac:dyDescent="0.25">
      <c r="A150" t="s">
        <v>670</v>
      </c>
      <c r="B150" s="10" t="s">
        <v>671</v>
      </c>
      <c r="C150" t="s">
        <v>672</v>
      </c>
      <c r="D150">
        <v>6.4320000000000002E-2</v>
      </c>
      <c r="E150" s="18">
        <v>-3.2493399999999999E-2</v>
      </c>
      <c r="F150"/>
      <c r="G150"/>
      <c r="H150"/>
      <c r="I150"/>
      <c r="J150"/>
    </row>
    <row r="151" spans="1:10" x14ac:dyDescent="0.25">
      <c r="A151" t="s">
        <v>664</v>
      </c>
      <c r="B151" s="10" t="s">
        <v>665</v>
      </c>
      <c r="C151" t="s">
        <v>666</v>
      </c>
      <c r="D151">
        <v>32.61</v>
      </c>
      <c r="E151" s="18">
        <v>-1.84466E-2</v>
      </c>
      <c r="F151"/>
      <c r="G151"/>
      <c r="H151"/>
      <c r="I151"/>
      <c r="J151"/>
    </row>
    <row r="152" spans="1:10" x14ac:dyDescent="0.25">
      <c r="A152" t="s">
        <v>246</v>
      </c>
      <c r="B152" s="10" t="s">
        <v>247</v>
      </c>
      <c r="C152" t="s">
        <v>247</v>
      </c>
      <c r="D152">
        <v>7.52</v>
      </c>
      <c r="E152" s="18">
        <v>-1.6787699999999999E-2</v>
      </c>
      <c r="F152"/>
      <c r="G152"/>
      <c r="H152"/>
      <c r="I152"/>
      <c r="J152"/>
    </row>
    <row r="153" spans="1:10" x14ac:dyDescent="0.25">
      <c r="A153" t="s">
        <v>679</v>
      </c>
      <c r="B153" s="10" t="s">
        <v>680</v>
      </c>
      <c r="C153" t="s">
        <v>681</v>
      </c>
      <c r="D153">
        <v>1977.93</v>
      </c>
      <c r="E153" s="18">
        <v>1.25925E-2</v>
      </c>
      <c r="F153"/>
      <c r="G153"/>
      <c r="H153"/>
      <c r="I153"/>
      <c r="J153"/>
    </row>
    <row r="154" spans="1:10" x14ac:dyDescent="0.25">
      <c r="A154" t="s">
        <v>280</v>
      </c>
      <c r="B154" s="10" t="s">
        <v>494</v>
      </c>
      <c r="C154" t="s">
        <v>281</v>
      </c>
      <c r="D154">
        <v>0.48226000000000002</v>
      </c>
      <c r="E154" s="18">
        <v>-4.6407000000000002E-3</v>
      </c>
      <c r="F154"/>
      <c r="G154"/>
      <c r="H154"/>
      <c r="I154"/>
      <c r="J154"/>
    </row>
    <row r="155" spans="1:10" x14ac:dyDescent="0.25">
      <c r="A155" t="s">
        <v>658</v>
      </c>
      <c r="B155" s="10" t="s">
        <v>659</v>
      </c>
      <c r="C155" t="s">
        <v>660</v>
      </c>
      <c r="D155">
        <v>0.12238400000000001</v>
      </c>
      <c r="E155" s="18">
        <v>-5.6451000000000001E-3</v>
      </c>
      <c r="F155"/>
      <c r="G155"/>
      <c r="H155"/>
      <c r="I155"/>
      <c r="J155"/>
    </row>
    <row r="156" spans="1:10" x14ac:dyDescent="0.25">
      <c r="A156" t="s">
        <v>595</v>
      </c>
      <c r="B156" s="10" t="s">
        <v>596</v>
      </c>
      <c r="C156" t="s">
        <v>597</v>
      </c>
      <c r="D156">
        <v>0.55973399999999995</v>
      </c>
      <c r="E156" s="18">
        <v>-4.6738799999999997E-2</v>
      </c>
      <c r="F156"/>
      <c r="G156"/>
      <c r="H156"/>
      <c r="I156"/>
      <c r="J156"/>
    </row>
    <row r="157" spans="1:10" x14ac:dyDescent="0.25">
      <c r="A157" t="s">
        <v>273</v>
      </c>
      <c r="B157" s="10" t="s">
        <v>488</v>
      </c>
      <c r="C157" t="s">
        <v>274</v>
      </c>
      <c r="D157">
        <v>1.002</v>
      </c>
      <c r="E157" s="18">
        <v>3.8109999999999999E-4</v>
      </c>
      <c r="F157"/>
      <c r="G157"/>
      <c r="H157"/>
      <c r="I157"/>
      <c r="J157"/>
    </row>
    <row r="158" spans="1:10" x14ac:dyDescent="0.25">
      <c r="A158" t="s">
        <v>205</v>
      </c>
      <c r="B158" s="10" t="s">
        <v>461</v>
      </c>
      <c r="C158" t="s">
        <v>206</v>
      </c>
      <c r="D158">
        <v>9.2633899999999998E-3</v>
      </c>
      <c r="E158" s="18">
        <v>-3.3645700000000001E-2</v>
      </c>
      <c r="F158"/>
      <c r="G158"/>
      <c r="H158"/>
      <c r="I158"/>
      <c r="J158"/>
    </row>
    <row r="159" spans="1:10" x14ac:dyDescent="0.25">
      <c r="A159" t="s">
        <v>221</v>
      </c>
      <c r="B159" s="10" t="s">
        <v>468</v>
      </c>
      <c r="C159" t="s">
        <v>221</v>
      </c>
      <c r="D159">
        <v>0.546512</v>
      </c>
      <c r="E159" s="18">
        <v>6.0594999999999998E-3</v>
      </c>
      <c r="F159"/>
      <c r="G159"/>
      <c r="H159"/>
      <c r="I159"/>
      <c r="J159"/>
    </row>
    <row r="160" spans="1:10" x14ac:dyDescent="0.25">
      <c r="A160" t="s">
        <v>219</v>
      </c>
      <c r="B160" s="10" t="s">
        <v>469</v>
      </c>
      <c r="C160" t="s">
        <v>220</v>
      </c>
      <c r="D160">
        <v>0.51512999999999998</v>
      </c>
      <c r="E160" s="18">
        <v>-2.1895E-3</v>
      </c>
      <c r="F160"/>
      <c r="G160"/>
      <c r="H160"/>
      <c r="I160"/>
      <c r="J160"/>
    </row>
    <row r="161" spans="1:10" x14ac:dyDescent="0.25">
      <c r="A161" t="s">
        <v>661</v>
      </c>
      <c r="B161" s="10" t="s">
        <v>662</v>
      </c>
      <c r="C161" t="s">
        <v>663</v>
      </c>
      <c r="D161">
        <v>2.814E-9</v>
      </c>
      <c r="E161" s="18">
        <v>-2.2138600000000001E-2</v>
      </c>
      <c r="F161"/>
      <c r="G161"/>
      <c r="H161"/>
      <c r="I161"/>
      <c r="J161"/>
    </row>
    <row r="162" spans="1:10" x14ac:dyDescent="0.25">
      <c r="A162" t="s">
        <v>732</v>
      </c>
      <c r="B162" s="10" t="s">
        <v>733</v>
      </c>
      <c r="C162" t="s">
        <v>734</v>
      </c>
      <c r="D162">
        <v>147.72999999999999</v>
      </c>
      <c r="E162" s="18">
        <v>1.4965E-3</v>
      </c>
      <c r="F162"/>
      <c r="G162"/>
      <c r="H162"/>
      <c r="I162"/>
      <c r="J162"/>
    </row>
    <row r="163" spans="1:10" x14ac:dyDescent="0.25">
      <c r="A163" t="s">
        <v>711</v>
      </c>
      <c r="B163" s="10" t="s">
        <v>712</v>
      </c>
      <c r="C163" t="s">
        <v>713</v>
      </c>
      <c r="D163">
        <v>4.9509780000000003E-2</v>
      </c>
      <c r="E163" s="18">
        <v>-8.6586399999999994E-2</v>
      </c>
      <c r="F163"/>
      <c r="G163"/>
      <c r="H163"/>
      <c r="I163"/>
      <c r="J163"/>
    </row>
    <row r="164" spans="1:10" x14ac:dyDescent="0.25">
      <c r="A164" t="s">
        <v>667</v>
      </c>
      <c r="B164" s="10" t="s">
        <v>668</v>
      </c>
      <c r="C164" t="s">
        <v>669</v>
      </c>
      <c r="D164">
        <v>1.5400000000000001E-6</v>
      </c>
      <c r="E164" s="18">
        <v>-2.8748599999999999E-2</v>
      </c>
      <c r="F164"/>
      <c r="G164"/>
      <c r="H164"/>
      <c r="I164"/>
      <c r="J164"/>
    </row>
    <row r="165" spans="1:10" x14ac:dyDescent="0.25">
      <c r="A165" t="s">
        <v>197</v>
      </c>
      <c r="B165" s="10" t="s">
        <v>457</v>
      </c>
      <c r="C165" t="s">
        <v>198</v>
      </c>
      <c r="D165">
        <v>6.9372000000000001E-3</v>
      </c>
      <c r="E165" s="18">
        <v>0.25716080000000002</v>
      </c>
      <c r="F165"/>
      <c r="G165"/>
      <c r="H165"/>
      <c r="I165"/>
      <c r="J165"/>
    </row>
    <row r="166" spans="1:10" x14ac:dyDescent="0.25">
      <c r="A166" t="s">
        <v>331</v>
      </c>
      <c r="B166" s="10" t="s">
        <v>515</v>
      </c>
      <c r="C166" t="s">
        <v>332</v>
      </c>
      <c r="D166">
        <v>0.55182500000000001</v>
      </c>
      <c r="E166" s="18">
        <v>8.69611E-2</v>
      </c>
      <c r="F166"/>
      <c r="G166"/>
      <c r="H166"/>
      <c r="I166"/>
      <c r="J166"/>
    </row>
    <row r="167" spans="1:10" x14ac:dyDescent="0.25">
      <c r="A167" t="s">
        <v>365</v>
      </c>
      <c r="B167" s="10" t="s">
        <v>485</v>
      </c>
      <c r="C167" t="s">
        <v>366</v>
      </c>
      <c r="D167">
        <v>4.8899999999999997</v>
      </c>
      <c r="E167" s="18">
        <v>-6.0124499999999997E-2</v>
      </c>
      <c r="F167"/>
      <c r="G167"/>
      <c r="H167"/>
      <c r="I167"/>
      <c r="J167"/>
    </row>
    <row r="168" spans="1:10" x14ac:dyDescent="0.25">
      <c r="A168" t="s">
        <v>286</v>
      </c>
      <c r="B168" s="10" t="s">
        <v>487</v>
      </c>
      <c r="C168" t="s">
        <v>287</v>
      </c>
      <c r="D168">
        <v>28.86</v>
      </c>
      <c r="E168" s="18">
        <v>-7.9641E-3</v>
      </c>
      <c r="F168"/>
      <c r="G168"/>
      <c r="H168"/>
      <c r="I168"/>
      <c r="J168"/>
    </row>
    <row r="169" spans="1:10" x14ac:dyDescent="0.25">
      <c r="A169" t="s">
        <v>252</v>
      </c>
      <c r="B169" s="10" t="s">
        <v>481</v>
      </c>
      <c r="C169" t="s">
        <v>253</v>
      </c>
      <c r="D169">
        <v>0.43335600000000002</v>
      </c>
      <c r="E169" s="18">
        <v>-2.7461200000000002E-2</v>
      </c>
      <c r="F169"/>
      <c r="G169"/>
      <c r="H169"/>
      <c r="I169"/>
      <c r="J169"/>
    </row>
    <row r="170" spans="1:10" x14ac:dyDescent="0.25">
      <c r="A170" t="s">
        <v>288</v>
      </c>
      <c r="B170" s="10" t="s">
        <v>502</v>
      </c>
      <c r="C170" t="s">
        <v>289</v>
      </c>
      <c r="D170">
        <v>0.123997</v>
      </c>
      <c r="E170" s="18">
        <v>-5.1171899999999999E-2</v>
      </c>
      <c r="F170"/>
      <c r="G170"/>
      <c r="H170"/>
      <c r="I170"/>
      <c r="J170"/>
    </row>
    <row r="171" spans="1:10" x14ac:dyDescent="0.25">
      <c r="A171" t="s">
        <v>691</v>
      </c>
      <c r="B171" s="10" t="s">
        <v>692</v>
      </c>
      <c r="C171" t="s">
        <v>693</v>
      </c>
      <c r="D171">
        <v>2.27</v>
      </c>
      <c r="E171" s="18">
        <v>-3.2456699999999998E-2</v>
      </c>
      <c r="F171"/>
      <c r="G171"/>
      <c r="H171"/>
      <c r="I171"/>
      <c r="J171"/>
    </row>
    <row r="172" spans="1:10" x14ac:dyDescent="0.25">
      <c r="A172" t="s">
        <v>581</v>
      </c>
      <c r="B172" s="10" t="s">
        <v>582</v>
      </c>
      <c r="C172" t="s">
        <v>583</v>
      </c>
      <c r="D172">
        <v>2.08</v>
      </c>
      <c r="E172" s="18">
        <v>-4.9769599999999997E-2</v>
      </c>
      <c r="F172"/>
      <c r="G172"/>
      <c r="H172"/>
      <c r="I172"/>
      <c r="J172"/>
    </row>
    <row r="173" spans="1:10" x14ac:dyDescent="0.25">
      <c r="A173" t="s">
        <v>862</v>
      </c>
      <c r="B173" s="10" t="s">
        <v>863</v>
      </c>
      <c r="C173" t="s">
        <v>864</v>
      </c>
      <c r="D173">
        <v>1.0009999999999999</v>
      </c>
      <c r="E173" s="18">
        <v>3.4640000000000001E-3</v>
      </c>
      <c r="F173"/>
      <c r="G173"/>
      <c r="H173"/>
      <c r="I173"/>
      <c r="J173"/>
    </row>
    <row r="174" spans="1:10" x14ac:dyDescent="0.25">
      <c r="A174" t="s">
        <v>254</v>
      </c>
      <c r="B174" s="10" t="s">
        <v>483</v>
      </c>
      <c r="C174" t="s">
        <v>255</v>
      </c>
      <c r="D174">
        <v>0.15423100000000001</v>
      </c>
      <c r="E174" s="18">
        <v>-1.7856400000000001E-2</v>
      </c>
      <c r="F174"/>
      <c r="G174"/>
      <c r="H174"/>
      <c r="I174"/>
      <c r="J174"/>
    </row>
    <row r="175" spans="1:10" x14ac:dyDescent="0.25">
      <c r="A175" t="s">
        <v>685</v>
      </c>
      <c r="B175" s="10" t="s">
        <v>686</v>
      </c>
      <c r="C175" t="s">
        <v>687</v>
      </c>
      <c r="D175">
        <v>7.0304599999999998E-7</v>
      </c>
      <c r="E175" s="18">
        <v>-5.2043399999999997E-2</v>
      </c>
      <c r="F175"/>
      <c r="G175"/>
      <c r="H175"/>
      <c r="I175"/>
      <c r="J175"/>
    </row>
    <row r="176" spans="1:10" x14ac:dyDescent="0.25">
      <c r="A176" t="s">
        <v>702</v>
      </c>
      <c r="B176" s="10" t="s">
        <v>703</v>
      </c>
      <c r="C176" t="s">
        <v>704</v>
      </c>
      <c r="D176">
        <v>5.0855999999999998E-2</v>
      </c>
      <c r="E176" s="18">
        <v>-1.7208299999999999E-2</v>
      </c>
      <c r="F176"/>
      <c r="G176"/>
      <c r="H176"/>
      <c r="I176"/>
      <c r="J176"/>
    </row>
    <row r="177" spans="1:10" x14ac:dyDescent="0.25">
      <c r="A177" t="s">
        <v>926</v>
      </c>
      <c r="B177" s="10" t="s">
        <v>925</v>
      </c>
      <c r="C177" t="s">
        <v>927</v>
      </c>
      <c r="D177">
        <v>0.78899300000000006</v>
      </c>
      <c r="E177" s="18">
        <v>0.10345840000000001</v>
      </c>
      <c r="F177"/>
      <c r="G177"/>
      <c r="H177"/>
      <c r="I177"/>
      <c r="J177"/>
    </row>
    <row r="178" spans="1:10" x14ac:dyDescent="0.25">
      <c r="A178" t="s">
        <v>705</v>
      </c>
      <c r="B178" s="10" t="s">
        <v>706</v>
      </c>
      <c r="C178" t="s">
        <v>707</v>
      </c>
      <c r="D178">
        <v>15.93</v>
      </c>
      <c r="E178" s="18">
        <v>-1.9304700000000001E-2</v>
      </c>
      <c r="F178"/>
      <c r="G178"/>
      <c r="H178"/>
      <c r="I178"/>
      <c r="J178"/>
    </row>
    <row r="179" spans="1:10" x14ac:dyDescent="0.25">
      <c r="A179" t="s">
        <v>919</v>
      </c>
      <c r="B179" s="10" t="s">
        <v>920</v>
      </c>
      <c r="C179" t="s">
        <v>921</v>
      </c>
      <c r="D179">
        <v>0.60985900000000004</v>
      </c>
      <c r="E179" s="18">
        <v>-0.1093993</v>
      </c>
      <c r="F179"/>
      <c r="G179"/>
      <c r="H179"/>
      <c r="I179"/>
      <c r="J179"/>
    </row>
    <row r="180" spans="1:10" x14ac:dyDescent="0.25">
      <c r="A180" t="s">
        <v>688</v>
      </c>
      <c r="B180" s="10" t="s">
        <v>689</v>
      </c>
      <c r="C180" t="s">
        <v>690</v>
      </c>
      <c r="D180">
        <v>1.49</v>
      </c>
      <c r="E180" s="18">
        <v>-6.5480399999999994E-2</v>
      </c>
      <c r="F180"/>
      <c r="G180"/>
      <c r="H180"/>
      <c r="I180"/>
      <c r="J180"/>
    </row>
    <row r="181" spans="1:10" x14ac:dyDescent="0.25">
      <c r="A181" t="s">
        <v>260</v>
      </c>
      <c r="B181" s="10" t="s">
        <v>489</v>
      </c>
      <c r="C181" t="s">
        <v>261</v>
      </c>
      <c r="D181">
        <v>0.40656199999999998</v>
      </c>
      <c r="E181" s="18">
        <v>-4.6629799999999999E-2</v>
      </c>
      <c r="F181"/>
      <c r="G181"/>
      <c r="H181"/>
      <c r="I181"/>
      <c r="J181"/>
    </row>
    <row r="182" spans="1:10" x14ac:dyDescent="0.25">
      <c r="A182" t="s">
        <v>714</v>
      </c>
      <c r="B182" s="10" t="s">
        <v>715</v>
      </c>
      <c r="C182" t="s">
        <v>716</v>
      </c>
      <c r="D182">
        <v>0.42214299999999999</v>
      </c>
      <c r="E182" s="18">
        <v>-1.4708499999999999E-2</v>
      </c>
      <c r="F182"/>
      <c r="G182"/>
      <c r="H182"/>
      <c r="I182"/>
      <c r="J182"/>
    </row>
    <row r="183" spans="1:10" x14ac:dyDescent="0.25">
      <c r="A183" t="s">
        <v>317</v>
      </c>
      <c r="B183" s="10" t="s">
        <v>519</v>
      </c>
      <c r="C183" t="s">
        <v>318</v>
      </c>
      <c r="D183">
        <v>552.53</v>
      </c>
      <c r="E183" s="18">
        <v>-2.8404100000000002E-2</v>
      </c>
      <c r="F183"/>
      <c r="G183"/>
      <c r="H183"/>
      <c r="I183"/>
      <c r="J183"/>
    </row>
    <row r="184" spans="1:10" x14ac:dyDescent="0.25">
      <c r="A184" t="s">
        <v>294</v>
      </c>
      <c r="B184" s="10" t="s">
        <v>498</v>
      </c>
      <c r="C184" t="s">
        <v>295</v>
      </c>
      <c r="D184">
        <v>2.64</v>
      </c>
      <c r="E184" s="18">
        <v>-1.56159E-2</v>
      </c>
      <c r="F184"/>
      <c r="G184"/>
      <c r="H184"/>
      <c r="I184"/>
      <c r="J184"/>
    </row>
    <row r="185" spans="1:10" x14ac:dyDescent="0.25">
      <c r="A185" t="s">
        <v>696</v>
      </c>
      <c r="B185" s="10" t="s">
        <v>697</v>
      </c>
      <c r="C185" t="s">
        <v>698</v>
      </c>
      <c r="D185">
        <v>0.54863300000000004</v>
      </c>
      <c r="E185" s="18">
        <v>8.1647000000000004E-3</v>
      </c>
      <c r="F185"/>
      <c r="G185"/>
      <c r="H185"/>
      <c r="I185"/>
      <c r="J185"/>
    </row>
    <row r="186" spans="1:10" x14ac:dyDescent="0.25">
      <c r="A186" t="s">
        <v>719</v>
      </c>
      <c r="B186" s="10" t="s">
        <v>720</v>
      </c>
      <c r="C186" t="s">
        <v>721</v>
      </c>
      <c r="D186">
        <v>0.63025200000000003</v>
      </c>
      <c r="E186" s="18">
        <v>6.1320000000000003E-3</v>
      </c>
      <c r="F186"/>
      <c r="G186"/>
      <c r="H186"/>
      <c r="I186"/>
      <c r="J186"/>
    </row>
    <row r="187" spans="1:10" x14ac:dyDescent="0.25">
      <c r="A187" t="s">
        <v>263</v>
      </c>
      <c r="B187" s="10" t="s">
        <v>264</v>
      </c>
      <c r="C187" t="s">
        <v>264</v>
      </c>
      <c r="D187">
        <v>0.34434500000000001</v>
      </c>
      <c r="E187" s="18">
        <v>-4.61904E-2</v>
      </c>
      <c r="F187"/>
      <c r="G187"/>
      <c r="H187"/>
      <c r="I187"/>
      <c r="J187"/>
    </row>
    <row r="188" spans="1:10" x14ac:dyDescent="0.25">
      <c r="A188" t="s">
        <v>682</v>
      </c>
      <c r="B188" s="10" t="s">
        <v>683</v>
      </c>
      <c r="C188" t="s">
        <v>684</v>
      </c>
      <c r="D188">
        <v>4.62</v>
      </c>
      <c r="E188" s="18">
        <v>-2.9319999999999999E-2</v>
      </c>
      <c r="F188"/>
      <c r="G188"/>
      <c r="H188"/>
      <c r="I188"/>
      <c r="J188"/>
    </row>
    <row r="189" spans="1:10" x14ac:dyDescent="0.25">
      <c r="A189" t="s">
        <v>865</v>
      </c>
      <c r="B189" s="10" t="s">
        <v>866</v>
      </c>
      <c r="C189" t="s">
        <v>867</v>
      </c>
      <c r="D189">
        <v>3</v>
      </c>
      <c r="E189" s="18">
        <v>-0.16280040000000001</v>
      </c>
      <c r="F189"/>
      <c r="G189"/>
      <c r="H189"/>
      <c r="I189"/>
      <c r="J189"/>
    </row>
    <row r="190" spans="1:10" x14ac:dyDescent="0.25">
      <c r="A190" t="s">
        <v>618</v>
      </c>
      <c r="B190" s="10" t="s">
        <v>611</v>
      </c>
      <c r="C190" t="s">
        <v>610</v>
      </c>
      <c r="D190">
        <v>0.90747900000000004</v>
      </c>
      <c r="E190" s="18">
        <v>-1.5561500000000001E-2</v>
      </c>
      <c r="F190"/>
      <c r="G190"/>
      <c r="H190"/>
      <c r="I190"/>
      <c r="J190"/>
    </row>
    <row r="191" spans="1:10" x14ac:dyDescent="0.25">
      <c r="A191" t="s">
        <v>738</v>
      </c>
      <c r="B191" s="10" t="s">
        <v>739</v>
      </c>
      <c r="C191" t="s">
        <v>740</v>
      </c>
      <c r="D191">
        <v>6.59E-2</v>
      </c>
      <c r="E191" s="18">
        <v>2.1595300000000001E-2</v>
      </c>
      <c r="F191"/>
      <c r="G191"/>
      <c r="H191"/>
      <c r="I191"/>
      <c r="J191"/>
    </row>
    <row r="192" spans="1:10" x14ac:dyDescent="0.25">
      <c r="A192" t="s">
        <v>612</v>
      </c>
      <c r="B192" s="10" t="s">
        <v>613</v>
      </c>
      <c r="C192" t="s">
        <v>614</v>
      </c>
      <c r="D192">
        <v>3.6605700000000001E-3</v>
      </c>
      <c r="E192" s="18">
        <v>3.01786E-2</v>
      </c>
      <c r="F192"/>
      <c r="G192"/>
      <c r="H192"/>
      <c r="I192"/>
      <c r="J192"/>
    </row>
    <row r="193" spans="1:10" x14ac:dyDescent="0.25">
      <c r="A193" t="s">
        <v>728</v>
      </c>
      <c r="B193" s="10" t="s">
        <v>729</v>
      </c>
      <c r="C193" t="s">
        <v>730</v>
      </c>
      <c r="D193">
        <v>1.45</v>
      </c>
      <c r="E193" s="18">
        <v>-8.1933000000000006E-3</v>
      </c>
      <c r="F193"/>
      <c r="G193"/>
      <c r="H193"/>
      <c r="I193"/>
      <c r="J193"/>
    </row>
    <row r="194" spans="1:10" x14ac:dyDescent="0.25">
      <c r="A194" t="s">
        <v>296</v>
      </c>
      <c r="B194" s="10" t="s">
        <v>491</v>
      </c>
      <c r="C194" t="s">
        <v>297</v>
      </c>
      <c r="D194">
        <v>1.090469E-2</v>
      </c>
      <c r="E194" s="18">
        <v>-3.8472100000000002E-2</v>
      </c>
      <c r="F194"/>
      <c r="G194"/>
      <c r="H194"/>
      <c r="I194"/>
      <c r="J194"/>
    </row>
    <row r="195" spans="1:10" x14ac:dyDescent="0.25">
      <c r="A195" t="s">
        <v>843</v>
      </c>
      <c r="B195" s="10" t="s">
        <v>844</v>
      </c>
      <c r="C195" t="s">
        <v>845</v>
      </c>
      <c r="D195">
        <v>3.17</v>
      </c>
      <c r="E195" s="18">
        <v>-3.0113500000000001E-2</v>
      </c>
      <c r="F195"/>
      <c r="G195"/>
      <c r="H195"/>
      <c r="I195"/>
      <c r="J195"/>
    </row>
    <row r="196" spans="1:10" x14ac:dyDescent="0.25">
      <c r="A196" t="s">
        <v>855</v>
      </c>
      <c r="B196" s="10" t="s">
        <v>856</v>
      </c>
      <c r="C196" t="s">
        <v>857</v>
      </c>
      <c r="D196">
        <v>0.93965799999999999</v>
      </c>
      <c r="E196" s="18">
        <v>7.3098700000000003E-2</v>
      </c>
      <c r="F196"/>
      <c r="G196"/>
      <c r="H196"/>
      <c r="I196"/>
      <c r="J196"/>
    </row>
    <row r="197" spans="1:10" x14ac:dyDescent="0.25">
      <c r="A197" t="s">
        <v>262</v>
      </c>
      <c r="B197" s="10" t="s">
        <v>600</v>
      </c>
      <c r="C197" t="s">
        <v>601</v>
      </c>
      <c r="D197">
        <v>30.91</v>
      </c>
      <c r="E197" s="18">
        <v>-2.8386600000000001E-2</v>
      </c>
      <c r="F197"/>
      <c r="G197"/>
      <c r="H197"/>
      <c r="I197"/>
      <c r="J197"/>
    </row>
    <row r="198" spans="1:10" x14ac:dyDescent="0.25">
      <c r="A198" t="s">
        <v>303</v>
      </c>
      <c r="B198" s="10" t="s">
        <v>304</v>
      </c>
      <c r="C198" t="s">
        <v>304</v>
      </c>
      <c r="D198">
        <v>1.002</v>
      </c>
      <c r="E198" s="18">
        <v>1.6712000000000001E-3</v>
      </c>
      <c r="F198"/>
      <c r="G198"/>
      <c r="H198"/>
      <c r="I198"/>
      <c r="J198"/>
    </row>
    <row r="199" spans="1:10" x14ac:dyDescent="0.25">
      <c r="A199" t="s">
        <v>876</v>
      </c>
      <c r="B199" s="10" t="s">
        <v>877</v>
      </c>
      <c r="C199" t="s">
        <v>878</v>
      </c>
      <c r="D199">
        <v>1.69</v>
      </c>
      <c r="E199" s="18">
        <v>-4.5306100000000002E-2</v>
      </c>
      <c r="F199"/>
      <c r="G199"/>
      <c r="H199"/>
      <c r="I199"/>
      <c r="J199"/>
    </row>
    <row r="200" spans="1:10" x14ac:dyDescent="0.25">
      <c r="A200" t="s">
        <v>913</v>
      </c>
      <c r="B200" s="10" t="s">
        <v>914</v>
      </c>
      <c r="C200" t="s">
        <v>915</v>
      </c>
      <c r="D200">
        <v>1.21</v>
      </c>
      <c r="E200" s="18">
        <v>-5.7058900000000003E-2</v>
      </c>
      <c r="F200"/>
      <c r="G200"/>
      <c r="H200"/>
      <c r="I200"/>
      <c r="J200"/>
    </row>
    <row r="201" spans="1:10" x14ac:dyDescent="0.25">
      <c r="A201" t="s">
        <v>276</v>
      </c>
      <c r="B201" s="10" t="s">
        <v>497</v>
      </c>
      <c r="C201" t="s">
        <v>277</v>
      </c>
      <c r="D201">
        <v>2.14</v>
      </c>
      <c r="E201" s="18">
        <v>-7.5801000000000002E-3</v>
      </c>
      <c r="F201"/>
      <c r="G201"/>
      <c r="H201"/>
      <c r="I201"/>
      <c r="J201"/>
    </row>
    <row r="202" spans="1:10" x14ac:dyDescent="0.25">
      <c r="A202" t="s">
        <v>217</v>
      </c>
      <c r="B202" s="10" t="s">
        <v>470</v>
      </c>
      <c r="C202" t="s">
        <v>218</v>
      </c>
      <c r="D202">
        <v>2.033244E-2</v>
      </c>
      <c r="E202" s="18">
        <v>-5.7501799999999999E-2</v>
      </c>
      <c r="F202"/>
      <c r="G202"/>
      <c r="H202"/>
      <c r="I202"/>
      <c r="J202"/>
    </row>
    <row r="203" spans="1:10" x14ac:dyDescent="0.25">
      <c r="A203" t="s">
        <v>615</v>
      </c>
      <c r="B203" s="10" t="s">
        <v>616</v>
      </c>
      <c r="C203" t="s">
        <v>617</v>
      </c>
      <c r="D203">
        <v>7.3616000000000001E-2</v>
      </c>
      <c r="E203" s="18">
        <v>-2.9245400000000001E-2</v>
      </c>
      <c r="F203"/>
      <c r="G203"/>
      <c r="H203"/>
      <c r="I203"/>
      <c r="J203"/>
    </row>
    <row r="204" spans="1:10" x14ac:dyDescent="0.25">
      <c r="A204" t="s">
        <v>722</v>
      </c>
      <c r="B204" s="10" t="s">
        <v>723</v>
      </c>
      <c r="C204" t="s">
        <v>724</v>
      </c>
      <c r="D204">
        <v>3.9</v>
      </c>
      <c r="E204" s="18">
        <v>-3.6311400000000001E-2</v>
      </c>
      <c r="F204"/>
      <c r="G204"/>
      <c r="H204"/>
      <c r="I204"/>
      <c r="J204"/>
    </row>
    <row r="205" spans="1:10" x14ac:dyDescent="0.25">
      <c r="A205" t="s">
        <v>725</v>
      </c>
      <c r="B205" s="10" t="s">
        <v>726</v>
      </c>
      <c r="C205" t="s">
        <v>727</v>
      </c>
      <c r="D205">
        <v>1.1200000000000001</v>
      </c>
      <c r="E205" s="18">
        <v>-3.6480699999999998E-2</v>
      </c>
      <c r="F205"/>
      <c r="G205"/>
      <c r="H205"/>
      <c r="I205"/>
      <c r="J205"/>
    </row>
    <row r="206" spans="1:10" x14ac:dyDescent="0.25">
      <c r="A206" t="s">
        <v>313</v>
      </c>
      <c r="B206" s="10" t="s">
        <v>507</v>
      </c>
      <c r="C206" t="s">
        <v>314</v>
      </c>
      <c r="D206">
        <v>3.62</v>
      </c>
      <c r="E206" s="18">
        <v>-2.3758700000000001E-2</v>
      </c>
      <c r="F206"/>
      <c r="G206"/>
      <c r="H206"/>
      <c r="I206"/>
      <c r="J206"/>
    </row>
    <row r="207" spans="1:10" x14ac:dyDescent="0.25">
      <c r="A207" t="s">
        <v>830</v>
      </c>
      <c r="B207" s="10" t="s">
        <v>831</v>
      </c>
      <c r="C207" t="s">
        <v>832</v>
      </c>
      <c r="D207">
        <v>3.36</v>
      </c>
      <c r="E207" s="18">
        <v>3.1248000000000001E-3</v>
      </c>
      <c r="F207"/>
      <c r="G207"/>
      <c r="H207"/>
      <c r="I207"/>
      <c r="J207"/>
    </row>
    <row r="208" spans="1:10" x14ac:dyDescent="0.25">
      <c r="A208" t="s">
        <v>250</v>
      </c>
      <c r="B208" s="10" t="s">
        <v>480</v>
      </c>
      <c r="C208" t="s">
        <v>251</v>
      </c>
      <c r="D208">
        <v>1.61</v>
      </c>
      <c r="E208" s="18">
        <v>6.3076599999999997E-2</v>
      </c>
      <c r="F208"/>
      <c r="G208"/>
      <c r="H208"/>
      <c r="I208"/>
      <c r="J208"/>
    </row>
    <row r="209" spans="1:10" x14ac:dyDescent="0.25">
      <c r="A209" t="s">
        <v>735</v>
      </c>
      <c r="B209" s="10" t="s">
        <v>736</v>
      </c>
      <c r="C209" t="s">
        <v>737</v>
      </c>
      <c r="D209">
        <v>0.80825100000000005</v>
      </c>
      <c r="E209" s="18">
        <v>-1.4082600000000001E-2</v>
      </c>
      <c r="F209"/>
      <c r="G209"/>
      <c r="H209"/>
      <c r="I209"/>
      <c r="J209"/>
    </row>
    <row r="210" spans="1:10" x14ac:dyDescent="0.25">
      <c r="A210" t="s">
        <v>234</v>
      </c>
      <c r="B210" s="10" t="s">
        <v>744</v>
      </c>
      <c r="C210" t="s">
        <v>235</v>
      </c>
      <c r="D210">
        <v>2.2000000000000002</v>
      </c>
      <c r="E210" s="18">
        <v>-4.9525000000000003E-3</v>
      </c>
      <c r="F210"/>
      <c r="G210"/>
      <c r="H210"/>
      <c r="I210"/>
      <c r="J210"/>
    </row>
    <row r="211" spans="1:10" x14ac:dyDescent="0.25">
      <c r="A211" t="s">
        <v>699</v>
      </c>
      <c r="B211" s="10" t="s">
        <v>700</v>
      </c>
      <c r="C211" t="s">
        <v>701</v>
      </c>
      <c r="D211">
        <v>1.93</v>
      </c>
      <c r="E211" s="18">
        <v>-4.5318200000000003E-2</v>
      </c>
      <c r="F211"/>
      <c r="G211"/>
      <c r="H211"/>
      <c r="I211"/>
      <c r="J211"/>
    </row>
    <row r="212" spans="1:10" x14ac:dyDescent="0.25">
      <c r="A212" t="s">
        <v>754</v>
      </c>
      <c r="B212" s="10" t="s">
        <v>755</v>
      </c>
      <c r="C212" t="s">
        <v>756</v>
      </c>
      <c r="D212">
        <v>1.37</v>
      </c>
      <c r="E212" s="18">
        <v>1.9654000000000001E-2</v>
      </c>
      <c r="F212"/>
      <c r="G212"/>
      <c r="H212"/>
      <c r="I212"/>
      <c r="J212"/>
    </row>
    <row r="213" spans="1:10" x14ac:dyDescent="0.25">
      <c r="A213" t="s">
        <v>621</v>
      </c>
      <c r="B213" s="10" t="s">
        <v>622</v>
      </c>
      <c r="C213" t="s">
        <v>623</v>
      </c>
      <c r="D213">
        <v>1.32727E-3</v>
      </c>
      <c r="E213" s="18">
        <v>-4.1353599999999997E-2</v>
      </c>
      <c r="F213"/>
      <c r="G213"/>
      <c r="H213"/>
      <c r="I213"/>
      <c r="J213"/>
    </row>
    <row r="214" spans="1:10" x14ac:dyDescent="0.25">
      <c r="A214" t="s">
        <v>201</v>
      </c>
      <c r="B214" s="10" t="s">
        <v>464</v>
      </c>
      <c r="C214" t="s">
        <v>731</v>
      </c>
      <c r="D214">
        <v>5.1533300000000003E-7</v>
      </c>
      <c r="E214" s="18">
        <v>-2.0589099999999999E-2</v>
      </c>
      <c r="F214"/>
      <c r="G214"/>
      <c r="H214"/>
      <c r="I214"/>
      <c r="J214"/>
    </row>
    <row r="215" spans="1:10" x14ac:dyDescent="0.25">
      <c r="A215" t="s">
        <v>868</v>
      </c>
      <c r="B215" s="10" t="s">
        <v>869</v>
      </c>
      <c r="C215" t="s">
        <v>870</v>
      </c>
      <c r="D215">
        <v>23.85</v>
      </c>
      <c r="E215" s="18">
        <v>-3.1508000000000001E-2</v>
      </c>
      <c r="F215"/>
      <c r="G215"/>
      <c r="H215"/>
      <c r="I215"/>
      <c r="J215"/>
    </row>
    <row r="216" spans="1:10" x14ac:dyDescent="0.25">
      <c r="A216" t="s">
        <v>852</v>
      </c>
      <c r="B216" s="10" t="s">
        <v>853</v>
      </c>
      <c r="C216" t="s">
        <v>854</v>
      </c>
      <c r="D216">
        <v>0.207125</v>
      </c>
      <c r="E216" s="18">
        <v>-8.5636400000000001E-2</v>
      </c>
      <c r="F216"/>
      <c r="G216"/>
      <c r="H216"/>
      <c r="I216"/>
      <c r="J216"/>
    </row>
    <row r="217" spans="1:10" x14ac:dyDescent="0.25">
      <c r="A217" t="s">
        <v>265</v>
      </c>
      <c r="B217" s="10" t="s">
        <v>496</v>
      </c>
      <c r="C217" t="s">
        <v>496</v>
      </c>
      <c r="D217">
        <v>1.42</v>
      </c>
      <c r="E217" s="18">
        <v>-6.1449799999999999E-2</v>
      </c>
      <c r="F217"/>
      <c r="G217"/>
      <c r="H217"/>
      <c r="I217"/>
      <c r="J217"/>
    </row>
    <row r="218" spans="1:10" x14ac:dyDescent="0.25">
      <c r="A218" t="s">
        <v>741</v>
      </c>
      <c r="B218" s="10" t="s">
        <v>742</v>
      </c>
      <c r="C218" t="s">
        <v>743</v>
      </c>
      <c r="D218">
        <v>0.99497400000000003</v>
      </c>
      <c r="E218" s="18">
        <v>4.1598E-3</v>
      </c>
      <c r="F218"/>
      <c r="G218"/>
      <c r="H218"/>
      <c r="I218"/>
      <c r="J218"/>
    </row>
    <row r="219" spans="1:10" x14ac:dyDescent="0.25">
      <c r="A219" t="s">
        <v>922</v>
      </c>
      <c r="B219" s="10" t="s">
        <v>923</v>
      </c>
      <c r="C219" t="s">
        <v>924</v>
      </c>
      <c r="D219">
        <v>90.91</v>
      </c>
      <c r="E219" s="18">
        <v>-3.0667900000000001E-2</v>
      </c>
      <c r="F219"/>
      <c r="G219"/>
      <c r="H219"/>
      <c r="I219"/>
      <c r="J219"/>
    </row>
    <row r="220" spans="1:10" x14ac:dyDescent="0.25">
      <c r="A220" t="s">
        <v>292</v>
      </c>
      <c r="B220" s="10" t="s">
        <v>508</v>
      </c>
      <c r="C220" t="s">
        <v>293</v>
      </c>
      <c r="D220">
        <v>2.7329999999999998E-4</v>
      </c>
      <c r="E220" s="18">
        <v>-3.7331999999999997E-2</v>
      </c>
      <c r="F220"/>
      <c r="G220"/>
      <c r="H220"/>
      <c r="I220"/>
      <c r="J220"/>
    </row>
    <row r="221" spans="1:10" x14ac:dyDescent="0.25">
      <c r="A221" t="s">
        <v>226</v>
      </c>
      <c r="B221" s="10" t="s">
        <v>476</v>
      </c>
      <c r="C221" t="s">
        <v>227</v>
      </c>
      <c r="D221">
        <v>4.0199999999999996</v>
      </c>
      <c r="E221" s="18">
        <v>-3.5233899999999999E-2</v>
      </c>
      <c r="F221"/>
      <c r="G221"/>
      <c r="H221"/>
      <c r="I221"/>
      <c r="J221"/>
    </row>
    <row r="222" spans="1:10" x14ac:dyDescent="0.25">
      <c r="A222" t="s">
        <v>901</v>
      </c>
      <c r="B222" s="10" t="s">
        <v>902</v>
      </c>
      <c r="C222" t="s">
        <v>903</v>
      </c>
      <c r="D222">
        <v>2.8520000000000001E-5</v>
      </c>
      <c r="E222" s="18">
        <v>-7.0551000000000003E-2</v>
      </c>
      <c r="F222"/>
      <c r="G222"/>
      <c r="H222"/>
      <c r="I222"/>
      <c r="J222"/>
    </row>
    <row r="223" spans="1:10" x14ac:dyDescent="0.25">
      <c r="A223" t="s">
        <v>708</v>
      </c>
      <c r="B223" s="10" t="s">
        <v>709</v>
      </c>
      <c r="C223" t="s">
        <v>710</v>
      </c>
      <c r="D223">
        <v>2.09</v>
      </c>
      <c r="E223" s="18">
        <v>-4.9667700000000002E-2</v>
      </c>
      <c r="F223"/>
      <c r="G223"/>
      <c r="H223"/>
      <c r="I223"/>
      <c r="J223"/>
    </row>
    <row r="224" spans="1:10" x14ac:dyDescent="0.25">
      <c r="A224" t="s">
        <v>302</v>
      </c>
      <c r="B224" s="10" t="s">
        <v>509</v>
      </c>
      <c r="C224" t="s">
        <v>858</v>
      </c>
      <c r="D224">
        <v>5.31</v>
      </c>
      <c r="E224" s="18">
        <v>-3.4314900000000002E-2</v>
      </c>
      <c r="F224"/>
      <c r="G224"/>
      <c r="H224"/>
      <c r="I224"/>
      <c r="J224"/>
    </row>
    <row r="225" spans="1:10" x14ac:dyDescent="0.25">
      <c r="A225" t="s">
        <v>757</v>
      </c>
      <c r="B225" s="10" t="s">
        <v>758</v>
      </c>
      <c r="C225" t="s">
        <v>759</v>
      </c>
      <c r="D225">
        <v>2.2860000000000001E-5</v>
      </c>
      <c r="E225" s="18">
        <v>-2.1686E-2</v>
      </c>
      <c r="F225"/>
      <c r="G225"/>
      <c r="H225"/>
      <c r="I225"/>
      <c r="J225"/>
    </row>
    <row r="226" spans="1:10" x14ac:dyDescent="0.25">
      <c r="A226" t="s">
        <v>745</v>
      </c>
      <c r="B226" s="10" t="s">
        <v>746</v>
      </c>
      <c r="C226" t="s">
        <v>747</v>
      </c>
      <c r="D226">
        <v>5.54</v>
      </c>
      <c r="E226" s="18">
        <v>-4.7135700000000003E-2</v>
      </c>
      <c r="F226"/>
      <c r="G226"/>
      <c r="H226"/>
      <c r="I226"/>
      <c r="J226"/>
    </row>
    <row r="227" spans="1:10" x14ac:dyDescent="0.25">
      <c r="A227" t="s">
        <v>751</v>
      </c>
      <c r="B227" s="10" t="s">
        <v>752</v>
      </c>
      <c r="C227" t="s">
        <v>753</v>
      </c>
      <c r="D227">
        <v>2.87</v>
      </c>
      <c r="E227" s="18">
        <v>1.6640000000000001E-4</v>
      </c>
      <c r="F227"/>
      <c r="G227"/>
      <c r="H227"/>
      <c r="I227"/>
      <c r="J227"/>
    </row>
    <row r="228" spans="1:10" x14ac:dyDescent="0.25">
      <c r="A228" t="s">
        <v>269</v>
      </c>
      <c r="B228" s="10" t="s">
        <v>492</v>
      </c>
      <c r="C228" t="s">
        <v>270</v>
      </c>
      <c r="D228">
        <v>0.55829300000000004</v>
      </c>
      <c r="E228" s="18">
        <v>-3.1759200000000001E-2</v>
      </c>
      <c r="F228"/>
      <c r="G228"/>
      <c r="H228"/>
      <c r="I228"/>
      <c r="J228"/>
    </row>
    <row r="229" spans="1:10" x14ac:dyDescent="0.25">
      <c r="A229" t="s">
        <v>230</v>
      </c>
      <c r="B229" s="10" t="s">
        <v>463</v>
      </c>
      <c r="C229" t="s">
        <v>231</v>
      </c>
      <c r="D229">
        <v>2.7</v>
      </c>
      <c r="E229" s="18">
        <v>-4.9889200000000002E-2</v>
      </c>
      <c r="F229"/>
      <c r="G229"/>
      <c r="H229"/>
      <c r="I229"/>
      <c r="J229"/>
    </row>
    <row r="230" spans="1:10" x14ac:dyDescent="0.25">
      <c r="A230" t="s">
        <v>321</v>
      </c>
      <c r="B230" s="10" t="s">
        <v>520</v>
      </c>
      <c r="C230" t="s">
        <v>322</v>
      </c>
      <c r="D230">
        <v>0.54421600000000003</v>
      </c>
      <c r="E230" s="18">
        <v>3.2160000000000001E-3</v>
      </c>
      <c r="F230"/>
      <c r="G230"/>
      <c r="H230"/>
      <c r="I230"/>
      <c r="J230"/>
    </row>
    <row r="231" spans="1:10" x14ac:dyDescent="0.25">
      <c r="A231" t="s">
        <v>278</v>
      </c>
      <c r="B231" s="10" t="s">
        <v>501</v>
      </c>
      <c r="C231" t="s">
        <v>279</v>
      </c>
      <c r="D231">
        <v>2.5776499999999999E-3</v>
      </c>
      <c r="E231" s="18">
        <v>-4.4210999999999999E-3</v>
      </c>
      <c r="F231"/>
      <c r="G231"/>
      <c r="H231"/>
      <c r="I231"/>
      <c r="J231"/>
    </row>
    <row r="232" spans="1:10" x14ac:dyDescent="0.25">
      <c r="A232" t="s">
        <v>937</v>
      </c>
      <c r="B232" s="10" t="s">
        <v>938</v>
      </c>
      <c r="C232" t="s">
        <v>938</v>
      </c>
      <c r="D232">
        <v>0.97520200000000001</v>
      </c>
      <c r="E232" s="18">
        <v>-9.0816400000000005E-2</v>
      </c>
      <c r="F232"/>
      <c r="G232"/>
      <c r="H232"/>
      <c r="I232"/>
      <c r="J232"/>
    </row>
    <row r="233" spans="1:10" x14ac:dyDescent="0.25">
      <c r="A233" t="s">
        <v>907</v>
      </c>
      <c r="B233" s="10" t="s">
        <v>908</v>
      </c>
      <c r="C233" t="s">
        <v>909</v>
      </c>
      <c r="D233">
        <v>0.32128200000000001</v>
      </c>
      <c r="E233" s="18">
        <v>-6.6595699999999994E-2</v>
      </c>
      <c r="F233"/>
      <c r="G233"/>
      <c r="H233"/>
      <c r="I233"/>
      <c r="J233"/>
    </row>
    <row r="234" spans="1:10" x14ac:dyDescent="0.25">
      <c r="A234" t="s">
        <v>325</v>
      </c>
      <c r="B234" s="10" t="s">
        <v>516</v>
      </c>
      <c r="C234" t="s">
        <v>326</v>
      </c>
      <c r="D234">
        <v>0.50555899999999998</v>
      </c>
      <c r="E234" s="18">
        <v>-3.22606E-2</v>
      </c>
      <c r="F234"/>
      <c r="G234"/>
      <c r="H234"/>
      <c r="I234"/>
      <c r="J234"/>
    </row>
    <row r="235" spans="1:10" x14ac:dyDescent="0.25">
      <c r="A235" t="s">
        <v>939</v>
      </c>
      <c r="B235" s="10" t="s">
        <v>940</v>
      </c>
      <c r="C235" t="s">
        <v>941</v>
      </c>
      <c r="D235">
        <v>1.55</v>
      </c>
      <c r="E235" s="18">
        <v>-0.1638695</v>
      </c>
      <c r="F235"/>
      <c r="G235"/>
      <c r="H235"/>
      <c r="I235"/>
      <c r="J235"/>
    </row>
    <row r="236" spans="1:10" x14ac:dyDescent="0.25">
      <c r="A236" t="s">
        <v>311</v>
      </c>
      <c r="B236" s="10" t="s">
        <v>500</v>
      </c>
      <c r="C236" t="s">
        <v>312</v>
      </c>
      <c r="D236">
        <v>4.5345450000000002E-2</v>
      </c>
      <c r="E236" s="18">
        <v>-3.1512100000000001E-2</v>
      </c>
      <c r="F236"/>
      <c r="G236"/>
      <c r="H236"/>
      <c r="I236"/>
      <c r="J236"/>
    </row>
    <row r="237" spans="1:10" x14ac:dyDescent="0.25">
      <c r="A237" t="s">
        <v>942</v>
      </c>
      <c r="B237" s="10" t="s">
        <v>943</v>
      </c>
      <c r="C237" t="s">
        <v>944</v>
      </c>
      <c r="D237">
        <v>1.8655979999999999E-2</v>
      </c>
      <c r="E237" s="18">
        <v>-9.4648300000000005E-2</v>
      </c>
      <c r="F237"/>
      <c r="G237"/>
      <c r="H237"/>
      <c r="I237"/>
      <c r="J237"/>
    </row>
    <row r="238" spans="1:10" x14ac:dyDescent="0.25">
      <c r="A238" t="s">
        <v>717</v>
      </c>
      <c r="B238" s="10" t="s">
        <v>718</v>
      </c>
      <c r="C238" t="s">
        <v>718</v>
      </c>
      <c r="D238">
        <v>4.72</v>
      </c>
      <c r="E238" s="18">
        <v>-5.2481600000000003E-2</v>
      </c>
      <c r="F238"/>
      <c r="G238"/>
      <c r="H238"/>
      <c r="I238"/>
      <c r="J238"/>
    </row>
    <row r="239" spans="1:10" x14ac:dyDescent="0.25">
      <c r="A239" t="s">
        <v>910</v>
      </c>
      <c r="B239" s="10" t="s">
        <v>911</v>
      </c>
      <c r="C239" t="s">
        <v>912</v>
      </c>
      <c r="D239">
        <v>1.87</v>
      </c>
      <c r="E239" s="18">
        <v>-2.52134E-2</v>
      </c>
      <c r="F239"/>
      <c r="G239"/>
      <c r="H239"/>
      <c r="I239"/>
      <c r="J239"/>
    </row>
    <row r="240" spans="1:10" x14ac:dyDescent="0.25">
      <c r="A240" t="s">
        <v>873</v>
      </c>
      <c r="B240" s="10" t="s">
        <v>874</v>
      </c>
      <c r="C240" t="s">
        <v>875</v>
      </c>
      <c r="D240">
        <v>1.61</v>
      </c>
      <c r="E240" s="18">
        <v>-3.3963399999999998E-2</v>
      </c>
      <c r="F240"/>
      <c r="G240"/>
      <c r="H240"/>
      <c r="I240"/>
      <c r="J240"/>
    </row>
    <row r="241" spans="1:10" x14ac:dyDescent="0.25">
      <c r="A241" t="s">
        <v>748</v>
      </c>
      <c r="B241" s="10" t="s">
        <v>749</v>
      </c>
      <c r="C241" t="s">
        <v>750</v>
      </c>
      <c r="D241">
        <v>3.3501199999999998E-3</v>
      </c>
      <c r="E241" s="18">
        <v>8.0815999999999995E-3</v>
      </c>
      <c r="F241"/>
      <c r="G241"/>
      <c r="H241"/>
      <c r="I241"/>
      <c r="J241"/>
    </row>
    <row r="242" spans="1:10" x14ac:dyDescent="0.25">
      <c r="A242" t="s">
        <v>952</v>
      </c>
      <c r="B242" s="10" t="s">
        <v>953</v>
      </c>
      <c r="C242" t="s">
        <v>954</v>
      </c>
      <c r="D242">
        <v>5.48</v>
      </c>
      <c r="E242" s="18">
        <v>3.85835E-2</v>
      </c>
      <c r="F242"/>
      <c r="G242"/>
      <c r="H242"/>
      <c r="I242"/>
      <c r="J242"/>
    </row>
    <row r="243" spans="1:10" x14ac:dyDescent="0.25">
      <c r="A243" t="s">
        <v>880</v>
      </c>
      <c r="B243" s="10" t="s">
        <v>881</v>
      </c>
      <c r="C243" t="s">
        <v>882</v>
      </c>
      <c r="D243">
        <v>6.1693999999999999E-2</v>
      </c>
      <c r="E243" s="18">
        <v>-1.73987E-2</v>
      </c>
      <c r="F243"/>
      <c r="G243"/>
      <c r="H243"/>
      <c r="I243"/>
      <c r="J243"/>
    </row>
    <row r="244" spans="1:10" x14ac:dyDescent="0.25">
      <c r="A244" t="s">
        <v>955</v>
      </c>
      <c r="B244" s="10" t="s">
        <v>956</v>
      </c>
      <c r="C244" t="s">
        <v>957</v>
      </c>
      <c r="D244">
        <v>3.18</v>
      </c>
      <c r="E244" s="18">
        <v>-2.1965499999999999E-2</v>
      </c>
      <c r="F244"/>
      <c r="G244"/>
      <c r="H244"/>
      <c r="I244"/>
      <c r="J244"/>
    </row>
    <row r="245" spans="1:10" x14ac:dyDescent="0.25">
      <c r="A245" t="s">
        <v>916</v>
      </c>
      <c r="B245" s="10" t="s">
        <v>917</v>
      </c>
      <c r="C245" t="s">
        <v>918</v>
      </c>
      <c r="D245">
        <v>4.08</v>
      </c>
      <c r="E245" s="18">
        <v>-3.8192700000000003E-2</v>
      </c>
      <c r="F245"/>
      <c r="G245"/>
      <c r="H245"/>
      <c r="I245"/>
      <c r="J245"/>
    </row>
    <row r="246" spans="1:10" x14ac:dyDescent="0.25">
      <c r="A246" t="s">
        <v>946</v>
      </c>
      <c r="B246" s="10" t="s">
        <v>947</v>
      </c>
      <c r="C246" t="s">
        <v>948</v>
      </c>
      <c r="D246">
        <v>2.59</v>
      </c>
      <c r="E246" s="18">
        <v>-3.5037600000000002E-2</v>
      </c>
      <c r="F246"/>
      <c r="G246"/>
      <c r="H246"/>
      <c r="I246"/>
      <c r="J246"/>
    </row>
    <row r="247" spans="1:10" x14ac:dyDescent="0.25">
      <c r="A247" t="s">
        <v>309</v>
      </c>
      <c r="B247" s="10" t="s">
        <v>510</v>
      </c>
      <c r="C247" t="s">
        <v>310</v>
      </c>
      <c r="D247">
        <v>66.06</v>
      </c>
      <c r="E247" s="18">
        <v>-7.4945000000000003E-3</v>
      </c>
      <c r="F247"/>
      <c r="G247"/>
      <c r="H247"/>
      <c r="I247"/>
      <c r="J247"/>
    </row>
    <row r="248" spans="1:10" x14ac:dyDescent="0.25">
      <c r="A248" t="s">
        <v>928</v>
      </c>
      <c r="B248" s="10" t="s">
        <v>929</v>
      </c>
      <c r="C248" t="s">
        <v>930</v>
      </c>
      <c r="D248">
        <v>0.39976</v>
      </c>
      <c r="E248" s="18">
        <v>-5.5920299999999999E-2</v>
      </c>
      <c r="F248"/>
      <c r="G248"/>
      <c r="H248"/>
      <c r="I248"/>
      <c r="J248"/>
    </row>
    <row r="249" spans="1:10" x14ac:dyDescent="0.25">
      <c r="A249" t="s">
        <v>958</v>
      </c>
      <c r="B249" s="10" t="s">
        <v>959</v>
      </c>
      <c r="C249" t="s">
        <v>960</v>
      </c>
      <c r="D249">
        <v>1.1000000000000001</v>
      </c>
      <c r="E249" s="18">
        <v>2.7070000000000002E-4</v>
      </c>
      <c r="F249"/>
      <c r="G249"/>
      <c r="H249"/>
      <c r="I249"/>
      <c r="J249"/>
    </row>
    <row r="250" spans="1:10" x14ac:dyDescent="0.25">
      <c r="A250" t="s">
        <v>949</v>
      </c>
      <c r="B250" s="10" t="s">
        <v>950</v>
      </c>
      <c r="C250" t="s">
        <v>951</v>
      </c>
      <c r="D250">
        <v>5.8174999999999998E-2</v>
      </c>
      <c r="E250" s="18">
        <v>-1.6052E-2</v>
      </c>
      <c r="F250"/>
      <c r="G250"/>
      <c r="H250"/>
      <c r="I250"/>
      <c r="J250"/>
    </row>
    <row r="251" spans="1:10" x14ac:dyDescent="0.25">
      <c r="A251" t="s">
        <v>962</v>
      </c>
      <c r="B251" s="10" t="s">
        <v>963</v>
      </c>
      <c r="C251" t="s">
        <v>964</v>
      </c>
      <c r="D251">
        <v>0.32697799999999999</v>
      </c>
      <c r="E251" s="18">
        <v>-4.5030100000000003E-2</v>
      </c>
      <c r="F251"/>
      <c r="G251"/>
      <c r="H251"/>
      <c r="I251"/>
      <c r="J251"/>
    </row>
    <row r="252" spans="1:10" x14ac:dyDescent="0.25">
      <c r="A252" t="s">
        <v>781</v>
      </c>
      <c r="B252" s="10" t="s">
        <v>761</v>
      </c>
      <c r="C252" t="s">
        <v>782</v>
      </c>
      <c r="D252">
        <v>21.64</v>
      </c>
      <c r="E252" s="18">
        <v>4.3827411883348724E-2</v>
      </c>
    </row>
    <row r="253" spans="1:10" x14ac:dyDescent="0.25">
      <c r="A253" t="s">
        <v>788</v>
      </c>
      <c r="B253" s="10" t="s">
        <v>768</v>
      </c>
      <c r="C253" t="s">
        <v>789</v>
      </c>
      <c r="D253">
        <v>1.75</v>
      </c>
      <c r="E253" s="18">
        <v>-4.2828820926389406E-2</v>
      </c>
    </row>
    <row r="254" spans="1:10" x14ac:dyDescent="0.25">
      <c r="A254" t="s">
        <v>783</v>
      </c>
      <c r="B254" s="10" t="s">
        <v>762</v>
      </c>
      <c r="C254" t="s">
        <v>784</v>
      </c>
      <c r="D254">
        <v>3.97</v>
      </c>
      <c r="E254" s="18">
        <v>-7.5887739683909647E-3</v>
      </c>
    </row>
    <row r="255" spans="1:10" x14ac:dyDescent="0.25">
      <c r="A255" t="s">
        <v>819</v>
      </c>
      <c r="B255" s="10" t="s">
        <v>764</v>
      </c>
      <c r="C255" t="s">
        <v>820</v>
      </c>
      <c r="D255">
        <v>1.1123E-4</v>
      </c>
      <c r="E255" s="18">
        <v>-3.3866128929467089E-2</v>
      </c>
    </row>
    <row r="256" spans="1:10" x14ac:dyDescent="0.25">
      <c r="A256" t="s">
        <v>785</v>
      </c>
      <c r="B256" s="10" t="s">
        <v>763</v>
      </c>
      <c r="C256" t="s">
        <v>763</v>
      </c>
      <c r="D256">
        <v>14.05</v>
      </c>
      <c r="E256" s="18">
        <v>-1.7982352527012527E-2</v>
      </c>
    </row>
    <row r="257" spans="1:5" x14ac:dyDescent="0.25">
      <c r="A257" t="s">
        <v>905</v>
      </c>
      <c r="B257" s="10" t="s">
        <v>904</v>
      </c>
      <c r="C257" t="s">
        <v>906</v>
      </c>
      <c r="D257">
        <v>4.2541710000000003E-2</v>
      </c>
      <c r="E257" s="18">
        <v>-9.7072629013409767E-2</v>
      </c>
    </row>
    <row r="258" spans="1:5" x14ac:dyDescent="0.25">
      <c r="A258" t="s">
        <v>817</v>
      </c>
      <c r="B258" s="10" t="s">
        <v>765</v>
      </c>
      <c r="C258" t="s">
        <v>818</v>
      </c>
      <c r="D258">
        <v>45.64</v>
      </c>
      <c r="E258" s="18">
        <v>-2.7225134625249753E-2</v>
      </c>
    </row>
    <row r="259" spans="1:5" x14ac:dyDescent="0.25">
      <c r="A259" t="s">
        <v>605</v>
      </c>
      <c r="B259" s="10" t="s">
        <v>606</v>
      </c>
      <c r="C259" t="s">
        <v>607</v>
      </c>
      <c r="D259">
        <v>59.08</v>
      </c>
      <c r="E259" s="18">
        <v>5.8691495221073225E-2</v>
      </c>
    </row>
    <row r="260" spans="1:5" x14ac:dyDescent="0.25">
      <c r="A260" t="s">
        <v>792</v>
      </c>
      <c r="B260" s="10" t="s">
        <v>766</v>
      </c>
      <c r="C260" t="s">
        <v>793</v>
      </c>
      <c r="D260">
        <v>1.54</v>
      </c>
      <c r="E260" s="18">
        <v>-1.18119091987068E-2</v>
      </c>
    </row>
    <row r="261" spans="1:5" x14ac:dyDescent="0.25">
      <c r="A261" t="s">
        <v>797</v>
      </c>
      <c r="B261" s="10" t="s">
        <v>767</v>
      </c>
      <c r="C261" t="s">
        <v>796</v>
      </c>
      <c r="D261">
        <v>1.61</v>
      </c>
      <c r="E261" s="18">
        <v>-4.0997658160043929E-2</v>
      </c>
    </row>
    <row r="262" spans="1:5" x14ac:dyDescent="0.25">
      <c r="A262" t="s">
        <v>801</v>
      </c>
      <c r="B262" s="10" t="s">
        <v>773</v>
      </c>
      <c r="C262" t="s">
        <v>800</v>
      </c>
      <c r="D262">
        <v>1.24</v>
      </c>
      <c r="E262" s="18">
        <v>-2.1360907346733408E-2</v>
      </c>
    </row>
    <row r="263" spans="1:5" x14ac:dyDescent="0.25">
      <c r="A263" t="s">
        <v>826</v>
      </c>
      <c r="B263" s="10" t="s">
        <v>822</v>
      </c>
      <c r="C263" t="s">
        <v>825</v>
      </c>
      <c r="D263">
        <v>5.5769499999999998E-3</v>
      </c>
      <c r="E263" s="18">
        <v>-1.033765203262363E-2</v>
      </c>
    </row>
    <row r="264" spans="1:5" x14ac:dyDescent="0.25">
      <c r="A264" t="s">
        <v>806</v>
      </c>
      <c r="B264" s="10" t="s">
        <v>769</v>
      </c>
      <c r="C264" t="s">
        <v>807</v>
      </c>
      <c r="D264">
        <v>0.70725700000000002</v>
      </c>
      <c r="E264" s="18">
        <v>-1.6313909940201536E-2</v>
      </c>
    </row>
    <row r="265" spans="1:5" x14ac:dyDescent="0.25">
      <c r="A265" t="s">
        <v>811</v>
      </c>
      <c r="B265" s="10" t="s">
        <v>777</v>
      </c>
      <c r="C265" t="s">
        <v>810</v>
      </c>
      <c r="D265">
        <v>0.248469</v>
      </c>
      <c r="E265" s="18">
        <v>-1.9399578064074895E-2</v>
      </c>
    </row>
    <row r="266" spans="1:5" x14ac:dyDescent="0.25">
      <c r="A266" t="s">
        <v>790</v>
      </c>
      <c r="B266" s="10" t="s">
        <v>770</v>
      </c>
      <c r="C266" t="s">
        <v>791</v>
      </c>
      <c r="D266">
        <v>2.5427780000000001E-2</v>
      </c>
      <c r="E266" s="18">
        <v>-4.3928020339655573E-2</v>
      </c>
    </row>
    <row r="267" spans="1:5" x14ac:dyDescent="0.25">
      <c r="A267" t="s">
        <v>809</v>
      </c>
      <c r="B267" s="10" t="s">
        <v>778</v>
      </c>
      <c r="C267" t="s">
        <v>808</v>
      </c>
      <c r="D267">
        <v>6.2569E-2</v>
      </c>
      <c r="E267" s="18">
        <v>-9.1360666035238389E-2</v>
      </c>
    </row>
    <row r="268" spans="1:5" x14ac:dyDescent="0.25">
      <c r="A268" t="s">
        <v>802</v>
      </c>
      <c r="B268" s="10" t="s">
        <v>771</v>
      </c>
      <c r="C268" t="s">
        <v>803</v>
      </c>
      <c r="D268">
        <v>5.7569500000000003E-3</v>
      </c>
      <c r="E268" s="18">
        <v>-7.4536854930575741E-2</v>
      </c>
    </row>
    <row r="269" spans="1:5" x14ac:dyDescent="0.25">
      <c r="A269" t="s">
        <v>786</v>
      </c>
      <c r="B269" s="10" t="s">
        <v>772</v>
      </c>
      <c r="C269" t="s">
        <v>787</v>
      </c>
      <c r="D269">
        <v>16.899999999999999</v>
      </c>
      <c r="E269" s="18">
        <v>-0.24630972991037661</v>
      </c>
    </row>
    <row r="270" spans="1:5" x14ac:dyDescent="0.25">
      <c r="A270" t="s">
        <v>813</v>
      </c>
      <c r="B270" s="10" t="s">
        <v>776</v>
      </c>
      <c r="C270" t="s">
        <v>812</v>
      </c>
      <c r="D270">
        <v>0.62237500000000001</v>
      </c>
      <c r="E270" s="18">
        <v>-4.7581373577860797E-2</v>
      </c>
    </row>
    <row r="271" spans="1:5" x14ac:dyDescent="0.25">
      <c r="A271" t="s">
        <v>795</v>
      </c>
      <c r="B271" s="10" t="s">
        <v>774</v>
      </c>
      <c r="C271" t="s">
        <v>794</v>
      </c>
      <c r="D271">
        <v>4.1900000000000004</v>
      </c>
      <c r="E271" s="18">
        <v>-0.12655420330950312</v>
      </c>
    </row>
    <row r="272" spans="1:5" x14ac:dyDescent="0.25">
      <c r="A272" t="s">
        <v>799</v>
      </c>
      <c r="B272" s="10" t="s">
        <v>760</v>
      </c>
      <c r="C272" t="s">
        <v>798</v>
      </c>
      <c r="D272">
        <v>3.99</v>
      </c>
      <c r="E272" s="18">
        <v>-7.0637718609885033E-2</v>
      </c>
    </row>
    <row r="273" spans="1:5" x14ac:dyDescent="0.25">
      <c r="A273" t="s">
        <v>271</v>
      </c>
      <c r="B273" s="10" t="s">
        <v>484</v>
      </c>
      <c r="C273" t="s">
        <v>272</v>
      </c>
      <c r="D273">
        <v>3.31</v>
      </c>
      <c r="E273" s="18">
        <v>-1.7525540502349571E-2</v>
      </c>
    </row>
    <row r="274" spans="1:5" x14ac:dyDescent="0.25">
      <c r="A274" t="s">
        <v>816</v>
      </c>
      <c r="B274" s="10" t="s">
        <v>775</v>
      </c>
      <c r="C274" t="s">
        <v>815</v>
      </c>
      <c r="D274">
        <v>0.43635600000000002</v>
      </c>
      <c r="E274" s="18">
        <v>-3.9541187419193616E-2</v>
      </c>
    </row>
    <row r="275" spans="1:5" x14ac:dyDescent="0.25">
      <c r="A275" t="s">
        <v>805</v>
      </c>
      <c r="B275" s="10" t="s">
        <v>779</v>
      </c>
      <c r="C275" t="s">
        <v>804</v>
      </c>
      <c r="D275">
        <v>0.16400700000000001</v>
      </c>
      <c r="E275" s="18">
        <v>-4.5451451257136052E-2</v>
      </c>
    </row>
    <row r="276" spans="1:5" x14ac:dyDescent="0.25">
      <c r="A276" t="s">
        <v>851</v>
      </c>
      <c r="B276" s="10" t="s">
        <v>849</v>
      </c>
      <c r="C276" t="s">
        <v>850</v>
      </c>
      <c r="D276">
        <v>1.22</v>
      </c>
      <c r="E276" s="18">
        <v>-3.5662881747315191E-3</v>
      </c>
    </row>
    <row r="277" spans="1:5" x14ac:dyDescent="0.25">
      <c r="A277" t="s">
        <v>814</v>
      </c>
      <c r="B277" s="10" t="s">
        <v>780</v>
      </c>
      <c r="C277" t="s">
        <v>780</v>
      </c>
      <c r="D277">
        <v>4.2485500000000002E-3</v>
      </c>
      <c r="E277" s="18">
        <v>-0.14602460248203383</v>
      </c>
    </row>
    <row r="278" spans="1:5" x14ac:dyDescent="0.25">
      <c r="A278" t="s">
        <v>824</v>
      </c>
      <c r="B278" s="10" t="s">
        <v>821</v>
      </c>
      <c r="C278" t="s">
        <v>823</v>
      </c>
      <c r="D278">
        <v>0.96592699999999998</v>
      </c>
      <c r="E278" s="18">
        <v>-4.1254794924854794E-2</v>
      </c>
    </row>
    <row r="279" spans="1:5" x14ac:dyDescent="0.25">
      <c r="B279" s="10"/>
      <c r="E279" s="18"/>
    </row>
    <row r="280" spans="1:5" x14ac:dyDescent="0.25">
      <c r="B280" s="10"/>
      <c r="E280" s="18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851C446411F547A7553795AB7951CE" ma:contentTypeVersion="13" ma:contentTypeDescription="Create a new document." ma:contentTypeScope="" ma:versionID="e2482906eecaa8bc900a5b6bb38549a0">
  <xsd:schema xmlns:xsd="http://www.w3.org/2001/XMLSchema" xmlns:xs="http://www.w3.org/2001/XMLSchema" xmlns:p="http://schemas.microsoft.com/office/2006/metadata/properties" xmlns:ns3="c2e4100d-71b1-4d62-8550-3e8b8df15070" xmlns:ns4="b79b7dbd-7b9c-4df1-8481-5058ae0972f0" targetNamespace="http://schemas.microsoft.com/office/2006/metadata/properties" ma:root="true" ma:fieldsID="96703a98917dac969d4ff8e177e19117" ns3:_="" ns4:_="">
    <xsd:import namespace="c2e4100d-71b1-4d62-8550-3e8b8df15070"/>
    <xsd:import namespace="b79b7dbd-7b9c-4df1-8481-5058ae0972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e4100d-71b1-4d62-8550-3e8b8df150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9b7dbd-7b9c-4df1-8481-5058ae0972f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0328F8E-30E4-4E15-85C1-3E29701E28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e4100d-71b1-4d62-8550-3e8b8df15070"/>
    <ds:schemaRef ds:uri="b79b7dbd-7b9c-4df1-8481-5058ae0972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2D0FDE-DBAA-4CD8-81A3-7E287B1426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9A93C-330A-4417-A289-196CB0A599A6}">
  <ds:schemaRefs>
    <ds:schemaRef ds:uri="http://purl.org/dc/terms/"/>
    <ds:schemaRef ds:uri="http://www.w3.org/XML/1998/namespace"/>
    <ds:schemaRef ds:uri="http://purl.org/dc/elements/1.1/"/>
    <ds:schemaRef ds:uri="b79b7dbd-7b9c-4df1-8481-5058ae0972f0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c2e4100d-71b1-4d62-8550-3e8b8df15070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75B9DC52-9B7C-4AE5-A27E-5CB9918A9C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Transaction Entry</vt:lpstr>
      <vt:lpstr>Sale points</vt:lpstr>
      <vt:lpstr>Extra coins</vt:lpstr>
      <vt:lpstr>CG Prices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Dyer</dc:creator>
  <cp:keywords/>
  <dc:description/>
  <cp:lastModifiedBy>Joe Demers</cp:lastModifiedBy>
  <cp:revision/>
  <dcterms:created xsi:type="dcterms:W3CDTF">2021-03-02T20:45:35Z</dcterms:created>
  <dcterms:modified xsi:type="dcterms:W3CDTF">2022-03-21T00:50:37Z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0x010100C5851C446411F547A7553795AB7951CE</vt:lpwstr>
  </property>
</Properties>
</file>