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8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9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10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11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2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3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4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lorinepetit/Desktop/"/>
    </mc:Choice>
  </mc:AlternateContent>
  <xr:revisionPtr revIDLastSave="0" documentId="13_ncr:1_{8DA2DEED-25EB-1A41-A283-6FF84E181D1C}" xr6:coauthVersionLast="47" xr6:coauthVersionMax="47" xr10:uidLastSave="{00000000-0000-0000-0000-000000000000}"/>
  <bookViews>
    <workbookView xWindow="0" yWindow="0" windowWidth="33600" windowHeight="21000" activeTab="5" xr2:uid="{7E284F13-620C-2B40-81F3-BCF98D72BD04}"/>
  </bookViews>
  <sheets>
    <sheet name="Installation" sheetId="4" state="hidden" r:id="rId1"/>
    <sheet name="TEST VBA" sheetId="25" state="hidden" r:id="rId2"/>
    <sheet name="PARAMETRE" sheetId="2" r:id="rId3"/>
    <sheet name="ACHATS" sheetId="27" r:id="rId4"/>
    <sheet name="Semaine en cours" sheetId="1" r:id="rId5"/>
    <sheet name="JANVIER" sheetId="28" r:id="rId6"/>
    <sheet name="FEVRIER" sheetId="29" r:id="rId7"/>
    <sheet name="MARS" sheetId="30" r:id="rId8"/>
    <sheet name="AVRIL" sheetId="31" r:id="rId9"/>
    <sheet name="MAI" sheetId="32" r:id="rId10"/>
    <sheet name="JUIN" sheetId="33" r:id="rId11"/>
    <sheet name="JUILLET" sheetId="34" r:id="rId12"/>
    <sheet name="AOUT" sheetId="35" r:id="rId13"/>
    <sheet name="SEPTEMBRE" sheetId="36" r:id="rId14"/>
    <sheet name="OCTOBRE" sheetId="37" r:id="rId15"/>
    <sheet name="NOVEMBRE" sheetId="38" r:id="rId16"/>
    <sheet name="DECEMBRE" sheetId="39" r:id="rId17"/>
  </sheets>
  <definedNames>
    <definedName name="AOUT">AOUT!$D$3:$V$55</definedName>
    <definedName name="AVRIL">AVRIL!$D$3:$V$55</definedName>
    <definedName name="DECEMBRE">DECEMBRE!$D$3:$V$55</definedName>
    <definedName name="FEVRIER">FEVRIER!$E$3:$V$55</definedName>
    <definedName name="JANVIER">JANVIER!$E$3:$V$55</definedName>
    <definedName name="JUILLET">JUILLET!$D$3:$V$55</definedName>
    <definedName name="JUIN">JUIN!$D$3:$V$55</definedName>
    <definedName name="MAI">MAI!$D$3:$V$55</definedName>
    <definedName name="MARS">MARS!$D$3:$V$55</definedName>
    <definedName name="NOVEMBRE">NOVEMBRE!$D$3:$V$55</definedName>
    <definedName name="OCTOBRE">OCTOBRE!$D$3:$V$55</definedName>
    <definedName name="SEPTEMBRE_">SEPTEMBRE!$D$3:$V$55</definedName>
    <definedName name="_xlnm.Print_Area" localSheetId="12">AOUT!$D$1:$P$55,AOUT!$X$1:$AH$55</definedName>
    <definedName name="_xlnm.Print_Area" localSheetId="8">AVRIL!$D$1:$P$55,AVRIL!$X$1:$AH$55</definedName>
    <definedName name="_xlnm.Print_Area" localSheetId="16">DECEMBRE!$D$1:$P$55,DECEMBRE!$X$1:$AH$55</definedName>
    <definedName name="_xlnm.Print_Area" localSheetId="6">FEVRIER!$D$1:$P$55,FEVRIER!$X$1:$AH$55</definedName>
    <definedName name="_xlnm.Print_Area" localSheetId="5">JANVIER!$D$1:$P$55,JANVIER!$X$1:$AH$55</definedName>
    <definedName name="_xlnm.Print_Area" localSheetId="11">JUILLET!$D$1:$P$55,JUILLET!$X$1:$AH$55</definedName>
    <definedName name="_xlnm.Print_Area" localSheetId="10">JUIN!$D$1:$P$55,JUIN!$X$1:$AH$55</definedName>
    <definedName name="_xlnm.Print_Area" localSheetId="9">MAI!$D$1:$P$55,MAI!$X$1:$AH$55</definedName>
    <definedName name="_xlnm.Print_Area" localSheetId="7">MARS!$D$1:$P$55,MARS!$X$1:$AH$55</definedName>
    <definedName name="_xlnm.Print_Area" localSheetId="15">NOVEMBRE!$D$1:$P$55,NOVEMBRE!$X$1:$AH$55</definedName>
    <definedName name="_xlnm.Print_Area" localSheetId="14">OCTOBRE!$D$1:$P$55,OCTOBRE!$X$1:$AH$55</definedName>
    <definedName name="_xlnm.Print_Area" localSheetId="13">SEPTEMBRE!$D$1:$P$55,SEPTEMBRE!$X$1:$AH$55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7" i="1" l="1"/>
  <c r="C8" i="1"/>
  <c r="G1" i="39" l="1"/>
  <c r="G1" i="38"/>
  <c r="G1" i="37"/>
  <c r="G1" i="36"/>
  <c r="G1" i="35"/>
  <c r="G1" i="34"/>
  <c r="G1" i="33"/>
  <c r="G1" i="32"/>
  <c r="G1" i="31"/>
  <c r="G1" i="30"/>
  <c r="A4" i="30" s="1"/>
  <c r="G1" i="29"/>
  <c r="Z52" i="39"/>
  <c r="Z50" i="39"/>
  <c r="Z48" i="39"/>
  <c r="F47" i="39"/>
  <c r="Z46" i="39"/>
  <c r="F45" i="39"/>
  <c r="F43" i="39"/>
  <c r="F41" i="39"/>
  <c r="F39" i="39"/>
  <c r="AE37" i="39"/>
  <c r="AB37" i="39"/>
  <c r="Y37" i="39"/>
  <c r="F37" i="39"/>
  <c r="AG36" i="39"/>
  <c r="AE35" i="39"/>
  <c r="AB35" i="39"/>
  <c r="Y35" i="39"/>
  <c r="F35" i="39"/>
  <c r="AE33" i="39"/>
  <c r="AB33" i="39"/>
  <c r="Y33" i="39"/>
  <c r="F33" i="39"/>
  <c r="AE31" i="39"/>
  <c r="AB31" i="39"/>
  <c r="Y31" i="39"/>
  <c r="F31" i="39"/>
  <c r="F29" i="39"/>
  <c r="F27" i="39"/>
  <c r="F25" i="39"/>
  <c r="F23" i="39"/>
  <c r="F21" i="39"/>
  <c r="F19" i="39"/>
  <c r="F17" i="39"/>
  <c r="AE16" i="39"/>
  <c r="Y16" i="39"/>
  <c r="F15" i="39"/>
  <c r="Y14" i="39"/>
  <c r="F13" i="39"/>
  <c r="Y12" i="39"/>
  <c r="AK11" i="39"/>
  <c r="AJ11" i="39"/>
  <c r="AI11" i="39"/>
  <c r="AE14" i="39" s="1"/>
  <c r="F11" i="39"/>
  <c r="AK10" i="39"/>
  <c r="AJ10" i="39"/>
  <c r="AI10" i="39"/>
  <c r="AE12" i="39" s="1"/>
  <c r="Y10" i="39"/>
  <c r="AK9" i="39"/>
  <c r="AJ9" i="39"/>
  <c r="AI9" i="39"/>
  <c r="AE10" i="39" s="1"/>
  <c r="F9" i="39"/>
  <c r="AK8" i="39"/>
  <c r="AJ8" i="39"/>
  <c r="AI8" i="39"/>
  <c r="Y8" i="39"/>
  <c r="F7" i="39"/>
  <c r="AA1" i="39"/>
  <c r="I1" i="39"/>
  <c r="Z52" i="38"/>
  <c r="Z50" i="38"/>
  <c r="Z48" i="38"/>
  <c r="F47" i="38"/>
  <c r="Z46" i="38"/>
  <c r="F45" i="38"/>
  <c r="F43" i="38"/>
  <c r="F41" i="38"/>
  <c r="F39" i="38"/>
  <c r="AE37" i="38"/>
  <c r="AB37" i="38"/>
  <c r="Y37" i="38"/>
  <c r="F37" i="38"/>
  <c r="AG36" i="38"/>
  <c r="AE35" i="38"/>
  <c r="AB35" i="38"/>
  <c r="Y35" i="38"/>
  <c r="F35" i="38"/>
  <c r="AE33" i="38"/>
  <c r="AB33" i="38"/>
  <c r="Y33" i="38"/>
  <c r="F33" i="38"/>
  <c r="AE31" i="38"/>
  <c r="AB31" i="38"/>
  <c r="Y31" i="38"/>
  <c r="F31" i="38"/>
  <c r="F29" i="38"/>
  <c r="F27" i="38"/>
  <c r="F25" i="38"/>
  <c r="F23" i="38"/>
  <c r="F21" i="38"/>
  <c r="F19" i="38"/>
  <c r="F17" i="38"/>
  <c r="AE16" i="38"/>
  <c r="Y16" i="38"/>
  <c r="F15" i="38"/>
  <c r="Y14" i="38"/>
  <c r="F13" i="38"/>
  <c r="Y12" i="38"/>
  <c r="AK11" i="38"/>
  <c r="AJ11" i="38"/>
  <c r="AE14" i="38" s="1"/>
  <c r="AI11" i="38"/>
  <c r="F11" i="38"/>
  <c r="AK10" i="38"/>
  <c r="AJ10" i="38"/>
  <c r="AI10" i="38"/>
  <c r="AE12" i="38" s="1"/>
  <c r="Y10" i="38"/>
  <c r="AK9" i="38"/>
  <c r="AJ9" i="38"/>
  <c r="AI9" i="38"/>
  <c r="AE10" i="38" s="1"/>
  <c r="F9" i="38"/>
  <c r="AK8" i="38"/>
  <c r="AJ8" i="38"/>
  <c r="AI8" i="38"/>
  <c r="AE8" i="38" s="1"/>
  <c r="Y8" i="38"/>
  <c r="F7" i="38"/>
  <c r="I1" i="38"/>
  <c r="AA1" i="38" s="1"/>
  <c r="A17" i="38"/>
  <c r="Z52" i="37"/>
  <c r="Z50" i="37"/>
  <c r="Z48" i="37"/>
  <c r="F47" i="37"/>
  <c r="Z46" i="37"/>
  <c r="F45" i="37"/>
  <c r="F43" i="37"/>
  <c r="F41" i="37"/>
  <c r="F39" i="37"/>
  <c r="AE37" i="37"/>
  <c r="AB37" i="37"/>
  <c r="Y37" i="37"/>
  <c r="F37" i="37"/>
  <c r="AG36" i="37"/>
  <c r="AE35" i="37"/>
  <c r="AB35" i="37"/>
  <c r="Y35" i="37"/>
  <c r="F35" i="37"/>
  <c r="AE33" i="37"/>
  <c r="AB33" i="37"/>
  <c r="Y33" i="37"/>
  <c r="F33" i="37"/>
  <c r="AE31" i="37"/>
  <c r="AB31" i="37"/>
  <c r="Y31" i="37"/>
  <c r="F31" i="37"/>
  <c r="F29" i="37"/>
  <c r="F27" i="37"/>
  <c r="F25" i="37"/>
  <c r="F23" i="37"/>
  <c r="F21" i="37"/>
  <c r="F19" i="37"/>
  <c r="F17" i="37"/>
  <c r="AE16" i="37"/>
  <c r="Y16" i="37"/>
  <c r="F15" i="37"/>
  <c r="Y14" i="37"/>
  <c r="F13" i="37"/>
  <c r="Y12" i="37"/>
  <c r="AK11" i="37"/>
  <c r="AJ11" i="37"/>
  <c r="AI11" i="37"/>
  <c r="F11" i="37"/>
  <c r="AK10" i="37"/>
  <c r="AJ10" i="37"/>
  <c r="AI10" i="37"/>
  <c r="AE12" i="37" s="1"/>
  <c r="Y10" i="37"/>
  <c r="AK9" i="37"/>
  <c r="AJ9" i="37"/>
  <c r="AI9" i="37"/>
  <c r="AE10" i="37" s="1"/>
  <c r="F9" i="37"/>
  <c r="AK8" i="37"/>
  <c r="AJ8" i="37"/>
  <c r="AI8" i="37"/>
  <c r="Y8" i="37"/>
  <c r="F7" i="37"/>
  <c r="I1" i="37"/>
  <c r="AA1" i="37" s="1"/>
  <c r="Z52" i="36"/>
  <c r="Z50" i="36"/>
  <c r="Z48" i="36"/>
  <c r="F47" i="36"/>
  <c r="Z46" i="36"/>
  <c r="F45" i="36"/>
  <c r="F43" i="36"/>
  <c r="F41" i="36"/>
  <c r="F39" i="36"/>
  <c r="AE37" i="36"/>
  <c r="AB37" i="36"/>
  <c r="Y37" i="36"/>
  <c r="F37" i="36"/>
  <c r="AG36" i="36"/>
  <c r="AE35" i="36"/>
  <c r="AB35" i="36"/>
  <c r="Y35" i="36"/>
  <c r="F35" i="36"/>
  <c r="AE33" i="36"/>
  <c r="AB33" i="36"/>
  <c r="Y33" i="36"/>
  <c r="F33" i="36"/>
  <c r="AE31" i="36"/>
  <c r="AB31" i="36"/>
  <c r="Y31" i="36"/>
  <c r="F31" i="36"/>
  <c r="F29" i="36"/>
  <c r="F27" i="36"/>
  <c r="F25" i="36"/>
  <c r="F23" i="36"/>
  <c r="F21" i="36"/>
  <c r="F19" i="36"/>
  <c r="F17" i="36"/>
  <c r="AE16" i="36"/>
  <c r="Y16" i="36"/>
  <c r="F15" i="36"/>
  <c r="Y14" i="36"/>
  <c r="F13" i="36"/>
  <c r="Z12" i="36"/>
  <c r="Y12" i="36"/>
  <c r="AK11" i="36"/>
  <c r="AJ11" i="36"/>
  <c r="AI11" i="36"/>
  <c r="F11" i="36"/>
  <c r="AK10" i="36"/>
  <c r="AJ10" i="36"/>
  <c r="AI10" i="36"/>
  <c r="Y10" i="36"/>
  <c r="AK9" i="36"/>
  <c r="AE10" i="36" s="1"/>
  <c r="AJ9" i="36"/>
  <c r="AI9" i="36"/>
  <c r="F9" i="36"/>
  <c r="AK8" i="36"/>
  <c r="AJ8" i="36"/>
  <c r="AI8" i="36"/>
  <c r="Y8" i="36"/>
  <c r="F7" i="36"/>
  <c r="I1" i="36"/>
  <c r="AA1" i="36" s="1"/>
  <c r="Z52" i="35"/>
  <c r="Z50" i="35"/>
  <c r="Z48" i="35"/>
  <c r="F47" i="35"/>
  <c r="Z46" i="35"/>
  <c r="F45" i="35"/>
  <c r="F43" i="35"/>
  <c r="F41" i="35"/>
  <c r="F39" i="35"/>
  <c r="AE37" i="35"/>
  <c r="AB37" i="35"/>
  <c r="Y37" i="35"/>
  <c r="F37" i="35"/>
  <c r="AG36" i="35"/>
  <c r="AE35" i="35"/>
  <c r="AB35" i="35"/>
  <c r="Y35" i="35"/>
  <c r="F35" i="35"/>
  <c r="AE33" i="35"/>
  <c r="AB33" i="35"/>
  <c r="Y33" i="35"/>
  <c r="F33" i="35"/>
  <c r="AE31" i="35"/>
  <c r="AB31" i="35"/>
  <c r="Y31" i="35"/>
  <c r="F31" i="35"/>
  <c r="F29" i="35"/>
  <c r="F27" i="35"/>
  <c r="F25" i="35"/>
  <c r="F23" i="35"/>
  <c r="F21" i="35"/>
  <c r="F19" i="35"/>
  <c r="F17" i="35"/>
  <c r="AE16" i="35"/>
  <c r="Y16" i="35"/>
  <c r="F15" i="35"/>
  <c r="AE14" i="35"/>
  <c r="Y14" i="35"/>
  <c r="F13" i="35"/>
  <c r="Y12" i="35"/>
  <c r="AK11" i="35"/>
  <c r="AJ11" i="35"/>
  <c r="AI11" i="35"/>
  <c r="F11" i="35"/>
  <c r="AK10" i="35"/>
  <c r="AJ10" i="35"/>
  <c r="AI10" i="35"/>
  <c r="AE12" i="35" s="1"/>
  <c r="AE10" i="35"/>
  <c r="Y10" i="35"/>
  <c r="AK9" i="35"/>
  <c r="AJ9" i="35"/>
  <c r="AI9" i="35"/>
  <c r="F9" i="35"/>
  <c r="AK8" i="35"/>
  <c r="AJ8" i="35"/>
  <c r="AI8" i="35"/>
  <c r="Y8" i="35"/>
  <c r="F7" i="35"/>
  <c r="I1" i="35"/>
  <c r="AA1" i="35" s="1"/>
  <c r="Z52" i="34"/>
  <c r="Z50" i="34"/>
  <c r="Z48" i="34"/>
  <c r="F47" i="34"/>
  <c r="Z46" i="34"/>
  <c r="F45" i="34"/>
  <c r="F43" i="34"/>
  <c r="F41" i="34"/>
  <c r="F39" i="34"/>
  <c r="AE37" i="34"/>
  <c r="AB37" i="34"/>
  <c r="Y37" i="34"/>
  <c r="F37" i="34"/>
  <c r="AG36" i="34"/>
  <c r="AE35" i="34"/>
  <c r="AB35" i="34"/>
  <c r="Y35" i="34"/>
  <c r="F35" i="34"/>
  <c r="AE33" i="34"/>
  <c r="AB33" i="34"/>
  <c r="Y33" i="34"/>
  <c r="F33" i="34"/>
  <c r="AE31" i="34"/>
  <c r="AB31" i="34"/>
  <c r="Y31" i="34"/>
  <c r="F31" i="34"/>
  <c r="F29" i="34"/>
  <c r="F27" i="34"/>
  <c r="F25" i="34"/>
  <c r="F23" i="34"/>
  <c r="F21" i="34"/>
  <c r="F19" i="34"/>
  <c r="F17" i="34"/>
  <c r="AE16" i="34"/>
  <c r="Y16" i="34"/>
  <c r="F15" i="34"/>
  <c r="Y14" i="34"/>
  <c r="F13" i="34"/>
  <c r="Y12" i="34"/>
  <c r="AK11" i="34"/>
  <c r="AE14" i="34" s="1"/>
  <c r="AJ11" i="34"/>
  <c r="AI11" i="34"/>
  <c r="F11" i="34"/>
  <c r="AK10" i="34"/>
  <c r="AJ10" i="34"/>
  <c r="AI10" i="34"/>
  <c r="AE12" i="34" s="1"/>
  <c r="Y10" i="34"/>
  <c r="AK9" i="34"/>
  <c r="AE10" i="34" s="1"/>
  <c r="AJ9" i="34"/>
  <c r="AI9" i="34"/>
  <c r="F9" i="34"/>
  <c r="AK8" i="34"/>
  <c r="AJ8" i="34"/>
  <c r="AI8" i="34"/>
  <c r="Y8" i="34"/>
  <c r="F7" i="34"/>
  <c r="I1" i="34"/>
  <c r="AA1" i="34" s="1"/>
  <c r="Z52" i="33"/>
  <c r="Z50" i="33"/>
  <c r="Z48" i="33"/>
  <c r="F47" i="33"/>
  <c r="Z46" i="33"/>
  <c r="F45" i="33"/>
  <c r="F43" i="33"/>
  <c r="F41" i="33"/>
  <c r="F39" i="33"/>
  <c r="AE37" i="33"/>
  <c r="AB37" i="33"/>
  <c r="Y37" i="33"/>
  <c r="F37" i="33"/>
  <c r="AG36" i="33"/>
  <c r="AE35" i="33"/>
  <c r="AB35" i="33"/>
  <c r="Y35" i="33"/>
  <c r="F35" i="33"/>
  <c r="AE33" i="33"/>
  <c r="AB33" i="33"/>
  <c r="Y33" i="33"/>
  <c r="F33" i="33"/>
  <c r="AE31" i="33"/>
  <c r="AB31" i="33"/>
  <c r="Y31" i="33"/>
  <c r="F31" i="33"/>
  <c r="F29" i="33"/>
  <c r="F27" i="33"/>
  <c r="F25" i="33"/>
  <c r="F23" i="33"/>
  <c r="F21" i="33"/>
  <c r="F19" i="33"/>
  <c r="F17" i="33"/>
  <c r="AE16" i="33"/>
  <c r="Y16" i="33"/>
  <c r="F15" i="33"/>
  <c r="Y14" i="33"/>
  <c r="F13" i="33"/>
  <c r="Y12" i="33"/>
  <c r="AK11" i="33"/>
  <c r="AE14" i="33" s="1"/>
  <c r="AJ11" i="33"/>
  <c r="AI11" i="33"/>
  <c r="F11" i="33"/>
  <c r="AK10" i="33"/>
  <c r="AJ10" i="33"/>
  <c r="AI10" i="33"/>
  <c r="AE12" i="33" s="1"/>
  <c r="Y10" i="33"/>
  <c r="AK9" i="33"/>
  <c r="AJ9" i="33"/>
  <c r="AI9" i="33"/>
  <c r="F9" i="33"/>
  <c r="AK8" i="33"/>
  <c r="AJ8" i="33"/>
  <c r="AI8" i="33"/>
  <c r="AE8" i="33" s="1"/>
  <c r="Y8" i="33"/>
  <c r="F7" i="33"/>
  <c r="I1" i="33"/>
  <c r="AA1" i="33" s="1"/>
  <c r="Z52" i="32"/>
  <c r="Z50" i="32"/>
  <c r="Z48" i="32"/>
  <c r="F47" i="32"/>
  <c r="Z46" i="32"/>
  <c r="F45" i="32"/>
  <c r="F43" i="32"/>
  <c r="F41" i="32"/>
  <c r="F39" i="32"/>
  <c r="AE37" i="32"/>
  <c r="AB37" i="32"/>
  <c r="Y37" i="32"/>
  <c r="F37" i="32"/>
  <c r="AG36" i="32"/>
  <c r="AE35" i="32"/>
  <c r="AB35" i="32"/>
  <c r="Y35" i="32"/>
  <c r="F35" i="32"/>
  <c r="AE33" i="32"/>
  <c r="AB33" i="32"/>
  <c r="Y33" i="32"/>
  <c r="F33" i="32"/>
  <c r="AE31" i="32"/>
  <c r="AB31" i="32"/>
  <c r="Y31" i="32"/>
  <c r="AH36" i="32" s="1"/>
  <c r="F31" i="32"/>
  <c r="F29" i="32"/>
  <c r="F27" i="32"/>
  <c r="F25" i="32"/>
  <c r="F23" i="32"/>
  <c r="F21" i="32"/>
  <c r="F19" i="32"/>
  <c r="F17" i="32"/>
  <c r="AE16" i="32"/>
  <c r="Y16" i="32"/>
  <c r="F15" i="32"/>
  <c r="Y14" i="32"/>
  <c r="F13" i="32"/>
  <c r="Y12" i="32"/>
  <c r="AK11" i="32"/>
  <c r="AJ11" i="32"/>
  <c r="AI11" i="32"/>
  <c r="F11" i="32"/>
  <c r="AK10" i="32"/>
  <c r="AJ10" i="32"/>
  <c r="AI10" i="32"/>
  <c r="Y10" i="32"/>
  <c r="AK9" i="32"/>
  <c r="AJ9" i="32"/>
  <c r="AI9" i="32"/>
  <c r="F9" i="32"/>
  <c r="AK8" i="32"/>
  <c r="AJ8" i="32"/>
  <c r="AI8" i="32"/>
  <c r="Y8" i="32"/>
  <c r="F7" i="32"/>
  <c r="I1" i="32"/>
  <c r="AA1" i="32" s="1"/>
  <c r="A4" i="32"/>
  <c r="A6" i="32" s="1"/>
  <c r="Z52" i="31"/>
  <c r="Z50" i="31"/>
  <c r="Z48" i="31"/>
  <c r="F47" i="31"/>
  <c r="Z46" i="31"/>
  <c r="F45" i="31"/>
  <c r="F43" i="31"/>
  <c r="F41" i="31"/>
  <c r="F39" i="31"/>
  <c r="AE37" i="31"/>
  <c r="AB37" i="31"/>
  <c r="Y37" i="31"/>
  <c r="F37" i="31"/>
  <c r="AG36" i="31"/>
  <c r="AE35" i="31"/>
  <c r="AB35" i="31"/>
  <c r="Y35" i="31"/>
  <c r="F35" i="31"/>
  <c r="AE33" i="31"/>
  <c r="AB33" i="31"/>
  <c r="Y33" i="31"/>
  <c r="F33" i="31"/>
  <c r="AE31" i="31"/>
  <c r="AB31" i="31"/>
  <c r="Y31" i="31"/>
  <c r="F31" i="31"/>
  <c r="F29" i="31"/>
  <c r="F27" i="31"/>
  <c r="F25" i="31"/>
  <c r="F23" i="31"/>
  <c r="F21" i="31"/>
  <c r="F19" i="31"/>
  <c r="F17" i="31"/>
  <c r="AE16" i="31"/>
  <c r="Y16" i="31"/>
  <c r="F15" i="31"/>
  <c r="Y14" i="31"/>
  <c r="F13" i="31"/>
  <c r="Y12" i="31"/>
  <c r="AK11" i="31"/>
  <c r="AJ11" i="31"/>
  <c r="AI11" i="31"/>
  <c r="AE14" i="31" s="1"/>
  <c r="F11" i="31"/>
  <c r="AK10" i="31"/>
  <c r="AJ10" i="31"/>
  <c r="AI10" i="31"/>
  <c r="Y10" i="31"/>
  <c r="AK9" i="31"/>
  <c r="AJ9" i="31"/>
  <c r="AE10" i="31" s="1"/>
  <c r="AI9" i="31"/>
  <c r="F9" i="31"/>
  <c r="AK8" i="31"/>
  <c r="AJ8" i="31"/>
  <c r="AI8" i="31"/>
  <c r="Y8" i="31"/>
  <c r="F7" i="31"/>
  <c r="I1" i="31"/>
  <c r="AA1" i="31" s="1"/>
  <c r="A4" i="31"/>
  <c r="Z52" i="30"/>
  <c r="Z50" i="30"/>
  <c r="Z48" i="30"/>
  <c r="F47" i="30"/>
  <c r="Z46" i="30"/>
  <c r="F45" i="30"/>
  <c r="F43" i="30"/>
  <c r="F41" i="30"/>
  <c r="F39" i="30"/>
  <c r="AE37" i="30"/>
  <c r="AB37" i="30"/>
  <c r="Y37" i="30"/>
  <c r="F37" i="30"/>
  <c r="AG36" i="30"/>
  <c r="AE35" i="30"/>
  <c r="AB35" i="30"/>
  <c r="Y35" i="30"/>
  <c r="F35" i="30"/>
  <c r="AE33" i="30"/>
  <c r="AB33" i="30"/>
  <c r="Y33" i="30"/>
  <c r="F33" i="30"/>
  <c r="AE31" i="30"/>
  <c r="AB31" i="30"/>
  <c r="Y31" i="30"/>
  <c r="F31" i="30"/>
  <c r="F29" i="30"/>
  <c r="F27" i="30"/>
  <c r="F25" i="30"/>
  <c r="F23" i="30"/>
  <c r="F21" i="30"/>
  <c r="F19" i="30"/>
  <c r="F17" i="30"/>
  <c r="AE16" i="30"/>
  <c r="Y16" i="30"/>
  <c r="F15" i="30"/>
  <c r="Y14" i="30"/>
  <c r="F13" i="30"/>
  <c r="Y12" i="30"/>
  <c r="AK11" i="30"/>
  <c r="AJ11" i="30"/>
  <c r="AI11" i="30"/>
  <c r="F11" i="30"/>
  <c r="AK10" i="30"/>
  <c r="AJ10" i="30"/>
  <c r="AI10" i="30"/>
  <c r="Y10" i="30"/>
  <c r="AK9" i="30"/>
  <c r="AJ9" i="30"/>
  <c r="AI9" i="30"/>
  <c r="F9" i="30"/>
  <c r="AK8" i="30"/>
  <c r="AJ8" i="30"/>
  <c r="AI8" i="30"/>
  <c r="Y8" i="30"/>
  <c r="F7" i="30"/>
  <c r="I1" i="30"/>
  <c r="AA1" i="30" s="1"/>
  <c r="Z52" i="29"/>
  <c r="Z50" i="29"/>
  <c r="Z48" i="29"/>
  <c r="F47" i="29"/>
  <c r="Z46" i="29"/>
  <c r="F45" i="29"/>
  <c r="F43" i="29"/>
  <c r="F41" i="29"/>
  <c r="F39" i="29"/>
  <c r="AE37" i="29"/>
  <c r="AB37" i="29"/>
  <c r="Y37" i="29"/>
  <c r="F37" i="29"/>
  <c r="AG36" i="29"/>
  <c r="AE35" i="29"/>
  <c r="AB35" i="29"/>
  <c r="Y35" i="29"/>
  <c r="F35" i="29"/>
  <c r="AE33" i="29"/>
  <c r="AB33" i="29"/>
  <c r="Y33" i="29"/>
  <c r="F33" i="29"/>
  <c r="AE31" i="29"/>
  <c r="AB31" i="29"/>
  <c r="Y31" i="29"/>
  <c r="F31" i="29"/>
  <c r="F29" i="29"/>
  <c r="F27" i="29"/>
  <c r="F25" i="29"/>
  <c r="F23" i="29"/>
  <c r="F21" i="29"/>
  <c r="F19" i="29"/>
  <c r="F17" i="29"/>
  <c r="AE16" i="29"/>
  <c r="Y16" i="29"/>
  <c r="F15" i="29"/>
  <c r="Y14" i="29"/>
  <c r="F13" i="29"/>
  <c r="Y12" i="29"/>
  <c r="AK11" i="29"/>
  <c r="AJ11" i="29"/>
  <c r="AI11" i="29"/>
  <c r="F11" i="29"/>
  <c r="AK10" i="29"/>
  <c r="AJ10" i="29"/>
  <c r="AI10" i="29"/>
  <c r="Y10" i="29"/>
  <c r="AK9" i="29"/>
  <c r="AJ9" i="29"/>
  <c r="AI9" i="29"/>
  <c r="F9" i="29"/>
  <c r="AK8" i="29"/>
  <c r="AJ8" i="29"/>
  <c r="AI8" i="29"/>
  <c r="Y8" i="29"/>
  <c r="F7" i="29"/>
  <c r="I1" i="29"/>
  <c r="AA1" i="29" s="1"/>
  <c r="A4" i="29"/>
  <c r="Z52" i="28"/>
  <c r="AG36" i="28"/>
  <c r="AE16" i="28"/>
  <c r="Y16" i="28"/>
  <c r="Y14" i="28"/>
  <c r="Y12" i="28"/>
  <c r="Y10" i="28"/>
  <c r="Y8" i="28"/>
  <c r="Z46" i="28"/>
  <c r="Z50" i="28"/>
  <c r="AI9" i="28"/>
  <c r="AI10" i="28"/>
  <c r="AI11" i="28"/>
  <c r="AJ8" i="28"/>
  <c r="AJ9" i="28"/>
  <c r="AK8" i="28"/>
  <c r="AK9" i="28"/>
  <c r="AK10" i="28"/>
  <c r="AJ11" i="28"/>
  <c r="AK11" i="28"/>
  <c r="AJ10" i="28"/>
  <c r="AI8" i="28"/>
  <c r="G1" i="28"/>
  <c r="A4" i="28" s="1"/>
  <c r="F47" i="28"/>
  <c r="F45" i="28"/>
  <c r="F43" i="28"/>
  <c r="F41" i="28"/>
  <c r="F39" i="28"/>
  <c r="F37" i="28"/>
  <c r="F35" i="28"/>
  <c r="Z48" i="28"/>
  <c r="F33" i="28"/>
  <c r="F31" i="28"/>
  <c r="F29" i="28"/>
  <c r="F27" i="28"/>
  <c r="F25" i="28"/>
  <c r="AE37" i="28"/>
  <c r="AB37" i="28"/>
  <c r="Y37" i="28"/>
  <c r="F23" i="28"/>
  <c r="AE35" i="28"/>
  <c r="AB35" i="28"/>
  <c r="Y35" i="28"/>
  <c r="F21" i="28"/>
  <c r="AE33" i="28"/>
  <c r="AB33" i="28"/>
  <c r="Y33" i="28"/>
  <c r="F19" i="28"/>
  <c r="AE31" i="28"/>
  <c r="AB31" i="28"/>
  <c r="Y31" i="28"/>
  <c r="F17" i="28"/>
  <c r="F15" i="28"/>
  <c r="F13" i="28"/>
  <c r="F11" i="28"/>
  <c r="F9" i="28"/>
  <c r="F7" i="28"/>
  <c r="I1" i="28"/>
  <c r="O34" i="27"/>
  <c r="AF16" i="28" s="1"/>
  <c r="N34" i="27"/>
  <c r="AF14" i="39" s="1"/>
  <c r="M34" i="27"/>
  <c r="AF12" i="31" s="1"/>
  <c r="L34" i="27"/>
  <c r="AF10" i="30" s="1"/>
  <c r="K34" i="27"/>
  <c r="AF8" i="38" s="1"/>
  <c r="J34" i="27"/>
  <c r="Z16" i="28" s="1"/>
  <c r="I34" i="27"/>
  <c r="Z14" i="37" s="1"/>
  <c r="H34" i="27"/>
  <c r="Z12" i="30" s="1"/>
  <c r="G34" i="27"/>
  <c r="Z10" i="30" s="1"/>
  <c r="F34" i="27"/>
  <c r="Z8" i="37" s="1"/>
  <c r="B33" i="27"/>
  <c r="A33" i="27"/>
  <c r="B32" i="27"/>
  <c r="A32" i="27"/>
  <c r="B31" i="27"/>
  <c r="A31" i="27"/>
  <c r="B30" i="27"/>
  <c r="A30" i="27"/>
  <c r="B29" i="27"/>
  <c r="A29" i="27"/>
  <c r="B28" i="27"/>
  <c r="A28" i="27"/>
  <c r="B27" i="27"/>
  <c r="A27" i="27"/>
  <c r="B26" i="27"/>
  <c r="A26" i="27"/>
  <c r="B25" i="27"/>
  <c r="A25" i="27"/>
  <c r="B24" i="27"/>
  <c r="A24" i="27"/>
  <c r="B23" i="27"/>
  <c r="A23" i="27"/>
  <c r="B22" i="27"/>
  <c r="A22" i="27"/>
  <c r="B21" i="27"/>
  <c r="A21" i="27"/>
  <c r="B20" i="27"/>
  <c r="A20" i="27"/>
  <c r="B19" i="27"/>
  <c r="A19" i="27"/>
  <c r="B18" i="27"/>
  <c r="A18" i="27"/>
  <c r="B17" i="27"/>
  <c r="A17" i="27"/>
  <c r="B16" i="27"/>
  <c r="A16" i="27"/>
  <c r="B15" i="27"/>
  <c r="A15" i="27"/>
  <c r="B14" i="27"/>
  <c r="A14" i="27"/>
  <c r="B13" i="27"/>
  <c r="A13" i="27"/>
  <c r="B12" i="27"/>
  <c r="A12" i="27"/>
  <c r="B11" i="27"/>
  <c r="A11" i="27"/>
  <c r="B10" i="27"/>
  <c r="A10" i="27"/>
  <c r="B9" i="27"/>
  <c r="A9" i="27"/>
  <c r="B8" i="27"/>
  <c r="A8" i="27"/>
  <c r="B7" i="27"/>
  <c r="A7" i="27"/>
  <c r="B6" i="27"/>
  <c r="A6" i="27"/>
  <c r="B5" i="27"/>
  <c r="A5" i="27"/>
  <c r="B4" i="27"/>
  <c r="A4" i="27"/>
  <c r="C30" i="25"/>
  <c r="C25" i="25"/>
  <c r="C20" i="25"/>
  <c r="C15" i="25"/>
  <c r="D10" i="25"/>
  <c r="C10" i="25"/>
  <c r="O8" i="25"/>
  <c r="M8" i="25"/>
  <c r="A7" i="25"/>
  <c r="A12" i="25" s="1"/>
  <c r="A17" i="25" s="1"/>
  <c r="A22" i="25" s="1"/>
  <c r="A27" i="25" s="1"/>
  <c r="K2" i="25"/>
  <c r="C2" i="25"/>
  <c r="O1" i="25"/>
  <c r="N1" i="25"/>
  <c r="M1" i="25"/>
  <c r="C3" i="1"/>
  <c r="A3" i="2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6" i="2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8" i="2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G8" i="1"/>
  <c r="D8" i="1"/>
  <c r="Z12" i="35" l="1"/>
  <c r="AA22" i="35" s="1"/>
  <c r="Z10" i="35"/>
  <c r="Z22" i="35" s="1"/>
  <c r="Z14" i="35"/>
  <c r="AB22" i="35" s="1"/>
  <c r="Z12" i="31"/>
  <c r="AA22" i="31" s="1"/>
  <c r="AF16" i="34"/>
  <c r="Z12" i="29"/>
  <c r="AA22" i="29" s="1"/>
  <c r="Z16" i="33"/>
  <c r="AC22" i="33" s="1"/>
  <c r="Z8" i="35"/>
  <c r="Y22" i="35" s="1"/>
  <c r="Z14" i="30"/>
  <c r="AB22" i="30" s="1"/>
  <c r="AB22" i="29"/>
  <c r="Z10" i="29"/>
  <c r="AA10" i="29" s="1"/>
  <c r="Z14" i="29"/>
  <c r="Z12" i="38"/>
  <c r="AA22" i="38" s="1"/>
  <c r="Z16" i="30"/>
  <c r="Z16" i="31"/>
  <c r="AC22" i="31" s="1"/>
  <c r="AF10" i="29"/>
  <c r="AF8" i="32"/>
  <c r="AF8" i="33"/>
  <c r="AF8" i="35"/>
  <c r="Z12" i="34"/>
  <c r="AA22" i="34" s="1"/>
  <c r="AF14" i="37"/>
  <c r="Z12" i="39"/>
  <c r="AA22" i="39" s="1"/>
  <c r="AF8" i="29"/>
  <c r="Z12" i="32"/>
  <c r="AA22" i="32" s="1"/>
  <c r="AF10" i="36"/>
  <c r="Z14" i="36"/>
  <c r="AA14" i="36" s="1"/>
  <c r="AF10" i="35"/>
  <c r="AA10" i="35"/>
  <c r="Z8" i="30"/>
  <c r="Y22" i="30" s="1"/>
  <c r="Z10" i="32"/>
  <c r="Z22" i="32" s="1"/>
  <c r="AB22" i="32"/>
  <c r="AF14" i="33"/>
  <c r="Z8" i="36"/>
  <c r="Y22" i="36" s="1"/>
  <c r="Z16" i="37"/>
  <c r="AC22" i="37" s="1"/>
  <c r="Z16" i="38"/>
  <c r="AC22" i="38" s="1"/>
  <c r="AF10" i="39"/>
  <c r="Z14" i="39"/>
  <c r="AA14" i="39" s="1"/>
  <c r="AF8" i="30"/>
  <c r="AF10" i="32"/>
  <c r="Z14" i="32"/>
  <c r="AF8" i="36"/>
  <c r="AF8" i="39"/>
  <c r="Z8" i="32"/>
  <c r="Y22" i="32" s="1"/>
  <c r="Z16" i="34"/>
  <c r="AC22" i="34" s="1"/>
  <c r="AA12" i="35"/>
  <c r="AF8" i="37"/>
  <c r="AA8" i="37"/>
  <c r="Y22" i="37"/>
  <c r="AF14" i="30"/>
  <c r="AF12" i="32"/>
  <c r="AF16" i="35"/>
  <c r="AF12" i="36"/>
  <c r="AF12" i="29"/>
  <c r="AF16" i="31"/>
  <c r="Z10" i="36"/>
  <c r="AA10" i="36" s="1"/>
  <c r="AA10" i="39"/>
  <c r="AF12" i="39"/>
  <c r="AF12" i="35"/>
  <c r="AF16" i="38"/>
  <c r="Z10" i="39"/>
  <c r="Z22" i="39" s="1"/>
  <c r="AF14" i="36"/>
  <c r="AF16" i="37"/>
  <c r="Z8" i="39"/>
  <c r="Y22" i="39" s="1"/>
  <c r="Z10" i="31"/>
  <c r="AA10" i="31" s="1"/>
  <c r="AF10" i="31"/>
  <c r="Z12" i="33"/>
  <c r="AA22" i="33" s="1"/>
  <c r="Z10" i="34"/>
  <c r="Z22" i="34" s="1"/>
  <c r="Z12" i="37"/>
  <c r="AA22" i="37" s="1"/>
  <c r="Z10" i="38"/>
  <c r="Z22" i="38" s="1"/>
  <c r="AF14" i="29"/>
  <c r="AF16" i="30"/>
  <c r="AF12" i="34"/>
  <c r="AF12" i="38"/>
  <c r="Z8" i="31"/>
  <c r="Y22" i="31" s="1"/>
  <c r="Z14" i="31"/>
  <c r="AB22" i="31" s="1"/>
  <c r="Z16" i="32"/>
  <c r="AA16" i="32" s="1"/>
  <c r="AF12" i="33"/>
  <c r="AF10" i="34"/>
  <c r="AF14" i="35"/>
  <c r="Z16" i="36"/>
  <c r="AA16" i="36" s="1"/>
  <c r="AF12" i="37"/>
  <c r="AF10" i="38"/>
  <c r="AB22" i="38"/>
  <c r="AF16" i="33"/>
  <c r="Z16" i="29"/>
  <c r="AA16" i="29" s="1"/>
  <c r="AF12" i="30"/>
  <c r="AF8" i="31"/>
  <c r="AF14" i="31"/>
  <c r="Z10" i="33"/>
  <c r="Z22" i="33" s="1"/>
  <c r="Z8" i="34"/>
  <c r="AA8" i="34" s="1"/>
  <c r="Z14" i="34"/>
  <c r="AA14" i="34" s="1"/>
  <c r="Z10" i="37"/>
  <c r="Z22" i="37" s="1"/>
  <c r="Z8" i="38"/>
  <c r="Y22" i="38" s="1"/>
  <c r="Z14" i="38"/>
  <c r="AA14" i="38" s="1"/>
  <c r="Z16" i="39"/>
  <c r="AC22" i="39" s="1"/>
  <c r="Z8" i="29"/>
  <c r="AA8" i="29" s="1"/>
  <c r="AF16" i="32"/>
  <c r="AF10" i="33"/>
  <c r="AF8" i="34"/>
  <c r="AF14" i="34"/>
  <c r="AF16" i="36"/>
  <c r="AF10" i="37"/>
  <c r="AB22" i="37"/>
  <c r="AF14" i="38"/>
  <c r="AF14" i="32"/>
  <c r="AF16" i="29"/>
  <c r="Z8" i="33"/>
  <c r="Y22" i="33" s="1"/>
  <c r="Z14" i="33"/>
  <c r="AB22" i="33" s="1"/>
  <c r="Z16" i="35"/>
  <c r="AC22" i="35" s="1"/>
  <c r="AA22" i="36"/>
  <c r="AF16" i="39"/>
  <c r="AE12" i="32"/>
  <c r="AE8" i="32"/>
  <c r="AE10" i="32"/>
  <c r="AE12" i="31"/>
  <c r="AE14" i="30"/>
  <c r="AE10" i="30"/>
  <c r="AA22" i="30"/>
  <c r="AE8" i="30"/>
  <c r="AE12" i="30"/>
  <c r="AA10" i="30"/>
  <c r="AA12" i="30"/>
  <c r="AE8" i="36"/>
  <c r="AE12" i="36"/>
  <c r="AH36" i="36"/>
  <c r="AA12" i="36"/>
  <c r="AE14" i="36"/>
  <c r="AA14" i="37"/>
  <c r="AH36" i="37"/>
  <c r="AE14" i="37"/>
  <c r="AA12" i="38"/>
  <c r="AH36" i="38"/>
  <c r="AE8" i="35"/>
  <c r="C4" i="32"/>
  <c r="AE10" i="33"/>
  <c r="AH36" i="33"/>
  <c r="AA14" i="32"/>
  <c r="AE14" i="32"/>
  <c r="AH36" i="31"/>
  <c r="AE8" i="31"/>
  <c r="AA16" i="31"/>
  <c r="AH36" i="30"/>
  <c r="AA16" i="30"/>
  <c r="AE10" i="29"/>
  <c r="AE14" i="29"/>
  <c r="Y22" i="29"/>
  <c r="AE8" i="29"/>
  <c r="AE12" i="29"/>
  <c r="AH36" i="29"/>
  <c r="AA14" i="29"/>
  <c r="C17" i="38"/>
  <c r="A19" i="38"/>
  <c r="AE8" i="39"/>
  <c r="A17" i="39"/>
  <c r="C15" i="39"/>
  <c r="AH36" i="39"/>
  <c r="A17" i="37"/>
  <c r="C15" i="37"/>
  <c r="A17" i="36"/>
  <c r="C15" i="36"/>
  <c r="AE8" i="37"/>
  <c r="C15" i="38"/>
  <c r="AE8" i="34"/>
  <c r="A17" i="35"/>
  <c r="C15" i="35"/>
  <c r="AH36" i="35"/>
  <c r="A17" i="34"/>
  <c r="C15" i="34"/>
  <c r="C6" i="32"/>
  <c r="A8" i="32"/>
  <c r="A17" i="33"/>
  <c r="C15" i="33"/>
  <c r="AH36" i="34"/>
  <c r="AA14" i="35"/>
  <c r="C2" i="32"/>
  <c r="E4" i="32" s="1"/>
  <c r="C4" i="30"/>
  <c r="A6" i="30"/>
  <c r="C4" i="31"/>
  <c r="A6" i="31"/>
  <c r="Z22" i="30"/>
  <c r="AC22" i="30"/>
  <c r="C2" i="31"/>
  <c r="C2" i="30"/>
  <c r="C4" i="29"/>
  <c r="A6" i="29"/>
  <c r="AC22" i="29"/>
  <c r="C2" i="29"/>
  <c r="AC22" i="28"/>
  <c r="G36" i="27"/>
  <c r="AA16" i="28"/>
  <c r="AE14" i="28"/>
  <c r="N36" i="27" s="1"/>
  <c r="H36" i="27"/>
  <c r="F36" i="27"/>
  <c r="I36" i="27"/>
  <c r="Z12" i="28"/>
  <c r="AA22" i="28" s="1"/>
  <c r="Z14" i="28"/>
  <c r="AB22" i="28" s="1"/>
  <c r="Z10" i="28"/>
  <c r="Z22" i="28" s="1"/>
  <c r="Z8" i="28"/>
  <c r="Y22" i="28" s="1"/>
  <c r="AF14" i="28"/>
  <c r="AF12" i="28"/>
  <c r="AF10" i="28"/>
  <c r="AF8" i="28"/>
  <c r="O36" i="27"/>
  <c r="J36" i="27"/>
  <c r="AA1" i="28"/>
  <c r="AE8" i="28"/>
  <c r="K36" i="27" s="1"/>
  <c r="AE12" i="28"/>
  <c r="M36" i="27" s="1"/>
  <c r="AE10" i="28"/>
  <c r="L36" i="27" s="1"/>
  <c r="C2" i="28"/>
  <c r="AH36" i="28"/>
  <c r="C4" i="28"/>
  <c r="A6" i="28"/>
  <c r="E12" i="2"/>
  <c r="E3" i="2"/>
  <c r="E13" i="2"/>
  <c r="E4" i="2"/>
  <c r="E8" i="2"/>
  <c r="E5" i="2"/>
  <c r="E9" i="2"/>
  <c r="E10" i="2"/>
  <c r="E11" i="2"/>
  <c r="AA8" i="38" l="1"/>
  <c r="AA14" i="31"/>
  <c r="AA16" i="38"/>
  <c r="AA16" i="33"/>
  <c r="Z22" i="29"/>
  <c r="AA8" i="32"/>
  <c r="AA16" i="37"/>
  <c r="AA12" i="29"/>
  <c r="AA10" i="32"/>
  <c r="AB22" i="36"/>
  <c r="AA8" i="35"/>
  <c r="AA14" i="30"/>
  <c r="AA14" i="33"/>
  <c r="AA8" i="30"/>
  <c r="AA8" i="39"/>
  <c r="AA12" i="34"/>
  <c r="AA8" i="36"/>
  <c r="AA12" i="31"/>
  <c r="Z22" i="31"/>
  <c r="AB22" i="34"/>
  <c r="AA12" i="37"/>
  <c r="AA12" i="32"/>
  <c r="AA10" i="34"/>
  <c r="AC22" i="36"/>
  <c r="AC22" i="32"/>
  <c r="AA10" i="37"/>
  <c r="Y22" i="34"/>
  <c r="AA10" i="38"/>
  <c r="AA16" i="35"/>
  <c r="AB22" i="39"/>
  <c r="AA16" i="34"/>
  <c r="AA10" i="33"/>
  <c r="AA12" i="39"/>
  <c r="AA12" i="33"/>
  <c r="AA16" i="39"/>
  <c r="Z22" i="36"/>
  <c r="AA8" i="31"/>
  <c r="AA14" i="28"/>
  <c r="AA8" i="33"/>
  <c r="AG10" i="37"/>
  <c r="AE22" i="37"/>
  <c r="AG10" i="32"/>
  <c r="AE22" i="30"/>
  <c r="AE22" i="38"/>
  <c r="AG10" i="35"/>
  <c r="AE22" i="35"/>
  <c r="AE22" i="29"/>
  <c r="AE22" i="33"/>
  <c r="AE22" i="36"/>
  <c r="AE22" i="31"/>
  <c r="AG10" i="31"/>
  <c r="AG10" i="39"/>
  <c r="AG10" i="29"/>
  <c r="AG10" i="38"/>
  <c r="AG10" i="33"/>
  <c r="AG10" i="30"/>
  <c r="AG10" i="36"/>
  <c r="AE22" i="34"/>
  <c r="AE22" i="32"/>
  <c r="AE22" i="39"/>
  <c r="AG10" i="34"/>
  <c r="AF22" i="38"/>
  <c r="AG12" i="32"/>
  <c r="AG12" i="29"/>
  <c r="AG12" i="35"/>
  <c r="AG12" i="34"/>
  <c r="AF22" i="30"/>
  <c r="AG12" i="37"/>
  <c r="AF22" i="36"/>
  <c r="AF22" i="31"/>
  <c r="AF22" i="37"/>
  <c r="AF22" i="33"/>
  <c r="AG12" i="31"/>
  <c r="AF22" i="34"/>
  <c r="AF22" i="29"/>
  <c r="AF22" i="39"/>
  <c r="AG12" i="38"/>
  <c r="AG12" i="33"/>
  <c r="AF22" i="32"/>
  <c r="AG12" i="30"/>
  <c r="AF22" i="35"/>
  <c r="AG12" i="39"/>
  <c r="AG12" i="36"/>
  <c r="AD22" i="30"/>
  <c r="AD22" i="37"/>
  <c r="AD22" i="32"/>
  <c r="AD22" i="35"/>
  <c r="AD22" i="29"/>
  <c r="AD22" i="38"/>
  <c r="AG8" i="35"/>
  <c r="AG8" i="29"/>
  <c r="AG8" i="37"/>
  <c r="AG8" i="38"/>
  <c r="AD22" i="36"/>
  <c r="AG8" i="33"/>
  <c r="AD22" i="31"/>
  <c r="AG8" i="34"/>
  <c r="AG8" i="39"/>
  <c r="AG8" i="36"/>
  <c r="AG8" i="30"/>
  <c r="AD22" i="33"/>
  <c r="AD22" i="34"/>
  <c r="AD22" i="39"/>
  <c r="AG8" i="31"/>
  <c r="AG8" i="32"/>
  <c r="AG16" i="39"/>
  <c r="AG16" i="29"/>
  <c r="AG16" i="32"/>
  <c r="AH22" i="33"/>
  <c r="AG16" i="31"/>
  <c r="AH22" i="31"/>
  <c r="AG16" i="37"/>
  <c r="AG16" i="35"/>
  <c r="AH22" i="34"/>
  <c r="AH22" i="39"/>
  <c r="AH22" i="32"/>
  <c r="AG16" i="33"/>
  <c r="AG16" i="34"/>
  <c r="AH22" i="37"/>
  <c r="AH22" i="35"/>
  <c r="AH22" i="30"/>
  <c r="AG16" i="30"/>
  <c r="AH22" i="29"/>
  <c r="AG16" i="36"/>
  <c r="AH22" i="38"/>
  <c r="AG16" i="38"/>
  <c r="AH22" i="36"/>
  <c r="AG14" i="38"/>
  <c r="AG22" i="36"/>
  <c r="AG14" i="33"/>
  <c r="AG22" i="31"/>
  <c r="AG22" i="33"/>
  <c r="AG22" i="30"/>
  <c r="AG14" i="36"/>
  <c r="AG14" i="31"/>
  <c r="AG14" i="29"/>
  <c r="AG22" i="38"/>
  <c r="AG22" i="34"/>
  <c r="AG14" i="35"/>
  <c r="AG22" i="39"/>
  <c r="AG14" i="34"/>
  <c r="AG22" i="32"/>
  <c r="AG22" i="29"/>
  <c r="AG14" i="37"/>
  <c r="AG22" i="37"/>
  <c r="AG22" i="35"/>
  <c r="AG14" i="32"/>
  <c r="AG14" i="30"/>
  <c r="AG14" i="39"/>
  <c r="A19" i="37"/>
  <c r="C17" i="37"/>
  <c r="C17" i="39"/>
  <c r="A19" i="39"/>
  <c r="C19" i="38"/>
  <c r="A21" i="38"/>
  <c r="A19" i="36"/>
  <c r="C17" i="36"/>
  <c r="E4" i="38"/>
  <c r="D4" i="38"/>
  <c r="F4" i="38" s="1"/>
  <c r="C17" i="34"/>
  <c r="A19" i="34"/>
  <c r="A19" i="33"/>
  <c r="C17" i="33"/>
  <c r="C17" i="35"/>
  <c r="A19" i="35"/>
  <c r="C8" i="32"/>
  <c r="A10" i="32"/>
  <c r="D6" i="32"/>
  <c r="F6" i="32" s="1"/>
  <c r="E6" i="32"/>
  <c r="D4" i="32"/>
  <c r="F4" i="32" s="1"/>
  <c r="C6" i="31"/>
  <c r="A8" i="31"/>
  <c r="E4" i="31"/>
  <c r="D4" i="31"/>
  <c r="F4" i="31" s="1"/>
  <c r="C6" i="30"/>
  <c r="A8" i="30"/>
  <c r="E4" i="30"/>
  <c r="D4" i="30"/>
  <c r="F4" i="30" s="1"/>
  <c r="C6" i="29"/>
  <c r="A8" i="29"/>
  <c r="E4" i="29"/>
  <c r="D4" i="29"/>
  <c r="F4" i="29" s="1"/>
  <c r="B4" i="29"/>
  <c r="G4" i="29" s="1"/>
  <c r="AA10" i="28"/>
  <c r="AA12" i="28"/>
  <c r="AA8" i="28"/>
  <c r="AD22" i="28"/>
  <c r="AG8" i="28"/>
  <c r="AG22" i="28"/>
  <c r="AG14" i="28"/>
  <c r="AG10" i="28"/>
  <c r="AE22" i="28"/>
  <c r="AG12" i="28"/>
  <c r="AF22" i="28"/>
  <c r="AH22" i="28"/>
  <c r="AG16" i="28"/>
  <c r="C6" i="28"/>
  <c r="A8" i="28"/>
  <c r="E4" i="28"/>
  <c r="D4" i="28"/>
  <c r="E6" i="2"/>
  <c r="E7" i="2"/>
  <c r="F4" i="28" l="1"/>
  <c r="B4" i="32"/>
  <c r="B6" i="32"/>
  <c r="G6" i="32" s="1"/>
  <c r="B17" i="38"/>
  <c r="E4" i="36"/>
  <c r="D4" i="36"/>
  <c r="F4" i="36" s="1"/>
  <c r="B17" i="36"/>
  <c r="C19" i="36"/>
  <c r="A21" i="36"/>
  <c r="A23" i="38"/>
  <c r="C21" i="38"/>
  <c r="E6" i="38"/>
  <c r="D6" i="38"/>
  <c r="F6" i="38" s="1"/>
  <c r="C19" i="39"/>
  <c r="A21" i="39"/>
  <c r="E4" i="39"/>
  <c r="D4" i="39"/>
  <c r="F4" i="39" s="1"/>
  <c r="D4" i="37"/>
  <c r="F4" i="37" s="1"/>
  <c r="E4" i="37"/>
  <c r="C19" i="37"/>
  <c r="A21" i="37"/>
  <c r="G4" i="32"/>
  <c r="B5" i="32"/>
  <c r="B7" i="32"/>
  <c r="A12" i="32"/>
  <c r="C10" i="32"/>
  <c r="D8" i="32"/>
  <c r="F8" i="32" s="1"/>
  <c r="B8" i="32"/>
  <c r="E8" i="32"/>
  <c r="C19" i="35"/>
  <c r="A21" i="35"/>
  <c r="E4" i="35"/>
  <c r="D4" i="35"/>
  <c r="F4" i="35" s="1"/>
  <c r="E4" i="33"/>
  <c r="D4" i="33"/>
  <c r="F4" i="33" s="1"/>
  <c r="C19" i="33"/>
  <c r="A21" i="33"/>
  <c r="C19" i="34"/>
  <c r="A21" i="34"/>
  <c r="E4" i="34"/>
  <c r="D4" i="34"/>
  <c r="F4" i="34" s="1"/>
  <c r="B4" i="30"/>
  <c r="C8" i="30"/>
  <c r="A10" i="30"/>
  <c r="E6" i="30"/>
  <c r="D6" i="30"/>
  <c r="F6" i="30" s="1"/>
  <c r="B6" i="30"/>
  <c r="B4" i="31"/>
  <c r="A10" i="31"/>
  <c r="C8" i="31"/>
  <c r="E6" i="31"/>
  <c r="D6" i="31"/>
  <c r="F6" i="31" s="1"/>
  <c r="B6" i="31"/>
  <c r="B5" i="29"/>
  <c r="C8" i="29"/>
  <c r="A10" i="29"/>
  <c r="E6" i="29"/>
  <c r="D6" i="29"/>
  <c r="F6" i="29" s="1"/>
  <c r="B6" i="29"/>
  <c r="G6" i="29" s="1"/>
  <c r="B4" i="28"/>
  <c r="G4" i="28" s="1"/>
  <c r="C8" i="28"/>
  <c r="A10" i="28"/>
  <c r="E6" i="28"/>
  <c r="D6" i="28"/>
  <c r="F6" i="28" s="1"/>
  <c r="B19" i="38" l="1"/>
  <c r="B17" i="35"/>
  <c r="A23" i="37"/>
  <c r="C21" i="37"/>
  <c r="C21" i="36"/>
  <c r="A23" i="36"/>
  <c r="E8" i="38"/>
  <c r="D8" i="38"/>
  <c r="F8" i="38" s="1"/>
  <c r="D6" i="36"/>
  <c r="F6" i="36" s="1"/>
  <c r="B19" i="36"/>
  <c r="E6" i="36"/>
  <c r="B20" i="38"/>
  <c r="G6" i="38"/>
  <c r="G4" i="36"/>
  <c r="B18" i="36"/>
  <c r="E6" i="37"/>
  <c r="D6" i="37"/>
  <c r="F6" i="37" s="1"/>
  <c r="B17" i="39"/>
  <c r="E6" i="39"/>
  <c r="D6" i="39"/>
  <c r="F6" i="39" s="1"/>
  <c r="B19" i="39"/>
  <c r="A25" i="38"/>
  <c r="C23" i="38"/>
  <c r="B17" i="37"/>
  <c r="A23" i="39"/>
  <c r="C21" i="39"/>
  <c r="G4" i="38"/>
  <c r="B18" i="38"/>
  <c r="B17" i="34"/>
  <c r="E10" i="32"/>
  <c r="D10" i="32"/>
  <c r="F10" i="32" s="1"/>
  <c r="G4" i="35"/>
  <c r="B18" i="35"/>
  <c r="A23" i="35"/>
  <c r="C21" i="35"/>
  <c r="E6" i="35"/>
  <c r="D6" i="35"/>
  <c r="F6" i="35" s="1"/>
  <c r="B19" i="35"/>
  <c r="A23" i="34"/>
  <c r="C21" i="34"/>
  <c r="E6" i="34"/>
  <c r="D6" i="34"/>
  <c r="F6" i="34" s="1"/>
  <c r="B19" i="34"/>
  <c r="G8" i="32"/>
  <c r="B9" i="32"/>
  <c r="A23" i="33"/>
  <c r="C21" i="33"/>
  <c r="E6" i="33"/>
  <c r="D6" i="33"/>
  <c r="F6" i="33" s="1"/>
  <c r="B19" i="33"/>
  <c r="C12" i="32"/>
  <c r="A14" i="32"/>
  <c r="B17" i="33"/>
  <c r="G6" i="31"/>
  <c r="B7" i="31"/>
  <c r="D8" i="31"/>
  <c r="F8" i="31" s="1"/>
  <c r="E8" i="31"/>
  <c r="B8" i="31"/>
  <c r="C10" i="31"/>
  <c r="A12" i="31"/>
  <c r="G4" i="31"/>
  <c r="B5" i="31"/>
  <c r="B7" i="30"/>
  <c r="G6" i="30"/>
  <c r="C10" i="30"/>
  <c r="A12" i="30"/>
  <c r="E8" i="30"/>
  <c r="D8" i="30"/>
  <c r="F8" i="30" s="1"/>
  <c r="G4" i="30"/>
  <c r="B5" i="30"/>
  <c r="B7" i="29"/>
  <c r="D8" i="29"/>
  <c r="F8" i="29" s="1"/>
  <c r="B8" i="29"/>
  <c r="G8" i="29" s="1"/>
  <c r="E8" i="29"/>
  <c r="C10" i="29"/>
  <c r="A12" i="29"/>
  <c r="B5" i="28"/>
  <c r="B6" i="28"/>
  <c r="G6" i="28" s="1"/>
  <c r="D8" i="28"/>
  <c r="F8" i="28" s="1"/>
  <c r="E8" i="28"/>
  <c r="C10" i="28"/>
  <c r="A12" i="28"/>
  <c r="B7" i="28"/>
  <c r="B10" i="32" l="1"/>
  <c r="B19" i="37"/>
  <c r="G4" i="37"/>
  <c r="B18" i="37"/>
  <c r="E10" i="38"/>
  <c r="D10" i="38"/>
  <c r="F10" i="38" s="1"/>
  <c r="C25" i="38"/>
  <c r="A27" i="38"/>
  <c r="G6" i="39"/>
  <c r="B20" i="39"/>
  <c r="B20" i="36"/>
  <c r="G6" i="36"/>
  <c r="G4" i="39"/>
  <c r="B18" i="39"/>
  <c r="B20" i="37"/>
  <c r="G6" i="37"/>
  <c r="B21" i="38"/>
  <c r="A25" i="36"/>
  <c r="C23" i="36"/>
  <c r="E8" i="36"/>
  <c r="D8" i="36"/>
  <c r="F8" i="36" s="1"/>
  <c r="E8" i="39"/>
  <c r="D8" i="39"/>
  <c r="F8" i="39" s="1"/>
  <c r="E8" i="37"/>
  <c r="D8" i="37"/>
  <c r="F8" i="37" s="1"/>
  <c r="C23" i="39"/>
  <c r="A25" i="39"/>
  <c r="A25" i="37"/>
  <c r="C23" i="37"/>
  <c r="A25" i="34"/>
  <c r="C23" i="34"/>
  <c r="G6" i="35"/>
  <c r="B20" i="35"/>
  <c r="E8" i="35"/>
  <c r="D8" i="35"/>
  <c r="F8" i="35" s="1"/>
  <c r="C23" i="35"/>
  <c r="A25" i="35"/>
  <c r="B20" i="34"/>
  <c r="G6" i="34"/>
  <c r="B11" i="32"/>
  <c r="G10" i="32"/>
  <c r="D12" i="32"/>
  <c r="F12" i="32" s="1"/>
  <c r="E12" i="32"/>
  <c r="B20" i="33"/>
  <c r="G6" i="33"/>
  <c r="E8" i="33"/>
  <c r="D8" i="33"/>
  <c r="F8" i="33" s="1"/>
  <c r="A25" i="33"/>
  <c r="C23" i="33"/>
  <c r="G4" i="33"/>
  <c r="B18" i="33"/>
  <c r="C14" i="32"/>
  <c r="A16" i="32"/>
  <c r="D8" i="34"/>
  <c r="F8" i="34" s="1"/>
  <c r="E8" i="34"/>
  <c r="G4" i="34"/>
  <c r="B18" i="34"/>
  <c r="E10" i="30"/>
  <c r="D10" i="30"/>
  <c r="F10" i="30" s="1"/>
  <c r="A14" i="31"/>
  <c r="C12" i="31"/>
  <c r="E10" i="31"/>
  <c r="D10" i="31"/>
  <c r="F10" i="31" s="1"/>
  <c r="B9" i="31"/>
  <c r="G8" i="31"/>
  <c r="B8" i="30"/>
  <c r="C12" i="30"/>
  <c r="A14" i="30"/>
  <c r="C12" i="29"/>
  <c r="A14" i="29"/>
  <c r="E10" i="29"/>
  <c r="D10" i="29"/>
  <c r="F10" i="29" s="1"/>
  <c r="B9" i="29"/>
  <c r="B8" i="28"/>
  <c r="B9" i="28" s="1"/>
  <c r="D10" i="28"/>
  <c r="F10" i="28" s="1"/>
  <c r="E10" i="28"/>
  <c r="C12" i="28"/>
  <c r="A14" i="28"/>
  <c r="C27" i="38" l="1"/>
  <c r="A29" i="38"/>
  <c r="C25" i="37"/>
  <c r="A27" i="37"/>
  <c r="E12" i="38"/>
  <c r="D12" i="38"/>
  <c r="F12" i="38" s="1"/>
  <c r="C25" i="39"/>
  <c r="A27" i="39"/>
  <c r="C25" i="36"/>
  <c r="A27" i="36"/>
  <c r="B21" i="39"/>
  <c r="B21" i="36"/>
  <c r="E10" i="37"/>
  <c r="D10" i="37"/>
  <c r="F10" i="37" s="1"/>
  <c r="B23" i="37"/>
  <c r="E10" i="36"/>
  <c r="D10" i="36"/>
  <c r="F10" i="36" s="1"/>
  <c r="B23" i="36"/>
  <c r="E10" i="39"/>
  <c r="D10" i="39"/>
  <c r="F10" i="39" s="1"/>
  <c r="B22" i="38"/>
  <c r="G8" i="38"/>
  <c r="B23" i="38"/>
  <c r="B21" i="37"/>
  <c r="E10" i="33"/>
  <c r="D10" i="33"/>
  <c r="F10" i="33" s="1"/>
  <c r="B23" i="33"/>
  <c r="C25" i="35"/>
  <c r="A27" i="35"/>
  <c r="E10" i="35"/>
  <c r="D10" i="35"/>
  <c r="F10" i="35" s="1"/>
  <c r="B21" i="33"/>
  <c r="B21" i="34"/>
  <c r="C25" i="33"/>
  <c r="A27" i="33"/>
  <c r="B21" i="35"/>
  <c r="C16" i="32"/>
  <c r="A18" i="32"/>
  <c r="E14" i="32"/>
  <c r="D14" i="32"/>
  <c r="F14" i="32" s="1"/>
  <c r="B12" i="32"/>
  <c r="E10" i="34"/>
  <c r="D10" i="34"/>
  <c r="F10" i="34" s="1"/>
  <c r="C25" i="34"/>
  <c r="A27" i="34"/>
  <c r="E12" i="30"/>
  <c r="D12" i="30"/>
  <c r="F12" i="30" s="1"/>
  <c r="B9" i="30"/>
  <c r="G8" i="30"/>
  <c r="B10" i="31"/>
  <c r="D12" i="31"/>
  <c r="F12" i="31" s="1"/>
  <c r="E12" i="31"/>
  <c r="B12" i="31"/>
  <c r="A16" i="31"/>
  <c r="C14" i="31"/>
  <c r="A16" i="30"/>
  <c r="C14" i="30"/>
  <c r="B10" i="30"/>
  <c r="B10" i="29"/>
  <c r="G10" i="29" s="1"/>
  <c r="C14" i="29"/>
  <c r="A16" i="29"/>
  <c r="D12" i="29"/>
  <c r="F12" i="29" s="1"/>
  <c r="B12" i="29"/>
  <c r="E12" i="29"/>
  <c r="G8" i="28"/>
  <c r="E12" i="28"/>
  <c r="D12" i="28"/>
  <c r="F12" i="28" s="1"/>
  <c r="C14" i="28"/>
  <c r="A16" i="28"/>
  <c r="B10" i="28"/>
  <c r="G12" i="29" l="1"/>
  <c r="C27" i="36"/>
  <c r="A29" i="36"/>
  <c r="B23" i="39"/>
  <c r="B22" i="39"/>
  <c r="G8" i="39"/>
  <c r="C27" i="39"/>
  <c r="A29" i="39"/>
  <c r="D12" i="36"/>
  <c r="F12" i="36" s="1"/>
  <c r="E12" i="36"/>
  <c r="D12" i="39"/>
  <c r="F12" i="39" s="1"/>
  <c r="B25" i="39"/>
  <c r="E12" i="39"/>
  <c r="G10" i="36"/>
  <c r="B24" i="36"/>
  <c r="B25" i="38"/>
  <c r="G10" i="37"/>
  <c r="B24" i="37"/>
  <c r="C27" i="37"/>
  <c r="A29" i="37"/>
  <c r="E12" i="37"/>
  <c r="D12" i="37"/>
  <c r="F12" i="37" s="1"/>
  <c r="G8" i="37"/>
  <c r="B22" i="37"/>
  <c r="A31" i="38"/>
  <c r="C29" i="38"/>
  <c r="G10" i="38"/>
  <c r="B24" i="38"/>
  <c r="B22" i="36"/>
  <c r="G8" i="36"/>
  <c r="D14" i="38"/>
  <c r="F14" i="38" s="1"/>
  <c r="B27" i="38"/>
  <c r="E14" i="38"/>
  <c r="C27" i="34"/>
  <c r="A29" i="34"/>
  <c r="C27" i="33"/>
  <c r="A29" i="33"/>
  <c r="E12" i="34"/>
  <c r="D12" i="34"/>
  <c r="F12" i="34" s="1"/>
  <c r="E12" i="33"/>
  <c r="D12" i="33"/>
  <c r="F12" i="33" s="1"/>
  <c r="B22" i="34"/>
  <c r="G8" i="34"/>
  <c r="B22" i="33"/>
  <c r="G8" i="33"/>
  <c r="B23" i="34"/>
  <c r="G12" i="32"/>
  <c r="B13" i="32"/>
  <c r="B23" i="35"/>
  <c r="C27" i="35"/>
  <c r="A29" i="35"/>
  <c r="B14" i="32"/>
  <c r="D12" i="35"/>
  <c r="F12" i="35" s="1"/>
  <c r="E12" i="35"/>
  <c r="A20" i="32"/>
  <c r="C18" i="32"/>
  <c r="G10" i="33"/>
  <c r="B24" i="33"/>
  <c r="E16" i="32"/>
  <c r="D16" i="32"/>
  <c r="F16" i="32" s="1"/>
  <c r="B22" i="35"/>
  <c r="G8" i="35"/>
  <c r="A18" i="30"/>
  <c r="C16" i="30"/>
  <c r="E14" i="31"/>
  <c r="D14" i="31"/>
  <c r="F14" i="31" s="1"/>
  <c r="B14" i="31"/>
  <c r="A18" i="31"/>
  <c r="C16" i="31"/>
  <c r="B13" i="31"/>
  <c r="G12" i="31"/>
  <c r="G10" i="31"/>
  <c r="B11" i="31"/>
  <c r="G10" i="30"/>
  <c r="B11" i="30"/>
  <c r="B12" i="30"/>
  <c r="D14" i="30"/>
  <c r="F14" i="30" s="1"/>
  <c r="E14" i="30"/>
  <c r="B13" i="29"/>
  <c r="E14" i="29"/>
  <c r="D14" i="29"/>
  <c r="F14" i="29" s="1"/>
  <c r="B14" i="29"/>
  <c r="G14" i="29" s="1"/>
  <c r="A18" i="29"/>
  <c r="C16" i="29"/>
  <c r="B11" i="29"/>
  <c r="B12" i="28"/>
  <c r="G12" i="28" s="1"/>
  <c r="A18" i="28"/>
  <c r="C16" i="28"/>
  <c r="B11" i="28"/>
  <c r="G10" i="28"/>
  <c r="D14" i="28"/>
  <c r="F14" i="28" s="1"/>
  <c r="E14" i="28"/>
  <c r="B14" i="28"/>
  <c r="B14" i="30" l="1"/>
  <c r="B25" i="35"/>
  <c r="A31" i="37"/>
  <c r="C29" i="37"/>
  <c r="B26" i="39"/>
  <c r="G12" i="39"/>
  <c r="B28" i="38"/>
  <c r="G14" i="38"/>
  <c r="B25" i="37"/>
  <c r="B25" i="36"/>
  <c r="E14" i="37"/>
  <c r="D14" i="37"/>
  <c r="F14" i="37" s="1"/>
  <c r="A31" i="39"/>
  <c r="C29" i="39"/>
  <c r="E14" i="39"/>
  <c r="D14" i="39"/>
  <c r="F14" i="39" s="1"/>
  <c r="B27" i="39"/>
  <c r="B26" i="38"/>
  <c r="G12" i="38"/>
  <c r="D16" i="38"/>
  <c r="F16" i="38" s="1"/>
  <c r="B29" i="38"/>
  <c r="E16" i="38"/>
  <c r="G10" i="39"/>
  <c r="B24" i="39"/>
  <c r="A33" i="38"/>
  <c r="C31" i="38"/>
  <c r="C29" i="36"/>
  <c r="A31" i="36"/>
  <c r="E14" i="36"/>
  <c r="D14" i="36"/>
  <c r="F14" i="36" s="1"/>
  <c r="B26" i="35"/>
  <c r="G12" i="35"/>
  <c r="B15" i="32"/>
  <c r="G14" i="32"/>
  <c r="B25" i="33"/>
  <c r="G10" i="35"/>
  <c r="B24" i="35"/>
  <c r="B25" i="34"/>
  <c r="A31" i="33"/>
  <c r="C29" i="33"/>
  <c r="E14" i="33"/>
  <c r="D14" i="33"/>
  <c r="F14" i="33" s="1"/>
  <c r="A31" i="35"/>
  <c r="C29" i="35"/>
  <c r="B16" i="32"/>
  <c r="D18" i="32"/>
  <c r="F18" i="32" s="1"/>
  <c r="E18" i="32"/>
  <c r="B18" i="32"/>
  <c r="A31" i="34"/>
  <c r="C29" i="34"/>
  <c r="E14" i="35"/>
  <c r="D14" i="35"/>
  <c r="F14" i="35" s="1"/>
  <c r="B27" i="35"/>
  <c r="G10" i="34"/>
  <c r="B24" i="34"/>
  <c r="C20" i="32"/>
  <c r="A22" i="32"/>
  <c r="D14" i="34"/>
  <c r="F14" i="34" s="1"/>
  <c r="B27" i="34"/>
  <c r="E14" i="34"/>
  <c r="E16" i="31"/>
  <c r="D16" i="31"/>
  <c r="F16" i="31" s="1"/>
  <c r="B16" i="31"/>
  <c r="C18" i="31"/>
  <c r="A20" i="31"/>
  <c r="B15" i="30"/>
  <c r="G14" i="30"/>
  <c r="B15" i="31"/>
  <c r="G14" i="31"/>
  <c r="B13" i="30"/>
  <c r="G12" i="30"/>
  <c r="D16" i="30"/>
  <c r="F16" i="30" s="1"/>
  <c r="E16" i="30"/>
  <c r="A20" i="30"/>
  <c r="C18" i="30"/>
  <c r="E16" i="29"/>
  <c r="D16" i="29"/>
  <c r="F16" i="29" s="1"/>
  <c r="B15" i="29"/>
  <c r="C18" i="29"/>
  <c r="A20" i="29"/>
  <c r="B13" i="28"/>
  <c r="E16" i="28"/>
  <c r="D16" i="28"/>
  <c r="F16" i="28" s="1"/>
  <c r="B15" i="28"/>
  <c r="G14" i="28"/>
  <c r="C18" i="28"/>
  <c r="A20" i="28"/>
  <c r="B27" i="33" l="1"/>
  <c r="C31" i="39"/>
  <c r="A33" i="39"/>
  <c r="A35" i="38"/>
  <c r="C33" i="38"/>
  <c r="B27" i="37"/>
  <c r="B30" i="38"/>
  <c r="G16" i="38"/>
  <c r="G12" i="36"/>
  <c r="B26" i="36"/>
  <c r="G12" i="37"/>
  <c r="B26" i="37"/>
  <c r="B27" i="36"/>
  <c r="B28" i="39"/>
  <c r="G14" i="39"/>
  <c r="C31" i="36"/>
  <c r="A33" i="36"/>
  <c r="E16" i="36"/>
  <c r="D16" i="36"/>
  <c r="F16" i="36" s="1"/>
  <c r="E16" i="37"/>
  <c r="D16" i="37"/>
  <c r="F16" i="37" s="1"/>
  <c r="E18" i="38"/>
  <c r="D18" i="38"/>
  <c r="F18" i="38" s="1"/>
  <c r="E16" i="39"/>
  <c r="D16" i="39"/>
  <c r="F16" i="39" s="1"/>
  <c r="B29" i="39"/>
  <c r="A33" i="37"/>
  <c r="C31" i="37"/>
  <c r="E16" i="33"/>
  <c r="D16" i="33"/>
  <c r="F16" i="33" s="1"/>
  <c r="B29" i="33"/>
  <c r="A33" i="34"/>
  <c r="C31" i="34"/>
  <c r="G12" i="33"/>
  <c r="B26" i="33"/>
  <c r="G16" i="32"/>
  <c r="B17" i="32"/>
  <c r="E16" i="35"/>
  <c r="D16" i="35"/>
  <c r="F16" i="35" s="1"/>
  <c r="B29" i="35"/>
  <c r="B28" i="33"/>
  <c r="G14" i="33"/>
  <c r="D16" i="34"/>
  <c r="F16" i="34" s="1"/>
  <c r="E16" i="34"/>
  <c r="B29" i="34"/>
  <c r="B26" i="34"/>
  <c r="G12" i="34"/>
  <c r="C31" i="35"/>
  <c r="A33" i="35"/>
  <c r="B28" i="35"/>
  <c r="G14" i="35"/>
  <c r="A33" i="33"/>
  <c r="C31" i="33"/>
  <c r="G18" i="32"/>
  <c r="B19" i="32"/>
  <c r="B28" i="34"/>
  <c r="G14" i="34"/>
  <c r="A24" i="32"/>
  <c r="C22" i="32"/>
  <c r="E20" i="32"/>
  <c r="D20" i="32"/>
  <c r="F20" i="32" s="1"/>
  <c r="C20" i="31"/>
  <c r="A22" i="31"/>
  <c r="D18" i="30"/>
  <c r="F18" i="30" s="1"/>
  <c r="E18" i="30"/>
  <c r="E18" i="31"/>
  <c r="D18" i="31"/>
  <c r="F18" i="31" s="1"/>
  <c r="A22" i="30"/>
  <c r="C20" i="30"/>
  <c r="G16" i="31"/>
  <c r="B17" i="31"/>
  <c r="B16" i="30"/>
  <c r="B16" i="29"/>
  <c r="G16" i="29" s="1"/>
  <c r="C20" i="29"/>
  <c r="A22" i="29"/>
  <c r="E18" i="29"/>
  <c r="D18" i="29"/>
  <c r="F18" i="29" s="1"/>
  <c r="B16" i="28"/>
  <c r="B17" i="28" s="1"/>
  <c r="C20" i="28"/>
  <c r="A22" i="28"/>
  <c r="E18" i="28"/>
  <c r="D18" i="28"/>
  <c r="F18" i="28" s="1"/>
  <c r="B31" i="38" l="1"/>
  <c r="B29" i="37"/>
  <c r="B28" i="36"/>
  <c r="G14" i="36"/>
  <c r="B32" i="38"/>
  <c r="G18" i="38"/>
  <c r="B30" i="37"/>
  <c r="G16" i="37"/>
  <c r="E18" i="37"/>
  <c r="D18" i="37"/>
  <c r="F18" i="37" s="1"/>
  <c r="B29" i="36"/>
  <c r="A35" i="37"/>
  <c r="C33" i="37"/>
  <c r="B28" i="37"/>
  <c r="G14" i="37"/>
  <c r="B30" i="39"/>
  <c r="G16" i="39"/>
  <c r="C33" i="36"/>
  <c r="A35" i="36"/>
  <c r="D20" i="38"/>
  <c r="F20" i="38" s="1"/>
  <c r="E20" i="38"/>
  <c r="E18" i="36"/>
  <c r="D18" i="36"/>
  <c r="F18" i="36" s="1"/>
  <c r="C35" i="38"/>
  <c r="A37" i="38"/>
  <c r="C33" i="39"/>
  <c r="A35" i="39"/>
  <c r="E18" i="39"/>
  <c r="D18" i="39"/>
  <c r="F18" i="39" s="1"/>
  <c r="B30" i="35"/>
  <c r="G16" i="35"/>
  <c r="C33" i="35"/>
  <c r="A35" i="35"/>
  <c r="E18" i="35"/>
  <c r="D18" i="35"/>
  <c r="F18" i="35" s="1"/>
  <c r="E22" i="32"/>
  <c r="D22" i="32"/>
  <c r="F22" i="32" s="1"/>
  <c r="B22" i="32"/>
  <c r="B30" i="34"/>
  <c r="G16" i="34"/>
  <c r="A35" i="33"/>
  <c r="C33" i="33"/>
  <c r="B20" i="32"/>
  <c r="C24" i="32"/>
  <c r="A26" i="32"/>
  <c r="E18" i="34"/>
  <c r="D18" i="34"/>
  <c r="F18" i="34" s="1"/>
  <c r="A35" i="34"/>
  <c r="C33" i="34"/>
  <c r="B30" i="33"/>
  <c r="G16" i="33"/>
  <c r="E18" i="33"/>
  <c r="D18" i="33"/>
  <c r="F18" i="33" s="1"/>
  <c r="D20" i="30"/>
  <c r="F20" i="30" s="1"/>
  <c r="E20" i="30"/>
  <c r="C22" i="30"/>
  <c r="A24" i="30"/>
  <c r="B18" i="31"/>
  <c r="B18" i="30"/>
  <c r="A24" i="31"/>
  <c r="C22" i="31"/>
  <c r="B17" i="30"/>
  <c r="G16" i="30"/>
  <c r="E20" i="31"/>
  <c r="D20" i="31"/>
  <c r="F20" i="31" s="1"/>
  <c r="E20" i="29"/>
  <c r="D20" i="29"/>
  <c r="F20" i="29" s="1"/>
  <c r="B18" i="29"/>
  <c r="G18" i="29" s="1"/>
  <c r="A24" i="29"/>
  <c r="C22" i="29"/>
  <c r="B17" i="29"/>
  <c r="G16" i="28"/>
  <c r="B18" i="28"/>
  <c r="C22" i="28"/>
  <c r="A24" i="28"/>
  <c r="D20" i="28"/>
  <c r="F20" i="28" s="1"/>
  <c r="E20" i="28"/>
  <c r="E20" i="37" l="1"/>
  <c r="D20" i="37"/>
  <c r="F20" i="37" s="1"/>
  <c r="B31" i="36"/>
  <c r="C35" i="37"/>
  <c r="A37" i="37"/>
  <c r="B30" i="36"/>
  <c r="G16" i="36"/>
  <c r="B31" i="37"/>
  <c r="B33" i="38"/>
  <c r="A37" i="36"/>
  <c r="C35" i="36"/>
  <c r="B31" i="39"/>
  <c r="E20" i="36"/>
  <c r="D20" i="36"/>
  <c r="F20" i="36" s="1"/>
  <c r="B33" i="36"/>
  <c r="A37" i="39"/>
  <c r="C35" i="39"/>
  <c r="E20" i="39"/>
  <c r="D20" i="39"/>
  <c r="F20" i="39" s="1"/>
  <c r="C37" i="38"/>
  <c r="A39" i="38"/>
  <c r="B35" i="38"/>
  <c r="E22" i="38"/>
  <c r="D22" i="38"/>
  <c r="F22" i="38" s="1"/>
  <c r="B23" i="32"/>
  <c r="G22" i="32"/>
  <c r="D20" i="34"/>
  <c r="F20" i="34" s="1"/>
  <c r="E20" i="34"/>
  <c r="C35" i="34"/>
  <c r="A37" i="34"/>
  <c r="B31" i="34"/>
  <c r="A28" i="32"/>
  <c r="C26" i="32"/>
  <c r="B31" i="35"/>
  <c r="D24" i="32"/>
  <c r="F24" i="32" s="1"/>
  <c r="E24" i="32"/>
  <c r="A37" i="35"/>
  <c r="C35" i="35"/>
  <c r="G20" i="32"/>
  <c r="B21" i="32"/>
  <c r="E20" i="35"/>
  <c r="D20" i="35"/>
  <c r="F20" i="35" s="1"/>
  <c r="B31" i="33"/>
  <c r="D20" i="33"/>
  <c r="F20" i="33" s="1"/>
  <c r="E20" i="33"/>
  <c r="C35" i="33"/>
  <c r="A37" i="33"/>
  <c r="E22" i="31"/>
  <c r="D22" i="31"/>
  <c r="F22" i="31" s="1"/>
  <c r="A26" i="31"/>
  <c r="C24" i="31"/>
  <c r="B19" i="30"/>
  <c r="G18" i="30"/>
  <c r="B19" i="31"/>
  <c r="G18" i="31"/>
  <c r="C24" i="30"/>
  <c r="A26" i="30"/>
  <c r="E22" i="30"/>
  <c r="D22" i="30"/>
  <c r="F22" i="30" s="1"/>
  <c r="B20" i="31"/>
  <c r="B20" i="30"/>
  <c r="E22" i="29"/>
  <c r="D22" i="29"/>
  <c r="F22" i="29" s="1"/>
  <c r="B20" i="29"/>
  <c r="G20" i="29" s="1"/>
  <c r="A26" i="29"/>
  <c r="C24" i="29"/>
  <c r="B19" i="29"/>
  <c r="B20" i="28"/>
  <c r="B21" i="28" s="1"/>
  <c r="A26" i="28"/>
  <c r="C24" i="28"/>
  <c r="D22" i="28"/>
  <c r="F22" i="28" s="1"/>
  <c r="E22" i="28"/>
  <c r="G18" i="28"/>
  <c r="B19" i="28"/>
  <c r="B22" i="30" l="1"/>
  <c r="G20" i="28"/>
  <c r="B33" i="39"/>
  <c r="B33" i="37"/>
  <c r="A41" i="38"/>
  <c r="C39" i="38"/>
  <c r="E22" i="36"/>
  <c r="D22" i="36"/>
  <c r="F22" i="36" s="1"/>
  <c r="B35" i="36"/>
  <c r="B34" i="39"/>
  <c r="G20" i="39"/>
  <c r="G22" i="38"/>
  <c r="B36" i="38"/>
  <c r="B32" i="37"/>
  <c r="G18" i="37"/>
  <c r="A39" i="36"/>
  <c r="C37" i="36"/>
  <c r="E24" i="38"/>
  <c r="D24" i="38"/>
  <c r="F24" i="38" s="1"/>
  <c r="B37" i="38"/>
  <c r="B34" i="38"/>
  <c r="G20" i="38"/>
  <c r="E22" i="39"/>
  <c r="D22" i="39"/>
  <c r="F22" i="39" s="1"/>
  <c r="A39" i="37"/>
  <c r="C37" i="37"/>
  <c r="A39" i="39"/>
  <c r="C37" i="39"/>
  <c r="E22" i="37"/>
  <c r="D22" i="37"/>
  <c r="F22" i="37" s="1"/>
  <c r="B35" i="37"/>
  <c r="B34" i="36"/>
  <c r="G20" i="36"/>
  <c r="B32" i="36"/>
  <c r="G18" i="36"/>
  <c r="B34" i="37"/>
  <c r="G20" i="37"/>
  <c r="B32" i="39"/>
  <c r="G18" i="39"/>
  <c r="B32" i="35"/>
  <c r="G18" i="35"/>
  <c r="B32" i="34"/>
  <c r="G18" i="34"/>
  <c r="E22" i="33"/>
  <c r="D22" i="33"/>
  <c r="F22" i="33" s="1"/>
  <c r="B35" i="33"/>
  <c r="B33" i="33"/>
  <c r="B32" i="33"/>
  <c r="G18" i="33"/>
  <c r="E26" i="32"/>
  <c r="D26" i="32"/>
  <c r="F26" i="32" s="1"/>
  <c r="A30" i="32"/>
  <c r="C28" i="32"/>
  <c r="B33" i="35"/>
  <c r="C37" i="34"/>
  <c r="A39" i="34"/>
  <c r="E22" i="34"/>
  <c r="D22" i="34"/>
  <c r="F22" i="34" s="1"/>
  <c r="E22" i="35"/>
  <c r="D22" i="35"/>
  <c r="F22" i="35" s="1"/>
  <c r="C37" i="33"/>
  <c r="A39" i="33"/>
  <c r="A39" i="35"/>
  <c r="C37" i="35"/>
  <c r="B33" i="34"/>
  <c r="B24" i="32"/>
  <c r="G22" i="30"/>
  <c r="B23" i="30"/>
  <c r="A28" i="30"/>
  <c r="C26" i="30"/>
  <c r="E24" i="30"/>
  <c r="D24" i="30"/>
  <c r="F24" i="30" s="1"/>
  <c r="E24" i="31"/>
  <c r="D24" i="31"/>
  <c r="F24" i="31" s="1"/>
  <c r="B24" i="31"/>
  <c r="B21" i="30"/>
  <c r="G20" i="30"/>
  <c r="A28" i="31"/>
  <c r="C26" i="31"/>
  <c r="G20" i="31"/>
  <c r="B21" i="31"/>
  <c r="B22" i="31"/>
  <c r="B21" i="29"/>
  <c r="E24" i="29"/>
  <c r="D24" i="29"/>
  <c r="F24" i="29" s="1"/>
  <c r="A28" i="29"/>
  <c r="C26" i="29"/>
  <c r="B22" i="29"/>
  <c r="G22" i="29" s="1"/>
  <c r="B22" i="28"/>
  <c r="G22" i="28" s="1"/>
  <c r="D24" i="28"/>
  <c r="F24" i="28" s="1"/>
  <c r="E24" i="28"/>
  <c r="A28" i="28"/>
  <c r="C26" i="28"/>
  <c r="B24" i="29" l="1"/>
  <c r="G24" i="29" s="1"/>
  <c r="B26" i="32"/>
  <c r="B35" i="39"/>
  <c r="B38" i="38"/>
  <c r="G24" i="38"/>
  <c r="A41" i="39"/>
  <c r="C39" i="39"/>
  <c r="D24" i="37"/>
  <c r="F24" i="37" s="1"/>
  <c r="E24" i="37"/>
  <c r="B37" i="37"/>
  <c r="A41" i="36"/>
  <c r="C39" i="36"/>
  <c r="A41" i="37"/>
  <c r="C39" i="37"/>
  <c r="B36" i="36"/>
  <c r="G22" i="36"/>
  <c r="B36" i="37"/>
  <c r="G22" i="37"/>
  <c r="E26" i="38"/>
  <c r="D26" i="38"/>
  <c r="F26" i="38" s="1"/>
  <c r="E24" i="39"/>
  <c r="D24" i="39"/>
  <c r="F24" i="39" s="1"/>
  <c r="B37" i="39"/>
  <c r="E24" i="36"/>
  <c r="D24" i="36"/>
  <c r="F24" i="36" s="1"/>
  <c r="C41" i="38"/>
  <c r="A43" i="38"/>
  <c r="A41" i="34"/>
  <c r="C39" i="34"/>
  <c r="B27" i="32"/>
  <c r="G26" i="32"/>
  <c r="B35" i="35"/>
  <c r="B34" i="33"/>
  <c r="G20" i="33"/>
  <c r="B35" i="34"/>
  <c r="B36" i="33"/>
  <c r="G22" i="33"/>
  <c r="B25" i="32"/>
  <c r="G24" i="32"/>
  <c r="B34" i="34"/>
  <c r="G20" i="34"/>
  <c r="E24" i="34"/>
  <c r="D24" i="34"/>
  <c r="F24" i="34" s="1"/>
  <c r="E24" i="35"/>
  <c r="D24" i="35"/>
  <c r="F24" i="35" s="1"/>
  <c r="B34" i="35"/>
  <c r="G20" i="35"/>
  <c r="A41" i="35"/>
  <c r="C39" i="35"/>
  <c r="D28" i="32"/>
  <c r="F28" i="32" s="1"/>
  <c r="B28" i="32"/>
  <c r="E28" i="32"/>
  <c r="A41" i="33"/>
  <c r="C39" i="33"/>
  <c r="C30" i="32"/>
  <c r="A32" i="32"/>
  <c r="E24" i="33"/>
  <c r="D24" i="33"/>
  <c r="F24" i="33" s="1"/>
  <c r="B37" i="33"/>
  <c r="B25" i="31"/>
  <c r="G24" i="31"/>
  <c r="B24" i="30"/>
  <c r="G22" i="31"/>
  <c r="B23" i="31"/>
  <c r="E26" i="30"/>
  <c r="D26" i="30"/>
  <c r="F26" i="30" s="1"/>
  <c r="C28" i="30"/>
  <c r="A30" i="30"/>
  <c r="D26" i="31"/>
  <c r="F26" i="31" s="1"/>
  <c r="E26" i="31"/>
  <c r="C28" i="31"/>
  <c r="A30" i="31"/>
  <c r="B23" i="29"/>
  <c r="D26" i="29"/>
  <c r="F26" i="29" s="1"/>
  <c r="B26" i="29"/>
  <c r="G26" i="29" s="1"/>
  <c r="E26" i="29"/>
  <c r="C28" i="29"/>
  <c r="A30" i="29"/>
  <c r="B25" i="29"/>
  <c r="B24" i="28"/>
  <c r="B25" i="28" s="1"/>
  <c r="B23" i="28"/>
  <c r="E26" i="28"/>
  <c r="D26" i="28"/>
  <c r="F26" i="28" s="1"/>
  <c r="C28" i="28"/>
  <c r="A30" i="28"/>
  <c r="B26" i="31" l="1"/>
  <c r="G26" i="31" s="1"/>
  <c r="B38" i="39"/>
  <c r="G24" i="39"/>
  <c r="A43" i="37"/>
  <c r="C41" i="37"/>
  <c r="B39" i="38"/>
  <c r="C41" i="39"/>
  <c r="A43" i="39"/>
  <c r="C43" i="38"/>
  <c r="A45" i="38"/>
  <c r="E28" i="38"/>
  <c r="D28" i="38"/>
  <c r="F28" i="38" s="1"/>
  <c r="E26" i="37"/>
  <c r="D26" i="37"/>
  <c r="F26" i="37" s="1"/>
  <c r="D26" i="36"/>
  <c r="F26" i="36" s="1"/>
  <c r="B39" i="36"/>
  <c r="E26" i="36"/>
  <c r="A43" i="36"/>
  <c r="C41" i="36"/>
  <c r="B38" i="37"/>
  <c r="G24" i="37"/>
  <c r="D26" i="39"/>
  <c r="F26" i="39" s="1"/>
  <c r="B39" i="39"/>
  <c r="E26" i="39"/>
  <c r="B37" i="36"/>
  <c r="G22" i="39"/>
  <c r="B36" i="39"/>
  <c r="D26" i="35"/>
  <c r="F26" i="35" s="1"/>
  <c r="B39" i="35"/>
  <c r="E26" i="35"/>
  <c r="B38" i="33"/>
  <c r="G24" i="33"/>
  <c r="D26" i="33"/>
  <c r="F26" i="33" s="1"/>
  <c r="E26" i="33"/>
  <c r="G28" i="32"/>
  <c r="B29" i="32"/>
  <c r="C41" i="35"/>
  <c r="A43" i="35"/>
  <c r="G22" i="34"/>
  <c r="B36" i="34"/>
  <c r="C32" i="32"/>
  <c r="A34" i="32"/>
  <c r="B37" i="35"/>
  <c r="E30" i="32"/>
  <c r="D30" i="32"/>
  <c r="F30" i="32" s="1"/>
  <c r="G22" i="35"/>
  <c r="B36" i="35"/>
  <c r="A43" i="33"/>
  <c r="C41" i="33"/>
  <c r="B37" i="34"/>
  <c r="D26" i="34"/>
  <c r="F26" i="34" s="1"/>
  <c r="B39" i="34"/>
  <c r="E26" i="34"/>
  <c r="C41" i="34"/>
  <c r="A43" i="34"/>
  <c r="C30" i="30"/>
  <c r="A32" i="30"/>
  <c r="B26" i="30"/>
  <c r="C30" i="31"/>
  <c r="A32" i="31"/>
  <c r="B25" i="30"/>
  <c r="G24" i="30"/>
  <c r="B27" i="31"/>
  <c r="E28" i="30"/>
  <c r="D28" i="30"/>
  <c r="F28" i="30" s="1"/>
  <c r="E28" i="31"/>
  <c r="D28" i="31"/>
  <c r="F28" i="31" s="1"/>
  <c r="C30" i="29"/>
  <c r="A32" i="29"/>
  <c r="D28" i="29"/>
  <c r="F28" i="29" s="1"/>
  <c r="E28" i="29"/>
  <c r="B27" i="29"/>
  <c r="G24" i="28"/>
  <c r="B26" i="28"/>
  <c r="G26" i="28" s="1"/>
  <c r="C30" i="28"/>
  <c r="A32" i="28"/>
  <c r="E28" i="28"/>
  <c r="D28" i="28"/>
  <c r="F28" i="28" s="1"/>
  <c r="B28" i="29" l="1"/>
  <c r="G28" i="29" s="1"/>
  <c r="E30" i="38"/>
  <c r="D30" i="38"/>
  <c r="F30" i="38" s="1"/>
  <c r="B40" i="39"/>
  <c r="G26" i="39"/>
  <c r="C45" i="38"/>
  <c r="A47" i="38"/>
  <c r="C43" i="36"/>
  <c r="A45" i="36"/>
  <c r="B40" i="38"/>
  <c r="G26" i="38"/>
  <c r="C43" i="37"/>
  <c r="A45" i="37"/>
  <c r="B41" i="38"/>
  <c r="D28" i="36"/>
  <c r="F28" i="36" s="1"/>
  <c r="B41" i="36"/>
  <c r="E28" i="36"/>
  <c r="C43" i="39"/>
  <c r="A45" i="39"/>
  <c r="E28" i="39"/>
  <c r="D28" i="39"/>
  <c r="F28" i="39" s="1"/>
  <c r="B40" i="36"/>
  <c r="G26" i="36"/>
  <c r="B41" i="37"/>
  <c r="E28" i="37"/>
  <c r="D28" i="37"/>
  <c r="F28" i="37" s="1"/>
  <c r="B38" i="36"/>
  <c r="G24" i="36"/>
  <c r="B39" i="37"/>
  <c r="C43" i="35"/>
  <c r="A45" i="35"/>
  <c r="E28" i="35"/>
  <c r="D28" i="35"/>
  <c r="F28" i="35" s="1"/>
  <c r="E28" i="33"/>
  <c r="D28" i="33"/>
  <c r="F28" i="33" s="1"/>
  <c r="B39" i="33"/>
  <c r="B40" i="34"/>
  <c r="G26" i="34"/>
  <c r="B30" i="32"/>
  <c r="B38" i="35"/>
  <c r="G24" i="35"/>
  <c r="B40" i="35"/>
  <c r="G26" i="35"/>
  <c r="C43" i="33"/>
  <c r="A45" i="33"/>
  <c r="C43" i="34"/>
  <c r="A45" i="34"/>
  <c r="E28" i="34"/>
  <c r="D28" i="34"/>
  <c r="F28" i="34" s="1"/>
  <c r="A36" i="32"/>
  <c r="C34" i="32"/>
  <c r="E32" i="32"/>
  <c r="D32" i="32"/>
  <c r="F32" i="32" s="1"/>
  <c r="B38" i="34"/>
  <c r="G24" i="34"/>
  <c r="A34" i="31"/>
  <c r="C32" i="31"/>
  <c r="G26" i="30"/>
  <c r="B27" i="30"/>
  <c r="E30" i="31"/>
  <c r="D30" i="31"/>
  <c r="F30" i="31" s="1"/>
  <c r="A34" i="30"/>
  <c r="C32" i="30"/>
  <c r="B28" i="30"/>
  <c r="B28" i="31"/>
  <c r="E30" i="30"/>
  <c r="D30" i="30"/>
  <c r="F30" i="30" s="1"/>
  <c r="A34" i="29"/>
  <c r="C32" i="29"/>
  <c r="E30" i="29"/>
  <c r="D30" i="29"/>
  <c r="F30" i="29" s="1"/>
  <c r="B27" i="28"/>
  <c r="B28" i="28"/>
  <c r="C32" i="28"/>
  <c r="A34" i="28"/>
  <c r="E30" i="28"/>
  <c r="D30" i="28"/>
  <c r="F30" i="28" s="1"/>
  <c r="B29" i="29" l="1"/>
  <c r="B43" i="38"/>
  <c r="B32" i="32"/>
  <c r="B30" i="30"/>
  <c r="B41" i="39"/>
  <c r="A49" i="38"/>
  <c r="C47" i="38"/>
  <c r="G28" i="36"/>
  <c r="B42" i="36"/>
  <c r="E30" i="36"/>
  <c r="D30" i="36"/>
  <c r="F30" i="36" s="1"/>
  <c r="E30" i="39"/>
  <c r="D30" i="39"/>
  <c r="F30" i="39" s="1"/>
  <c r="A47" i="39"/>
  <c r="C45" i="39"/>
  <c r="G26" i="37"/>
  <c r="B40" i="37"/>
  <c r="E32" i="38"/>
  <c r="D32" i="38"/>
  <c r="F32" i="38" s="1"/>
  <c r="B45" i="38"/>
  <c r="G28" i="38"/>
  <c r="B42" i="38"/>
  <c r="E30" i="37"/>
  <c r="D30" i="37"/>
  <c r="F30" i="37" s="1"/>
  <c r="C45" i="36"/>
  <c r="A47" i="36"/>
  <c r="B42" i="37"/>
  <c r="G28" i="37"/>
  <c r="C45" i="37"/>
  <c r="A47" i="37"/>
  <c r="B44" i="38"/>
  <c r="G30" i="38"/>
  <c r="G30" i="32"/>
  <c r="B31" i="32"/>
  <c r="B40" i="33"/>
  <c r="G26" i="33"/>
  <c r="E30" i="34"/>
  <c r="D30" i="34"/>
  <c r="F30" i="34" s="1"/>
  <c r="C45" i="33"/>
  <c r="A47" i="33"/>
  <c r="G32" i="32"/>
  <c r="B33" i="32"/>
  <c r="A38" i="32"/>
  <c r="C36" i="32"/>
  <c r="B41" i="34"/>
  <c r="C45" i="34"/>
  <c r="A47" i="34"/>
  <c r="B41" i="33"/>
  <c r="E30" i="33"/>
  <c r="D30" i="33"/>
  <c r="F30" i="33" s="1"/>
  <c r="B41" i="35"/>
  <c r="A47" i="35"/>
  <c r="C45" i="35"/>
  <c r="E34" i="32"/>
  <c r="D34" i="32"/>
  <c r="F34" i="32" s="1"/>
  <c r="B34" i="32"/>
  <c r="E30" i="35"/>
  <c r="D30" i="35"/>
  <c r="F30" i="35" s="1"/>
  <c r="B31" i="30"/>
  <c r="G30" i="30"/>
  <c r="E32" i="30"/>
  <c r="D32" i="30"/>
  <c r="F32" i="30" s="1"/>
  <c r="B29" i="30"/>
  <c r="G28" i="30"/>
  <c r="G28" i="31"/>
  <c r="B29" i="31"/>
  <c r="A36" i="30"/>
  <c r="C34" i="30"/>
  <c r="B30" i="31"/>
  <c r="E32" i="31"/>
  <c r="D32" i="31"/>
  <c r="F32" i="31" s="1"/>
  <c r="C34" i="31"/>
  <c r="A36" i="31"/>
  <c r="B30" i="29"/>
  <c r="G30" i="29" s="1"/>
  <c r="E32" i="29"/>
  <c r="D32" i="29"/>
  <c r="F32" i="29" s="1"/>
  <c r="B32" i="29"/>
  <c r="G32" i="29" s="1"/>
  <c r="A36" i="29"/>
  <c r="C34" i="29"/>
  <c r="B30" i="28"/>
  <c r="A36" i="28"/>
  <c r="C34" i="28"/>
  <c r="E32" i="28"/>
  <c r="D32" i="28"/>
  <c r="F32" i="28" s="1"/>
  <c r="G28" i="28"/>
  <c r="B29" i="28"/>
  <c r="B32" i="30" l="1"/>
  <c r="B43" i="37"/>
  <c r="G32" i="38"/>
  <c r="B46" i="38"/>
  <c r="A49" i="37"/>
  <c r="C47" i="37"/>
  <c r="E32" i="37"/>
  <c r="D32" i="37"/>
  <c r="F32" i="37" s="1"/>
  <c r="E34" i="38"/>
  <c r="D34" i="38"/>
  <c r="F34" i="38" s="1"/>
  <c r="B47" i="38"/>
  <c r="E32" i="36"/>
  <c r="D32" i="36"/>
  <c r="F32" i="36" s="1"/>
  <c r="A49" i="39"/>
  <c r="C47" i="39"/>
  <c r="C49" i="38"/>
  <c r="A51" i="38"/>
  <c r="B43" i="39"/>
  <c r="B43" i="36"/>
  <c r="A49" i="36"/>
  <c r="C47" i="36"/>
  <c r="E32" i="39"/>
  <c r="D32" i="39"/>
  <c r="F32" i="39" s="1"/>
  <c r="G28" i="39"/>
  <c r="B42" i="39"/>
  <c r="E32" i="35"/>
  <c r="D32" i="35"/>
  <c r="F32" i="35" s="1"/>
  <c r="E32" i="33"/>
  <c r="D32" i="33"/>
  <c r="F32" i="33" s="1"/>
  <c r="B45" i="33"/>
  <c r="A40" i="32"/>
  <c r="C38" i="32"/>
  <c r="G28" i="35"/>
  <c r="B42" i="35"/>
  <c r="B43" i="33"/>
  <c r="B43" i="35"/>
  <c r="A49" i="35"/>
  <c r="C47" i="35"/>
  <c r="A49" i="33"/>
  <c r="C47" i="33"/>
  <c r="G28" i="33"/>
  <c r="B42" i="33"/>
  <c r="B43" i="34"/>
  <c r="A49" i="34"/>
  <c r="C47" i="34"/>
  <c r="E32" i="34"/>
  <c r="D32" i="34"/>
  <c r="F32" i="34" s="1"/>
  <c r="G34" i="32"/>
  <c r="B35" i="32"/>
  <c r="G28" i="34"/>
  <c r="B42" i="34"/>
  <c r="E36" i="32"/>
  <c r="D36" i="32"/>
  <c r="F36" i="32" s="1"/>
  <c r="E34" i="30"/>
  <c r="D34" i="30"/>
  <c r="F34" i="30" s="1"/>
  <c r="E34" i="31"/>
  <c r="D34" i="31"/>
  <c r="F34" i="31" s="1"/>
  <c r="B34" i="31"/>
  <c r="B31" i="31"/>
  <c r="G30" i="31"/>
  <c r="C36" i="30"/>
  <c r="A38" i="30"/>
  <c r="C36" i="31"/>
  <c r="A38" i="31"/>
  <c r="G32" i="30"/>
  <c r="B33" i="30"/>
  <c r="B32" i="31"/>
  <c r="E34" i="29"/>
  <c r="D34" i="29"/>
  <c r="F34" i="29" s="1"/>
  <c r="B33" i="29"/>
  <c r="C36" i="29"/>
  <c r="A38" i="29"/>
  <c r="B31" i="29"/>
  <c r="B32" i="28"/>
  <c r="B33" i="28" s="1"/>
  <c r="C36" i="28"/>
  <c r="A38" i="28"/>
  <c r="E34" i="28"/>
  <c r="D34" i="28"/>
  <c r="F34" i="28" s="1"/>
  <c r="G30" i="28"/>
  <c r="B31" i="28"/>
  <c r="B34" i="29" l="1"/>
  <c r="G34" i="29" s="1"/>
  <c r="B45" i="37"/>
  <c r="G34" i="38"/>
  <c r="B48" i="38"/>
  <c r="C49" i="36"/>
  <c r="A51" i="36"/>
  <c r="E34" i="36"/>
  <c r="D34" i="36"/>
  <c r="F34" i="36" s="1"/>
  <c r="B47" i="36"/>
  <c r="A53" i="38"/>
  <c r="C51" i="38"/>
  <c r="E34" i="37"/>
  <c r="D34" i="37"/>
  <c r="F34" i="37" s="1"/>
  <c r="E34" i="39"/>
  <c r="D34" i="39"/>
  <c r="F34" i="39" s="1"/>
  <c r="B47" i="39"/>
  <c r="C49" i="39"/>
  <c r="A51" i="39"/>
  <c r="G30" i="36"/>
  <c r="B44" i="36"/>
  <c r="G32" i="37"/>
  <c r="B46" i="37"/>
  <c r="B44" i="39"/>
  <c r="G30" i="39"/>
  <c r="B49" i="38"/>
  <c r="E36" i="38"/>
  <c r="D36" i="38"/>
  <c r="F36" i="38" s="1"/>
  <c r="C49" i="37"/>
  <c r="A51" i="37"/>
  <c r="B45" i="36"/>
  <c r="B45" i="39"/>
  <c r="B44" i="37"/>
  <c r="G30" i="37"/>
  <c r="B45" i="34"/>
  <c r="B44" i="34"/>
  <c r="G30" i="34"/>
  <c r="G32" i="33"/>
  <c r="B46" i="33"/>
  <c r="B36" i="32"/>
  <c r="B44" i="35"/>
  <c r="G30" i="35"/>
  <c r="C40" i="32"/>
  <c r="A42" i="32"/>
  <c r="E34" i="33"/>
  <c r="D34" i="33"/>
  <c r="F34" i="33" s="1"/>
  <c r="C49" i="33"/>
  <c r="A51" i="33"/>
  <c r="E34" i="35"/>
  <c r="D34" i="35"/>
  <c r="F34" i="35" s="1"/>
  <c r="B47" i="35"/>
  <c r="B44" i="33"/>
  <c r="G30" i="33"/>
  <c r="E34" i="34"/>
  <c r="D34" i="34"/>
  <c r="F34" i="34" s="1"/>
  <c r="B47" i="34"/>
  <c r="C49" i="34"/>
  <c r="A51" i="34"/>
  <c r="E38" i="32"/>
  <c r="D38" i="32"/>
  <c r="F38" i="32" s="1"/>
  <c r="C49" i="35"/>
  <c r="A51" i="35"/>
  <c r="B45" i="35"/>
  <c r="E36" i="30"/>
  <c r="D36" i="30"/>
  <c r="F36" i="30" s="1"/>
  <c r="A40" i="31"/>
  <c r="C38" i="31"/>
  <c r="A40" i="30"/>
  <c r="C38" i="30"/>
  <c r="G32" i="31"/>
  <c r="B33" i="31"/>
  <c r="E36" i="31"/>
  <c r="D36" i="31"/>
  <c r="F36" i="31" s="1"/>
  <c r="G34" i="31"/>
  <c r="B35" i="31"/>
  <c r="B34" i="30"/>
  <c r="A40" i="29"/>
  <c r="C38" i="29"/>
  <c r="E36" i="29"/>
  <c r="D36" i="29"/>
  <c r="F36" i="29" s="1"/>
  <c r="B35" i="29"/>
  <c r="G32" i="28"/>
  <c r="B34" i="28"/>
  <c r="G34" i="28" s="1"/>
  <c r="A40" i="28"/>
  <c r="C38" i="28"/>
  <c r="E36" i="28"/>
  <c r="D36" i="28"/>
  <c r="F36" i="28" s="1"/>
  <c r="E38" i="38" l="1"/>
  <c r="D38" i="38"/>
  <c r="F38" i="38" s="1"/>
  <c r="G32" i="39"/>
  <c r="B46" i="39"/>
  <c r="G32" i="36"/>
  <c r="B46" i="36"/>
  <c r="B50" i="38"/>
  <c r="G36" i="38"/>
  <c r="A53" i="37"/>
  <c r="C51" i="37"/>
  <c r="C51" i="36"/>
  <c r="A53" i="36"/>
  <c r="E36" i="37"/>
  <c r="D36" i="37"/>
  <c r="F36" i="37" s="1"/>
  <c r="G34" i="39"/>
  <c r="B48" i="39"/>
  <c r="E36" i="36"/>
  <c r="D36" i="36"/>
  <c r="F36" i="36" s="1"/>
  <c r="B47" i="37"/>
  <c r="G34" i="36"/>
  <c r="B48" i="36"/>
  <c r="A53" i="39"/>
  <c r="C51" i="39"/>
  <c r="E36" i="39"/>
  <c r="D36" i="39"/>
  <c r="F36" i="39" s="1"/>
  <c r="A55" i="38"/>
  <c r="C53" i="38"/>
  <c r="G34" i="34"/>
  <c r="B48" i="34"/>
  <c r="E36" i="34"/>
  <c r="D36" i="34"/>
  <c r="F36" i="34" s="1"/>
  <c r="G32" i="35"/>
  <c r="B46" i="35"/>
  <c r="A44" i="32"/>
  <c r="C42" i="32"/>
  <c r="A53" i="35"/>
  <c r="C51" i="35"/>
  <c r="G36" i="32"/>
  <c r="B37" i="32"/>
  <c r="E36" i="35"/>
  <c r="D36" i="35"/>
  <c r="F36" i="35" s="1"/>
  <c r="A53" i="33"/>
  <c r="C51" i="33"/>
  <c r="E36" i="33"/>
  <c r="D36" i="33"/>
  <c r="F36" i="33" s="1"/>
  <c r="E40" i="32"/>
  <c r="D40" i="32"/>
  <c r="F40" i="32" s="1"/>
  <c r="G34" i="35"/>
  <c r="B48" i="35"/>
  <c r="B38" i="32"/>
  <c r="A53" i="34"/>
  <c r="C51" i="34"/>
  <c r="B47" i="33"/>
  <c r="G32" i="34"/>
  <c r="B46" i="34"/>
  <c r="G34" i="30"/>
  <c r="B35" i="30"/>
  <c r="A42" i="30"/>
  <c r="C40" i="30"/>
  <c r="B36" i="31"/>
  <c r="E38" i="30"/>
  <c r="D38" i="30"/>
  <c r="F38" i="30" s="1"/>
  <c r="E38" i="31"/>
  <c r="D38" i="31"/>
  <c r="F38" i="31" s="1"/>
  <c r="B38" i="31"/>
  <c r="A42" i="31"/>
  <c r="C40" i="31"/>
  <c r="B36" i="30"/>
  <c r="B36" i="29"/>
  <c r="G36" i="29" s="1"/>
  <c r="E38" i="29"/>
  <c r="D38" i="29"/>
  <c r="F38" i="29" s="1"/>
  <c r="A42" i="29"/>
  <c r="C40" i="29"/>
  <c r="B35" i="28"/>
  <c r="B36" i="28"/>
  <c r="E38" i="28"/>
  <c r="D38" i="28"/>
  <c r="F38" i="28" s="1"/>
  <c r="A42" i="28"/>
  <c r="C40" i="28"/>
  <c r="B51" i="38" l="1"/>
  <c r="B38" i="29"/>
  <c r="E38" i="36"/>
  <c r="D38" i="36"/>
  <c r="F38" i="36" s="1"/>
  <c r="B51" i="36"/>
  <c r="E38" i="37"/>
  <c r="D38" i="37"/>
  <c r="F38" i="37" s="1"/>
  <c r="A55" i="37"/>
  <c r="C53" i="37"/>
  <c r="B49" i="36"/>
  <c r="G34" i="37"/>
  <c r="B48" i="37"/>
  <c r="G38" i="38"/>
  <c r="B52" i="38"/>
  <c r="E40" i="38"/>
  <c r="D40" i="38"/>
  <c r="F40" i="38" s="1"/>
  <c r="A57" i="38"/>
  <c r="C55" i="38"/>
  <c r="B49" i="39"/>
  <c r="B49" i="37"/>
  <c r="E38" i="39"/>
  <c r="D38" i="39"/>
  <c r="F38" i="39" s="1"/>
  <c r="A55" i="39"/>
  <c r="C53" i="39"/>
  <c r="C53" i="36"/>
  <c r="A55" i="36"/>
  <c r="B40" i="32"/>
  <c r="E38" i="34"/>
  <c r="D38" i="34"/>
  <c r="F38" i="34" s="1"/>
  <c r="B51" i="34"/>
  <c r="A46" i="32"/>
  <c r="C44" i="32"/>
  <c r="B49" i="34"/>
  <c r="A55" i="35"/>
  <c r="C53" i="35"/>
  <c r="E38" i="33"/>
  <c r="D38" i="33"/>
  <c r="F38" i="33" s="1"/>
  <c r="B51" i="33"/>
  <c r="B49" i="35"/>
  <c r="E38" i="35"/>
  <c r="D38" i="35"/>
  <c r="F38" i="35" s="1"/>
  <c r="B51" i="35"/>
  <c r="E42" i="32"/>
  <c r="D42" i="32"/>
  <c r="F42" i="32" s="1"/>
  <c r="B49" i="33"/>
  <c r="G34" i="33"/>
  <c r="B48" i="33"/>
  <c r="A55" i="33"/>
  <c r="C53" i="33"/>
  <c r="A55" i="34"/>
  <c r="C53" i="34"/>
  <c r="B39" i="32"/>
  <c r="G38" i="32"/>
  <c r="B38" i="30"/>
  <c r="C42" i="30"/>
  <c r="A44" i="30"/>
  <c r="C42" i="31"/>
  <c r="A44" i="31"/>
  <c r="B39" i="31"/>
  <c r="G38" i="31"/>
  <c r="B37" i="31"/>
  <c r="G36" i="31"/>
  <c r="E40" i="30"/>
  <c r="D40" i="30"/>
  <c r="F40" i="30" s="1"/>
  <c r="B37" i="30"/>
  <c r="G36" i="30"/>
  <c r="E40" i="31"/>
  <c r="D40" i="31"/>
  <c r="F40" i="31" s="1"/>
  <c r="E40" i="29"/>
  <c r="D40" i="29"/>
  <c r="F40" i="29" s="1"/>
  <c r="C42" i="29"/>
  <c r="A44" i="29"/>
  <c r="B37" i="29"/>
  <c r="B38" i="28"/>
  <c r="G38" i="28"/>
  <c r="B39" i="28"/>
  <c r="D40" i="28"/>
  <c r="F40" i="28" s="1"/>
  <c r="E40" i="28"/>
  <c r="C42" i="28"/>
  <c r="A44" i="28"/>
  <c r="G36" i="28"/>
  <c r="B37" i="28"/>
  <c r="B39" i="29" l="1"/>
  <c r="G38" i="29"/>
  <c r="B51" i="39"/>
  <c r="B51" i="37"/>
  <c r="B42" i="32"/>
  <c r="G38" i="39"/>
  <c r="B52" i="39"/>
  <c r="A57" i="37"/>
  <c r="C55" i="37"/>
  <c r="E40" i="37"/>
  <c r="D40" i="37"/>
  <c r="F40" i="37" s="1"/>
  <c r="E42" i="38"/>
  <c r="D42" i="38"/>
  <c r="F42" i="38" s="1"/>
  <c r="A59" i="38"/>
  <c r="C57" i="38"/>
  <c r="B52" i="36"/>
  <c r="G38" i="36"/>
  <c r="C55" i="39"/>
  <c r="A57" i="39"/>
  <c r="G36" i="36"/>
  <c r="B50" i="36"/>
  <c r="B50" i="39"/>
  <c r="G36" i="39"/>
  <c r="B52" i="37"/>
  <c r="G38" i="37"/>
  <c r="G36" i="37"/>
  <c r="B50" i="37"/>
  <c r="C55" i="36"/>
  <c r="A57" i="36"/>
  <c r="D40" i="36"/>
  <c r="F40" i="36" s="1"/>
  <c r="B53" i="36"/>
  <c r="E40" i="36"/>
  <c r="B53" i="38"/>
  <c r="E40" i="39"/>
  <c r="D40" i="39"/>
  <c r="F40" i="39" s="1"/>
  <c r="C55" i="33"/>
  <c r="A57" i="33"/>
  <c r="B52" i="33"/>
  <c r="G38" i="33"/>
  <c r="E40" i="35"/>
  <c r="D40" i="35"/>
  <c r="F40" i="35" s="1"/>
  <c r="C46" i="32"/>
  <c r="A48" i="32"/>
  <c r="C48" i="32" s="1"/>
  <c r="G42" i="32"/>
  <c r="B43" i="32"/>
  <c r="E40" i="33"/>
  <c r="D40" i="33"/>
  <c r="F40" i="33" s="1"/>
  <c r="G36" i="33"/>
  <c r="B50" i="33"/>
  <c r="B50" i="34"/>
  <c r="G36" i="34"/>
  <c r="D44" i="32"/>
  <c r="F44" i="32" s="1"/>
  <c r="E44" i="32"/>
  <c r="G38" i="34"/>
  <c r="B52" i="34"/>
  <c r="E40" i="34"/>
  <c r="D40" i="34"/>
  <c r="F40" i="34" s="1"/>
  <c r="C55" i="35"/>
  <c r="A57" i="35"/>
  <c r="G38" i="35"/>
  <c r="B52" i="35"/>
  <c r="A57" i="34"/>
  <c r="C55" i="34"/>
  <c r="B50" i="35"/>
  <c r="G36" i="35"/>
  <c r="B41" i="32"/>
  <c r="G40" i="32"/>
  <c r="B40" i="30"/>
  <c r="A46" i="30"/>
  <c r="C44" i="30"/>
  <c r="A46" i="31"/>
  <c r="C44" i="31"/>
  <c r="E42" i="31"/>
  <c r="D42" i="31"/>
  <c r="F42" i="31" s="1"/>
  <c r="D42" i="30"/>
  <c r="F42" i="30" s="1"/>
  <c r="E42" i="30"/>
  <c r="B40" i="31"/>
  <c r="G38" i="30"/>
  <c r="B39" i="30"/>
  <c r="E42" i="29"/>
  <c r="D42" i="29"/>
  <c r="F42" i="29" s="1"/>
  <c r="A46" i="29"/>
  <c r="C44" i="29"/>
  <c r="B40" i="29"/>
  <c r="G40" i="29" s="1"/>
  <c r="B40" i="28"/>
  <c r="G40" i="28" s="1"/>
  <c r="A46" i="28"/>
  <c r="C44" i="28"/>
  <c r="E42" i="28"/>
  <c r="D42" i="28"/>
  <c r="F42" i="28" s="1"/>
  <c r="B41" i="28" l="1"/>
  <c r="B53" i="34"/>
  <c r="B53" i="33"/>
  <c r="B42" i="31"/>
  <c r="D44" i="38"/>
  <c r="F44" i="38" s="1"/>
  <c r="B57" i="38"/>
  <c r="E44" i="38"/>
  <c r="B53" i="39"/>
  <c r="B55" i="38"/>
  <c r="E42" i="37"/>
  <c r="D42" i="37"/>
  <c r="F42" i="37" s="1"/>
  <c r="A61" i="38"/>
  <c r="C61" i="38" s="1"/>
  <c r="C59" i="38"/>
  <c r="B53" i="37"/>
  <c r="E42" i="39"/>
  <c r="D42" i="39"/>
  <c r="F42" i="39" s="1"/>
  <c r="A59" i="37"/>
  <c r="C57" i="37"/>
  <c r="B54" i="38"/>
  <c r="G40" i="38"/>
  <c r="B54" i="36"/>
  <c r="G40" i="36"/>
  <c r="A59" i="39"/>
  <c r="C57" i="39"/>
  <c r="C57" i="36"/>
  <c r="A59" i="36"/>
  <c r="E42" i="36"/>
  <c r="D42" i="36"/>
  <c r="F42" i="36" s="1"/>
  <c r="B55" i="36"/>
  <c r="B54" i="33"/>
  <c r="G40" i="33"/>
  <c r="B44" i="32"/>
  <c r="E42" i="35"/>
  <c r="D42" i="35"/>
  <c r="F42" i="35" s="1"/>
  <c r="B54" i="34"/>
  <c r="G40" i="34"/>
  <c r="B53" i="35"/>
  <c r="A59" i="33"/>
  <c r="C57" i="33"/>
  <c r="E48" i="32"/>
  <c r="D48" i="32"/>
  <c r="B48" i="32"/>
  <c r="E42" i="34"/>
  <c r="D42" i="34"/>
  <c r="F42" i="34" s="1"/>
  <c r="E46" i="32"/>
  <c r="D46" i="32"/>
  <c r="F46" i="32" s="1"/>
  <c r="A59" i="34"/>
  <c r="C57" i="34"/>
  <c r="C57" i="35"/>
  <c r="A59" i="35"/>
  <c r="E42" i="33"/>
  <c r="D42" i="33"/>
  <c r="F42" i="33" s="1"/>
  <c r="B43" i="31"/>
  <c r="G42" i="31"/>
  <c r="B41" i="31"/>
  <c r="G40" i="31"/>
  <c r="E44" i="31"/>
  <c r="D44" i="31"/>
  <c r="F44" i="31" s="1"/>
  <c r="B44" i="31"/>
  <c r="D44" i="30"/>
  <c r="F44" i="30" s="1"/>
  <c r="E44" i="30"/>
  <c r="A48" i="30"/>
  <c r="C48" i="30" s="1"/>
  <c r="C46" i="30"/>
  <c r="B42" i="30"/>
  <c r="A48" i="31"/>
  <c r="C48" i="31" s="1"/>
  <c r="C46" i="31"/>
  <c r="B41" i="30"/>
  <c r="G40" i="30"/>
  <c r="A48" i="29"/>
  <c r="C48" i="29" s="1"/>
  <c r="C46" i="29"/>
  <c r="B41" i="29"/>
  <c r="E44" i="29"/>
  <c r="D44" i="29"/>
  <c r="F44" i="29" s="1"/>
  <c r="B42" i="29"/>
  <c r="G42" i="29" s="1"/>
  <c r="B42" i="28"/>
  <c r="E44" i="28"/>
  <c r="D44" i="28"/>
  <c r="F44" i="28" s="1"/>
  <c r="A48" i="28"/>
  <c r="C48" i="28" s="1"/>
  <c r="C46" i="28"/>
  <c r="B44" i="30" l="1"/>
  <c r="G44" i="30" s="1"/>
  <c r="B55" i="39"/>
  <c r="B46" i="32"/>
  <c r="B47" i="32" s="1"/>
  <c r="A61" i="39"/>
  <c r="C61" i="39" s="1"/>
  <c r="C59" i="39"/>
  <c r="B54" i="37"/>
  <c r="G40" i="37"/>
  <c r="G42" i="38"/>
  <c r="B56" i="38"/>
  <c r="G42" i="39"/>
  <c r="B56" i="39"/>
  <c r="E44" i="39"/>
  <c r="D44" i="39"/>
  <c r="F44" i="39" s="1"/>
  <c r="B55" i="37"/>
  <c r="B54" i="39"/>
  <c r="G40" i="39"/>
  <c r="G42" i="36"/>
  <c r="B56" i="36"/>
  <c r="A61" i="37"/>
  <c r="C61" i="37" s="1"/>
  <c r="C59" i="37"/>
  <c r="E44" i="36"/>
  <c r="D44" i="36"/>
  <c r="F44" i="36" s="1"/>
  <c r="B61" i="38"/>
  <c r="E48" i="38"/>
  <c r="D48" i="38"/>
  <c r="B58" i="38"/>
  <c r="G44" i="38"/>
  <c r="C59" i="36"/>
  <c r="A61" i="36"/>
  <c r="C61" i="36" s="1"/>
  <c r="E46" i="38"/>
  <c r="D46" i="38"/>
  <c r="F46" i="38" s="1"/>
  <c r="B59" i="38"/>
  <c r="B60" i="38" s="1"/>
  <c r="E44" i="37"/>
  <c r="D44" i="37"/>
  <c r="F44" i="37" s="1"/>
  <c r="A61" i="35"/>
  <c r="C61" i="35" s="1"/>
  <c r="C59" i="35"/>
  <c r="A61" i="33"/>
  <c r="C61" i="33" s="1"/>
  <c r="C59" i="33"/>
  <c r="E44" i="35"/>
  <c r="D44" i="35"/>
  <c r="F44" i="35" s="1"/>
  <c r="B57" i="35"/>
  <c r="B54" i="35"/>
  <c r="G40" i="35"/>
  <c r="B55" i="35"/>
  <c r="B57" i="33"/>
  <c r="D44" i="33"/>
  <c r="F44" i="33" s="1"/>
  <c r="E44" i="33"/>
  <c r="B45" i="32"/>
  <c r="G44" i="32"/>
  <c r="A61" i="34"/>
  <c r="C61" i="34" s="1"/>
  <c r="C59" i="34"/>
  <c r="D44" i="34"/>
  <c r="F44" i="34" s="1"/>
  <c r="B57" i="34"/>
  <c r="E44" i="34"/>
  <c r="B55" i="34"/>
  <c r="B55" i="33"/>
  <c r="D48" i="30"/>
  <c r="B48" i="30" s="1"/>
  <c r="E48" i="30"/>
  <c r="E46" i="30"/>
  <c r="D46" i="30"/>
  <c r="F46" i="30" s="1"/>
  <c r="B45" i="30"/>
  <c r="G44" i="31"/>
  <c r="B45" i="31"/>
  <c r="E46" i="31"/>
  <c r="D46" i="31"/>
  <c r="F46" i="31" s="1"/>
  <c r="B46" i="31"/>
  <c r="B47" i="31" s="1"/>
  <c r="B48" i="31"/>
  <c r="E48" i="31"/>
  <c r="D48" i="31"/>
  <c r="B43" i="30"/>
  <c r="G42" i="30"/>
  <c r="B43" i="29"/>
  <c r="E46" i="29"/>
  <c r="D46" i="29"/>
  <c r="F46" i="29" s="1"/>
  <c r="B46" i="29"/>
  <c r="B47" i="29" s="1"/>
  <c r="B44" i="29"/>
  <c r="G44" i="29" s="1"/>
  <c r="B48" i="29"/>
  <c r="E48" i="29"/>
  <c r="D48" i="29"/>
  <c r="B44" i="28"/>
  <c r="G44" i="28" s="1"/>
  <c r="E48" i="28"/>
  <c r="B48" i="28"/>
  <c r="D48" i="28"/>
  <c r="B46" i="28"/>
  <c r="B47" i="28" s="1"/>
  <c r="E46" i="28"/>
  <c r="D46" i="28"/>
  <c r="F46" i="28" s="1"/>
  <c r="G42" i="28"/>
  <c r="B43" i="28"/>
  <c r="C8" i="25"/>
  <c r="D8" i="25"/>
  <c r="C13" i="25"/>
  <c r="D18" i="25"/>
  <c r="D23" i="25"/>
  <c r="C18" i="25"/>
  <c r="D13" i="25"/>
  <c r="C28" i="25"/>
  <c r="C23" i="25"/>
  <c r="D28" i="25"/>
  <c r="A12" i="1"/>
  <c r="A17" i="1" s="1"/>
  <c r="A22" i="1" s="1"/>
  <c r="A27" i="1" s="1"/>
  <c r="B3" i="2"/>
  <c r="B46" i="30" l="1"/>
  <c r="B47" i="30" s="1"/>
  <c r="B45" i="28"/>
  <c r="B57" i="39"/>
  <c r="G42" i="37"/>
  <c r="B56" i="37"/>
  <c r="B58" i="39"/>
  <c r="G44" i="39"/>
  <c r="D48" i="36"/>
  <c r="E48" i="36"/>
  <c r="B61" i="36"/>
  <c r="E46" i="36"/>
  <c r="D46" i="36"/>
  <c r="F46" i="36" s="1"/>
  <c r="B59" i="36"/>
  <c r="B60" i="36" s="1"/>
  <c r="B57" i="36"/>
  <c r="E48" i="37"/>
  <c r="D48" i="37"/>
  <c r="B61" i="37"/>
  <c r="E46" i="39"/>
  <c r="D46" i="39"/>
  <c r="F46" i="39" s="1"/>
  <c r="B59" i="39"/>
  <c r="B60" i="39" s="1"/>
  <c r="B57" i="37"/>
  <c r="E46" i="37"/>
  <c r="D46" i="37"/>
  <c r="F46" i="37" s="1"/>
  <c r="B59" i="37"/>
  <c r="B60" i="37" s="1"/>
  <c r="B61" i="39"/>
  <c r="E48" i="39"/>
  <c r="D48" i="39"/>
  <c r="B58" i="33"/>
  <c r="G44" i="33"/>
  <c r="G42" i="34"/>
  <c r="B56" i="34"/>
  <c r="G42" i="35"/>
  <c r="B56" i="35"/>
  <c r="E48" i="33"/>
  <c r="D48" i="33"/>
  <c r="B61" i="33"/>
  <c r="B58" i="34"/>
  <c r="G44" i="34"/>
  <c r="B58" i="35"/>
  <c r="G44" i="35"/>
  <c r="E46" i="34"/>
  <c r="D46" i="34"/>
  <c r="F46" i="34" s="1"/>
  <c r="B59" i="34"/>
  <c r="B60" i="34" s="1"/>
  <c r="B61" i="34"/>
  <c r="E48" i="34"/>
  <c r="D48" i="34"/>
  <c r="E46" i="33"/>
  <c r="D46" i="33"/>
  <c r="F46" i="33" s="1"/>
  <c r="B59" i="33"/>
  <c r="B60" i="33" s="1"/>
  <c r="E46" i="35"/>
  <c r="D46" i="35"/>
  <c r="F46" i="35" s="1"/>
  <c r="G42" i="33"/>
  <c r="B56" i="33"/>
  <c r="E48" i="35"/>
  <c r="D48" i="35"/>
  <c r="B61" i="35" s="1"/>
  <c r="B45" i="29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59" i="35" l="1"/>
  <c r="B60" i="35" s="1"/>
  <c r="B58" i="36"/>
  <c r="G44" i="36"/>
  <c r="B58" i="37"/>
  <c r="G44" i="37"/>
  <c r="B40" i="2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5" i="25" l="1"/>
  <c r="B5" i="1"/>
</calcChain>
</file>

<file path=xl/sharedStrings.xml><?xml version="1.0" encoding="utf-8"?>
<sst xmlns="http://schemas.openxmlformats.org/spreadsheetml/2006/main" count="996" uniqueCount="133">
  <si>
    <t>Au :</t>
  </si>
  <si>
    <t>Du :</t>
  </si>
  <si>
    <t>LUNDI</t>
  </si>
  <si>
    <t>MARDI</t>
  </si>
  <si>
    <t>MERCREDI</t>
  </si>
  <si>
    <t>JEUDI</t>
  </si>
  <si>
    <t>VENDREDI</t>
  </si>
  <si>
    <t>DAV</t>
  </si>
  <si>
    <t>MICK</t>
  </si>
  <si>
    <t>ALEX</t>
  </si>
  <si>
    <t>DATE</t>
  </si>
  <si>
    <t>BE</t>
  </si>
  <si>
    <t>DRAIN</t>
  </si>
  <si>
    <t>Année</t>
  </si>
  <si>
    <t>Mois de début</t>
  </si>
  <si>
    <t>Jour de début de la semaine</t>
  </si>
  <si>
    <t>CALENDRIER THOME</t>
  </si>
  <si>
    <t>ADRESSE</t>
  </si>
  <si>
    <t>CHANTIER</t>
  </si>
  <si>
    <t>CUVELAGE</t>
  </si>
  <si>
    <t>RENO</t>
  </si>
  <si>
    <t>CUBE</t>
  </si>
  <si>
    <t>S&amp;B</t>
  </si>
  <si>
    <t>URBAN</t>
  </si>
  <si>
    <t>PUREVENT</t>
  </si>
  <si>
    <t>PRO 800</t>
  </si>
  <si>
    <t>PUISARD</t>
  </si>
  <si>
    <t>VMC</t>
  </si>
  <si>
    <t>ENTRETIEN</t>
  </si>
  <si>
    <t>M</t>
  </si>
  <si>
    <t>J</t>
  </si>
  <si>
    <t>SEM</t>
  </si>
  <si>
    <t>NUMERO SEMAINE</t>
  </si>
  <si>
    <t>ANNÉE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</si>
  <si>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</si>
  <si>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</si>
  <si>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</si>
  <si>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</si>
  <si>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</si>
  <si>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</si>
  <si>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</si>
  <si>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</si>
  <si>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DE 1918</t>
  </si>
  <si>
    <t>NOËL</t>
  </si>
  <si>
    <t>NOUVEL AN</t>
  </si>
  <si>
    <t>D</t>
  </si>
  <si>
    <t>PRIX HT</t>
  </si>
  <si>
    <t>PLANNING SEMAINE EN COURS</t>
  </si>
  <si>
    <t>DAVID</t>
  </si>
  <si>
    <t>MICKAEL</t>
  </si>
  <si>
    <t>ALEXIS</t>
  </si>
  <si>
    <t>SEMAINE</t>
  </si>
  <si>
    <t>TÉLÉPHONE</t>
  </si>
  <si>
    <t>NOM</t>
  </si>
  <si>
    <t>TYPE</t>
  </si>
  <si>
    <t>06 43 34 34 34</t>
  </si>
  <si>
    <t>RECHERCHER LE NOM DE LA FEUILLE OU SE TROUVE LA DATE K1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</si>
  <si>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</si>
  <si>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</si>
  <si>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</si>
  <si>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</si>
  <si>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</si>
  <si>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</si>
  <si>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</si>
  <si>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</si>
  <si>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</si>
  <si>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</si>
  <si>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</si>
  <si>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</si>
  <si>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DONNÉES</t>
  </si>
  <si>
    <t>FERIES</t>
  </si>
  <si>
    <t>CRÉER UNE LISTE DE FEUILLE AFIN DE SELECTIONNER POUR NOTRE RECHERCHE</t>
  </si>
  <si>
    <t>FEUILLES</t>
  </si>
  <si>
    <t>QUANTITE</t>
  </si>
  <si>
    <t>QTT</t>
  </si>
  <si>
    <t>BOUCHE INSUF</t>
  </si>
  <si>
    <t>GAINE</t>
  </si>
  <si>
    <t>FILTRE</t>
  </si>
  <si>
    <t>MORTIER</t>
  </si>
  <si>
    <t>TYPE CHANTIER</t>
  </si>
  <si>
    <t>BCH INSUF</t>
  </si>
  <si>
    <t>BILAN</t>
  </si>
  <si>
    <t>AUTRES</t>
  </si>
  <si>
    <t>ACHATS STOCKS 2022</t>
  </si>
  <si>
    <t>ACHATS 2022</t>
  </si>
  <si>
    <t>NOTES</t>
  </si>
  <si>
    <t>PARTICULIER</t>
  </si>
  <si>
    <t>COLLECTIVITÉ</t>
  </si>
  <si>
    <t>REF</t>
  </si>
  <si>
    <t>CLIENTÈLE</t>
  </si>
  <si>
    <t>STOCKS</t>
  </si>
  <si>
    <t>AT</t>
  </si>
  <si>
    <t>STOCK CUMULÉ</t>
  </si>
  <si>
    <t>COL.</t>
  </si>
  <si>
    <t>PART</t>
  </si>
  <si>
    <t>PRODUIT 1</t>
  </si>
  <si>
    <t>PRODUITS</t>
  </si>
  <si>
    <t>PRODUIT 3</t>
  </si>
  <si>
    <t>PRODUIT 2</t>
  </si>
  <si>
    <t>ACHATS</t>
  </si>
  <si>
    <t>VENTES</t>
  </si>
  <si>
    <t>NBR ACHAT</t>
  </si>
  <si>
    <t>PRODUIT STOCK</t>
  </si>
  <si>
    <t>STOCK</t>
  </si>
  <si>
    <t>STOCK REEL</t>
  </si>
  <si>
    <t>VENTE / ACHAT</t>
  </si>
  <si>
    <t>REPARTITION CHIFFRE AFFAIRE</t>
  </si>
  <si>
    <t>CHIFFRE AFFAIRE PAR TYPE DE CHANTIER</t>
  </si>
  <si>
    <t>ENT.</t>
  </si>
  <si>
    <t>ENTREPRISE</t>
  </si>
  <si>
    <t>OK</t>
  </si>
  <si>
    <t>MOIS</t>
  </si>
  <si>
    <t>AOUT</t>
  </si>
  <si>
    <t>DECEMBRE</t>
  </si>
  <si>
    <t>COVID</t>
  </si>
  <si>
    <t>ADRESSE 2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</si>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</sst>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 * #,##0.00_)\ &quot;€&quot;_ ;_ * \(#,##0.00\)\ &quot;€&quot;_ ;_ * &quot;-&quot;??_)\ &quot;€&quot;_ ;_ @_ "/>
    <numFmt numFmtId="164" formatCode="[$-F800]dddd\,\ mmmm\ dd\,\ yyyy"/>
    <numFmt numFmtId="165" formatCode="[$-40C]d\ mmmm\ yyyy;@"/>
    <numFmt numFmtId="166" formatCode="dd"/>
    <numFmt numFmtId="167" formatCode="ddd"/>
    <numFmt numFmtId="168" formatCode="yyyy"/>
    <numFmt numFmtId="169" formatCode="mmmm"/>
    <numFmt numFmtId="170" formatCode="_-* #,##0.00\ [$€-40C]_-;\-* #,##0.00\ [$€-40C]_-;_-* &quot;-&quot;??\ [$€-40C]_-;_-@_-"/>
    <numFmt numFmtId="171" formatCode="dddd"/>
    <numFmt numFmtId="172" formatCode="dd\ mmm\ yy"/>
    <numFmt numFmtId="173" formatCode="dd\ mmmm"/>
    <numFmt numFmtId="174" formatCode="#,##0\ &quot;€&quot;"/>
    <numFmt numFmtId="175" formatCode="mmmm\ yy"/>
  </numFmts>
  <fonts count="3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0"/>
      <name val="Calibri (Corps)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theme="0"/>
      <name val="Avenir Next Medium"/>
      <family val="2"/>
    </font>
    <font>
      <b/>
      <sz val="12"/>
      <color theme="0"/>
      <name val="Avenir Next Medium"/>
      <family val="2"/>
    </font>
    <font>
      <sz val="11"/>
      <color theme="0"/>
      <name val="Avenir Next Regular"/>
    </font>
    <font>
      <sz val="10"/>
      <color theme="0"/>
      <name val="Avenir Next Regular"/>
    </font>
    <font>
      <sz val="10"/>
      <color theme="4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0"/>
      <name val="Avenir Next Medium"/>
      <family val="2"/>
    </font>
    <font>
      <sz val="10"/>
      <color theme="0"/>
      <name val="Avenir Next Medium"/>
      <family val="2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0"/>
      <name val="Avenir Next Medium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DECF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FA9DC"/>
        <bgColor indexed="64"/>
      </patternFill>
    </fill>
    <fill>
      <patternFill patternType="solid">
        <fgColor rgb="FFFAFFE5"/>
        <bgColor indexed="64"/>
      </patternFill>
    </fill>
    <fill>
      <patternFill patternType="solid">
        <fgColor theme="4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 style="thin">
        <color theme="2" tint="-0.249977111117893"/>
      </top>
      <bottom/>
      <diagonal/>
    </border>
    <border>
      <left/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/>
      <top/>
      <bottom style="thin">
        <color theme="2" tint="-0.249977111117893"/>
      </bottom>
      <diagonal/>
    </border>
    <border>
      <left/>
      <right/>
      <top/>
      <bottom style="thin">
        <color theme="2" tint="-0.249977111117893"/>
      </bottom>
      <diagonal/>
    </border>
    <border>
      <left/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/>
      <top/>
      <bottom/>
      <diagonal/>
    </border>
    <border>
      <left/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theme="2" tint="-0.249977111117893"/>
      </bottom>
      <diagonal/>
    </border>
    <border>
      <left/>
      <right/>
      <top style="thin">
        <color indexed="64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249977111117893"/>
      </bottom>
      <diagonal/>
    </border>
    <border>
      <left style="thin">
        <color indexed="64"/>
      </left>
      <right/>
      <top/>
      <bottom style="thin">
        <color theme="2" tint="-0.249977111117893"/>
      </bottom>
      <diagonal/>
    </border>
    <border>
      <left/>
      <right style="thin">
        <color indexed="64"/>
      </right>
      <top/>
      <bottom style="thin">
        <color theme="2" tint="-0.249977111117893"/>
      </bottom>
      <diagonal/>
    </border>
    <border>
      <left style="thin">
        <color indexed="64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theme="2" tint="-0.249977111117893"/>
      </top>
      <bottom/>
      <diagonal/>
    </border>
    <border>
      <left style="thin">
        <color indexed="64"/>
      </left>
      <right/>
      <top style="thin">
        <color theme="2" tint="-0.249977111117893"/>
      </top>
      <bottom style="thin">
        <color indexed="64"/>
      </bottom>
      <diagonal/>
    </border>
    <border>
      <left/>
      <right style="thin">
        <color indexed="64"/>
      </right>
      <top style="thin">
        <color theme="2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theme="2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/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2" tint="-0.249977111117893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1"/>
      </left>
      <right/>
      <top style="thin">
        <color theme="1"/>
      </top>
      <bottom style="thin">
        <color theme="2" tint="-0.249977111117893"/>
      </bottom>
      <diagonal/>
    </border>
    <border>
      <left/>
      <right style="thin">
        <color theme="1"/>
      </right>
      <top style="thin">
        <color theme="1"/>
      </top>
      <bottom style="thin">
        <color theme="2" tint="-0.249977111117893"/>
      </bottom>
      <diagonal/>
    </border>
    <border>
      <left style="thin">
        <color theme="1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theme="1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1"/>
      </left>
      <right/>
      <top style="thin">
        <color theme="2" tint="-0.249977111117893"/>
      </top>
      <bottom style="thin">
        <color theme="1"/>
      </bottom>
      <diagonal/>
    </border>
    <border>
      <left/>
      <right style="thin">
        <color theme="1"/>
      </right>
      <top style="thin">
        <color theme="2" tint="-0.249977111117893"/>
      </top>
      <bottom style="thin">
        <color theme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2" fillId="0" borderId="0"/>
  </cellStyleXfs>
  <cellXfs count="2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8" fillId="0" borderId="0" xfId="0" applyFont="1" applyBorder="1"/>
    <xf numFmtId="0" fontId="6" fillId="0" borderId="0" xfId="0" applyFont="1" applyAlignment="1">
      <alignment vertical="center"/>
    </xf>
    <xf numFmtId="166" fontId="8" fillId="0" borderId="13" xfId="0" applyNumberFormat="1" applyFont="1" applyBorder="1" applyAlignment="1">
      <alignment horizontal="center" vertical="center"/>
    </xf>
    <xf numFmtId="166" fontId="8" fillId="0" borderId="16" xfId="0" applyNumberFormat="1" applyFont="1" applyBorder="1" applyAlignment="1">
      <alignment horizontal="center" vertical="center"/>
    </xf>
    <xf numFmtId="166" fontId="8" fillId="0" borderId="19" xfId="0" applyNumberFormat="1" applyFont="1" applyBorder="1" applyAlignment="1">
      <alignment horizontal="center" vertical="center"/>
    </xf>
    <xf numFmtId="171" fontId="8" fillId="0" borderId="15" xfId="0" applyNumberFormat="1" applyFont="1" applyBorder="1" applyAlignment="1">
      <alignment horizontal="left" vertical="center"/>
    </xf>
    <xf numFmtId="167" fontId="8" fillId="0" borderId="21" xfId="0" applyNumberFormat="1" applyFont="1" applyBorder="1" applyAlignment="1">
      <alignment horizontal="center" vertical="center"/>
    </xf>
    <xf numFmtId="167" fontId="8" fillId="0" borderId="22" xfId="0" applyNumberFormat="1" applyFont="1" applyBorder="1" applyAlignment="1">
      <alignment horizontal="center" vertical="center"/>
    </xf>
    <xf numFmtId="167" fontId="8" fillId="0" borderId="15" xfId="0" applyNumberFormat="1" applyFont="1" applyBorder="1" applyAlignment="1">
      <alignment horizontal="center" vertical="center"/>
    </xf>
    <xf numFmtId="167" fontId="8" fillId="0" borderId="18" xfId="0" applyNumberFormat="1" applyFont="1" applyBorder="1" applyAlignment="1">
      <alignment horizontal="center" vertical="center"/>
    </xf>
    <xf numFmtId="167" fontId="8" fillId="0" borderId="20" xfId="0" applyNumberFormat="1" applyFont="1" applyBorder="1" applyAlignment="1">
      <alignment horizontal="center" vertical="center"/>
    </xf>
    <xf numFmtId="0" fontId="8" fillId="0" borderId="21" xfId="0" applyNumberFormat="1" applyFont="1" applyBorder="1" applyAlignment="1">
      <alignment horizontal="center" vertical="center"/>
    </xf>
    <xf numFmtId="0" fontId="8" fillId="0" borderId="22" xfId="0" applyNumberFormat="1" applyFont="1" applyBorder="1" applyAlignment="1">
      <alignment horizontal="center" vertical="center"/>
    </xf>
    <xf numFmtId="0" fontId="0" fillId="0" borderId="0" xfId="0" applyNumberFormat="1"/>
    <xf numFmtId="171" fontId="8" fillId="0" borderId="20" xfId="0" applyNumberFormat="1" applyFont="1" applyBorder="1" applyAlignment="1">
      <alignment horizontal="left" vertical="center"/>
    </xf>
    <xf numFmtId="0" fontId="8" fillId="0" borderId="20" xfId="0" applyNumberFormat="1" applyFont="1" applyBorder="1" applyAlignment="1">
      <alignment horizontal="center" vertical="center"/>
    </xf>
    <xf numFmtId="0" fontId="8" fillId="0" borderId="20" xfId="0" applyNumberFormat="1" applyFont="1" applyBorder="1" applyAlignment="1">
      <alignment horizontal="left" vertical="center"/>
    </xf>
    <xf numFmtId="166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0" fontId="11" fillId="4" borderId="0" xfId="0" applyFont="1" applyFill="1" applyAlignment="1">
      <alignment horizontal="center" vertical="center"/>
    </xf>
    <xf numFmtId="172" fontId="0" fillId="0" borderId="0" xfId="0" applyNumberFormat="1"/>
    <xf numFmtId="173" fontId="3" fillId="4" borderId="0" xfId="0" applyNumberFormat="1" applyFont="1" applyFill="1" applyBorder="1" applyAlignment="1">
      <alignment horizontal="left"/>
    </xf>
    <xf numFmtId="0" fontId="13" fillId="4" borderId="0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49" fontId="8" fillId="0" borderId="35" xfId="0" applyNumberFormat="1" applyFont="1" applyBorder="1" applyAlignment="1">
      <alignment horizontal="center" vertical="center"/>
    </xf>
    <xf numFmtId="0" fontId="8" fillId="0" borderId="38" xfId="0" applyNumberFormat="1" applyFont="1" applyBorder="1" applyAlignment="1">
      <alignment horizontal="center" vertical="center"/>
    </xf>
    <xf numFmtId="49" fontId="8" fillId="0" borderId="17" xfId="0" applyNumberFormat="1" applyFont="1" applyBorder="1" applyAlignment="1">
      <alignment horizontal="center" vertical="center"/>
    </xf>
    <xf numFmtId="49" fontId="8" fillId="0" borderId="26" xfId="0" applyNumberFormat="1" applyFont="1" applyBorder="1" applyAlignment="1">
      <alignment horizontal="center" vertical="center" wrapText="1"/>
    </xf>
    <xf numFmtId="49" fontId="8" fillId="0" borderId="35" xfId="0" applyNumberFormat="1" applyFont="1" applyBorder="1" applyAlignment="1">
      <alignment vertical="center"/>
    </xf>
    <xf numFmtId="49" fontId="8" fillId="0" borderId="36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 wrapText="1"/>
    </xf>
    <xf numFmtId="49" fontId="8" fillId="0" borderId="36" xfId="0" applyNumberFormat="1" applyFont="1" applyBorder="1" applyAlignment="1">
      <alignment vertical="center"/>
    </xf>
    <xf numFmtId="49" fontId="8" fillId="0" borderId="14" xfId="0" applyNumberFormat="1" applyFont="1" applyBorder="1" applyAlignment="1">
      <alignment horizontal="center" vertical="center"/>
    </xf>
    <xf numFmtId="49" fontId="8" fillId="0" borderId="31" xfId="0" applyNumberFormat="1" applyFont="1" applyBorder="1" applyAlignment="1">
      <alignment horizontal="center" vertical="center" wrapText="1"/>
    </xf>
    <xf numFmtId="49" fontId="8" fillId="0" borderId="39" xfId="0" applyNumberFormat="1" applyFont="1" applyBorder="1" applyAlignment="1">
      <alignment vertical="center"/>
    </xf>
    <xf numFmtId="49" fontId="8" fillId="0" borderId="37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5" xfId="0" applyNumberFormat="1" applyFont="1" applyBorder="1" applyAlignment="1">
      <alignment horizontal="center" vertical="center" wrapText="1"/>
    </xf>
    <xf numFmtId="49" fontId="8" fillId="0" borderId="40" xfId="0" applyNumberFormat="1" applyFont="1" applyBorder="1" applyAlignment="1">
      <alignment vertical="center"/>
    </xf>
    <xf numFmtId="49" fontId="8" fillId="5" borderId="1" xfId="0" applyNumberFormat="1" applyFont="1" applyFill="1" applyBorder="1" applyAlignment="1">
      <alignment vertical="center"/>
    </xf>
    <xf numFmtId="49" fontId="8" fillId="5" borderId="2" xfId="0" applyNumberFormat="1" applyFont="1" applyFill="1" applyBorder="1" applyAlignment="1">
      <alignment vertical="center"/>
    </xf>
    <xf numFmtId="49" fontId="8" fillId="5" borderId="3" xfId="0" applyNumberFormat="1" applyFont="1" applyFill="1" applyBorder="1" applyAlignment="1">
      <alignment vertical="center"/>
    </xf>
    <xf numFmtId="49" fontId="8" fillId="5" borderId="6" xfId="0" applyNumberFormat="1" applyFont="1" applyFill="1" applyBorder="1" applyAlignment="1">
      <alignment vertical="center"/>
    </xf>
    <xf numFmtId="49" fontId="8" fillId="5" borderId="7" xfId="0" applyNumberFormat="1" applyFont="1" applyFill="1" applyBorder="1" applyAlignment="1">
      <alignment vertical="center"/>
    </xf>
    <xf numFmtId="49" fontId="8" fillId="5" borderId="8" xfId="0" applyNumberFormat="1" applyFont="1" applyFill="1" applyBorder="1" applyAlignment="1">
      <alignment vertical="center"/>
    </xf>
    <xf numFmtId="49" fontId="8" fillId="0" borderId="7" xfId="0" applyNumberFormat="1" applyFont="1" applyBorder="1" applyAlignment="1">
      <alignment horizontal="center" vertical="center"/>
    </xf>
    <xf numFmtId="49" fontId="8" fillId="0" borderId="8" xfId="0" applyNumberFormat="1" applyFont="1" applyBorder="1" applyAlignment="1">
      <alignment horizontal="center" vertical="center" wrapText="1"/>
    </xf>
    <xf numFmtId="49" fontId="8" fillId="0" borderId="38" xfId="0" applyNumberFormat="1" applyFont="1" applyBorder="1" applyAlignment="1">
      <alignment vertical="center"/>
    </xf>
    <xf numFmtId="0" fontId="16" fillId="0" borderId="7" xfId="0" applyFont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 vertical="center"/>
    </xf>
    <xf numFmtId="49" fontId="8" fillId="0" borderId="29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35" xfId="0" applyNumberFormat="1" applyFont="1" applyBorder="1" applyAlignment="1">
      <alignment horizontal="center" vertical="center"/>
    </xf>
    <xf numFmtId="0" fontId="8" fillId="0" borderId="3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9" fontId="0" fillId="0" borderId="0" xfId="0" applyNumberFormat="1"/>
    <xf numFmtId="0" fontId="8" fillId="0" borderId="37" xfId="0" applyNumberFormat="1" applyFont="1" applyBorder="1" applyAlignment="1">
      <alignment horizontal="center" vertical="center"/>
    </xf>
    <xf numFmtId="0" fontId="8" fillId="0" borderId="0" xfId="0" applyNumberFormat="1" applyFont="1" applyBorder="1" applyAlignment="1">
      <alignment horizontal="center"/>
    </xf>
    <xf numFmtId="0" fontId="16" fillId="0" borderId="7" xfId="0" applyNumberFormat="1" applyFont="1" applyBorder="1" applyAlignment="1">
      <alignment horizontal="center" vertical="center"/>
    </xf>
    <xf numFmtId="168" fontId="12" fillId="4" borderId="0" xfId="0" applyNumberFormat="1" applyFont="1" applyFill="1" applyBorder="1" applyAlignment="1">
      <alignment horizontal="left" vertical="center" shrinkToFit="1"/>
    </xf>
    <xf numFmtId="168" fontId="12" fillId="4" borderId="0" xfId="0" applyNumberFormat="1" applyFont="1" applyFill="1" applyBorder="1" applyAlignment="1">
      <alignment horizontal="left" vertical="center" shrinkToFit="1"/>
    </xf>
    <xf numFmtId="0" fontId="0" fillId="2" borderId="0" xfId="0" applyFill="1"/>
    <xf numFmtId="172" fontId="0" fillId="2" borderId="0" xfId="0" applyNumberFormat="1" applyFill="1"/>
    <xf numFmtId="0" fontId="0" fillId="2" borderId="0" xfId="0" applyNumberFormat="1" applyFill="1"/>
    <xf numFmtId="0" fontId="0" fillId="2" borderId="0" xfId="0" applyNumberFormat="1" applyFill="1" applyAlignment="1">
      <alignment horizontal="center" vertical="center"/>
    </xf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21" fillId="2" borderId="0" xfId="0" applyFont="1" applyFill="1" applyAlignment="1">
      <alignment horizontal="center"/>
    </xf>
    <xf numFmtId="172" fontId="21" fillId="2" borderId="0" xfId="0" applyNumberFormat="1" applyFont="1" applyFill="1" applyAlignment="1">
      <alignment horizontal="center" vertical="center"/>
    </xf>
    <xf numFmtId="0" fontId="21" fillId="2" borderId="0" xfId="0" applyNumberFormat="1" applyFont="1" applyFill="1" applyAlignment="1">
      <alignment horizontal="center"/>
    </xf>
    <xf numFmtId="0" fontId="21" fillId="2" borderId="0" xfId="0" applyFont="1" applyFill="1" applyAlignment="1">
      <alignment horizontal="center" vertical="center"/>
    </xf>
    <xf numFmtId="0" fontId="22" fillId="0" borderId="0" xfId="0" applyFont="1"/>
    <xf numFmtId="0" fontId="22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169" fontId="12" fillId="4" borderId="0" xfId="0" applyNumberFormat="1" applyFont="1" applyFill="1" applyBorder="1" applyAlignment="1">
      <alignment shrinkToFit="1"/>
    </xf>
    <xf numFmtId="0" fontId="22" fillId="2" borderId="0" xfId="2" applyFill="1"/>
    <xf numFmtId="0" fontId="25" fillId="7" borderId="42" xfId="2" applyFont="1" applyFill="1" applyBorder="1"/>
    <xf numFmtId="0" fontId="19" fillId="4" borderId="41" xfId="2" applyFont="1" applyFill="1" applyBorder="1" applyAlignment="1">
      <alignment horizontal="center" vertical="center"/>
    </xf>
    <xf numFmtId="1" fontId="22" fillId="2" borderId="0" xfId="2" applyNumberFormat="1" applyFill="1"/>
    <xf numFmtId="1" fontId="22" fillId="2" borderId="41" xfId="2" applyNumberFormat="1" applyFill="1" applyBorder="1"/>
    <xf numFmtId="165" fontId="22" fillId="2" borderId="0" xfId="2" applyNumberFormat="1" applyFill="1"/>
    <xf numFmtId="0" fontId="8" fillId="0" borderId="23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vertical="center"/>
    </xf>
    <xf numFmtId="49" fontId="8" fillId="0" borderId="8" xfId="0" applyNumberFormat="1" applyFont="1" applyBorder="1" applyAlignment="1">
      <alignment vertical="center"/>
    </xf>
    <xf numFmtId="49" fontId="8" fillId="0" borderId="26" xfId="0" applyNumberFormat="1" applyFont="1" applyBorder="1" applyAlignment="1">
      <alignment vertical="center"/>
    </xf>
    <xf numFmtId="49" fontId="8" fillId="5" borderId="0" xfId="0" applyNumberFormat="1" applyFont="1" applyFill="1" applyBorder="1" applyAlignment="1">
      <alignment vertical="center"/>
    </xf>
    <xf numFmtId="49" fontId="8" fillId="0" borderId="33" xfId="0" applyNumberFormat="1" applyFont="1" applyBorder="1" applyAlignment="1">
      <alignment vertical="center"/>
    </xf>
    <xf numFmtId="49" fontId="8" fillId="5" borderId="5" xfId="0" applyNumberFormat="1" applyFont="1" applyFill="1" applyBorder="1" applyAlignment="1">
      <alignment vertical="center"/>
    </xf>
    <xf numFmtId="0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/>
    </xf>
    <xf numFmtId="167" fontId="10" fillId="9" borderId="0" xfId="0" applyNumberFormat="1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0" fillId="4" borderId="0" xfId="0" applyFill="1" applyAlignment="1"/>
    <xf numFmtId="164" fontId="9" fillId="0" borderId="15" xfId="0" applyNumberFormat="1" applyFont="1" applyBorder="1" applyAlignment="1">
      <alignment horizontal="center" vertical="center"/>
    </xf>
    <xf numFmtId="164" fontId="9" fillId="0" borderId="18" xfId="0" applyNumberFormat="1" applyFont="1" applyBorder="1" applyAlignment="1">
      <alignment horizontal="center" vertical="center"/>
    </xf>
    <xf numFmtId="164" fontId="9" fillId="0" borderId="20" xfId="0" applyNumberFormat="1" applyFont="1" applyBorder="1" applyAlignment="1">
      <alignment horizontal="center" vertical="center"/>
    </xf>
    <xf numFmtId="170" fontId="8" fillId="0" borderId="23" xfId="0" applyNumberFormat="1" applyFont="1" applyBorder="1" applyAlignment="1">
      <alignment horizontal="left" vertical="center" shrinkToFit="1"/>
    </xf>
    <xf numFmtId="170" fontId="8" fillId="0" borderId="21" xfId="0" applyNumberFormat="1" applyFont="1" applyBorder="1" applyAlignment="1">
      <alignment horizontal="left" vertical="center" shrinkToFit="1"/>
    </xf>
    <xf numFmtId="170" fontId="8" fillId="0" borderId="22" xfId="0" applyNumberFormat="1" applyFont="1" applyBorder="1" applyAlignment="1">
      <alignment horizontal="left" vertical="center" shrinkToFit="1"/>
    </xf>
    <xf numFmtId="0" fontId="8" fillId="0" borderId="22" xfId="0" applyNumberFormat="1" applyFont="1" applyBorder="1" applyAlignment="1">
      <alignment horizontal="left" vertical="center"/>
    </xf>
    <xf numFmtId="166" fontId="8" fillId="0" borderId="22" xfId="0" applyNumberFormat="1" applyFont="1" applyBorder="1" applyAlignment="1">
      <alignment horizontal="center" vertical="center"/>
    </xf>
    <xf numFmtId="166" fontId="8" fillId="0" borderId="21" xfId="0" applyNumberFormat="1" applyFont="1" applyBorder="1" applyAlignment="1">
      <alignment horizontal="center" vertical="center"/>
    </xf>
    <xf numFmtId="0" fontId="8" fillId="0" borderId="18" xfId="0" applyNumberFormat="1" applyFont="1" applyBorder="1" applyAlignment="1">
      <alignment horizontal="center" vertical="center"/>
    </xf>
    <xf numFmtId="0" fontId="0" fillId="4" borderId="14" xfId="0" applyFill="1" applyBorder="1"/>
    <xf numFmtId="0" fontId="0" fillId="4" borderId="15" xfId="0" applyFill="1" applyBorder="1"/>
    <xf numFmtId="0" fontId="0" fillId="4" borderId="17" xfId="0" applyFill="1" applyBorder="1"/>
    <xf numFmtId="0" fontId="0" fillId="4" borderId="18" xfId="0" applyFill="1" applyBorder="1"/>
    <xf numFmtId="0" fontId="18" fillId="0" borderId="0" xfId="0" applyFont="1" applyFill="1"/>
    <xf numFmtId="0" fontId="0" fillId="0" borderId="0" xfId="0" applyFill="1" applyAlignment="1"/>
    <xf numFmtId="0" fontId="8" fillId="0" borderId="15" xfId="0" applyNumberFormat="1" applyFont="1" applyBorder="1" applyAlignment="1">
      <alignment horizontal="center" vertical="center"/>
    </xf>
    <xf numFmtId="0" fontId="8" fillId="0" borderId="15" xfId="0" applyNumberFormat="1" applyFont="1" applyBorder="1" applyAlignment="1">
      <alignment horizontal="left" vertical="center"/>
    </xf>
    <xf numFmtId="171" fontId="8" fillId="0" borderId="18" xfId="0" applyNumberFormat="1" applyFont="1" applyBorder="1" applyAlignment="1">
      <alignment horizontal="left" vertical="center"/>
    </xf>
    <xf numFmtId="0" fontId="8" fillId="0" borderId="0" xfId="0" applyFont="1"/>
    <xf numFmtId="174" fontId="9" fillId="0" borderId="21" xfId="0" applyNumberFormat="1" applyFont="1" applyBorder="1" applyAlignment="1">
      <alignment horizontal="center" vertical="center"/>
    </xf>
    <xf numFmtId="174" fontId="9" fillId="0" borderId="23" xfId="0" applyNumberFormat="1" applyFont="1" applyBorder="1" applyAlignment="1">
      <alignment horizontal="center" vertical="center"/>
    </xf>
    <xf numFmtId="174" fontId="9" fillId="0" borderId="22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1" fontId="8" fillId="0" borderId="20" xfId="0" applyNumberFormat="1" applyFont="1" applyBorder="1" applyAlignment="1">
      <alignment horizontal="center" vertical="center"/>
    </xf>
    <xf numFmtId="1" fontId="8" fillId="0" borderId="18" xfId="0" applyNumberFormat="1" applyFont="1" applyBorder="1" applyAlignment="1">
      <alignment horizontal="center" vertical="center"/>
    </xf>
    <xf numFmtId="1" fontId="8" fillId="11" borderId="0" xfId="0" applyNumberFormat="1" applyFont="1" applyFill="1" applyAlignment="1">
      <alignment horizontal="center" vertical="center"/>
    </xf>
    <xf numFmtId="0" fontId="28" fillId="0" borderId="46" xfId="0" applyFont="1" applyFill="1" applyBorder="1" applyAlignment="1">
      <alignment horizontal="center" vertical="center"/>
    </xf>
    <xf numFmtId="0" fontId="28" fillId="0" borderId="45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left" vertical="center"/>
    </xf>
    <xf numFmtId="44" fontId="8" fillId="5" borderId="0" xfId="1" applyNumberFormat="1" applyFont="1" applyFill="1"/>
    <xf numFmtId="44" fontId="8" fillId="5" borderId="0" xfId="1" applyNumberFormat="1" applyFont="1" applyFill="1" applyAlignment="1">
      <alignment horizontal="left" vertical="center"/>
    </xf>
    <xf numFmtId="44" fontId="8" fillId="0" borderId="0" xfId="1" applyNumberFormat="1" applyFont="1"/>
    <xf numFmtId="44" fontId="8" fillId="0" borderId="0" xfId="1" applyNumberFormat="1" applyFont="1" applyAlignment="1">
      <alignment horizontal="left" vertical="center"/>
    </xf>
    <xf numFmtId="0" fontId="22" fillId="0" borderId="0" xfId="0" applyFont="1" applyBorder="1"/>
    <xf numFmtId="0" fontId="8" fillId="5" borderId="0" xfId="0" applyFont="1" applyFill="1" applyAlignment="1">
      <alignment horizontal="left" vertical="center"/>
    </xf>
    <xf numFmtId="0" fontId="8" fillId="0" borderId="0" xfId="0" applyFont="1" applyAlignment="1">
      <alignment horizontal="left"/>
    </xf>
    <xf numFmtId="44" fontId="8" fillId="0" borderId="0" xfId="1" applyNumberFormat="1" applyFont="1" applyAlignment="1">
      <alignment vertical="center"/>
    </xf>
    <xf numFmtId="44" fontId="8" fillId="0" borderId="0" xfId="1" applyNumberFormat="1" applyFont="1" applyAlignment="1">
      <alignment horizontal="center" vertical="center"/>
    </xf>
    <xf numFmtId="0" fontId="8" fillId="2" borderId="0" xfId="0" applyFont="1" applyFill="1"/>
    <xf numFmtId="0" fontId="22" fillId="4" borderId="0" xfId="2" applyFill="1" applyBorder="1"/>
    <xf numFmtId="0" fontId="19" fillId="4" borderId="37" xfId="2" applyFont="1" applyFill="1" applyBorder="1" applyAlignment="1">
      <alignment horizontal="center" vertical="center"/>
    </xf>
    <xf numFmtId="0" fontId="19" fillId="4" borderId="47" xfId="2" applyFont="1" applyFill="1" applyBorder="1" applyAlignment="1">
      <alignment horizontal="center" vertical="center"/>
    </xf>
    <xf numFmtId="175" fontId="22" fillId="2" borderId="0" xfId="2" applyNumberFormat="1" applyFill="1"/>
    <xf numFmtId="1" fontId="22" fillId="2" borderId="44" xfId="2" applyNumberFormat="1" applyFill="1" applyBorder="1"/>
    <xf numFmtId="0" fontId="28" fillId="0" borderId="48" xfId="0" applyFont="1" applyFill="1" applyBorder="1" applyAlignment="1">
      <alignment horizontal="center" vertical="center"/>
    </xf>
    <xf numFmtId="0" fontId="27" fillId="8" borderId="0" xfId="0" applyFont="1" applyFill="1" applyBorder="1" applyAlignment="1">
      <alignment horizontal="left" vertical="center"/>
    </xf>
    <xf numFmtId="0" fontId="28" fillId="0" borderId="0" xfId="0" applyFont="1" applyFill="1" applyBorder="1" applyAlignment="1">
      <alignment horizontal="center" vertical="center"/>
    </xf>
    <xf numFmtId="1" fontId="28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1" fillId="2" borderId="0" xfId="0" applyFont="1" applyFill="1" applyAlignment="1">
      <alignment horizontal="left" vertical="center"/>
    </xf>
    <xf numFmtId="0" fontId="0" fillId="2" borderId="0" xfId="0" applyFill="1" applyBorder="1"/>
    <xf numFmtId="173" fontId="3" fillId="2" borderId="0" xfId="0" applyNumberFormat="1" applyFont="1" applyFill="1" applyBorder="1" applyAlignment="1">
      <alignment horizontal="left"/>
    </xf>
    <xf numFmtId="0" fontId="3" fillId="4" borderId="0" xfId="0" applyFont="1" applyFill="1"/>
    <xf numFmtId="0" fontId="7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173" fontId="11" fillId="4" borderId="0" xfId="0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/>
    </xf>
    <xf numFmtId="0" fontId="9" fillId="6" borderId="1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49" fontId="8" fillId="5" borderId="1" xfId="0" applyNumberFormat="1" applyFont="1" applyFill="1" applyBorder="1" applyAlignment="1">
      <alignment horizontal="center"/>
    </xf>
    <xf numFmtId="49" fontId="8" fillId="5" borderId="2" xfId="0" applyNumberFormat="1" applyFont="1" applyFill="1" applyBorder="1" applyAlignment="1">
      <alignment horizontal="center"/>
    </xf>
    <xf numFmtId="49" fontId="8" fillId="5" borderId="3" xfId="0" applyNumberFormat="1" applyFont="1" applyFill="1" applyBorder="1" applyAlignment="1">
      <alignment horizontal="center"/>
    </xf>
    <xf numFmtId="49" fontId="8" fillId="5" borderId="6" xfId="0" applyNumberFormat="1" applyFont="1" applyFill="1" applyBorder="1" applyAlignment="1">
      <alignment horizontal="center"/>
    </xf>
    <xf numFmtId="49" fontId="8" fillId="5" borderId="7" xfId="0" applyNumberFormat="1" applyFont="1" applyFill="1" applyBorder="1" applyAlignment="1">
      <alignment horizontal="center"/>
    </xf>
    <xf numFmtId="49" fontId="8" fillId="5" borderId="8" xfId="0" applyNumberFormat="1" applyFont="1" applyFill="1" applyBorder="1" applyAlignment="1">
      <alignment horizontal="center"/>
    </xf>
    <xf numFmtId="165" fontId="9" fillId="6" borderId="6" xfId="0" applyNumberFormat="1" applyFont="1" applyFill="1" applyBorder="1" applyAlignment="1">
      <alignment horizontal="center" vertical="center"/>
    </xf>
    <xf numFmtId="165" fontId="9" fillId="6" borderId="8" xfId="0" applyNumberFormat="1" applyFont="1" applyFill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49" fontId="8" fillId="0" borderId="27" xfId="0" applyNumberFormat="1" applyFont="1" applyBorder="1" applyAlignment="1">
      <alignment horizontal="center" vertical="center"/>
    </xf>
    <xf numFmtId="49" fontId="8" fillId="0" borderId="17" xfId="0" applyNumberFormat="1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 vertical="center"/>
    </xf>
    <xf numFmtId="0" fontId="15" fillId="0" borderId="34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49" fontId="8" fillId="0" borderId="34" xfId="0" applyNumberFormat="1" applyFont="1" applyBorder="1" applyAlignment="1">
      <alignment horizontal="center" vertical="center"/>
    </xf>
    <xf numFmtId="49" fontId="8" fillId="0" borderId="14" xfId="0" applyNumberFormat="1" applyFont="1" applyBorder="1" applyAlignment="1">
      <alignment horizontal="center" vertical="center"/>
    </xf>
    <xf numFmtId="49" fontId="8" fillId="5" borderId="1" xfId="0" applyNumberFormat="1" applyFont="1" applyFill="1" applyBorder="1" applyAlignment="1">
      <alignment horizontal="center" vertical="center"/>
    </xf>
    <xf numFmtId="49" fontId="8" fillId="5" borderId="2" xfId="0" applyNumberFormat="1" applyFont="1" applyFill="1" applyBorder="1" applyAlignment="1">
      <alignment horizontal="center" vertical="center"/>
    </xf>
    <xf numFmtId="49" fontId="8" fillId="5" borderId="3" xfId="0" applyNumberFormat="1" applyFont="1" applyFill="1" applyBorder="1" applyAlignment="1">
      <alignment horizontal="center" vertical="center"/>
    </xf>
    <xf numFmtId="49" fontId="8" fillId="5" borderId="6" xfId="0" applyNumberFormat="1" applyFont="1" applyFill="1" applyBorder="1" applyAlignment="1">
      <alignment horizontal="center" vertical="center"/>
    </xf>
    <xf numFmtId="49" fontId="8" fillId="5" borderId="7" xfId="0" applyNumberFormat="1" applyFont="1" applyFill="1" applyBorder="1" applyAlignment="1">
      <alignment horizontal="center" vertical="center"/>
    </xf>
    <xf numFmtId="49" fontId="8" fillId="5" borderId="8" xfId="0" applyNumberFormat="1" applyFont="1" applyFill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8" fillId="6" borderId="2" xfId="0" applyNumberFormat="1" applyFont="1" applyFill="1" applyBorder="1" applyAlignment="1">
      <alignment horizontal="center" vertical="center"/>
    </xf>
    <xf numFmtId="49" fontId="8" fillId="6" borderId="3" xfId="0" applyNumberFormat="1" applyFont="1" applyFill="1" applyBorder="1" applyAlignment="1">
      <alignment horizontal="center" vertical="center"/>
    </xf>
    <xf numFmtId="49" fontId="8" fillId="6" borderId="6" xfId="0" applyNumberFormat="1" applyFont="1" applyFill="1" applyBorder="1" applyAlignment="1">
      <alignment horizontal="center" vertical="center"/>
    </xf>
    <xf numFmtId="49" fontId="8" fillId="6" borderId="7" xfId="0" applyNumberFormat="1" applyFont="1" applyFill="1" applyBorder="1" applyAlignment="1">
      <alignment horizontal="center" vertical="center"/>
    </xf>
    <xf numFmtId="49" fontId="8" fillId="6" borderId="8" xfId="0" applyNumberFormat="1" applyFont="1" applyFill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49" fontId="8" fillId="0" borderId="7" xfId="0" applyNumberFormat="1" applyFont="1" applyBorder="1" applyAlignment="1">
      <alignment horizontal="center" vertical="center"/>
    </xf>
    <xf numFmtId="0" fontId="20" fillId="2" borderId="0" xfId="0" applyFont="1" applyFill="1" applyAlignment="1">
      <alignment horizontal="center"/>
    </xf>
    <xf numFmtId="0" fontId="25" fillId="4" borderId="0" xfId="2" applyFont="1" applyFill="1" applyBorder="1" applyAlignment="1">
      <alignment horizontal="center"/>
    </xf>
    <xf numFmtId="0" fontId="19" fillId="4" borderId="46" xfId="2" applyFont="1" applyFill="1" applyBorder="1" applyAlignment="1">
      <alignment horizontal="center" vertical="center"/>
    </xf>
    <xf numFmtId="0" fontId="19" fillId="4" borderId="30" xfId="2" applyFont="1" applyFill="1" applyBorder="1" applyAlignment="1">
      <alignment horizontal="center" vertical="center"/>
    </xf>
    <xf numFmtId="0" fontId="26" fillId="8" borderId="0" xfId="2" applyFont="1" applyFill="1" applyBorder="1" applyAlignment="1">
      <alignment horizontal="center"/>
    </xf>
    <xf numFmtId="0" fontId="19" fillId="4" borderId="42" xfId="2" applyFont="1" applyFill="1" applyBorder="1" applyAlignment="1">
      <alignment horizontal="center" wrapText="1"/>
    </xf>
    <xf numFmtId="0" fontId="19" fillId="4" borderId="43" xfId="2" applyFont="1" applyFill="1" applyBorder="1" applyAlignment="1">
      <alignment horizontal="center" wrapText="1"/>
    </xf>
    <xf numFmtId="0" fontId="19" fillId="4" borderId="44" xfId="2" applyFont="1" applyFill="1" applyBorder="1" applyAlignment="1">
      <alignment horizontal="center" wrapText="1"/>
    </xf>
    <xf numFmtId="49" fontId="8" fillId="5" borderId="0" xfId="0" applyNumberFormat="1" applyFont="1" applyFill="1" applyBorder="1" applyAlignment="1">
      <alignment horizontal="center"/>
    </xf>
    <xf numFmtId="49" fontId="8" fillId="5" borderId="5" xfId="0" applyNumberFormat="1" applyFont="1" applyFill="1" applyBorder="1" applyAlignment="1">
      <alignment horizontal="center"/>
    </xf>
    <xf numFmtId="49" fontId="8" fillId="5" borderId="0" xfId="0" applyNumberFormat="1" applyFont="1" applyFill="1" applyBorder="1" applyAlignment="1">
      <alignment horizontal="center" vertical="center"/>
    </xf>
    <xf numFmtId="49" fontId="8" fillId="5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49" fontId="8" fillId="6" borderId="0" xfId="0" applyNumberFormat="1" applyFont="1" applyFill="1" applyBorder="1" applyAlignment="1">
      <alignment horizontal="center" vertical="center"/>
    </xf>
    <xf numFmtId="49" fontId="8" fillId="6" borderId="5" xfId="0" applyNumberFormat="1" applyFont="1" applyFill="1" applyBorder="1" applyAlignment="1">
      <alignment horizontal="center" vertical="center"/>
    </xf>
    <xf numFmtId="44" fontId="8" fillId="5" borderId="0" xfId="1" applyNumberFormat="1" applyFont="1" applyFill="1" applyAlignment="1">
      <alignment horizontal="center" vertical="center"/>
    </xf>
    <xf numFmtId="1" fontId="28" fillId="10" borderId="0" xfId="0" applyNumberFormat="1" applyFont="1" applyFill="1" applyBorder="1" applyAlignment="1">
      <alignment horizontal="left" vertical="center"/>
    </xf>
    <xf numFmtId="0" fontId="28" fillId="10" borderId="0" xfId="0" applyFont="1" applyFill="1" applyBorder="1" applyAlignment="1">
      <alignment horizontal="left" vertical="center"/>
    </xf>
    <xf numFmtId="0" fontId="19" fillId="7" borderId="13" xfId="0" applyFont="1" applyFill="1" applyBorder="1" applyAlignment="1">
      <alignment horizontal="center" vertical="center"/>
    </xf>
    <xf numFmtId="0" fontId="19" fillId="7" borderId="19" xfId="0" applyFont="1" applyFill="1" applyBorder="1" applyAlignment="1">
      <alignment horizontal="center" vertical="center"/>
    </xf>
    <xf numFmtId="0" fontId="19" fillId="7" borderId="14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9" fontId="12" fillId="4" borderId="0" xfId="0" applyNumberFormat="1" applyFont="1" applyFill="1" applyBorder="1" applyAlignment="1">
      <alignment horizontal="center" vertical="center" shrinkToFit="1"/>
    </xf>
    <xf numFmtId="168" fontId="12" fillId="4" borderId="0" xfId="0" applyNumberFormat="1" applyFont="1" applyFill="1" applyBorder="1" applyAlignment="1">
      <alignment horizontal="left" vertical="center" shrinkToFit="1"/>
    </xf>
    <xf numFmtId="169" fontId="23" fillId="4" borderId="0" xfId="0" applyNumberFormat="1" applyFont="1" applyFill="1" applyBorder="1" applyAlignment="1">
      <alignment horizontal="right" vertical="center" shrinkToFit="1"/>
    </xf>
    <xf numFmtId="168" fontId="29" fillId="4" borderId="0" xfId="0" applyNumberFormat="1" applyFont="1" applyFill="1" applyBorder="1" applyAlignment="1">
      <alignment horizontal="center" vertical="center" wrapText="1" shrinkToFit="1"/>
    </xf>
    <xf numFmtId="0" fontId="19" fillId="7" borderId="21" xfId="0" applyFont="1" applyFill="1" applyBorder="1" applyAlignment="1">
      <alignment horizontal="center" vertical="center"/>
    </xf>
    <xf numFmtId="0" fontId="19" fillId="7" borderId="22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9" fontId="24" fillId="4" borderId="13" xfId="0" applyNumberFormat="1" applyFont="1" applyFill="1" applyBorder="1" applyAlignment="1">
      <alignment horizontal="left" vertical="center" shrinkToFit="1"/>
    </xf>
    <xf numFmtId="169" fontId="24" fillId="4" borderId="14" xfId="0" applyNumberFormat="1" applyFont="1" applyFill="1" applyBorder="1" applyAlignment="1">
      <alignment horizontal="left" vertical="center" shrinkToFit="1"/>
    </xf>
    <xf numFmtId="169" fontId="24" fillId="4" borderId="19" xfId="0" applyNumberFormat="1" applyFont="1" applyFill="1" applyBorder="1" applyAlignment="1">
      <alignment horizontal="left" vertical="center" shrinkToFit="1"/>
    </xf>
    <xf numFmtId="169" fontId="24" fillId="4" borderId="17" xfId="0" applyNumberFormat="1" applyFont="1" applyFill="1" applyBorder="1" applyAlignment="1">
      <alignment horizontal="left" vertical="center" shrinkToFit="1"/>
    </xf>
    <xf numFmtId="0" fontId="8" fillId="0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169" fontId="24" fillId="4" borderId="0" xfId="0" applyNumberFormat="1" applyFont="1" applyFill="1" applyBorder="1" applyAlignment="1">
      <alignment horizontal="left" vertical="center" shrinkToFit="1"/>
    </xf>
    <xf numFmtId="0" fontId="19" fillId="7" borderId="2" xfId="0" applyFont="1" applyFill="1" applyBorder="1" applyAlignment="1">
      <alignment horizontal="center" vertical="center"/>
    </xf>
    <xf numFmtId="0" fontId="26" fillId="7" borderId="2" xfId="0" applyFont="1" applyFill="1" applyBorder="1" applyAlignment="1">
      <alignment horizontal="center" vertical="center"/>
    </xf>
    <xf numFmtId="0" fontId="26" fillId="7" borderId="0" xfId="0" applyFont="1" applyFill="1" applyBorder="1" applyAlignment="1">
      <alignment horizontal="center" vertical="center"/>
    </xf>
    <xf numFmtId="0" fontId="22" fillId="10" borderId="0" xfId="0" applyFont="1" applyFill="1" applyAlignment="1">
      <alignment horizontal="center"/>
    </xf>
    <xf numFmtId="0" fontId="22" fillId="8" borderId="0" xfId="0" applyFont="1" applyFill="1" applyAlignment="1">
      <alignment horizontal="center" vertical="center"/>
    </xf>
    <xf numFmtId="0" fontId="10" fillId="9" borderId="0" xfId="0" applyFont="1" applyFill="1" applyBorder="1" applyAlignment="1">
      <alignment horizontal="center"/>
    </xf>
    <xf numFmtId="0" fontId="19" fillId="7" borderId="16" xfId="0" applyFont="1" applyFill="1" applyBorder="1" applyAlignment="1">
      <alignment horizontal="center" vertical="center"/>
    </xf>
    <xf numFmtId="14" fontId="10" fillId="4" borderId="0" xfId="0" applyNumberFormat="1" applyFont="1" applyFill="1" applyAlignment="1">
      <alignment horizontal="center"/>
    </xf>
    <xf numFmtId="44" fontId="10" fillId="4" borderId="0" xfId="0" applyNumberFormat="1" applyFont="1" applyFill="1" applyAlignment="1">
      <alignment horizontal="center"/>
    </xf>
    <xf numFmtId="0" fontId="8" fillId="0" borderId="25" xfId="0" applyNumberFormat="1" applyFont="1" applyBorder="1" applyAlignment="1">
      <alignment horizontal="center" vertical="center"/>
    </xf>
    <xf numFmtId="0" fontId="8" fillId="0" borderId="48" xfId="0" applyNumberFormat="1" applyFont="1" applyBorder="1" applyAlignment="1">
      <alignment horizontal="center" vertical="center"/>
    </xf>
    <xf numFmtId="165" fontId="9" fillId="6" borderId="4" xfId="0" applyNumberFormat="1" applyFont="1" applyFill="1" applyBorder="1" applyAlignment="1">
      <alignment horizontal="center" vertical="center"/>
    </xf>
    <xf numFmtId="165" fontId="9" fillId="6" borderId="5" xfId="0" applyNumberFormat="1" applyFont="1" applyFill="1" applyBorder="1" applyAlignment="1">
      <alignment horizontal="center" vertical="center"/>
    </xf>
    <xf numFmtId="0" fontId="15" fillId="0" borderId="49" xfId="0" applyFont="1" applyBorder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15" fillId="0" borderId="51" xfId="0" applyFont="1" applyBorder="1" applyAlignment="1">
      <alignment horizontal="center" vertical="center"/>
    </xf>
    <xf numFmtId="0" fontId="15" fillId="0" borderId="52" xfId="0" applyFont="1" applyBorder="1" applyAlignment="1">
      <alignment horizontal="center" vertical="center"/>
    </xf>
    <xf numFmtId="0" fontId="15" fillId="0" borderId="53" xfId="0" applyFont="1" applyBorder="1" applyAlignment="1">
      <alignment horizontal="center" vertical="center"/>
    </xf>
    <xf numFmtId="0" fontId="15" fillId="0" borderId="54" xfId="0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 xr:uid="{60D130EB-7D82-774E-BA1E-E4AD107250FD}"/>
  </cellStyles>
  <dxfs count="110"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AB0C5"/>
        </patternFill>
      </fill>
    </dxf>
    <dxf>
      <fill>
        <patternFill>
          <bgColor rgb="FFB7CF93"/>
        </patternFill>
      </fill>
    </dxf>
    <dxf>
      <fill>
        <patternFill>
          <bgColor rgb="FFFFD592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AFFE5"/>
      <color rgb="FF8FA9DC"/>
      <color rgb="FFDDECF8"/>
      <color rgb="FFFF9300"/>
      <color rgb="FFF48920"/>
      <color rgb="FFE97C80"/>
      <color rgb="FFFFF3CC"/>
      <color rgb="FF2F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F85-784C-A9B8-883CA775E6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F85-784C-A9B8-883CA775E6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EF85-784C-A9B8-883CA775E6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F85-784C-A9B8-883CA775E6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(JANVIER!$X$46,JANVIER!$X$48,JANVIER!$X$52,JANVIER!$X$50)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(JANVIER!$Z$46,JANVIER!$Z$48,JANVIER!$Z$50,JANVIER!$Z$52)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F85-784C-A9B8-883CA775E65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8F32-8444-98AE-3959549D982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F32-8444-98AE-3959549D982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F32-8444-98AE-3959549D982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8F32-8444-98AE-3959549D982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(FEVRIER!$X$46,FEVRIER!$X$48,FEVRIER!$X$52,FEVRIER!$X$50)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(FEVRIER!$Z$46,FEVRIER!$Z$48,FEVRIER!$Z$50,FEVRIER!$Z$52)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F32-8444-98AE-3959549D982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A6AF-C646-B37B-B44E90C275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6AF-C646-B37B-B44E90C275F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A6AF-C646-B37B-B44E90C275F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6AF-C646-B37B-B44E90C275F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(MARS!$X$46,MARS!$X$48,MARS!$X$52,MARS!$X$50)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(MARS!$Z$46,MARS!$Z$48,MARS!$Z$50,MARS!$Z$52)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6AF-C646-B37B-B44E90C275F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F50-FF4B-9CE8-C7623E3052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F50-FF4B-9CE8-C7623E3052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F50-FF4B-9CE8-C7623E30527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9F50-FF4B-9CE8-C7623E30527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(AVRIL!$X$46,AVRIL!$X$48,AVRIL!$X$52,AVRIL!$X$50)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(AVRIL!$Z$46,AVRIL!$Z$48,AVRIL!$Z$50,AVRIL!$Z$52)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F50-FF4B-9CE8-C7623E30527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023B-AB4E-8CDE-DA628D90C1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023B-AB4E-8CDE-DA628D90C1D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23B-AB4E-8CDE-DA628D90C1D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23B-AB4E-8CDE-DA628D90C1D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(MAI!$X$46,MAI!$X$48,MAI!$X$52,MAI!$X$50)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(MAI!$Z$46,MAI!$Z$48,MAI!$Z$50,MAI!$Z$52)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23B-AB4E-8CDE-DA628D90C1D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AC9B-9044-A877-D57859F6DC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C9B-9044-A877-D57859F6DC2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AC9B-9044-A877-D57859F6DC2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C9B-9044-A877-D57859F6DC2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(JUIN!$X$46,JUIN!$X$48,JUIN!$X$52,JUIN!$X$50)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(JUIN!$Z$46,JUIN!$Z$48,JUIN!$Z$50,JUIN!$Z$52)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C9B-9044-A877-D57859F6DC2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8D0B-F641-8684-39399D98B6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D0B-F641-8684-39399D98B69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D0B-F641-8684-39399D98B69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8D0B-F641-8684-39399D98B6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(JUILLET!$X$46,JUILLET!$X$48,JUILLET!$X$52,JUILLET!$X$50)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(JUILLET!$Z$46,JUILLET!$Z$48,JUILLET!$Z$50,JUILLET!$Z$52)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D0B-F641-8684-39399D98B69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8729-DD49-8F9A-7B02B91FDA7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729-DD49-8F9A-7B02B91FDA7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729-DD49-8F9A-7B02B91FDA7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8729-DD49-8F9A-7B02B91FDA7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(AOUT!$X$46,AOUT!$X$48,AOUT!$X$52,AOUT!$X$50)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(AOUT!$Z$46,AOUT!$Z$48,AOUT!$Z$50,AOUT!$Z$52)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729-DD49-8F9A-7B02B91FDA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4410-2549-AFC7-A1D694EDCC1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4410-2549-AFC7-A1D694EDCC1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4410-2549-AFC7-A1D694EDCC1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4410-2549-AFC7-A1D694EDCC1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(SEPTEMBRE!$X$46,SEPTEMBRE!$X$48,SEPTEMBRE!$X$52,SEPTEMBRE!$X$50)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(SEPTEMBRE!$Z$46,SEPTEMBRE!$Z$48,SEPTEMBRE!$Z$50,SEPTEMBRE!$Z$52)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410-2549-AFC7-A1D694EDCC1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00F-4B49-9A41-E6FCBDB3D03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00F-4B49-9A41-E6FCBDB3D03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00F-4B49-9A41-E6FCBDB3D03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00F-4B49-9A41-E6FCBDB3D03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(OCTOBRE!$X$46,OCTOBRE!$X$48,OCTOBRE!$X$52,OCTOBRE!$X$50)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(OCTOBRE!$Z$46,OCTOBRE!$Z$48,OCTOBRE!$Z$50,OCTOBRE!$Z$52)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00F-4B49-9A41-E6FCBDB3D03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FBD-4647-B18D-077BB46DE9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FBD-4647-B18D-077BB46DE9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FBD-4647-B18D-077BB46DE9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FBD-4647-B18D-077BB46DE9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(NOVEMBRE!$X$46,NOVEMBRE!$X$48,NOVEMBRE!$X$52,NOVEMBRE!$X$50)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(NOVEMBRE!$Z$46,NOVEMBRE!$Z$48,NOVEMBRE!$Z$50,NOVEMBRE!$Z$52)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FBD-4647-B18D-077BB46DE95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DA2-844E-8E25-DBE603BD498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DA2-844E-8E25-DBE603BD498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DA2-844E-8E25-DBE603BD498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9DA2-844E-8E25-DBE603BD498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(DECEMBRE!$X$46,DECEMBRE!$X$48,DECEMBRE!$X$52,DECEMBRE!$X$50)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(DECEMBRE!$Z$46,DECEMBRE!$Z$48,DECEMBRE!$Z$50,DECEMBRE!$Z$52)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DA2-844E-8E25-DBE603BD498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501721</xdr:colOff>
      <xdr:row>0</xdr:row>
      <xdr:rowOff>50849</xdr:rowOff>
    </xdr:from>
    <xdr:to>
      <xdr:col>7</xdr:col>
      <xdr:colOff>2151710</xdr:colOff>
      <xdr:row>3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1310" t="8338" r="-1992" b="-1466"/>
        <a:stretch/>
      </xdr:blipFill>
      <xdr:spPr>
        <a:xfrm>
          <a:off x="6927921" y="50849"/>
          <a:ext cx="1649989" cy="622251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5</xdr:row>
      <xdr:rowOff>16764</xdr:rowOff>
    </xdr:from>
    <xdr:to>
      <xdr:col>2</xdr:col>
      <xdr:colOff>629341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181100" y="1108964"/>
          <a:ext cx="629341" cy="1483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629341</xdr:colOff>
      <xdr:row>10</xdr:row>
      <xdr:rowOff>181310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181100" y="23749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629341</xdr:colOff>
      <xdr:row>15</xdr:row>
      <xdr:rowOff>181310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181100" y="36576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629341</xdr:colOff>
      <xdr:row>20</xdr:row>
      <xdr:rowOff>181310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1181100" y="49403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629341</xdr:colOff>
      <xdr:row>25</xdr:row>
      <xdr:rowOff>181310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1181100" y="62230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16764</xdr:rowOff>
    </xdr:from>
    <xdr:to>
      <xdr:col>2</xdr:col>
      <xdr:colOff>629341</xdr:colOff>
      <xdr:row>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177247" y="1293899"/>
          <a:ext cx="629341" cy="18301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629341</xdr:colOff>
      <xdr:row>10</xdr:row>
      <xdr:rowOff>181310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188440" y="2341927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629341</xdr:colOff>
      <xdr:row>15</xdr:row>
      <xdr:rowOff>181310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1188440" y="3332294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629341</xdr:colOff>
      <xdr:row>20</xdr:row>
      <xdr:rowOff>181310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1188440" y="4427523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629341</xdr:colOff>
      <xdr:row>25</xdr:row>
      <xdr:rowOff>181310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 txBox="1"/>
      </xdr:nvSpPr>
      <xdr:spPr>
        <a:xfrm>
          <a:off x="1188440" y="5522752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9EAF383-31A2-9F44-9331-32865260A2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3D36870-3F6E-8940-8D7C-96272D5B74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5404598-5298-AD46-B40B-64C95FDACF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E82A3FE-9DBE-5C4A-B427-9081E70643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E16787A-58D0-2B40-8137-A9614013D7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AC6F5E3-7290-5D47-A6DD-6A191832E0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A134594-0813-2C45-AE95-87A56AC93E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8328A0C-E2EF-2E4B-B792-EC29228961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F0C8F21-DB85-CA4C-A6E7-B1D2A2C1E2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0FB177E-2B35-C247-82A7-93435DB233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0B5CAA-7F71-3C4C-8DEB-2ED293BDF03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BCE9B-EF1A-214B-B775-756AE9E0907D}">
  <sheetPr codeName="Feuil1"/>
  <dimension ref="A1:D8"/>
  <sheetViews>
    <sheetView zoomScale="138" zoomScaleNormal="100" workbookViewId="0">
      <selection activeCell="C5" sqref="C5"/>
    </sheetView>
  </sheetViews>
  <sheetFormatPr baseColWidth="10" defaultRowHeight="16"/>
  <cols>
    <col min="2" max="2" width="35.83203125" customWidth="1"/>
    <col min="3" max="3" width="12.83203125" customWidth="1"/>
  </cols>
  <sheetData>
    <row r="1" spans="1:4" ht="35" customHeight="1" thickBot="1">
      <c r="A1" s="162" t="s">
        <v>16</v>
      </c>
      <c r="B1" s="163"/>
      <c r="C1" s="163"/>
      <c r="D1" s="164"/>
    </row>
    <row r="3" spans="1:4" ht="17" thickBot="1"/>
    <row r="4" spans="1:4" ht="20" thickBot="1">
      <c r="B4" s="5" t="s">
        <v>13</v>
      </c>
      <c r="C4" s="4">
        <v>2022</v>
      </c>
    </row>
    <row r="5" spans="1:4" ht="17" thickBot="1"/>
    <row r="6" spans="1:4" ht="20" thickBot="1">
      <c r="B6" s="5" t="s">
        <v>14</v>
      </c>
      <c r="C6" s="4">
        <v>1</v>
      </c>
    </row>
    <row r="7" spans="1:4" ht="17" thickBot="1"/>
    <row r="8" spans="1:4" ht="20" thickBot="1">
      <c r="B8" s="5" t="s">
        <v>15</v>
      </c>
      <c r="C8" s="4">
        <v>2</v>
      </c>
    </row>
  </sheetData>
  <mergeCells count="1">
    <mergeCell ref="A1:D1"/>
  </mergeCells>
  <pageMargins left="0.7" right="0.7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64671-B8B4-5A40-889A-69A47B4FFCC7}">
  <sheetPr codeName="Feuil16"/>
  <dimension ref="A1:O31"/>
  <sheetViews>
    <sheetView showGridLines="0" view="pageLayout" topLeftCell="J1" zoomScaleNormal="100" workbookViewId="0">
      <selection activeCell="C16" sqref="C16:I17"/>
    </sheetView>
  </sheetViews>
  <sheetFormatPr baseColWidth="10" defaultColWidth="10.6640625" defaultRowHeight="16"/>
  <cols>
    <col min="1" max="1" width="10.5" customWidth="1"/>
    <col min="2" max="2" width="5" customWidth="1"/>
    <col min="3" max="3" width="20.83203125" customWidth="1"/>
    <col min="4" max="4" width="37.6640625" customWidth="1"/>
    <col min="5" max="5" width="7" hidden="1" customWidth="1"/>
    <col min="6" max="6" width="0.1640625" hidden="1" customWidth="1"/>
    <col min="7" max="7" width="10.33203125" customWidth="1"/>
    <col min="8" max="8" width="30.83203125" customWidth="1"/>
    <col min="9" max="9" width="12.1640625" customWidth="1"/>
    <col min="10" max="10" width="6" customWidth="1"/>
  </cols>
  <sheetData>
    <row r="1" spans="1:15" ht="21" customHeight="1">
      <c r="A1" s="8" t="s">
        <v>1</v>
      </c>
      <c r="B1" s="8"/>
      <c r="C1" s="33">
        <v>44571</v>
      </c>
      <c r="D1" s="165" t="s">
        <v>47</v>
      </c>
      <c r="E1" s="165"/>
      <c r="F1" s="165"/>
      <c r="G1" s="165"/>
      <c r="H1" s="31"/>
      <c r="I1" s="28"/>
      <c r="J1" s="29"/>
      <c r="K1" s="33">
        <v>44613</v>
      </c>
      <c r="M1">
        <f ca="1">_xlfn.SHEETS(N1)</f>
        <v>1</v>
      </c>
      <c r="N1" s="68">
        <f>K1</f>
        <v>44613</v>
      </c>
      <c r="O1">
        <f ca="1">_xlfn.SHEETS(N1)</f>
        <v>1</v>
      </c>
    </row>
    <row r="2" spans="1:15" ht="16" customHeight="1">
      <c r="A2" s="8" t="s">
        <v>0</v>
      </c>
      <c r="B2" s="8"/>
      <c r="C2" s="33">
        <f>C1+4</f>
        <v>44575</v>
      </c>
      <c r="D2" s="165"/>
      <c r="E2" s="165"/>
      <c r="F2" s="165"/>
      <c r="G2" s="165"/>
      <c r="H2" s="31"/>
      <c r="I2" s="28"/>
      <c r="J2" s="29"/>
      <c r="K2" s="33">
        <f>K1+4</f>
        <v>44617</v>
      </c>
    </row>
    <row r="3" spans="1:15" ht="16" customHeight="1">
      <c r="A3" s="28"/>
      <c r="B3" s="28"/>
      <c r="C3" s="28"/>
      <c r="D3" s="165"/>
      <c r="E3" s="165"/>
      <c r="F3" s="165"/>
      <c r="G3" s="165"/>
      <c r="H3" s="28"/>
      <c r="I3" s="28"/>
      <c r="J3" s="29"/>
    </row>
    <row r="4" spans="1:15">
      <c r="A4" s="2"/>
      <c r="B4" s="2"/>
      <c r="C4" s="2"/>
      <c r="D4" s="2"/>
      <c r="E4" s="2"/>
      <c r="F4" s="2"/>
      <c r="G4" s="2"/>
      <c r="H4" s="2"/>
      <c r="I4" s="2"/>
      <c r="J4" s="30"/>
      <c r="K4" s="2" t="s">
        <v>56</v>
      </c>
      <c r="L4" s="2"/>
      <c r="M4" s="2"/>
    </row>
    <row r="5" spans="1:15" ht="17">
      <c r="A5" s="34" t="s">
        <v>51</v>
      </c>
      <c r="B5" s="34">
        <f>VLOOKUP(C1,PARAMETRE!B3:C159,2,0)</f>
        <v>2</v>
      </c>
      <c r="C5" s="34" t="s">
        <v>53</v>
      </c>
      <c r="D5" s="166" t="s">
        <v>17</v>
      </c>
      <c r="E5" s="166"/>
      <c r="F5" s="166" t="s">
        <v>54</v>
      </c>
      <c r="G5" s="166"/>
      <c r="H5" s="34" t="s">
        <v>18</v>
      </c>
      <c r="I5" s="35" t="s">
        <v>52</v>
      </c>
      <c r="K5" s="2"/>
      <c r="L5" s="2"/>
      <c r="M5" s="2"/>
    </row>
    <row r="6" spans="1:15" ht="13.5" customHeight="1">
      <c r="A6" s="167" t="s">
        <v>2</v>
      </c>
      <c r="B6" s="168"/>
      <c r="C6" s="169"/>
      <c r="D6" s="170"/>
      <c r="E6" s="170"/>
      <c r="F6" s="170"/>
      <c r="G6" s="170"/>
      <c r="H6" s="170"/>
      <c r="I6" s="171"/>
      <c r="J6" s="2"/>
      <c r="K6" s="2"/>
      <c r="L6" s="2"/>
      <c r="M6" s="2"/>
    </row>
    <row r="7" spans="1:15" ht="13.5" customHeight="1">
      <c r="A7" s="175">
        <f>C1</f>
        <v>44571</v>
      </c>
      <c r="B7" s="176"/>
      <c r="C7" s="172"/>
      <c r="D7" s="173"/>
      <c r="E7" s="173"/>
      <c r="F7" s="173"/>
      <c r="G7" s="173"/>
      <c r="H7" s="173"/>
      <c r="I7" s="174"/>
      <c r="J7" s="2"/>
      <c r="K7" s="2" t="s">
        <v>71</v>
      </c>
      <c r="L7" s="2"/>
      <c r="M7" s="2"/>
    </row>
    <row r="8" spans="1:15" ht="25" customHeight="1">
      <c r="A8" s="181" t="s">
        <v>48</v>
      </c>
      <c r="B8" s="182"/>
      <c r="C8" s="37" t="e">
        <f>VLOOKUP(C1,#REF!,7,FALSE)</f>
        <v>#REF!</v>
      </c>
      <c r="D8" s="65" t="e">
        <f>IF(VLOOKUP(C1,#REF!,8,FALSE)=0,"",VLOOKUP(C1,#REF!,8,FALSE))</f>
        <v>#REF!</v>
      </c>
      <c r="E8" s="39"/>
      <c r="F8" s="183" t="s">
        <v>24</v>
      </c>
      <c r="G8" s="184"/>
      <c r="H8" s="40"/>
      <c r="I8" s="41" t="s">
        <v>55</v>
      </c>
      <c r="J8" s="2"/>
      <c r="K8" s="2" t="s">
        <v>61</v>
      </c>
      <c r="L8" s="2"/>
      <c r="M8" s="2">
        <f ca="1">_xlfn.SHEET(K8)</f>
        <v>2</v>
      </c>
      <c r="O8">
        <f ca="1">_xlfn.SHEETS(K8)</f>
        <v>1</v>
      </c>
    </row>
    <row r="9" spans="1:15" ht="25" customHeight="1">
      <c r="A9" s="177" t="s">
        <v>49</v>
      </c>
      <c r="B9" s="178"/>
      <c r="C9" s="42"/>
      <c r="D9" s="65"/>
      <c r="E9" s="39"/>
      <c r="F9" s="179"/>
      <c r="G9" s="180"/>
      <c r="H9" s="43"/>
      <c r="I9" s="44"/>
      <c r="J9" s="2"/>
      <c r="K9" s="67"/>
      <c r="L9" s="2"/>
      <c r="M9" s="2"/>
    </row>
    <row r="10" spans="1:15" ht="25" customHeight="1">
      <c r="A10" s="185" t="s">
        <v>50</v>
      </c>
      <c r="B10" s="186"/>
      <c r="C10" s="36" t="e">
        <f ca="1">IF(OFFSET(#REF!,1,0)=0,"",OFFSET(#REF!,1,0))</f>
        <v>#REF!</v>
      </c>
      <c r="D10" s="65" t="e">
        <f ca="1">IF(OFFSET(#REF!,1,0)=0,"",OFFSET(#REF!,1,0))</f>
        <v>#REF!</v>
      </c>
      <c r="E10" s="45"/>
      <c r="F10" s="187"/>
      <c r="G10" s="188"/>
      <c r="H10" s="46"/>
      <c r="I10" s="47"/>
      <c r="J10" s="2"/>
      <c r="K10" s="67"/>
      <c r="L10" s="2"/>
      <c r="M10" s="2"/>
      <c r="N10" s="2"/>
      <c r="O10" s="2"/>
    </row>
    <row r="11" spans="1:15" ht="13.5" customHeight="1">
      <c r="A11" s="167" t="s">
        <v>3</v>
      </c>
      <c r="B11" s="168"/>
      <c r="C11" s="189"/>
      <c r="D11" s="190"/>
      <c r="E11" s="190"/>
      <c r="F11" s="190"/>
      <c r="G11" s="190"/>
      <c r="H11" s="190"/>
      <c r="I11" s="191"/>
      <c r="J11" s="2"/>
      <c r="K11" s="67"/>
      <c r="L11" s="2"/>
      <c r="M11" s="2"/>
      <c r="N11" s="2"/>
      <c r="O11" s="2"/>
    </row>
    <row r="12" spans="1:15" ht="13.5" customHeight="1">
      <c r="A12" s="175">
        <f>A7+1</f>
        <v>44572</v>
      </c>
      <c r="B12" s="176"/>
      <c r="C12" s="192"/>
      <c r="D12" s="193"/>
      <c r="E12" s="193"/>
      <c r="F12" s="193"/>
      <c r="G12" s="193"/>
      <c r="H12" s="193"/>
      <c r="I12" s="194"/>
      <c r="J12" s="2"/>
      <c r="K12" s="67"/>
      <c r="L12" s="2"/>
      <c r="M12" s="2"/>
      <c r="N12" s="2"/>
      <c r="O12" s="2"/>
    </row>
    <row r="13" spans="1:15" ht="25" customHeight="1">
      <c r="A13" s="181" t="s">
        <v>48</v>
      </c>
      <c r="B13" s="182"/>
      <c r="C13" s="37" t="e">
        <f>VLOOKUP(C1+1,#REF!,7,FALSE)</f>
        <v>#REF!</v>
      </c>
      <c r="D13" s="65" t="e">
        <f>IF(VLOOKUP(C1+1,#REF!,8,FALSE)=0,"",VLOOKUP(C1+1,#REF!,8,FALSE))</f>
        <v>#REF!</v>
      </c>
      <c r="E13" s="39"/>
      <c r="F13" s="179"/>
      <c r="G13" s="180"/>
      <c r="H13" s="43"/>
      <c r="I13" s="44"/>
      <c r="J13" s="2"/>
      <c r="K13" s="67"/>
      <c r="L13" s="2"/>
      <c r="M13" s="2"/>
      <c r="N13" s="2"/>
      <c r="O13" s="2"/>
    </row>
    <row r="14" spans="1:15" ht="25" customHeight="1">
      <c r="A14" s="177" t="s">
        <v>49</v>
      </c>
      <c r="B14" s="178"/>
      <c r="C14" s="48"/>
      <c r="D14" s="66"/>
      <c r="E14" s="39"/>
      <c r="F14" s="179"/>
      <c r="G14" s="180"/>
      <c r="H14" s="43"/>
      <c r="I14" s="44"/>
      <c r="J14" s="2"/>
      <c r="K14" s="67"/>
      <c r="L14" s="2"/>
      <c r="M14" s="2"/>
      <c r="N14" s="2"/>
      <c r="O14" s="2"/>
    </row>
    <row r="15" spans="1:15" ht="25" customHeight="1">
      <c r="A15" s="185" t="s">
        <v>50</v>
      </c>
      <c r="B15" s="186"/>
      <c r="C15" s="36" t="e">
        <f ca="1">IF(OFFSET(#REF!,1,0)=0,"",OFFSET(#REF!,1,0))</f>
        <v>#REF!</v>
      </c>
      <c r="D15" s="38"/>
      <c r="E15" s="49"/>
      <c r="F15" s="195"/>
      <c r="G15" s="196"/>
      <c r="H15" s="50"/>
      <c r="I15" s="51"/>
      <c r="J15" s="2"/>
      <c r="K15" s="67"/>
      <c r="L15" s="2"/>
      <c r="M15" s="2"/>
      <c r="N15" s="2"/>
      <c r="O15" s="2"/>
    </row>
    <row r="16" spans="1:15" ht="13.5" customHeight="1">
      <c r="A16" s="167" t="s">
        <v>4</v>
      </c>
      <c r="B16" s="168"/>
      <c r="C16" s="197"/>
      <c r="D16" s="198"/>
      <c r="E16" s="198"/>
      <c r="F16" s="198"/>
      <c r="G16" s="198"/>
      <c r="H16" s="198"/>
      <c r="I16" s="199"/>
      <c r="J16" s="2"/>
      <c r="K16" s="67"/>
      <c r="L16" s="2"/>
      <c r="M16" s="2"/>
    </row>
    <row r="17" spans="1:13" ht="13.5" customHeight="1">
      <c r="A17" s="175">
        <f>A12+1</f>
        <v>44573</v>
      </c>
      <c r="B17" s="176"/>
      <c r="C17" s="200"/>
      <c r="D17" s="201"/>
      <c r="E17" s="201"/>
      <c r="F17" s="201"/>
      <c r="G17" s="201"/>
      <c r="H17" s="201"/>
      <c r="I17" s="202"/>
      <c r="J17" s="2"/>
      <c r="K17" s="67"/>
      <c r="L17" s="2"/>
      <c r="M17" s="2"/>
    </row>
    <row r="18" spans="1:13" ht="25" customHeight="1">
      <c r="A18" s="181" t="s">
        <v>48</v>
      </c>
      <c r="B18" s="182"/>
      <c r="C18" s="37" t="e">
        <f>VLOOKUP(C1+2,#REF!,7,FALSE)</f>
        <v>#REF!</v>
      </c>
      <c r="D18" s="65" t="e">
        <f>IF(VLOOKUP(C1+2,#REF!,8,FALSE)=0,"",VLOOKUP(C1+2,#REF!,8,FALSE))</f>
        <v>#REF!</v>
      </c>
      <c r="E18" s="39"/>
      <c r="F18" s="179"/>
      <c r="G18" s="180"/>
      <c r="H18" s="43"/>
      <c r="I18" s="44"/>
      <c r="J18" s="2"/>
      <c r="K18" s="67"/>
      <c r="L18" s="2"/>
      <c r="M18" s="2"/>
    </row>
    <row r="19" spans="1:13" ht="25" customHeight="1">
      <c r="A19" s="177" t="s">
        <v>49</v>
      </c>
      <c r="B19" s="178"/>
      <c r="C19" s="42"/>
      <c r="D19" s="66"/>
      <c r="E19" s="39"/>
      <c r="F19" s="179"/>
      <c r="G19" s="180"/>
      <c r="H19" s="43"/>
      <c r="I19" s="44"/>
      <c r="J19" s="2"/>
      <c r="K19" s="67"/>
      <c r="L19" s="2"/>
      <c r="M19" s="2"/>
    </row>
    <row r="20" spans="1:13" ht="25" customHeight="1">
      <c r="A20" s="185" t="s">
        <v>50</v>
      </c>
      <c r="B20" s="186"/>
      <c r="C20" s="36" t="e">
        <f ca="1">IF(OFFSET(#REF!,1,0)=0,"",OFFSET(#REF!,1,0))</f>
        <v>#REF!</v>
      </c>
      <c r="D20" s="38"/>
      <c r="E20" s="49"/>
      <c r="F20" s="195"/>
      <c r="G20" s="196"/>
      <c r="H20" s="50"/>
      <c r="I20" s="51"/>
      <c r="J20" s="2"/>
      <c r="K20" s="2"/>
      <c r="L20" s="2"/>
      <c r="M20" s="2"/>
    </row>
    <row r="21" spans="1:13" ht="13.5" customHeight="1">
      <c r="A21" s="167" t="s">
        <v>5</v>
      </c>
      <c r="B21" s="168"/>
      <c r="C21" s="52"/>
      <c r="D21" s="53"/>
      <c r="E21" s="53"/>
      <c r="F21" s="53"/>
      <c r="G21" s="53"/>
      <c r="H21" s="53"/>
      <c r="I21" s="54"/>
      <c r="J21" s="2"/>
      <c r="K21" s="2"/>
      <c r="L21" s="2"/>
      <c r="M21" s="2"/>
    </row>
    <row r="22" spans="1:13" ht="13.5" customHeight="1">
      <c r="A22" s="175">
        <f>A17+1</f>
        <v>44574</v>
      </c>
      <c r="B22" s="176"/>
      <c r="C22" s="55"/>
      <c r="D22" s="56"/>
      <c r="E22" s="56"/>
      <c r="F22" s="56"/>
      <c r="G22" s="56"/>
      <c r="H22" s="56"/>
      <c r="I22" s="57"/>
      <c r="J22" s="2"/>
      <c r="K22" s="2"/>
      <c r="L22" s="2"/>
      <c r="M22" s="2"/>
    </row>
    <row r="23" spans="1:13" ht="25" customHeight="1">
      <c r="A23" s="181" t="s">
        <v>48</v>
      </c>
      <c r="B23" s="182"/>
      <c r="C23" s="37" t="e">
        <f>VLOOKUP(C1+3,#REF!,7,FALSE)</f>
        <v>#REF!</v>
      </c>
      <c r="D23" s="65" t="e">
        <f>IF(VLOOKUP(C1+3,#REF!,8,FALSE)=0,"",VLOOKUP(C1+3,#REF!,8,FALSE))</f>
        <v>#REF!</v>
      </c>
      <c r="E23" s="39"/>
      <c r="F23" s="179"/>
      <c r="G23" s="180"/>
      <c r="H23" s="43"/>
      <c r="I23" s="44"/>
      <c r="J23" s="2"/>
      <c r="K23" s="2"/>
      <c r="L23" s="2"/>
      <c r="M23" s="2"/>
    </row>
    <row r="24" spans="1:13" ht="25" customHeight="1">
      <c r="A24" s="177" t="s">
        <v>49</v>
      </c>
      <c r="B24" s="178"/>
      <c r="C24" s="48"/>
      <c r="D24" s="66"/>
      <c r="E24" s="39"/>
      <c r="F24" s="179"/>
      <c r="G24" s="180"/>
      <c r="H24" s="43"/>
      <c r="I24" s="44"/>
      <c r="J24" s="2"/>
      <c r="K24" s="2"/>
      <c r="L24" s="2"/>
      <c r="M24" s="2"/>
    </row>
    <row r="25" spans="1:13" ht="25" customHeight="1">
      <c r="A25" s="185" t="s">
        <v>50</v>
      </c>
      <c r="B25" s="186"/>
      <c r="C25" s="64" t="e">
        <f ca="1">IF(OFFSET(#REF!,1,0)=0,"",OFFSET(#REF!,1,0))</f>
        <v>#REF!</v>
      </c>
      <c r="D25" s="38"/>
      <c r="E25" s="49"/>
      <c r="F25" s="195"/>
      <c r="G25" s="196"/>
      <c r="H25" s="50"/>
      <c r="I25" s="51"/>
      <c r="J25" s="2"/>
      <c r="K25" s="2"/>
      <c r="L25" s="2"/>
      <c r="M25" s="2"/>
    </row>
    <row r="26" spans="1:13" ht="13.5" customHeight="1">
      <c r="A26" s="167" t="s">
        <v>6</v>
      </c>
      <c r="B26" s="168"/>
      <c r="C26" s="189"/>
      <c r="D26" s="190"/>
      <c r="E26" s="190"/>
      <c r="F26" s="190"/>
      <c r="G26" s="190"/>
      <c r="H26" s="190"/>
      <c r="I26" s="191"/>
      <c r="J26" s="2"/>
      <c r="K26" s="2"/>
      <c r="L26" s="2"/>
      <c r="M26" s="2"/>
    </row>
    <row r="27" spans="1:13" ht="13.5" customHeight="1">
      <c r="A27" s="175">
        <f>A22+1</f>
        <v>44575</v>
      </c>
      <c r="B27" s="176"/>
      <c r="C27" s="192"/>
      <c r="D27" s="193"/>
      <c r="E27" s="193"/>
      <c r="F27" s="193"/>
      <c r="G27" s="193"/>
      <c r="H27" s="193"/>
      <c r="I27" s="194"/>
      <c r="J27" s="2"/>
      <c r="K27" s="2"/>
      <c r="L27" s="2"/>
      <c r="M27" s="2"/>
    </row>
    <row r="28" spans="1:13" ht="25" customHeight="1">
      <c r="A28" s="181" t="s">
        <v>48</v>
      </c>
      <c r="B28" s="182"/>
      <c r="C28" s="62" t="e">
        <f>VLOOKUP(C1+4,#REF!,7,FALSE)</f>
        <v>#REF!</v>
      </c>
      <c r="D28" s="65" t="e">
        <f>IF(VLOOKUP(C1+4,#REF!,8,FALSE)=0,"",VLOOKUP(C1+4,#REF!,8,FALSE))</f>
        <v>#REF!</v>
      </c>
      <c r="E28" s="39"/>
      <c r="F28" s="179"/>
      <c r="G28" s="180"/>
      <c r="H28" s="43"/>
      <c r="I28" s="44"/>
      <c r="J28" s="2"/>
      <c r="K28" s="2"/>
      <c r="L28" s="2"/>
      <c r="M28" s="2"/>
    </row>
    <row r="29" spans="1:13" ht="25" customHeight="1">
      <c r="A29" s="177" t="s">
        <v>49</v>
      </c>
      <c r="B29" s="178"/>
      <c r="C29" s="63"/>
      <c r="D29" s="66"/>
      <c r="E29" s="39"/>
      <c r="F29" s="179"/>
      <c r="G29" s="180"/>
      <c r="H29" s="43"/>
      <c r="I29" s="44"/>
      <c r="J29" s="2"/>
      <c r="K29" s="2"/>
      <c r="L29" s="2"/>
      <c r="M29" s="2"/>
    </row>
    <row r="30" spans="1:13" ht="25" customHeight="1">
      <c r="A30" s="203" t="s">
        <v>50</v>
      </c>
      <c r="B30" s="204"/>
      <c r="C30" s="61" t="e">
        <f ca="1">IF(OFFSET(#REF!,1,0)=0,"",OFFSET(#REF!,1,0))</f>
        <v>#REF!</v>
      </c>
      <c r="D30" s="38"/>
      <c r="E30" s="58"/>
      <c r="F30" s="205"/>
      <c r="G30" s="206"/>
      <c r="H30" s="59"/>
      <c r="I30" s="60"/>
      <c r="J30" s="2"/>
      <c r="K30" s="2"/>
      <c r="L30" s="2"/>
      <c r="M30" s="2"/>
    </row>
    <row r="31" spans="1:13">
      <c r="A31" s="1"/>
      <c r="B31" s="1"/>
      <c r="J31" s="2"/>
      <c r="K31" s="2"/>
      <c r="L31" s="2"/>
      <c r="M31" s="2"/>
    </row>
  </sheetData>
  <mergeCells count="47">
    <mergeCell ref="A30:B30"/>
    <mergeCell ref="F30:G30"/>
    <mergeCell ref="A26:B26"/>
    <mergeCell ref="C26:I27"/>
    <mergeCell ref="A27:B27"/>
    <mergeCell ref="A28:B28"/>
    <mergeCell ref="F28:G28"/>
    <mergeCell ref="A29:B29"/>
    <mergeCell ref="F29:G29"/>
    <mergeCell ref="A23:B23"/>
    <mergeCell ref="F23:G23"/>
    <mergeCell ref="A24:B24"/>
    <mergeCell ref="F24:G24"/>
    <mergeCell ref="A25:B25"/>
    <mergeCell ref="F25:G25"/>
    <mergeCell ref="A22:B22"/>
    <mergeCell ref="A15:B15"/>
    <mergeCell ref="F15:G15"/>
    <mergeCell ref="A16:B16"/>
    <mergeCell ref="C16:I17"/>
    <mergeCell ref="A17:B17"/>
    <mergeCell ref="A18:B18"/>
    <mergeCell ref="F18:G18"/>
    <mergeCell ref="A19:B19"/>
    <mergeCell ref="F19:G19"/>
    <mergeCell ref="A20:B20"/>
    <mergeCell ref="F20:G20"/>
    <mergeCell ref="A21:B21"/>
    <mergeCell ref="A14:B14"/>
    <mergeCell ref="F14:G14"/>
    <mergeCell ref="A8:B8"/>
    <mergeCell ref="F8:G8"/>
    <mergeCell ref="A9:B9"/>
    <mergeCell ref="F9:G9"/>
    <mergeCell ref="A10:B10"/>
    <mergeCell ref="F10:G10"/>
    <mergeCell ref="A11:B11"/>
    <mergeCell ref="C11:I12"/>
    <mergeCell ref="A12:B12"/>
    <mergeCell ref="A13:B13"/>
    <mergeCell ref="F13:G13"/>
    <mergeCell ref="D1:G3"/>
    <mergeCell ref="D5:E5"/>
    <mergeCell ref="F5:G5"/>
    <mergeCell ref="A6:B6"/>
    <mergeCell ref="C6:I7"/>
    <mergeCell ref="A7:B7"/>
  </mergeCells>
  <dataValidations count="1">
    <dataValidation type="list" allowBlank="1" showInputMessage="1" showErrorMessage="1" sqref="L10 N7" xr:uid="{F43865DA-D114-AF4D-B489-F7E5FC263965}">
      <formula1>$K$8:$K$19</formula1>
    </dataValidation>
  </dataValidations>
  <printOptions horizontalCentered="1" verticalCentered="1"/>
  <pageMargins left="0" right="0" top="0.102880658436214" bottom="0.1404494382022472" header="0" footer="0"/>
  <pageSetup paperSize="9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A50735A-1AB3-6847-BC83-9BEFA6212676}">
          <x14:formula1>
            <xm:f>PARAMETRE!$H$3:$H$14</xm:f>
          </x14:formula1>
          <xm:sqref>K8</xm:sqref>
        </x14:dataValidation>
        <x14:dataValidation type="list" allowBlank="1" showInputMessage="1" showErrorMessage="1" xr:uid="{EDD4E073-0D69-3D40-9E0F-3C6FA224D07B}">
          <x14:formula1>
            <xm:f>PARAMETRE!$B:$B</xm:f>
          </x14:formula1>
          <xm:sqref>C1 K1</xm:sqref>
        </x14:dataValidation>
        <x14:dataValidation type="list" allowBlank="1" showInputMessage="1" showErrorMessage="1" xr:uid="{83ED90CD-AFA4-D543-9843-A87B53125CDD}">
          <x14:formula1>
            <xm:f>PARAMETRE!$G$3:$G$19</xm:f>
          </x14:formula1>
          <xm:sqref>F8:G10 F13:G15 F18:G20 F23:G25 F28:G30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F2897-C28A-344E-94B3-237246BEA56E}">
  <sheetPr codeName="Feuil2"/>
  <dimension ref="A1:R162"/>
  <sheetViews>
    <sheetView zoomScale="75" zoomScaleNormal="100" workbookViewId="0">
      <selection activeCell="H32" sqref="H32"/>
    </sheetView>
  </sheetViews>
  <sheetFormatPr baseColWidth="10" defaultRowHeight="16"/>
  <cols>
    <col min="1" max="1" width="10" customWidth="1"/>
    <col min="2" max="2" width="11.83203125" style="32" customWidth="1"/>
    <col min="3" max="3" width="21.6640625" style="22" customWidth="1"/>
    <col min="4" max="4" width="11.83203125" style="22" customWidth="1"/>
    <col min="5" max="5" width="12" customWidth="1"/>
    <col min="6" max="6" width="20.1640625" customWidth="1"/>
    <col min="7" max="7" width="19.1640625" customWidth="1"/>
    <col min="9" max="9" width="14.1640625" customWidth="1"/>
    <col min="10" max="10" width="10.83203125" customWidth="1"/>
    <col min="11" max="11" width="13" customWidth="1"/>
    <col min="12" max="18" width="10.83203125" style="74"/>
  </cols>
  <sheetData>
    <row r="1" spans="1:11" ht="47">
      <c r="A1" s="207" t="s">
        <v>69</v>
      </c>
      <c r="B1" s="207"/>
      <c r="C1" s="207"/>
      <c r="D1" s="207"/>
      <c r="E1" s="207"/>
      <c r="F1" s="207"/>
      <c r="G1" s="207"/>
      <c r="H1" s="207"/>
      <c r="I1" s="74"/>
      <c r="J1" s="74"/>
      <c r="K1" s="74"/>
    </row>
    <row r="2" spans="1:11" ht="19">
      <c r="A2" s="80" t="s">
        <v>33</v>
      </c>
      <c r="B2" s="81" t="s">
        <v>2</v>
      </c>
      <c r="C2" s="82" t="s">
        <v>32</v>
      </c>
      <c r="D2" s="82" t="s">
        <v>73</v>
      </c>
      <c r="E2" s="82" t="s">
        <v>10</v>
      </c>
      <c r="F2" s="82" t="s">
        <v>70</v>
      </c>
      <c r="G2" s="82" t="s">
        <v>79</v>
      </c>
      <c r="H2" s="83" t="s">
        <v>72</v>
      </c>
      <c r="I2" s="83" t="s">
        <v>89</v>
      </c>
      <c r="J2" s="83" t="s">
        <v>90</v>
      </c>
      <c r="K2" s="158" t="s">
        <v>111</v>
      </c>
    </row>
    <row r="3" spans="1:11">
      <c r="A3" s="79">
        <f>Installation!C4</f>
        <v>2022</v>
      </c>
      <c r="B3" s="75">
        <f>DATE(A3,1,8)-WEEKDAY(DATE(A3,1,6))</f>
        <v>44564</v>
      </c>
      <c r="C3" s="76">
        <v>1</v>
      </c>
      <c r="D3" s="77">
        <v>1</v>
      </c>
      <c r="E3" s="78">
        <f>ROUND(DATE(A3,4,MOD(234-11*MOD(A3,19),30))/7,0)*7-5</f>
        <v>44669</v>
      </c>
      <c r="F3" s="74" t="s">
        <v>34</v>
      </c>
      <c r="G3" s="74" t="s">
        <v>23</v>
      </c>
      <c r="H3" s="74" t="s">
        <v>57</v>
      </c>
      <c r="I3" s="74" t="s">
        <v>94</v>
      </c>
      <c r="J3" s="74" t="s">
        <v>80</v>
      </c>
      <c r="K3" s="74" t="s">
        <v>57</v>
      </c>
    </row>
    <row r="4" spans="1:11">
      <c r="A4" s="74"/>
      <c r="B4" s="75">
        <f>B3+7</f>
        <v>44571</v>
      </c>
      <c r="C4" s="76">
        <f>C3+1</f>
        <v>2</v>
      </c>
      <c r="D4" s="77">
        <v>2</v>
      </c>
      <c r="E4" s="78">
        <f>DATE($A$3,5,1)</f>
        <v>44682</v>
      </c>
      <c r="F4" s="74" t="s">
        <v>35</v>
      </c>
      <c r="G4" s="74" t="s">
        <v>21</v>
      </c>
      <c r="H4" s="74" t="s">
        <v>58</v>
      </c>
      <c r="I4" s="74"/>
      <c r="J4" s="74" t="s">
        <v>76</v>
      </c>
      <c r="K4" s="74" t="s">
        <v>58</v>
      </c>
    </row>
    <row r="5" spans="1:11">
      <c r="A5" s="74"/>
      <c r="B5" s="75">
        <f t="shared" ref="B5:B68" si="0">B4+7</f>
        <v>44578</v>
      </c>
      <c r="C5" s="76">
        <f t="shared" ref="C5:C53" si="1">C4+1</f>
        <v>3</v>
      </c>
      <c r="D5" s="77">
        <v>3</v>
      </c>
      <c r="E5" s="78">
        <f>DATE($A$3,5,8)</f>
        <v>44689</v>
      </c>
      <c r="F5" s="74" t="s">
        <v>36</v>
      </c>
      <c r="G5" s="74" t="s">
        <v>24</v>
      </c>
      <c r="H5" s="74" t="s">
        <v>59</v>
      </c>
      <c r="I5" s="74" t="s">
        <v>93</v>
      </c>
      <c r="J5" s="159" t="s">
        <v>77</v>
      </c>
      <c r="K5" s="74" t="s">
        <v>59</v>
      </c>
    </row>
    <row r="6" spans="1:11">
      <c r="A6" s="74"/>
      <c r="B6" s="75">
        <f t="shared" si="0"/>
        <v>44585</v>
      </c>
      <c r="C6" s="76">
        <f t="shared" si="1"/>
        <v>4</v>
      </c>
      <c r="D6" s="77">
        <v>4</v>
      </c>
      <c r="E6" s="78">
        <f>E3+38</f>
        <v>44707</v>
      </c>
      <c r="F6" s="74" t="s">
        <v>37</v>
      </c>
      <c r="G6" s="74" t="s">
        <v>25</v>
      </c>
      <c r="H6" s="74" t="s">
        <v>60</v>
      </c>
      <c r="I6" s="74"/>
      <c r="J6" s="159" t="s">
        <v>78</v>
      </c>
      <c r="K6" s="74" t="s">
        <v>60</v>
      </c>
    </row>
    <row r="7" spans="1:11">
      <c r="A7" s="74"/>
      <c r="B7" s="75">
        <f t="shared" si="0"/>
        <v>44592</v>
      </c>
      <c r="C7" s="76">
        <f t="shared" si="1"/>
        <v>5</v>
      </c>
      <c r="D7" s="77">
        <v>5</v>
      </c>
      <c r="E7" s="78">
        <f>E3+49</f>
        <v>44718</v>
      </c>
      <c r="F7" s="74" t="s">
        <v>38</v>
      </c>
      <c r="G7" s="74" t="s">
        <v>27</v>
      </c>
      <c r="H7" s="74" t="s">
        <v>61</v>
      </c>
      <c r="I7" s="74" t="s">
        <v>108</v>
      </c>
      <c r="J7" s="159"/>
      <c r="K7" s="74" t="s">
        <v>61</v>
      </c>
    </row>
    <row r="8" spans="1:11">
      <c r="A8" s="74"/>
      <c r="B8" s="75">
        <f t="shared" si="0"/>
        <v>44599</v>
      </c>
      <c r="C8" s="76">
        <f t="shared" si="1"/>
        <v>6</v>
      </c>
      <c r="D8" s="77">
        <v>6</v>
      </c>
      <c r="E8" s="78">
        <f>DATE($A$3,7,14)</f>
        <v>44756</v>
      </c>
      <c r="F8" s="74" t="s">
        <v>39</v>
      </c>
      <c r="G8" s="74" t="s">
        <v>20</v>
      </c>
      <c r="H8" s="74" t="s">
        <v>62</v>
      </c>
      <c r="I8" s="74"/>
      <c r="J8" s="159"/>
      <c r="K8" s="74" t="s">
        <v>62</v>
      </c>
    </row>
    <row r="9" spans="1:11">
      <c r="A9" s="74"/>
      <c r="B9" s="75">
        <f t="shared" si="0"/>
        <v>44606</v>
      </c>
      <c r="C9" s="76">
        <f t="shared" si="1"/>
        <v>7</v>
      </c>
      <c r="D9" s="77">
        <v>7</v>
      </c>
      <c r="E9" s="78">
        <f>DATE($A$3,8,15)</f>
        <v>44788</v>
      </c>
      <c r="F9" s="74" t="s">
        <v>40</v>
      </c>
      <c r="G9" s="74" t="s">
        <v>22</v>
      </c>
      <c r="H9" s="74" t="s">
        <v>63</v>
      </c>
      <c r="I9" s="74"/>
      <c r="J9" s="159"/>
      <c r="K9" s="74" t="s">
        <v>63</v>
      </c>
    </row>
    <row r="10" spans="1:11">
      <c r="A10" s="74"/>
      <c r="B10" s="75">
        <f t="shared" si="0"/>
        <v>44613</v>
      </c>
      <c r="C10" s="76">
        <f t="shared" si="1"/>
        <v>8</v>
      </c>
      <c r="D10" s="77">
        <v>8</v>
      </c>
      <c r="E10" s="78">
        <f>DATE($A$3,11,1)</f>
        <v>44866</v>
      </c>
      <c r="F10" s="74" t="s">
        <v>41</v>
      </c>
      <c r="G10" s="74" t="s">
        <v>11</v>
      </c>
      <c r="H10" s="74" t="s">
        <v>64</v>
      </c>
      <c r="I10" s="74"/>
      <c r="J10" s="159"/>
      <c r="K10" s="74" t="s">
        <v>112</v>
      </c>
    </row>
    <row r="11" spans="1:11">
      <c r="A11" s="74"/>
      <c r="B11" s="75">
        <f t="shared" si="0"/>
        <v>44620</v>
      </c>
      <c r="C11" s="76">
        <f t="shared" si="1"/>
        <v>9</v>
      </c>
      <c r="D11" s="77">
        <v>9</v>
      </c>
      <c r="E11" s="78">
        <f>DATE($A$3,11,11)</f>
        <v>44876</v>
      </c>
      <c r="F11" s="74" t="s">
        <v>42</v>
      </c>
      <c r="G11" s="74" t="s">
        <v>19</v>
      </c>
      <c r="H11" s="74" t="s">
        <v>65</v>
      </c>
      <c r="I11" s="74"/>
      <c r="J11" s="74"/>
      <c r="K11" s="74" t="s">
        <v>65</v>
      </c>
    </row>
    <row r="12" spans="1:11">
      <c r="A12" s="74"/>
      <c r="B12" s="75">
        <f t="shared" si="0"/>
        <v>44627</v>
      </c>
      <c r="C12" s="76">
        <f t="shared" si="1"/>
        <v>10</v>
      </c>
      <c r="D12" s="77">
        <v>10</v>
      </c>
      <c r="E12" s="78">
        <f>DATE($A$3,12,25)</f>
        <v>44920</v>
      </c>
      <c r="F12" s="74" t="s">
        <v>43</v>
      </c>
      <c r="G12" s="74" t="s">
        <v>26</v>
      </c>
      <c r="H12" s="74" t="s">
        <v>66</v>
      </c>
      <c r="I12" s="74"/>
      <c r="J12" s="74"/>
      <c r="K12" s="74" t="s">
        <v>66</v>
      </c>
    </row>
    <row r="13" spans="1:11">
      <c r="A13" s="74"/>
      <c r="B13" s="75">
        <f t="shared" si="0"/>
        <v>44634</v>
      </c>
      <c r="C13" s="76">
        <f t="shared" si="1"/>
        <v>11</v>
      </c>
      <c r="D13" s="77">
        <v>11</v>
      </c>
      <c r="E13" s="78">
        <f>DATE($A$3,1,1)</f>
        <v>44562</v>
      </c>
      <c r="F13" s="74" t="s">
        <v>44</v>
      </c>
      <c r="G13" s="74" t="s">
        <v>12</v>
      </c>
      <c r="H13" s="74" t="s">
        <v>67</v>
      </c>
      <c r="I13" s="74"/>
      <c r="J13" s="74"/>
      <c r="K13" s="74" t="s">
        <v>67</v>
      </c>
    </row>
    <row r="14" spans="1:11">
      <c r="A14" s="74"/>
      <c r="B14" s="75">
        <f t="shared" si="0"/>
        <v>44641</v>
      </c>
      <c r="C14" s="76">
        <f t="shared" si="1"/>
        <v>12</v>
      </c>
      <c r="D14" s="77">
        <v>12</v>
      </c>
      <c r="E14" s="74"/>
      <c r="F14" s="74"/>
      <c r="G14" s="74" t="s">
        <v>28</v>
      </c>
      <c r="H14" s="74" t="s">
        <v>68</v>
      </c>
      <c r="I14" s="74"/>
      <c r="J14" s="74"/>
      <c r="K14" s="74" t="s">
        <v>113</v>
      </c>
    </row>
    <row r="15" spans="1:11">
      <c r="A15" s="74"/>
      <c r="B15" s="75">
        <f t="shared" si="0"/>
        <v>44648</v>
      </c>
      <c r="C15" s="76">
        <f t="shared" si="1"/>
        <v>13</v>
      </c>
      <c r="D15" s="77">
        <v>13</v>
      </c>
      <c r="E15" s="74"/>
      <c r="F15" s="74"/>
      <c r="G15" s="74"/>
      <c r="H15" s="74"/>
      <c r="I15" s="74"/>
      <c r="J15" s="74"/>
      <c r="K15" s="74"/>
    </row>
    <row r="16" spans="1:11">
      <c r="A16" s="74"/>
      <c r="B16" s="75">
        <f t="shared" si="0"/>
        <v>44655</v>
      </c>
      <c r="C16" s="76">
        <f t="shared" si="1"/>
        <v>14</v>
      </c>
      <c r="D16" s="77">
        <v>14</v>
      </c>
      <c r="E16" s="74"/>
      <c r="F16" s="74"/>
      <c r="G16" s="74"/>
      <c r="H16" s="74"/>
      <c r="I16" s="74"/>
      <c r="J16" s="74"/>
      <c r="K16" s="74"/>
    </row>
    <row r="17" spans="1:11">
      <c r="A17" s="74"/>
      <c r="B17" s="75">
        <f t="shared" si="0"/>
        <v>44662</v>
      </c>
      <c r="C17" s="76">
        <f t="shared" si="1"/>
        <v>15</v>
      </c>
      <c r="D17" s="77">
        <v>15</v>
      </c>
      <c r="E17" s="74"/>
      <c r="F17" s="74"/>
      <c r="G17" s="74"/>
      <c r="H17" s="74"/>
      <c r="I17" s="74"/>
      <c r="J17" s="74"/>
      <c r="K17" s="74"/>
    </row>
    <row r="18" spans="1:11">
      <c r="A18" s="74"/>
      <c r="B18" s="75">
        <f t="shared" si="0"/>
        <v>44669</v>
      </c>
      <c r="C18" s="76">
        <f t="shared" si="1"/>
        <v>16</v>
      </c>
      <c r="D18" s="77">
        <v>16</v>
      </c>
      <c r="E18" s="74"/>
      <c r="F18" s="74"/>
      <c r="G18" s="74"/>
      <c r="H18" s="74"/>
      <c r="I18" s="74"/>
      <c r="J18" s="74"/>
      <c r="K18" s="74"/>
    </row>
    <row r="19" spans="1:11">
      <c r="A19" s="74"/>
      <c r="B19" s="75">
        <f t="shared" si="0"/>
        <v>44676</v>
      </c>
      <c r="C19" s="76">
        <f t="shared" si="1"/>
        <v>17</v>
      </c>
      <c r="D19" s="77">
        <v>17</v>
      </c>
      <c r="E19" s="74"/>
      <c r="F19" s="74"/>
      <c r="G19" s="74"/>
      <c r="H19" s="74"/>
      <c r="I19" s="74"/>
      <c r="J19" s="74"/>
      <c r="K19" s="74"/>
    </row>
    <row r="20" spans="1:11">
      <c r="A20" s="74"/>
      <c r="B20" s="75">
        <f t="shared" si="0"/>
        <v>44683</v>
      </c>
      <c r="C20" s="76">
        <f t="shared" si="1"/>
        <v>18</v>
      </c>
      <c r="D20" s="77">
        <v>18</v>
      </c>
      <c r="E20" s="74"/>
      <c r="F20" s="74"/>
      <c r="G20" s="74"/>
      <c r="H20" s="74"/>
      <c r="I20" s="74"/>
      <c r="J20" s="74"/>
      <c r="K20" s="74"/>
    </row>
    <row r="21" spans="1:11">
      <c r="A21" s="74"/>
      <c r="B21" s="75">
        <f t="shared" si="0"/>
        <v>44690</v>
      </c>
      <c r="C21" s="76">
        <f t="shared" si="1"/>
        <v>19</v>
      </c>
      <c r="D21" s="77">
        <v>19</v>
      </c>
      <c r="E21" s="74"/>
      <c r="F21" s="74"/>
      <c r="G21" s="74"/>
      <c r="H21" s="74"/>
      <c r="I21" s="74"/>
      <c r="J21" s="74"/>
      <c r="K21" s="74"/>
    </row>
    <row r="22" spans="1:11">
      <c r="A22" s="74"/>
      <c r="B22" s="75">
        <f t="shared" si="0"/>
        <v>44697</v>
      </c>
      <c r="C22" s="76">
        <f t="shared" si="1"/>
        <v>20</v>
      </c>
      <c r="D22" s="77">
        <v>20</v>
      </c>
      <c r="E22" s="74"/>
      <c r="F22" s="74"/>
      <c r="G22" s="74"/>
      <c r="H22" s="74"/>
      <c r="I22" s="74"/>
      <c r="J22" s="74"/>
      <c r="K22" s="74"/>
    </row>
    <row r="23" spans="1:11">
      <c r="A23" s="74"/>
      <c r="B23" s="75">
        <f t="shared" si="0"/>
        <v>44704</v>
      </c>
      <c r="C23" s="76">
        <f t="shared" si="1"/>
        <v>21</v>
      </c>
      <c r="D23" s="77">
        <v>21</v>
      </c>
      <c r="E23" s="74"/>
      <c r="F23" s="74"/>
      <c r="G23" s="74"/>
      <c r="H23" s="74"/>
      <c r="I23" s="74"/>
      <c r="J23" s="74"/>
      <c r="K23" s="74"/>
    </row>
    <row r="24" spans="1:11">
      <c r="A24" s="74"/>
      <c r="B24" s="75">
        <f t="shared" si="0"/>
        <v>44711</v>
      </c>
      <c r="C24" s="76">
        <f t="shared" si="1"/>
        <v>22</v>
      </c>
      <c r="D24" s="77">
        <v>22</v>
      </c>
      <c r="E24" s="74"/>
      <c r="F24" s="74"/>
      <c r="G24" s="74"/>
      <c r="H24" s="74"/>
      <c r="I24" s="74"/>
      <c r="J24" s="74"/>
      <c r="K24" s="74"/>
    </row>
    <row r="25" spans="1:11">
      <c r="A25" s="74"/>
      <c r="B25" s="75">
        <f t="shared" si="0"/>
        <v>44718</v>
      </c>
      <c r="C25" s="76">
        <f t="shared" si="1"/>
        <v>23</v>
      </c>
      <c r="D25" s="77">
        <v>23</v>
      </c>
      <c r="E25" s="74"/>
      <c r="F25" s="74"/>
      <c r="G25" s="74"/>
      <c r="H25" s="74"/>
      <c r="I25" s="74"/>
      <c r="J25" s="74"/>
      <c r="K25" s="74"/>
    </row>
    <row r="26" spans="1:11">
      <c r="A26" s="74"/>
      <c r="B26" s="75">
        <f t="shared" si="0"/>
        <v>44725</v>
      </c>
      <c r="C26" s="76">
        <f t="shared" si="1"/>
        <v>24</v>
      </c>
      <c r="D26" s="77">
        <v>24</v>
      </c>
      <c r="E26" s="74"/>
      <c r="F26" s="74"/>
      <c r="G26" s="74"/>
      <c r="H26" s="74"/>
      <c r="I26" s="74"/>
      <c r="J26" s="74"/>
      <c r="K26" s="74"/>
    </row>
    <row r="27" spans="1:11">
      <c r="A27" s="74"/>
      <c r="B27" s="75">
        <f t="shared" si="0"/>
        <v>44732</v>
      </c>
      <c r="C27" s="76">
        <f t="shared" si="1"/>
        <v>25</v>
      </c>
      <c r="D27" s="77">
        <v>25</v>
      </c>
      <c r="E27" s="74"/>
      <c r="F27" s="74"/>
      <c r="G27" s="74"/>
      <c r="H27" s="74"/>
      <c r="I27" s="74"/>
      <c r="J27" s="74"/>
      <c r="K27" s="74"/>
    </row>
    <row r="28" spans="1:11">
      <c r="A28" s="74"/>
      <c r="B28" s="75">
        <f t="shared" si="0"/>
        <v>44739</v>
      </c>
      <c r="C28" s="76">
        <f t="shared" si="1"/>
        <v>26</v>
      </c>
      <c r="D28" s="77">
        <v>26</v>
      </c>
      <c r="E28" s="74"/>
      <c r="F28" s="74"/>
      <c r="G28" s="74"/>
      <c r="H28" s="74"/>
      <c r="I28" s="74"/>
      <c r="J28" s="74"/>
      <c r="K28" s="74"/>
    </row>
    <row r="29" spans="1:11">
      <c r="A29" s="74"/>
      <c r="B29" s="75">
        <f t="shared" si="0"/>
        <v>44746</v>
      </c>
      <c r="C29" s="76">
        <f t="shared" si="1"/>
        <v>27</v>
      </c>
      <c r="D29" s="77">
        <v>27</v>
      </c>
      <c r="E29" s="74"/>
      <c r="F29" s="74"/>
      <c r="G29" s="74"/>
      <c r="H29" s="74"/>
      <c r="I29" s="74"/>
      <c r="J29" s="74"/>
      <c r="K29" s="74"/>
    </row>
    <row r="30" spans="1:11">
      <c r="A30" s="74"/>
      <c r="B30" s="75">
        <f t="shared" si="0"/>
        <v>44753</v>
      </c>
      <c r="C30" s="76">
        <f t="shared" si="1"/>
        <v>28</v>
      </c>
      <c r="D30" s="77">
        <v>28</v>
      </c>
      <c r="E30" s="74"/>
      <c r="F30" s="74"/>
      <c r="G30" s="74"/>
      <c r="H30" s="74"/>
      <c r="I30" s="74"/>
      <c r="J30" s="74"/>
      <c r="K30" s="74"/>
    </row>
    <row r="31" spans="1:11">
      <c r="A31" s="74"/>
      <c r="B31" s="75">
        <f t="shared" si="0"/>
        <v>44760</v>
      </c>
      <c r="C31" s="76">
        <f t="shared" si="1"/>
        <v>29</v>
      </c>
      <c r="D31" s="77">
        <v>29</v>
      </c>
      <c r="E31" s="74"/>
      <c r="F31" s="74"/>
      <c r="G31" s="74"/>
      <c r="H31" s="74"/>
      <c r="I31" s="74"/>
      <c r="J31" s="74"/>
      <c r="K31" s="74"/>
    </row>
    <row r="32" spans="1:11">
      <c r="A32" s="74"/>
      <c r="B32" s="75">
        <f t="shared" si="0"/>
        <v>44767</v>
      </c>
      <c r="C32" s="76">
        <f t="shared" si="1"/>
        <v>30</v>
      </c>
      <c r="D32" s="77">
        <v>30</v>
      </c>
      <c r="E32" s="74"/>
      <c r="F32" s="74"/>
      <c r="G32" s="74"/>
      <c r="H32" s="74"/>
      <c r="I32" s="74"/>
      <c r="J32" s="74"/>
      <c r="K32" s="74"/>
    </row>
    <row r="33" spans="1:11">
      <c r="A33" s="74"/>
      <c r="B33" s="75">
        <f t="shared" si="0"/>
        <v>44774</v>
      </c>
      <c r="C33" s="76">
        <f t="shared" si="1"/>
        <v>31</v>
      </c>
      <c r="D33" s="77">
        <v>31</v>
      </c>
      <c r="E33" s="74"/>
      <c r="F33" s="74"/>
      <c r="G33" s="74"/>
      <c r="H33" s="74"/>
      <c r="I33" s="74"/>
      <c r="J33" s="74"/>
      <c r="K33" s="74"/>
    </row>
    <row r="34" spans="1:11">
      <c r="A34" s="74"/>
      <c r="B34" s="75">
        <f>B33+7</f>
        <v>44781</v>
      </c>
      <c r="C34" s="76">
        <f t="shared" si="1"/>
        <v>32</v>
      </c>
      <c r="D34" s="77">
        <v>32</v>
      </c>
      <c r="E34" s="74"/>
      <c r="F34" s="74"/>
      <c r="G34" s="74"/>
      <c r="H34" s="74"/>
      <c r="I34" s="74"/>
      <c r="J34" s="74"/>
      <c r="K34" s="74"/>
    </row>
    <row r="35" spans="1:11">
      <c r="A35" s="74"/>
      <c r="B35" s="75">
        <f t="shared" si="0"/>
        <v>44788</v>
      </c>
      <c r="C35" s="76">
        <f t="shared" si="1"/>
        <v>33</v>
      </c>
      <c r="D35" s="77">
        <v>33</v>
      </c>
      <c r="E35" s="74"/>
      <c r="F35" s="74"/>
      <c r="G35" s="74"/>
      <c r="H35" s="74"/>
      <c r="I35" s="74"/>
      <c r="J35" s="74"/>
      <c r="K35" s="74"/>
    </row>
    <row r="36" spans="1:11">
      <c r="A36" s="74"/>
      <c r="B36" s="75">
        <f t="shared" si="0"/>
        <v>44795</v>
      </c>
      <c r="C36" s="76">
        <f t="shared" si="1"/>
        <v>34</v>
      </c>
      <c r="D36" s="77">
        <v>34</v>
      </c>
      <c r="E36" s="74"/>
      <c r="F36" s="74"/>
      <c r="G36" s="74"/>
      <c r="H36" s="74"/>
      <c r="I36" s="74"/>
      <c r="J36" s="74"/>
      <c r="K36" s="74"/>
    </row>
    <row r="37" spans="1:11">
      <c r="A37" s="74"/>
      <c r="B37" s="75">
        <f t="shared" si="0"/>
        <v>44802</v>
      </c>
      <c r="C37" s="76">
        <f t="shared" si="1"/>
        <v>35</v>
      </c>
      <c r="D37" s="77">
        <v>35</v>
      </c>
      <c r="E37" s="74"/>
      <c r="F37" s="74"/>
      <c r="G37" s="74"/>
      <c r="H37" s="74"/>
      <c r="I37" s="74"/>
      <c r="J37" s="74"/>
      <c r="K37" s="74"/>
    </row>
    <row r="38" spans="1:11">
      <c r="A38" s="74"/>
      <c r="B38" s="75">
        <f t="shared" si="0"/>
        <v>44809</v>
      </c>
      <c r="C38" s="76">
        <f t="shared" si="1"/>
        <v>36</v>
      </c>
      <c r="D38" s="77">
        <v>36</v>
      </c>
      <c r="E38" s="74"/>
      <c r="F38" s="74"/>
      <c r="G38" s="74"/>
      <c r="H38" s="74"/>
      <c r="I38" s="74"/>
      <c r="J38" s="74"/>
      <c r="K38" s="74"/>
    </row>
    <row r="39" spans="1:11">
      <c r="A39" s="74"/>
      <c r="B39" s="75">
        <f t="shared" si="0"/>
        <v>44816</v>
      </c>
      <c r="C39" s="76">
        <f t="shared" si="1"/>
        <v>37</v>
      </c>
      <c r="D39" s="77">
        <v>37</v>
      </c>
      <c r="E39" s="74"/>
      <c r="F39" s="74"/>
      <c r="G39" s="74"/>
      <c r="H39" s="74"/>
      <c r="I39" s="74"/>
      <c r="J39" s="74"/>
      <c r="K39" s="74"/>
    </row>
    <row r="40" spans="1:11">
      <c r="A40" s="74"/>
      <c r="B40" s="75">
        <f t="shared" si="0"/>
        <v>44823</v>
      </c>
      <c r="C40" s="76">
        <f t="shared" si="1"/>
        <v>38</v>
      </c>
      <c r="D40" s="77">
        <v>38</v>
      </c>
      <c r="E40" s="74"/>
      <c r="F40" s="74"/>
      <c r="G40" s="74"/>
      <c r="H40" s="74"/>
      <c r="I40" s="74"/>
      <c r="J40" s="74"/>
      <c r="K40" s="74"/>
    </row>
    <row r="41" spans="1:11">
      <c r="A41" s="74"/>
      <c r="B41" s="75">
        <f t="shared" si="0"/>
        <v>44830</v>
      </c>
      <c r="C41" s="76">
        <f t="shared" si="1"/>
        <v>39</v>
      </c>
      <c r="D41" s="77">
        <v>39</v>
      </c>
      <c r="E41" s="74"/>
      <c r="F41" s="74"/>
      <c r="G41" s="74"/>
      <c r="H41" s="74"/>
      <c r="I41" s="74"/>
      <c r="J41" s="74"/>
      <c r="K41" s="74"/>
    </row>
    <row r="42" spans="1:11">
      <c r="A42" s="74"/>
      <c r="B42" s="75">
        <f t="shared" si="0"/>
        <v>44837</v>
      </c>
      <c r="C42" s="76">
        <f t="shared" si="1"/>
        <v>40</v>
      </c>
      <c r="D42" s="77">
        <v>40</v>
      </c>
      <c r="E42" s="74"/>
      <c r="F42" s="74"/>
      <c r="G42" s="74"/>
      <c r="H42" s="74"/>
      <c r="I42" s="74"/>
      <c r="J42" s="74"/>
      <c r="K42" s="74"/>
    </row>
    <row r="43" spans="1:11">
      <c r="A43" s="74"/>
      <c r="B43" s="75">
        <f t="shared" si="0"/>
        <v>44844</v>
      </c>
      <c r="C43" s="76">
        <f t="shared" si="1"/>
        <v>41</v>
      </c>
      <c r="D43" s="77">
        <v>41</v>
      </c>
      <c r="E43" s="74"/>
      <c r="F43" s="74"/>
      <c r="G43" s="74"/>
      <c r="H43" s="74"/>
      <c r="I43" s="74"/>
      <c r="J43" s="74"/>
      <c r="K43" s="74"/>
    </row>
    <row r="44" spans="1:11">
      <c r="A44" s="74"/>
      <c r="B44" s="75">
        <f t="shared" si="0"/>
        <v>44851</v>
      </c>
      <c r="C44" s="76">
        <f t="shared" si="1"/>
        <v>42</v>
      </c>
      <c r="D44" s="77">
        <v>42</v>
      </c>
      <c r="E44" s="74"/>
      <c r="F44" s="74"/>
      <c r="G44" s="74"/>
      <c r="H44" s="74"/>
      <c r="I44" s="74"/>
      <c r="J44" s="74"/>
      <c r="K44" s="74"/>
    </row>
    <row r="45" spans="1:11">
      <c r="A45" s="74"/>
      <c r="B45" s="75">
        <f t="shared" si="0"/>
        <v>44858</v>
      </c>
      <c r="C45" s="76">
        <f t="shared" si="1"/>
        <v>43</v>
      </c>
      <c r="D45" s="77">
        <v>43</v>
      </c>
      <c r="E45" s="74"/>
      <c r="F45" s="74"/>
      <c r="G45" s="74"/>
      <c r="H45" s="74"/>
      <c r="I45" s="74"/>
      <c r="J45" s="74"/>
      <c r="K45" s="74"/>
    </row>
    <row r="46" spans="1:11">
      <c r="A46" s="74"/>
      <c r="B46" s="75">
        <f t="shared" si="0"/>
        <v>44865</v>
      </c>
      <c r="C46" s="76">
        <f t="shared" si="1"/>
        <v>44</v>
      </c>
      <c r="D46" s="77">
        <v>44</v>
      </c>
      <c r="E46" s="74"/>
      <c r="F46" s="74"/>
      <c r="G46" s="74"/>
      <c r="H46" s="74"/>
      <c r="I46" s="74"/>
      <c r="J46" s="74"/>
      <c r="K46" s="74"/>
    </row>
    <row r="47" spans="1:11">
      <c r="A47" s="74"/>
      <c r="B47" s="75">
        <f t="shared" si="0"/>
        <v>44872</v>
      </c>
      <c r="C47" s="76">
        <f t="shared" si="1"/>
        <v>45</v>
      </c>
      <c r="D47" s="77">
        <v>45</v>
      </c>
      <c r="E47" s="74"/>
      <c r="F47" s="74"/>
      <c r="G47" s="74"/>
      <c r="H47" s="74"/>
      <c r="I47" s="74"/>
      <c r="J47" s="74"/>
      <c r="K47" s="74"/>
    </row>
    <row r="48" spans="1:11">
      <c r="A48" s="74"/>
      <c r="B48" s="75">
        <f t="shared" si="0"/>
        <v>44879</v>
      </c>
      <c r="C48" s="76">
        <f t="shared" si="1"/>
        <v>46</v>
      </c>
      <c r="D48" s="77">
        <v>46</v>
      </c>
      <c r="E48" s="74"/>
      <c r="F48" s="74"/>
      <c r="G48" s="74"/>
      <c r="H48" s="74"/>
      <c r="I48" s="74"/>
      <c r="J48" s="74"/>
      <c r="K48" s="74"/>
    </row>
    <row r="49" spans="1:11">
      <c r="A49" s="74"/>
      <c r="B49" s="75">
        <f t="shared" si="0"/>
        <v>44886</v>
      </c>
      <c r="C49" s="76">
        <f t="shared" si="1"/>
        <v>47</v>
      </c>
      <c r="D49" s="77">
        <v>47</v>
      </c>
      <c r="E49" s="74"/>
      <c r="F49" s="74"/>
      <c r="G49" s="74"/>
      <c r="H49" s="74"/>
      <c r="I49" s="74"/>
      <c r="J49" s="74"/>
      <c r="K49" s="74"/>
    </row>
    <row r="50" spans="1:11">
      <c r="A50" s="74"/>
      <c r="B50" s="75">
        <f t="shared" si="0"/>
        <v>44893</v>
      </c>
      <c r="C50" s="76">
        <f t="shared" si="1"/>
        <v>48</v>
      </c>
      <c r="D50" s="77">
        <v>48</v>
      </c>
      <c r="E50" s="74"/>
      <c r="F50" s="74"/>
      <c r="G50" s="74"/>
      <c r="H50" s="74"/>
      <c r="I50" s="74"/>
      <c r="J50" s="74"/>
      <c r="K50" s="74"/>
    </row>
    <row r="51" spans="1:11">
      <c r="A51" s="74"/>
      <c r="B51" s="75">
        <f>B50+7</f>
        <v>44900</v>
      </c>
      <c r="C51" s="76">
        <f t="shared" si="1"/>
        <v>49</v>
      </c>
      <c r="D51" s="77">
        <v>49</v>
      </c>
      <c r="E51" s="74"/>
      <c r="F51" s="74"/>
      <c r="G51" s="74"/>
      <c r="H51" s="74"/>
      <c r="I51" s="74"/>
      <c r="J51" s="74"/>
      <c r="K51" s="74"/>
    </row>
    <row r="52" spans="1:11">
      <c r="A52" s="74"/>
      <c r="B52" s="75">
        <f t="shared" si="0"/>
        <v>44907</v>
      </c>
      <c r="C52" s="76">
        <f>C51+1</f>
        <v>50</v>
      </c>
      <c r="D52" s="77">
        <v>50</v>
      </c>
      <c r="E52" s="74"/>
      <c r="F52" s="74"/>
      <c r="G52" s="74"/>
      <c r="H52" s="74"/>
      <c r="I52" s="74"/>
      <c r="J52" s="74"/>
      <c r="K52" s="74"/>
    </row>
    <row r="53" spans="1:11">
      <c r="A53" s="74"/>
      <c r="B53" s="75">
        <f t="shared" si="0"/>
        <v>44914</v>
      </c>
      <c r="C53" s="76">
        <f t="shared" si="1"/>
        <v>51</v>
      </c>
      <c r="D53" s="77">
        <v>51</v>
      </c>
      <c r="E53" s="74"/>
      <c r="F53" s="74"/>
      <c r="G53" s="74"/>
      <c r="H53" s="74"/>
      <c r="I53" s="74"/>
      <c r="J53" s="74"/>
      <c r="K53" s="74"/>
    </row>
    <row r="54" spans="1:11">
      <c r="A54" s="74"/>
      <c r="B54" s="75">
        <f t="shared" si="0"/>
        <v>44921</v>
      </c>
      <c r="C54" s="76">
        <f>C53+1</f>
        <v>52</v>
      </c>
      <c r="D54" s="77">
        <v>52</v>
      </c>
      <c r="E54" s="74"/>
      <c r="F54" s="74"/>
      <c r="G54" s="74"/>
      <c r="H54" s="74"/>
      <c r="I54" s="74"/>
      <c r="J54" s="74"/>
      <c r="K54" s="74"/>
    </row>
    <row r="55" spans="1:11">
      <c r="A55" s="74"/>
      <c r="B55" s="75">
        <f t="shared" si="0"/>
        <v>44928</v>
      </c>
      <c r="C55" s="76">
        <v>1</v>
      </c>
      <c r="D55" s="77">
        <v>53</v>
      </c>
      <c r="E55" s="74"/>
      <c r="F55" s="74"/>
      <c r="G55" s="74"/>
      <c r="H55" s="74"/>
      <c r="I55" s="74"/>
      <c r="J55" s="74"/>
      <c r="K55" s="74"/>
    </row>
    <row r="56" spans="1:11">
      <c r="A56" s="74"/>
      <c r="B56" s="75">
        <f t="shared" si="0"/>
        <v>44935</v>
      </c>
      <c r="C56" s="76">
        <f>C55+1</f>
        <v>2</v>
      </c>
      <c r="D56" s="77">
        <v>54</v>
      </c>
      <c r="E56" s="74"/>
      <c r="F56" s="74"/>
      <c r="G56" s="74"/>
      <c r="H56" s="74"/>
      <c r="I56" s="74"/>
      <c r="J56" s="74"/>
      <c r="K56" s="74"/>
    </row>
    <row r="57" spans="1:11">
      <c r="A57" s="74"/>
      <c r="B57" s="75">
        <f t="shared" si="0"/>
        <v>44942</v>
      </c>
      <c r="C57" s="76">
        <f t="shared" ref="C57:C106" si="2">C56+1</f>
        <v>3</v>
      </c>
      <c r="D57" s="77">
        <v>55</v>
      </c>
      <c r="E57" s="74"/>
      <c r="F57" s="74"/>
      <c r="G57" s="74"/>
      <c r="H57" s="74"/>
      <c r="I57" s="74"/>
      <c r="J57" s="74"/>
      <c r="K57" s="74"/>
    </row>
    <row r="58" spans="1:11">
      <c r="A58" s="74"/>
      <c r="B58" s="75">
        <f t="shared" si="0"/>
        <v>44949</v>
      </c>
      <c r="C58" s="76">
        <f t="shared" si="2"/>
        <v>4</v>
      </c>
      <c r="D58" s="77">
        <v>56</v>
      </c>
      <c r="E58" s="74"/>
      <c r="F58" s="74"/>
      <c r="G58" s="74"/>
      <c r="H58" s="74"/>
      <c r="I58" s="74"/>
      <c r="J58" s="74"/>
      <c r="K58" s="74"/>
    </row>
    <row r="59" spans="1:11">
      <c r="A59" s="74"/>
      <c r="B59" s="75">
        <f t="shared" si="0"/>
        <v>44956</v>
      </c>
      <c r="C59" s="76">
        <f t="shared" si="2"/>
        <v>5</v>
      </c>
      <c r="D59" s="77">
        <v>57</v>
      </c>
      <c r="E59" s="74"/>
      <c r="F59" s="74"/>
      <c r="G59" s="74"/>
      <c r="H59" s="74"/>
      <c r="I59" s="74"/>
      <c r="J59" s="74"/>
      <c r="K59" s="74"/>
    </row>
    <row r="60" spans="1:11">
      <c r="A60" s="74"/>
      <c r="B60" s="75">
        <f t="shared" si="0"/>
        <v>44963</v>
      </c>
      <c r="C60" s="76">
        <f t="shared" si="2"/>
        <v>6</v>
      </c>
      <c r="D60" s="77">
        <v>58</v>
      </c>
      <c r="E60" s="74"/>
      <c r="F60" s="74"/>
      <c r="G60" s="74"/>
      <c r="H60" s="74"/>
      <c r="I60" s="74"/>
      <c r="J60" s="74"/>
      <c r="K60" s="74"/>
    </row>
    <row r="61" spans="1:11">
      <c r="A61" s="74"/>
      <c r="B61" s="75">
        <f t="shared" si="0"/>
        <v>44970</v>
      </c>
      <c r="C61" s="76">
        <f t="shared" si="2"/>
        <v>7</v>
      </c>
      <c r="D61" s="77">
        <v>59</v>
      </c>
      <c r="E61" s="74"/>
      <c r="F61" s="74"/>
      <c r="G61" s="74"/>
      <c r="H61" s="74"/>
      <c r="I61" s="74"/>
      <c r="J61" s="74"/>
      <c r="K61" s="74"/>
    </row>
    <row r="62" spans="1:11">
      <c r="A62" s="74"/>
      <c r="B62" s="75">
        <f t="shared" si="0"/>
        <v>44977</v>
      </c>
      <c r="C62" s="76">
        <f t="shared" si="2"/>
        <v>8</v>
      </c>
      <c r="D62" s="77">
        <v>60</v>
      </c>
      <c r="E62" s="74"/>
      <c r="F62" s="74"/>
      <c r="G62" s="74"/>
      <c r="H62" s="74"/>
      <c r="I62" s="74"/>
      <c r="J62" s="74"/>
      <c r="K62" s="74"/>
    </row>
    <row r="63" spans="1:11">
      <c r="A63" s="74"/>
      <c r="B63" s="75">
        <f t="shared" si="0"/>
        <v>44984</v>
      </c>
      <c r="C63" s="76">
        <f t="shared" si="2"/>
        <v>9</v>
      </c>
      <c r="D63" s="77">
        <v>61</v>
      </c>
      <c r="E63" s="74"/>
      <c r="F63" s="74"/>
      <c r="G63" s="74"/>
      <c r="H63" s="74"/>
      <c r="I63" s="74"/>
      <c r="J63" s="74"/>
      <c r="K63" s="74"/>
    </row>
    <row r="64" spans="1:11">
      <c r="A64" s="74"/>
      <c r="B64" s="75">
        <f t="shared" si="0"/>
        <v>44991</v>
      </c>
      <c r="C64" s="76">
        <f t="shared" si="2"/>
        <v>10</v>
      </c>
      <c r="D64" s="77">
        <v>62</v>
      </c>
      <c r="E64" s="74"/>
      <c r="F64" s="74"/>
      <c r="G64" s="74"/>
      <c r="H64" s="74"/>
      <c r="I64" s="74"/>
      <c r="J64" s="74"/>
      <c r="K64" s="74"/>
    </row>
    <row r="65" spans="1:11">
      <c r="A65" s="74"/>
      <c r="B65" s="75">
        <f t="shared" si="0"/>
        <v>44998</v>
      </c>
      <c r="C65" s="76">
        <f t="shared" si="2"/>
        <v>11</v>
      </c>
      <c r="D65" s="77">
        <v>63</v>
      </c>
      <c r="E65" s="74"/>
      <c r="F65" s="74"/>
      <c r="G65" s="74"/>
      <c r="H65" s="74"/>
      <c r="I65" s="74"/>
      <c r="J65" s="74"/>
      <c r="K65" s="74"/>
    </row>
    <row r="66" spans="1:11">
      <c r="A66" s="74"/>
      <c r="B66" s="75">
        <f t="shared" si="0"/>
        <v>45005</v>
      </c>
      <c r="C66" s="76">
        <f t="shared" si="2"/>
        <v>12</v>
      </c>
      <c r="D66" s="77">
        <v>64</v>
      </c>
      <c r="E66" s="74"/>
      <c r="F66" s="74"/>
      <c r="G66" s="74"/>
      <c r="H66" s="74"/>
      <c r="I66" s="74"/>
      <c r="J66" s="74"/>
      <c r="K66" s="74"/>
    </row>
    <row r="67" spans="1:11">
      <c r="A67" s="74"/>
      <c r="B67" s="75">
        <f t="shared" si="0"/>
        <v>45012</v>
      </c>
      <c r="C67" s="76">
        <f t="shared" si="2"/>
        <v>13</v>
      </c>
      <c r="D67" s="77">
        <v>65</v>
      </c>
      <c r="E67" s="74"/>
      <c r="F67" s="74"/>
      <c r="G67" s="74"/>
      <c r="H67" s="74"/>
      <c r="I67" s="74"/>
      <c r="J67" s="74"/>
      <c r="K67" s="74"/>
    </row>
    <row r="68" spans="1:11">
      <c r="A68" s="74"/>
      <c r="B68" s="75">
        <f t="shared" si="0"/>
        <v>45019</v>
      </c>
      <c r="C68" s="76">
        <f t="shared" si="2"/>
        <v>14</v>
      </c>
      <c r="D68" s="77">
        <v>66</v>
      </c>
      <c r="E68" s="74"/>
      <c r="F68" s="74"/>
      <c r="G68" s="74"/>
      <c r="H68" s="74"/>
      <c r="I68" s="74"/>
      <c r="J68" s="74"/>
      <c r="K68" s="74"/>
    </row>
    <row r="69" spans="1:11">
      <c r="A69" s="74"/>
      <c r="B69" s="75">
        <f t="shared" ref="B69:B75" si="3">B68+7</f>
        <v>45026</v>
      </c>
      <c r="C69" s="76">
        <f t="shared" si="2"/>
        <v>15</v>
      </c>
      <c r="D69" s="77">
        <v>67</v>
      </c>
      <c r="E69" s="74"/>
      <c r="F69" s="74"/>
      <c r="G69" s="74"/>
      <c r="H69" s="74"/>
      <c r="I69" s="74"/>
      <c r="J69" s="74"/>
      <c r="K69" s="74"/>
    </row>
    <row r="70" spans="1:11">
      <c r="A70" s="74"/>
      <c r="B70" s="75">
        <f t="shared" si="3"/>
        <v>45033</v>
      </c>
      <c r="C70" s="76">
        <f t="shared" si="2"/>
        <v>16</v>
      </c>
      <c r="D70" s="77">
        <v>68</v>
      </c>
      <c r="E70" s="74"/>
      <c r="F70" s="74"/>
      <c r="G70" s="74"/>
      <c r="H70" s="74"/>
      <c r="I70" s="74"/>
      <c r="J70" s="74"/>
      <c r="K70" s="74"/>
    </row>
    <row r="71" spans="1:11">
      <c r="A71" s="74"/>
      <c r="B71" s="75">
        <f t="shared" si="3"/>
        <v>45040</v>
      </c>
      <c r="C71" s="76">
        <f t="shared" si="2"/>
        <v>17</v>
      </c>
      <c r="D71" s="77">
        <v>69</v>
      </c>
      <c r="E71" s="74"/>
      <c r="F71" s="74"/>
      <c r="G71" s="74"/>
      <c r="H71" s="74"/>
      <c r="I71" s="74"/>
      <c r="J71" s="74"/>
      <c r="K71" s="74"/>
    </row>
    <row r="72" spans="1:11">
      <c r="A72" s="74"/>
      <c r="B72" s="75">
        <f t="shared" si="3"/>
        <v>45047</v>
      </c>
      <c r="C72" s="76">
        <f t="shared" si="2"/>
        <v>18</v>
      </c>
      <c r="D72" s="77">
        <v>70</v>
      </c>
      <c r="E72" s="74"/>
      <c r="F72" s="74"/>
      <c r="G72" s="74"/>
      <c r="H72" s="74"/>
      <c r="I72" s="74"/>
      <c r="J72" s="74"/>
      <c r="K72" s="74"/>
    </row>
    <row r="73" spans="1:11">
      <c r="A73" s="74"/>
      <c r="B73" s="75">
        <f t="shared" si="3"/>
        <v>45054</v>
      </c>
      <c r="C73" s="76">
        <f t="shared" si="2"/>
        <v>19</v>
      </c>
      <c r="D73" s="77">
        <v>71</v>
      </c>
      <c r="E73" s="74"/>
      <c r="F73" s="74"/>
      <c r="G73" s="74"/>
      <c r="H73" s="74"/>
      <c r="I73" s="74"/>
      <c r="J73" s="74"/>
      <c r="K73" s="74"/>
    </row>
    <row r="74" spans="1:11">
      <c r="A74" s="74"/>
      <c r="B74" s="75">
        <f t="shared" si="3"/>
        <v>45061</v>
      </c>
      <c r="C74" s="76">
        <f t="shared" si="2"/>
        <v>20</v>
      </c>
      <c r="D74" s="77">
        <v>72</v>
      </c>
      <c r="E74" s="74"/>
      <c r="F74" s="74"/>
      <c r="G74" s="74"/>
      <c r="H74" s="74"/>
      <c r="I74" s="74"/>
      <c r="J74" s="74"/>
      <c r="K74" s="74"/>
    </row>
    <row r="75" spans="1:11">
      <c r="A75" s="74"/>
      <c r="B75" s="75">
        <f t="shared" si="3"/>
        <v>45068</v>
      </c>
      <c r="C75" s="76">
        <f t="shared" si="2"/>
        <v>21</v>
      </c>
      <c r="D75" s="77">
        <v>73</v>
      </c>
      <c r="E75" s="74"/>
      <c r="F75" s="74"/>
      <c r="G75" s="74"/>
      <c r="H75" s="74"/>
      <c r="I75" s="74"/>
      <c r="J75" s="74"/>
      <c r="K75" s="74"/>
    </row>
    <row r="76" spans="1:11">
      <c r="A76" s="74"/>
      <c r="B76" s="75">
        <f>B75+7</f>
        <v>45075</v>
      </c>
      <c r="C76" s="76">
        <f t="shared" si="2"/>
        <v>22</v>
      </c>
      <c r="D76" s="77">
        <v>74</v>
      </c>
      <c r="E76" s="74"/>
      <c r="F76" s="74"/>
      <c r="G76" s="74"/>
      <c r="H76" s="74"/>
      <c r="I76" s="74"/>
      <c r="J76" s="74"/>
      <c r="K76" s="74"/>
    </row>
    <row r="77" spans="1:11">
      <c r="A77" s="74"/>
      <c r="B77" s="75">
        <f t="shared" ref="B77:B102" si="4">B76+7</f>
        <v>45082</v>
      </c>
      <c r="C77" s="76">
        <f t="shared" si="2"/>
        <v>23</v>
      </c>
      <c r="D77" s="77">
        <v>75</v>
      </c>
      <c r="E77" s="74"/>
      <c r="F77" s="74"/>
      <c r="G77" s="74"/>
      <c r="H77" s="74"/>
      <c r="I77" s="74"/>
      <c r="J77" s="74"/>
      <c r="K77" s="74"/>
    </row>
    <row r="78" spans="1:11">
      <c r="A78" s="74"/>
      <c r="B78" s="75">
        <f t="shared" si="4"/>
        <v>45089</v>
      </c>
      <c r="C78" s="76">
        <f t="shared" si="2"/>
        <v>24</v>
      </c>
      <c r="D78" s="77">
        <v>76</v>
      </c>
      <c r="E78" s="74"/>
      <c r="F78" s="74"/>
      <c r="G78" s="74"/>
      <c r="H78" s="74"/>
      <c r="I78" s="74"/>
      <c r="J78" s="74"/>
      <c r="K78" s="74"/>
    </row>
    <row r="79" spans="1:11">
      <c r="A79" s="74"/>
      <c r="B79" s="75">
        <f t="shared" si="4"/>
        <v>45096</v>
      </c>
      <c r="C79" s="76">
        <f t="shared" si="2"/>
        <v>25</v>
      </c>
      <c r="D79" s="77">
        <v>77</v>
      </c>
      <c r="E79" s="74"/>
      <c r="F79" s="74"/>
      <c r="G79" s="74"/>
      <c r="H79" s="74"/>
      <c r="I79" s="74"/>
      <c r="J79" s="74"/>
      <c r="K79" s="74"/>
    </row>
    <row r="80" spans="1:11">
      <c r="A80" s="74"/>
      <c r="B80" s="75">
        <f t="shared" si="4"/>
        <v>45103</v>
      </c>
      <c r="C80" s="76">
        <f t="shared" si="2"/>
        <v>26</v>
      </c>
      <c r="D80" s="77">
        <v>78</v>
      </c>
      <c r="E80" s="74"/>
      <c r="F80" s="74"/>
      <c r="G80" s="74"/>
      <c r="H80" s="74"/>
      <c r="I80" s="74"/>
      <c r="J80" s="74"/>
      <c r="K80" s="74"/>
    </row>
    <row r="81" spans="1:11">
      <c r="A81" s="74"/>
      <c r="B81" s="75">
        <f t="shared" si="4"/>
        <v>45110</v>
      </c>
      <c r="C81" s="76">
        <f t="shared" si="2"/>
        <v>27</v>
      </c>
      <c r="D81" s="77">
        <v>79</v>
      </c>
      <c r="E81" s="74"/>
      <c r="F81" s="74"/>
      <c r="G81" s="74"/>
      <c r="H81" s="74"/>
      <c r="I81" s="74"/>
      <c r="J81" s="74"/>
      <c r="K81" s="74"/>
    </row>
    <row r="82" spans="1:11">
      <c r="A82" s="74"/>
      <c r="B82" s="75">
        <f t="shared" si="4"/>
        <v>45117</v>
      </c>
      <c r="C82" s="76">
        <f t="shared" si="2"/>
        <v>28</v>
      </c>
      <c r="D82" s="77">
        <v>80</v>
      </c>
      <c r="E82" s="74"/>
      <c r="F82" s="74"/>
      <c r="G82" s="74"/>
      <c r="H82" s="74"/>
      <c r="I82" s="74"/>
      <c r="J82" s="74"/>
      <c r="K82" s="74"/>
    </row>
    <row r="83" spans="1:11">
      <c r="A83" s="74"/>
      <c r="B83" s="75">
        <f t="shared" si="4"/>
        <v>45124</v>
      </c>
      <c r="C83" s="76">
        <f t="shared" si="2"/>
        <v>29</v>
      </c>
      <c r="D83" s="77">
        <v>81</v>
      </c>
      <c r="E83" s="74"/>
      <c r="F83" s="74"/>
      <c r="G83" s="74"/>
      <c r="H83" s="74"/>
      <c r="I83" s="74"/>
      <c r="J83" s="74"/>
      <c r="K83" s="74"/>
    </row>
    <row r="84" spans="1:11">
      <c r="A84" s="74"/>
      <c r="B84" s="75">
        <f t="shared" si="4"/>
        <v>45131</v>
      </c>
      <c r="C84" s="76">
        <f t="shared" si="2"/>
        <v>30</v>
      </c>
      <c r="D84" s="77">
        <v>82</v>
      </c>
      <c r="E84" s="74"/>
      <c r="F84" s="74"/>
      <c r="G84" s="74"/>
      <c r="H84" s="74"/>
      <c r="I84" s="74"/>
      <c r="J84" s="74"/>
      <c r="K84" s="74"/>
    </row>
    <row r="85" spans="1:11">
      <c r="A85" s="74"/>
      <c r="B85" s="75">
        <f t="shared" si="4"/>
        <v>45138</v>
      </c>
      <c r="C85" s="76">
        <f t="shared" si="2"/>
        <v>31</v>
      </c>
      <c r="D85" s="77">
        <v>83</v>
      </c>
      <c r="E85" s="74"/>
      <c r="F85" s="74"/>
      <c r="G85" s="74"/>
      <c r="H85" s="74"/>
      <c r="I85" s="74"/>
      <c r="J85" s="74"/>
      <c r="K85" s="74"/>
    </row>
    <row r="86" spans="1:11">
      <c r="A86" s="74"/>
      <c r="B86" s="75">
        <f t="shared" si="4"/>
        <v>45145</v>
      </c>
      <c r="C86" s="76">
        <f t="shared" si="2"/>
        <v>32</v>
      </c>
      <c r="D86" s="77">
        <v>84</v>
      </c>
      <c r="E86" s="74"/>
      <c r="F86" s="74"/>
      <c r="G86" s="74"/>
      <c r="H86" s="74"/>
      <c r="I86" s="74"/>
      <c r="J86" s="74"/>
      <c r="K86" s="74"/>
    </row>
    <row r="87" spans="1:11">
      <c r="A87" s="74"/>
      <c r="B87" s="75">
        <f t="shared" si="4"/>
        <v>45152</v>
      </c>
      <c r="C87" s="76">
        <f t="shared" si="2"/>
        <v>33</v>
      </c>
      <c r="D87" s="77">
        <v>85</v>
      </c>
      <c r="E87" s="74"/>
      <c r="F87" s="74"/>
      <c r="G87" s="74"/>
      <c r="H87" s="74"/>
      <c r="I87" s="74"/>
      <c r="J87" s="74"/>
      <c r="K87" s="74"/>
    </row>
    <row r="88" spans="1:11">
      <c r="A88" s="74"/>
      <c r="B88" s="75">
        <f t="shared" si="4"/>
        <v>45159</v>
      </c>
      <c r="C88" s="76">
        <f t="shared" si="2"/>
        <v>34</v>
      </c>
      <c r="D88" s="77">
        <v>86</v>
      </c>
      <c r="E88" s="74"/>
      <c r="F88" s="74"/>
      <c r="G88" s="74"/>
      <c r="H88" s="74"/>
      <c r="I88" s="74"/>
      <c r="J88" s="74"/>
      <c r="K88" s="74"/>
    </row>
    <row r="89" spans="1:11">
      <c r="A89" s="74"/>
      <c r="B89" s="75">
        <f t="shared" si="4"/>
        <v>45166</v>
      </c>
      <c r="C89" s="76">
        <f t="shared" si="2"/>
        <v>35</v>
      </c>
      <c r="D89" s="77">
        <v>87</v>
      </c>
      <c r="E89" s="74"/>
      <c r="F89" s="74"/>
      <c r="G89" s="74"/>
      <c r="H89" s="74"/>
      <c r="I89" s="74"/>
      <c r="J89" s="74"/>
      <c r="K89" s="74"/>
    </row>
    <row r="90" spans="1:11">
      <c r="A90" s="74"/>
      <c r="B90" s="75">
        <f t="shared" si="4"/>
        <v>45173</v>
      </c>
      <c r="C90" s="76">
        <f t="shared" si="2"/>
        <v>36</v>
      </c>
      <c r="D90" s="77">
        <v>88</v>
      </c>
      <c r="E90" s="74"/>
      <c r="F90" s="74"/>
      <c r="G90" s="74"/>
      <c r="H90" s="74"/>
      <c r="I90" s="74"/>
      <c r="J90" s="74"/>
      <c r="K90" s="74"/>
    </row>
    <row r="91" spans="1:11">
      <c r="A91" s="74"/>
      <c r="B91" s="75">
        <f t="shared" si="4"/>
        <v>45180</v>
      </c>
      <c r="C91" s="76">
        <f t="shared" si="2"/>
        <v>37</v>
      </c>
      <c r="D91" s="77">
        <v>89</v>
      </c>
      <c r="E91" s="74"/>
      <c r="F91" s="74"/>
      <c r="G91" s="74"/>
      <c r="H91" s="74"/>
      <c r="I91" s="74"/>
      <c r="J91" s="74"/>
      <c r="K91" s="74"/>
    </row>
    <row r="92" spans="1:11">
      <c r="A92" s="74"/>
      <c r="B92" s="75">
        <f t="shared" si="4"/>
        <v>45187</v>
      </c>
      <c r="C92" s="76">
        <f t="shared" si="2"/>
        <v>38</v>
      </c>
      <c r="D92" s="77">
        <v>90</v>
      </c>
      <c r="E92" s="74"/>
      <c r="F92" s="74"/>
      <c r="G92" s="74"/>
      <c r="H92" s="74"/>
      <c r="I92" s="74"/>
      <c r="J92" s="74"/>
      <c r="K92" s="74"/>
    </row>
    <row r="93" spans="1:11">
      <c r="A93" s="74"/>
      <c r="B93" s="75">
        <f t="shared" si="4"/>
        <v>45194</v>
      </c>
      <c r="C93" s="76">
        <f t="shared" si="2"/>
        <v>39</v>
      </c>
      <c r="D93" s="77">
        <v>91</v>
      </c>
      <c r="E93" s="74"/>
      <c r="F93" s="74"/>
      <c r="G93" s="74"/>
      <c r="H93" s="74"/>
      <c r="I93" s="74"/>
      <c r="J93" s="74"/>
      <c r="K93" s="74"/>
    </row>
    <row r="94" spans="1:11">
      <c r="A94" s="74"/>
      <c r="B94" s="75">
        <f t="shared" si="4"/>
        <v>45201</v>
      </c>
      <c r="C94" s="76">
        <f t="shared" si="2"/>
        <v>40</v>
      </c>
      <c r="D94" s="77">
        <v>92</v>
      </c>
      <c r="E94" s="74"/>
      <c r="F94" s="74"/>
      <c r="G94" s="74"/>
      <c r="H94" s="74"/>
      <c r="I94" s="74"/>
      <c r="J94" s="74"/>
      <c r="K94" s="74"/>
    </row>
    <row r="95" spans="1:11">
      <c r="A95" s="74"/>
      <c r="B95" s="75">
        <f t="shared" si="4"/>
        <v>45208</v>
      </c>
      <c r="C95" s="76">
        <f t="shared" si="2"/>
        <v>41</v>
      </c>
      <c r="D95" s="77">
        <v>93</v>
      </c>
      <c r="E95" s="74"/>
      <c r="F95" s="74"/>
      <c r="G95" s="74"/>
      <c r="H95" s="74"/>
      <c r="I95" s="74"/>
      <c r="J95" s="74"/>
      <c r="K95" s="74"/>
    </row>
    <row r="96" spans="1:11">
      <c r="A96" s="74"/>
      <c r="B96" s="75">
        <f t="shared" si="4"/>
        <v>45215</v>
      </c>
      <c r="C96" s="76">
        <f t="shared" si="2"/>
        <v>42</v>
      </c>
      <c r="D96" s="77">
        <v>94</v>
      </c>
      <c r="E96" s="74"/>
      <c r="F96" s="74"/>
      <c r="G96" s="74"/>
      <c r="H96" s="74"/>
      <c r="I96" s="74"/>
      <c r="J96" s="74"/>
      <c r="K96" s="74"/>
    </row>
    <row r="97" spans="1:11">
      <c r="A97" s="74"/>
      <c r="B97" s="75">
        <f t="shared" si="4"/>
        <v>45222</v>
      </c>
      <c r="C97" s="76">
        <f t="shared" si="2"/>
        <v>43</v>
      </c>
      <c r="D97" s="77">
        <v>95</v>
      </c>
      <c r="E97" s="74"/>
      <c r="F97" s="74"/>
      <c r="G97" s="74"/>
      <c r="H97" s="74"/>
      <c r="I97" s="74"/>
      <c r="J97" s="74"/>
      <c r="K97" s="74"/>
    </row>
    <row r="98" spans="1:11">
      <c r="A98" s="74"/>
      <c r="B98" s="75">
        <f t="shared" si="4"/>
        <v>45229</v>
      </c>
      <c r="C98" s="76">
        <f t="shared" si="2"/>
        <v>44</v>
      </c>
      <c r="D98" s="77">
        <v>96</v>
      </c>
      <c r="E98" s="74"/>
      <c r="F98" s="74"/>
      <c r="G98" s="74"/>
      <c r="H98" s="74"/>
      <c r="I98" s="74"/>
      <c r="J98" s="74"/>
      <c r="K98" s="74"/>
    </row>
    <row r="99" spans="1:11">
      <c r="A99" s="74"/>
      <c r="B99" s="75">
        <f t="shared" si="4"/>
        <v>45236</v>
      </c>
      <c r="C99" s="76">
        <f t="shared" si="2"/>
        <v>45</v>
      </c>
      <c r="D99" s="77">
        <v>97</v>
      </c>
      <c r="E99" s="74"/>
      <c r="F99" s="74"/>
      <c r="G99" s="74"/>
      <c r="H99" s="74"/>
      <c r="I99" s="74"/>
      <c r="J99" s="74"/>
      <c r="K99" s="74"/>
    </row>
    <row r="100" spans="1:11">
      <c r="A100" s="74"/>
      <c r="B100" s="75">
        <f t="shared" si="4"/>
        <v>45243</v>
      </c>
      <c r="C100" s="76">
        <f t="shared" si="2"/>
        <v>46</v>
      </c>
      <c r="D100" s="77">
        <v>98</v>
      </c>
      <c r="E100" s="74"/>
      <c r="F100" s="74"/>
      <c r="G100" s="74"/>
      <c r="H100" s="74"/>
      <c r="I100" s="74"/>
      <c r="J100" s="74"/>
      <c r="K100" s="74"/>
    </row>
    <row r="101" spans="1:11">
      <c r="A101" s="74"/>
      <c r="B101" s="75">
        <f t="shared" si="4"/>
        <v>45250</v>
      </c>
      <c r="C101" s="76">
        <f t="shared" si="2"/>
        <v>47</v>
      </c>
      <c r="D101" s="77">
        <v>99</v>
      </c>
      <c r="E101" s="74"/>
      <c r="F101" s="74"/>
      <c r="G101" s="74"/>
      <c r="H101" s="74"/>
      <c r="I101" s="74"/>
      <c r="J101" s="74"/>
      <c r="K101" s="74"/>
    </row>
    <row r="102" spans="1:11">
      <c r="A102" s="74"/>
      <c r="B102" s="75">
        <f t="shared" si="4"/>
        <v>45257</v>
      </c>
      <c r="C102" s="76">
        <f>C101+1</f>
        <v>48</v>
      </c>
      <c r="D102" s="77">
        <v>100</v>
      </c>
      <c r="E102" s="74"/>
      <c r="F102" s="74"/>
      <c r="G102" s="74"/>
      <c r="H102" s="74"/>
      <c r="I102" s="74"/>
      <c r="J102" s="74"/>
      <c r="K102" s="74"/>
    </row>
    <row r="103" spans="1:11">
      <c r="A103" s="74"/>
      <c r="B103" s="75">
        <f>B102+7</f>
        <v>45264</v>
      </c>
      <c r="C103" s="76">
        <f t="shared" si="2"/>
        <v>49</v>
      </c>
      <c r="D103" s="77">
        <v>101</v>
      </c>
      <c r="E103" s="74"/>
      <c r="F103" s="74"/>
      <c r="G103" s="74"/>
      <c r="H103" s="74"/>
      <c r="I103" s="74"/>
      <c r="J103" s="74"/>
      <c r="K103" s="74"/>
    </row>
    <row r="104" spans="1:11">
      <c r="A104" s="74"/>
      <c r="B104" s="75">
        <f t="shared" ref="B104:B127" si="5">B103+7</f>
        <v>45271</v>
      </c>
      <c r="C104" s="76">
        <f t="shared" si="2"/>
        <v>50</v>
      </c>
      <c r="D104" s="77">
        <v>102</v>
      </c>
      <c r="E104" s="74"/>
      <c r="F104" s="74"/>
      <c r="G104" s="74"/>
      <c r="H104" s="74"/>
      <c r="I104" s="74"/>
      <c r="J104" s="74"/>
      <c r="K104" s="74"/>
    </row>
    <row r="105" spans="1:11">
      <c r="A105" s="74"/>
      <c r="B105" s="75">
        <f t="shared" si="5"/>
        <v>45278</v>
      </c>
      <c r="C105" s="76">
        <f t="shared" si="2"/>
        <v>51</v>
      </c>
      <c r="D105" s="77">
        <v>103</v>
      </c>
      <c r="E105" s="74"/>
      <c r="F105" s="74"/>
      <c r="G105" s="74"/>
      <c r="H105" s="74"/>
      <c r="I105" s="74"/>
      <c r="J105" s="74"/>
      <c r="K105" s="74"/>
    </row>
    <row r="106" spans="1:11">
      <c r="A106" s="74"/>
      <c r="B106" s="75">
        <f t="shared" si="5"/>
        <v>45285</v>
      </c>
      <c r="C106" s="76">
        <f t="shared" si="2"/>
        <v>52</v>
      </c>
      <c r="D106" s="77">
        <v>104</v>
      </c>
      <c r="E106" s="74"/>
      <c r="F106" s="74"/>
      <c r="G106" s="74"/>
      <c r="H106" s="74"/>
      <c r="I106" s="74"/>
      <c r="J106" s="74"/>
      <c r="K106" s="74"/>
    </row>
    <row r="107" spans="1:11">
      <c r="A107" s="74"/>
      <c r="B107" s="75">
        <f t="shared" si="5"/>
        <v>45292</v>
      </c>
      <c r="C107" s="76">
        <v>1</v>
      </c>
      <c r="D107" s="77">
        <v>105</v>
      </c>
      <c r="E107" s="74"/>
      <c r="F107" s="74"/>
      <c r="G107" s="74"/>
      <c r="H107" s="74"/>
      <c r="I107" s="74"/>
      <c r="J107" s="74"/>
      <c r="K107" s="74"/>
    </row>
    <row r="108" spans="1:11">
      <c r="A108" s="74"/>
      <c r="B108" s="75">
        <f t="shared" si="5"/>
        <v>45299</v>
      </c>
      <c r="C108" s="76">
        <f>C107+1</f>
        <v>2</v>
      </c>
      <c r="D108" s="77">
        <v>106</v>
      </c>
      <c r="E108" s="74"/>
      <c r="F108" s="74"/>
      <c r="G108" s="74"/>
      <c r="H108" s="74"/>
      <c r="I108" s="74"/>
      <c r="J108" s="74"/>
      <c r="K108" s="74"/>
    </row>
    <row r="109" spans="1:11">
      <c r="A109" s="74"/>
      <c r="B109" s="75">
        <f t="shared" si="5"/>
        <v>45306</v>
      </c>
      <c r="C109" s="76">
        <f t="shared" ref="C109:C159" si="6">C108+1</f>
        <v>3</v>
      </c>
      <c r="D109" s="77">
        <v>107</v>
      </c>
      <c r="E109" s="74"/>
      <c r="F109" s="74"/>
      <c r="G109" s="74"/>
      <c r="H109" s="74"/>
      <c r="I109" s="74"/>
      <c r="J109" s="74"/>
      <c r="K109" s="74"/>
    </row>
    <row r="110" spans="1:11">
      <c r="A110" s="74"/>
      <c r="B110" s="75">
        <f t="shared" si="5"/>
        <v>45313</v>
      </c>
      <c r="C110" s="76">
        <f t="shared" si="6"/>
        <v>4</v>
      </c>
      <c r="D110" s="77">
        <v>108</v>
      </c>
      <c r="E110" s="74"/>
      <c r="F110" s="74"/>
      <c r="G110" s="74"/>
      <c r="H110" s="74"/>
      <c r="I110" s="74"/>
      <c r="J110" s="74"/>
      <c r="K110" s="74"/>
    </row>
    <row r="111" spans="1:11">
      <c r="A111" s="74"/>
      <c r="B111" s="75">
        <f t="shared" si="5"/>
        <v>45320</v>
      </c>
      <c r="C111" s="76">
        <f t="shared" si="6"/>
        <v>5</v>
      </c>
      <c r="D111" s="77">
        <v>109</v>
      </c>
      <c r="E111" s="74"/>
      <c r="F111" s="74"/>
      <c r="G111" s="74"/>
      <c r="H111" s="74"/>
      <c r="I111" s="74"/>
      <c r="J111" s="74"/>
      <c r="K111" s="74"/>
    </row>
    <row r="112" spans="1:11">
      <c r="A112" s="74"/>
      <c r="B112" s="75">
        <f t="shared" si="5"/>
        <v>45327</v>
      </c>
      <c r="C112" s="76">
        <f t="shared" si="6"/>
        <v>6</v>
      </c>
      <c r="D112" s="77">
        <v>110</v>
      </c>
      <c r="E112" s="74"/>
      <c r="F112" s="74"/>
      <c r="G112" s="74"/>
      <c r="H112" s="74"/>
      <c r="I112" s="74"/>
      <c r="J112" s="74"/>
      <c r="K112" s="74"/>
    </row>
    <row r="113" spans="1:11">
      <c r="A113" s="74"/>
      <c r="B113" s="75">
        <f t="shared" si="5"/>
        <v>45334</v>
      </c>
      <c r="C113" s="76">
        <f t="shared" si="6"/>
        <v>7</v>
      </c>
      <c r="D113" s="77">
        <v>111</v>
      </c>
      <c r="E113" s="74"/>
      <c r="F113" s="74"/>
      <c r="G113" s="74"/>
      <c r="H113" s="74"/>
      <c r="I113" s="74"/>
      <c r="J113" s="74"/>
      <c r="K113" s="74"/>
    </row>
    <row r="114" spans="1:11">
      <c r="A114" s="74"/>
      <c r="B114" s="75">
        <f t="shared" si="5"/>
        <v>45341</v>
      </c>
      <c r="C114" s="76">
        <f t="shared" si="6"/>
        <v>8</v>
      </c>
      <c r="D114" s="77">
        <v>112</v>
      </c>
      <c r="E114" s="74"/>
      <c r="F114" s="74"/>
      <c r="G114" s="74"/>
      <c r="H114" s="74"/>
      <c r="I114" s="74"/>
      <c r="J114" s="74"/>
      <c r="K114" s="74"/>
    </row>
    <row r="115" spans="1:11">
      <c r="A115" s="74"/>
      <c r="B115" s="75">
        <f t="shared" si="5"/>
        <v>45348</v>
      </c>
      <c r="C115" s="76">
        <f t="shared" si="6"/>
        <v>9</v>
      </c>
      <c r="D115" s="77">
        <v>113</v>
      </c>
      <c r="E115" s="74"/>
      <c r="F115" s="74"/>
      <c r="G115" s="74"/>
      <c r="H115" s="74"/>
      <c r="I115" s="74"/>
      <c r="J115" s="74"/>
      <c r="K115" s="74"/>
    </row>
    <row r="116" spans="1:11">
      <c r="A116" s="74"/>
      <c r="B116" s="75">
        <f t="shared" si="5"/>
        <v>45355</v>
      </c>
      <c r="C116" s="76">
        <f t="shared" si="6"/>
        <v>10</v>
      </c>
      <c r="D116" s="77">
        <v>114</v>
      </c>
      <c r="E116" s="74"/>
      <c r="F116" s="74"/>
      <c r="G116" s="74"/>
      <c r="H116" s="74"/>
      <c r="I116" s="74"/>
      <c r="J116" s="74"/>
      <c r="K116" s="74"/>
    </row>
    <row r="117" spans="1:11">
      <c r="A117" s="74"/>
      <c r="B117" s="75">
        <f t="shared" si="5"/>
        <v>45362</v>
      </c>
      <c r="C117" s="76">
        <f t="shared" si="6"/>
        <v>11</v>
      </c>
      <c r="D117" s="77">
        <v>115</v>
      </c>
      <c r="E117" s="74"/>
      <c r="F117" s="74"/>
      <c r="G117" s="74"/>
      <c r="H117" s="74"/>
      <c r="I117" s="74"/>
      <c r="J117" s="74"/>
      <c r="K117" s="74"/>
    </row>
    <row r="118" spans="1:11">
      <c r="A118" s="74"/>
      <c r="B118" s="75">
        <f t="shared" si="5"/>
        <v>45369</v>
      </c>
      <c r="C118" s="76">
        <f t="shared" si="6"/>
        <v>12</v>
      </c>
      <c r="D118" s="77">
        <v>116</v>
      </c>
      <c r="E118" s="74"/>
      <c r="F118" s="74"/>
      <c r="G118" s="74"/>
      <c r="H118" s="74"/>
      <c r="I118" s="74"/>
      <c r="J118" s="74"/>
      <c r="K118" s="74"/>
    </row>
    <row r="119" spans="1:11">
      <c r="A119" s="74"/>
      <c r="B119" s="75">
        <f t="shared" si="5"/>
        <v>45376</v>
      </c>
      <c r="C119" s="76">
        <f t="shared" si="6"/>
        <v>13</v>
      </c>
      <c r="D119" s="77">
        <v>117</v>
      </c>
      <c r="E119" s="74"/>
      <c r="F119" s="74"/>
      <c r="G119" s="74"/>
      <c r="H119" s="74"/>
      <c r="I119" s="74"/>
      <c r="J119" s="74"/>
      <c r="K119" s="74"/>
    </row>
    <row r="120" spans="1:11">
      <c r="A120" s="74"/>
      <c r="B120" s="75">
        <f t="shared" si="5"/>
        <v>45383</v>
      </c>
      <c r="C120" s="76">
        <f t="shared" si="6"/>
        <v>14</v>
      </c>
      <c r="D120" s="77">
        <v>118</v>
      </c>
      <c r="E120" s="74"/>
      <c r="F120" s="74"/>
      <c r="G120" s="74"/>
      <c r="H120" s="74"/>
      <c r="I120" s="74"/>
      <c r="J120" s="74"/>
      <c r="K120" s="74"/>
    </row>
    <row r="121" spans="1:11">
      <c r="A121" s="74"/>
      <c r="B121" s="75">
        <f t="shared" si="5"/>
        <v>45390</v>
      </c>
      <c r="C121" s="76">
        <f t="shared" si="6"/>
        <v>15</v>
      </c>
      <c r="D121" s="77">
        <v>119</v>
      </c>
      <c r="E121" s="74"/>
      <c r="F121" s="74"/>
      <c r="G121" s="74"/>
      <c r="H121" s="74"/>
      <c r="I121" s="74"/>
      <c r="J121" s="74"/>
      <c r="K121" s="74"/>
    </row>
    <row r="122" spans="1:11">
      <c r="A122" s="74"/>
      <c r="B122" s="75">
        <f t="shared" si="5"/>
        <v>45397</v>
      </c>
      <c r="C122" s="76">
        <f t="shared" si="6"/>
        <v>16</v>
      </c>
      <c r="D122" s="77">
        <v>120</v>
      </c>
      <c r="E122" s="74"/>
      <c r="F122" s="74"/>
      <c r="G122" s="74"/>
      <c r="H122" s="74"/>
      <c r="I122" s="74"/>
      <c r="J122" s="74"/>
      <c r="K122" s="74"/>
    </row>
    <row r="123" spans="1:11">
      <c r="A123" s="74"/>
      <c r="B123" s="75">
        <f t="shared" si="5"/>
        <v>45404</v>
      </c>
      <c r="C123" s="76">
        <f t="shared" si="6"/>
        <v>17</v>
      </c>
      <c r="D123" s="77">
        <v>121</v>
      </c>
      <c r="E123" s="74"/>
      <c r="F123" s="74"/>
      <c r="G123" s="74"/>
      <c r="H123" s="74"/>
      <c r="I123" s="74"/>
      <c r="J123" s="74"/>
      <c r="K123" s="74"/>
    </row>
    <row r="124" spans="1:11">
      <c r="A124" s="74"/>
      <c r="B124" s="75">
        <f t="shared" si="5"/>
        <v>45411</v>
      </c>
      <c r="C124" s="76">
        <f t="shared" si="6"/>
        <v>18</v>
      </c>
      <c r="D124" s="77">
        <v>122</v>
      </c>
      <c r="E124" s="74"/>
      <c r="F124" s="74"/>
      <c r="G124" s="74"/>
      <c r="H124" s="74"/>
      <c r="I124" s="74"/>
      <c r="J124" s="74"/>
      <c r="K124" s="74"/>
    </row>
    <row r="125" spans="1:11">
      <c r="A125" s="74"/>
      <c r="B125" s="75">
        <f t="shared" si="5"/>
        <v>45418</v>
      </c>
      <c r="C125" s="76">
        <f t="shared" si="6"/>
        <v>19</v>
      </c>
      <c r="D125" s="77">
        <v>123</v>
      </c>
      <c r="E125" s="74"/>
      <c r="F125" s="74"/>
      <c r="G125" s="74"/>
      <c r="H125" s="74"/>
      <c r="I125" s="74"/>
      <c r="J125" s="74"/>
      <c r="K125" s="74"/>
    </row>
    <row r="126" spans="1:11">
      <c r="A126" s="74"/>
      <c r="B126" s="75">
        <f t="shared" si="5"/>
        <v>45425</v>
      </c>
      <c r="C126" s="76">
        <f t="shared" si="6"/>
        <v>20</v>
      </c>
      <c r="D126" s="77">
        <v>124</v>
      </c>
      <c r="E126" s="74"/>
      <c r="F126" s="74"/>
      <c r="G126" s="74"/>
      <c r="H126" s="74"/>
      <c r="I126" s="74"/>
      <c r="J126" s="74"/>
      <c r="K126" s="74"/>
    </row>
    <row r="127" spans="1:11">
      <c r="A127" s="74"/>
      <c r="B127" s="75">
        <f t="shared" si="5"/>
        <v>45432</v>
      </c>
      <c r="C127" s="76">
        <f t="shared" si="6"/>
        <v>21</v>
      </c>
      <c r="D127" s="77">
        <v>125</v>
      </c>
      <c r="E127" s="74"/>
      <c r="F127" s="74"/>
      <c r="G127" s="74"/>
      <c r="H127" s="74"/>
      <c r="I127" s="74"/>
      <c r="J127" s="74"/>
      <c r="K127" s="74"/>
    </row>
    <row r="128" spans="1:11">
      <c r="A128" s="74"/>
      <c r="B128" s="75">
        <f>B127+7</f>
        <v>45439</v>
      </c>
      <c r="C128" s="76">
        <f t="shared" si="6"/>
        <v>22</v>
      </c>
      <c r="D128" s="77">
        <v>126</v>
      </c>
      <c r="E128" s="74"/>
      <c r="F128" s="74"/>
      <c r="G128" s="74"/>
      <c r="H128" s="74"/>
      <c r="I128" s="74"/>
      <c r="J128" s="74"/>
      <c r="K128" s="74"/>
    </row>
    <row r="129" spans="1:11">
      <c r="A129" s="74"/>
      <c r="B129" s="75">
        <f t="shared" ref="B129:B154" si="7">B128+7</f>
        <v>45446</v>
      </c>
      <c r="C129" s="76">
        <f t="shared" si="6"/>
        <v>23</v>
      </c>
      <c r="D129" s="77">
        <v>127</v>
      </c>
      <c r="E129" s="74"/>
      <c r="F129" s="74"/>
      <c r="G129" s="74"/>
      <c r="H129" s="74"/>
      <c r="I129" s="74"/>
      <c r="J129" s="74"/>
      <c r="K129" s="74"/>
    </row>
    <row r="130" spans="1:11">
      <c r="A130" s="74"/>
      <c r="B130" s="75">
        <f t="shared" si="7"/>
        <v>45453</v>
      </c>
      <c r="C130" s="76">
        <f t="shared" si="6"/>
        <v>24</v>
      </c>
      <c r="D130" s="77">
        <v>128</v>
      </c>
      <c r="E130" s="74"/>
      <c r="F130" s="74"/>
      <c r="G130" s="74"/>
      <c r="H130" s="74"/>
      <c r="I130" s="74"/>
      <c r="J130" s="74"/>
      <c r="K130" s="74"/>
    </row>
    <row r="131" spans="1:11">
      <c r="A131" s="74"/>
      <c r="B131" s="75">
        <f t="shared" si="7"/>
        <v>45460</v>
      </c>
      <c r="C131" s="76">
        <f t="shared" si="6"/>
        <v>25</v>
      </c>
      <c r="D131" s="77">
        <v>129</v>
      </c>
      <c r="E131" s="74"/>
      <c r="F131" s="74"/>
      <c r="G131" s="74"/>
      <c r="H131" s="74"/>
      <c r="I131" s="74"/>
      <c r="J131" s="74"/>
      <c r="K131" s="74"/>
    </row>
    <row r="132" spans="1:11">
      <c r="A132" s="74"/>
      <c r="B132" s="75">
        <f t="shared" si="7"/>
        <v>45467</v>
      </c>
      <c r="C132" s="76">
        <f t="shared" si="6"/>
        <v>26</v>
      </c>
      <c r="D132" s="77">
        <v>130</v>
      </c>
      <c r="E132" s="74"/>
      <c r="F132" s="74"/>
      <c r="G132" s="74"/>
      <c r="H132" s="74"/>
      <c r="I132" s="74"/>
      <c r="J132" s="74"/>
      <c r="K132" s="74"/>
    </row>
    <row r="133" spans="1:11">
      <c r="A133" s="74"/>
      <c r="B133" s="75">
        <f t="shared" si="7"/>
        <v>45474</v>
      </c>
      <c r="C133" s="76">
        <f t="shared" si="6"/>
        <v>27</v>
      </c>
      <c r="D133" s="77">
        <v>131</v>
      </c>
      <c r="E133" s="74"/>
      <c r="F133" s="74"/>
      <c r="G133" s="74"/>
      <c r="H133" s="74"/>
      <c r="I133" s="74"/>
      <c r="J133" s="74"/>
      <c r="K133" s="74"/>
    </row>
    <row r="134" spans="1:11">
      <c r="A134" s="74"/>
      <c r="B134" s="75">
        <f t="shared" si="7"/>
        <v>45481</v>
      </c>
      <c r="C134" s="76">
        <f t="shared" si="6"/>
        <v>28</v>
      </c>
      <c r="D134" s="77">
        <v>132</v>
      </c>
      <c r="E134" s="74"/>
      <c r="F134" s="74"/>
      <c r="G134" s="74"/>
      <c r="H134" s="74"/>
      <c r="I134" s="74"/>
      <c r="J134" s="74"/>
      <c r="K134" s="74"/>
    </row>
    <row r="135" spans="1:11">
      <c r="A135" s="74"/>
      <c r="B135" s="75">
        <f t="shared" si="7"/>
        <v>45488</v>
      </c>
      <c r="C135" s="76">
        <f t="shared" si="6"/>
        <v>29</v>
      </c>
      <c r="D135" s="77">
        <v>133</v>
      </c>
      <c r="E135" s="74"/>
      <c r="F135" s="74"/>
      <c r="G135" s="74"/>
      <c r="H135" s="74"/>
      <c r="I135" s="74"/>
      <c r="J135" s="74"/>
      <c r="K135" s="74"/>
    </row>
    <row r="136" spans="1:11">
      <c r="A136" s="74"/>
      <c r="B136" s="75">
        <f t="shared" si="7"/>
        <v>45495</v>
      </c>
      <c r="C136" s="76">
        <f t="shared" si="6"/>
        <v>30</v>
      </c>
      <c r="D136" s="77">
        <v>134</v>
      </c>
      <c r="E136" s="74"/>
      <c r="F136" s="74"/>
      <c r="G136" s="74"/>
      <c r="H136" s="74"/>
      <c r="I136" s="74"/>
      <c r="J136" s="74"/>
      <c r="K136" s="74"/>
    </row>
    <row r="137" spans="1:11">
      <c r="A137" s="74"/>
      <c r="B137" s="75">
        <f t="shared" si="7"/>
        <v>45502</v>
      </c>
      <c r="C137" s="76">
        <f t="shared" si="6"/>
        <v>31</v>
      </c>
      <c r="D137" s="77">
        <v>135</v>
      </c>
      <c r="E137" s="74"/>
      <c r="F137" s="74"/>
      <c r="G137" s="74"/>
      <c r="H137" s="74"/>
      <c r="I137" s="74"/>
      <c r="J137" s="74"/>
      <c r="K137" s="74"/>
    </row>
    <row r="138" spans="1:11">
      <c r="A138" s="74"/>
      <c r="B138" s="75">
        <f t="shared" si="7"/>
        <v>45509</v>
      </c>
      <c r="C138" s="76">
        <f t="shared" si="6"/>
        <v>32</v>
      </c>
      <c r="D138" s="77">
        <v>136</v>
      </c>
      <c r="E138" s="74"/>
      <c r="F138" s="74"/>
      <c r="G138" s="74"/>
      <c r="H138" s="74"/>
      <c r="I138" s="74"/>
      <c r="J138" s="74"/>
      <c r="K138" s="74"/>
    </row>
    <row r="139" spans="1:11">
      <c r="A139" s="74"/>
      <c r="B139" s="75">
        <f t="shared" si="7"/>
        <v>45516</v>
      </c>
      <c r="C139" s="76">
        <f>C138+1</f>
        <v>33</v>
      </c>
      <c r="D139" s="77">
        <v>137</v>
      </c>
      <c r="E139" s="74"/>
      <c r="F139" s="74"/>
      <c r="G139" s="74"/>
      <c r="H139" s="74"/>
      <c r="I139" s="74"/>
      <c r="J139" s="74"/>
      <c r="K139" s="74"/>
    </row>
    <row r="140" spans="1:11">
      <c r="A140" s="74"/>
      <c r="B140" s="75">
        <f t="shared" si="7"/>
        <v>45523</v>
      </c>
      <c r="C140" s="76">
        <f t="shared" si="6"/>
        <v>34</v>
      </c>
      <c r="D140" s="77">
        <v>138</v>
      </c>
      <c r="E140" s="74"/>
      <c r="F140" s="74"/>
      <c r="G140" s="74"/>
      <c r="H140" s="74"/>
      <c r="I140" s="74"/>
      <c r="J140" s="74"/>
      <c r="K140" s="74"/>
    </row>
    <row r="141" spans="1:11">
      <c r="A141" s="74"/>
      <c r="B141" s="75">
        <f t="shared" si="7"/>
        <v>45530</v>
      </c>
      <c r="C141" s="76">
        <f t="shared" si="6"/>
        <v>35</v>
      </c>
      <c r="D141" s="77">
        <v>139</v>
      </c>
      <c r="E141" s="74"/>
      <c r="F141" s="74"/>
      <c r="G141" s="74"/>
      <c r="H141" s="74"/>
      <c r="I141" s="74"/>
      <c r="J141" s="74"/>
      <c r="K141" s="74"/>
    </row>
    <row r="142" spans="1:11">
      <c r="A142" s="74"/>
      <c r="B142" s="75">
        <f t="shared" si="7"/>
        <v>45537</v>
      </c>
      <c r="C142" s="76">
        <f t="shared" si="6"/>
        <v>36</v>
      </c>
      <c r="D142" s="77">
        <v>140</v>
      </c>
      <c r="E142" s="74"/>
      <c r="F142" s="74"/>
      <c r="G142" s="74"/>
      <c r="H142" s="74"/>
      <c r="I142" s="74"/>
      <c r="J142" s="74"/>
      <c r="K142" s="74"/>
    </row>
    <row r="143" spans="1:11">
      <c r="A143" s="74"/>
      <c r="B143" s="75">
        <f t="shared" si="7"/>
        <v>45544</v>
      </c>
      <c r="C143" s="76">
        <f t="shared" si="6"/>
        <v>37</v>
      </c>
      <c r="D143" s="77">
        <v>141</v>
      </c>
      <c r="E143" s="74"/>
      <c r="F143" s="74"/>
      <c r="G143" s="74"/>
      <c r="H143" s="74"/>
      <c r="I143" s="74"/>
      <c r="J143" s="74"/>
      <c r="K143" s="74"/>
    </row>
    <row r="144" spans="1:11">
      <c r="A144" s="74"/>
      <c r="B144" s="75">
        <f t="shared" si="7"/>
        <v>45551</v>
      </c>
      <c r="C144" s="76">
        <f t="shared" si="6"/>
        <v>38</v>
      </c>
      <c r="D144" s="77">
        <v>142</v>
      </c>
      <c r="E144" s="74"/>
      <c r="F144" s="74"/>
      <c r="G144" s="74"/>
      <c r="H144" s="74"/>
      <c r="I144" s="74"/>
      <c r="J144" s="74"/>
      <c r="K144" s="74"/>
    </row>
    <row r="145" spans="1:11">
      <c r="A145" s="74"/>
      <c r="B145" s="75">
        <f t="shared" si="7"/>
        <v>45558</v>
      </c>
      <c r="C145" s="76">
        <f t="shared" si="6"/>
        <v>39</v>
      </c>
      <c r="D145" s="77">
        <v>143</v>
      </c>
      <c r="E145" s="74"/>
      <c r="F145" s="74"/>
      <c r="G145" s="74"/>
      <c r="H145" s="74"/>
      <c r="I145" s="74"/>
      <c r="J145" s="74"/>
      <c r="K145" s="74"/>
    </row>
    <row r="146" spans="1:11">
      <c r="A146" s="74"/>
      <c r="B146" s="75">
        <f t="shared" si="7"/>
        <v>45565</v>
      </c>
      <c r="C146" s="76">
        <f t="shared" si="6"/>
        <v>40</v>
      </c>
      <c r="D146" s="77">
        <v>144</v>
      </c>
      <c r="E146" s="74"/>
      <c r="F146" s="74"/>
      <c r="G146" s="74"/>
      <c r="H146" s="74"/>
      <c r="I146" s="74"/>
      <c r="J146" s="74"/>
      <c r="K146" s="74"/>
    </row>
    <row r="147" spans="1:11">
      <c r="A147" s="74"/>
      <c r="B147" s="75">
        <f t="shared" si="7"/>
        <v>45572</v>
      </c>
      <c r="C147" s="76">
        <f t="shared" si="6"/>
        <v>41</v>
      </c>
      <c r="D147" s="77">
        <v>145</v>
      </c>
      <c r="E147" s="74"/>
      <c r="F147" s="74"/>
      <c r="G147" s="74"/>
      <c r="H147" s="74"/>
      <c r="I147" s="74"/>
      <c r="J147" s="74"/>
      <c r="K147" s="74"/>
    </row>
    <row r="148" spans="1:11">
      <c r="A148" s="74"/>
      <c r="B148" s="75">
        <f t="shared" si="7"/>
        <v>45579</v>
      </c>
      <c r="C148" s="76">
        <f t="shared" si="6"/>
        <v>42</v>
      </c>
      <c r="D148" s="77">
        <v>146</v>
      </c>
      <c r="E148" s="74"/>
      <c r="F148" s="74"/>
      <c r="G148" s="74"/>
      <c r="H148" s="74"/>
      <c r="I148" s="74"/>
      <c r="J148" s="74"/>
      <c r="K148" s="74"/>
    </row>
    <row r="149" spans="1:11">
      <c r="A149" s="74"/>
      <c r="B149" s="75">
        <f t="shared" si="7"/>
        <v>45586</v>
      </c>
      <c r="C149" s="76">
        <f t="shared" si="6"/>
        <v>43</v>
      </c>
      <c r="D149" s="77">
        <v>147</v>
      </c>
      <c r="E149" s="74"/>
      <c r="F149" s="74"/>
      <c r="G149" s="74"/>
      <c r="H149" s="74"/>
      <c r="I149" s="74"/>
      <c r="J149" s="74"/>
      <c r="K149" s="74"/>
    </row>
    <row r="150" spans="1:11">
      <c r="A150" s="74"/>
      <c r="B150" s="75">
        <f t="shared" si="7"/>
        <v>45593</v>
      </c>
      <c r="C150" s="76">
        <f t="shared" si="6"/>
        <v>44</v>
      </c>
      <c r="D150" s="77">
        <v>148</v>
      </c>
      <c r="E150" s="74"/>
      <c r="F150" s="74"/>
      <c r="G150" s="74"/>
      <c r="H150" s="74"/>
      <c r="I150" s="74"/>
      <c r="J150" s="74"/>
      <c r="K150" s="74"/>
    </row>
    <row r="151" spans="1:11">
      <c r="A151" s="74"/>
      <c r="B151" s="75">
        <f t="shared" si="7"/>
        <v>45600</v>
      </c>
      <c r="C151" s="76">
        <f t="shared" si="6"/>
        <v>45</v>
      </c>
      <c r="D151" s="77">
        <v>149</v>
      </c>
      <c r="E151" s="74"/>
      <c r="F151" s="74"/>
      <c r="G151" s="74"/>
      <c r="H151" s="74"/>
      <c r="I151" s="74"/>
      <c r="J151" s="74"/>
      <c r="K151" s="74"/>
    </row>
    <row r="152" spans="1:11">
      <c r="A152" s="74"/>
      <c r="B152" s="75">
        <f t="shared" si="7"/>
        <v>45607</v>
      </c>
      <c r="C152" s="76">
        <f t="shared" si="6"/>
        <v>46</v>
      </c>
      <c r="D152" s="77">
        <v>150</v>
      </c>
      <c r="E152" s="74"/>
      <c r="F152" s="74"/>
      <c r="G152" s="74"/>
      <c r="H152" s="74"/>
      <c r="I152" s="74"/>
      <c r="J152" s="74"/>
      <c r="K152" s="74"/>
    </row>
    <row r="153" spans="1:11">
      <c r="A153" s="74"/>
      <c r="B153" s="75">
        <f t="shared" si="7"/>
        <v>45614</v>
      </c>
      <c r="C153" s="76">
        <f t="shared" si="6"/>
        <v>47</v>
      </c>
      <c r="D153" s="77">
        <v>151</v>
      </c>
      <c r="E153" s="74"/>
      <c r="F153" s="74"/>
      <c r="G153" s="74"/>
      <c r="H153" s="74"/>
      <c r="I153" s="74"/>
      <c r="J153" s="74"/>
      <c r="K153" s="74"/>
    </row>
    <row r="154" spans="1:11">
      <c r="A154" s="74"/>
      <c r="B154" s="75">
        <f t="shared" si="7"/>
        <v>45621</v>
      </c>
      <c r="C154" s="76">
        <f t="shared" si="6"/>
        <v>48</v>
      </c>
      <c r="D154" s="77">
        <v>152</v>
      </c>
      <c r="E154" s="74"/>
      <c r="F154" s="74"/>
      <c r="G154" s="74"/>
      <c r="H154" s="74"/>
      <c r="I154" s="74"/>
      <c r="J154" s="74"/>
      <c r="K154" s="74"/>
    </row>
    <row r="155" spans="1:11">
      <c r="A155" s="74"/>
      <c r="B155" s="75">
        <f>B154+7</f>
        <v>45628</v>
      </c>
      <c r="C155" s="76">
        <f t="shared" si="6"/>
        <v>49</v>
      </c>
      <c r="D155" s="77">
        <v>153</v>
      </c>
      <c r="E155" s="74"/>
      <c r="F155" s="74"/>
      <c r="G155" s="74"/>
      <c r="H155" s="74"/>
      <c r="I155" s="74"/>
      <c r="J155" s="74"/>
      <c r="K155" s="74"/>
    </row>
    <row r="156" spans="1:11">
      <c r="A156" s="74"/>
      <c r="B156" s="75">
        <f t="shared" ref="B156:B159" si="8">B155+7</f>
        <v>45635</v>
      </c>
      <c r="C156" s="76">
        <f t="shared" si="6"/>
        <v>50</v>
      </c>
      <c r="D156" s="77">
        <v>154</v>
      </c>
      <c r="E156" s="74"/>
      <c r="F156" s="74"/>
      <c r="G156" s="74"/>
      <c r="H156" s="74"/>
      <c r="I156" s="74"/>
      <c r="J156" s="74"/>
      <c r="K156" s="74"/>
    </row>
    <row r="157" spans="1:11">
      <c r="A157" s="74"/>
      <c r="B157" s="75">
        <f t="shared" si="8"/>
        <v>45642</v>
      </c>
      <c r="C157" s="76">
        <f t="shared" si="6"/>
        <v>51</v>
      </c>
      <c r="D157" s="77">
        <v>155</v>
      </c>
      <c r="E157" s="74"/>
      <c r="F157" s="74"/>
      <c r="G157" s="74"/>
      <c r="H157" s="74"/>
      <c r="I157" s="74"/>
      <c r="J157" s="74"/>
      <c r="K157" s="74"/>
    </row>
    <row r="158" spans="1:11">
      <c r="A158" s="74"/>
      <c r="B158" s="75">
        <f t="shared" si="8"/>
        <v>45649</v>
      </c>
      <c r="C158" s="76">
        <f t="shared" si="6"/>
        <v>52</v>
      </c>
      <c r="D158" s="77">
        <v>156</v>
      </c>
      <c r="E158" s="74"/>
      <c r="F158" s="74"/>
      <c r="G158" s="74"/>
      <c r="H158" s="74"/>
      <c r="I158" s="74"/>
      <c r="J158" s="74"/>
      <c r="K158" s="74"/>
    </row>
    <row r="159" spans="1:11">
      <c r="A159" s="74"/>
      <c r="B159" s="75">
        <f t="shared" si="8"/>
        <v>45656</v>
      </c>
      <c r="C159" s="76">
        <f t="shared" si="6"/>
        <v>53</v>
      </c>
      <c r="D159" s="77">
        <v>157</v>
      </c>
      <c r="E159" s="74"/>
      <c r="F159" s="74"/>
      <c r="G159" s="74"/>
      <c r="H159" s="74"/>
      <c r="I159" s="74"/>
      <c r="J159" s="74"/>
      <c r="K159" s="74"/>
    </row>
    <row r="160" spans="1:11">
      <c r="A160" s="74"/>
      <c r="B160" s="75"/>
      <c r="C160" s="76"/>
      <c r="D160" s="77">
        <v>158</v>
      </c>
      <c r="E160" s="74"/>
      <c r="F160" s="74"/>
      <c r="G160" s="74"/>
      <c r="H160" s="74"/>
      <c r="I160" s="74"/>
      <c r="J160" s="74"/>
      <c r="K160" s="74"/>
    </row>
    <row r="161" spans="1:11">
      <c r="A161" s="74"/>
      <c r="B161" s="75"/>
      <c r="C161" s="76"/>
      <c r="D161" s="77">
        <v>159</v>
      </c>
      <c r="E161" s="74"/>
      <c r="F161" s="74"/>
      <c r="G161" s="74"/>
      <c r="H161" s="74"/>
      <c r="I161" s="74"/>
      <c r="J161" s="74"/>
      <c r="K161" s="74"/>
    </row>
    <row r="162" spans="1:11">
      <c r="A162" s="74"/>
      <c r="B162" s="75"/>
      <c r="C162" s="76"/>
      <c r="D162" s="77">
        <v>160</v>
      </c>
      <c r="E162" s="74"/>
      <c r="F162" s="74"/>
      <c r="G162" s="74"/>
      <c r="H162" s="74"/>
      <c r="I162" s="74"/>
      <c r="J162" s="74"/>
      <c r="K162" s="74"/>
    </row>
  </sheetData>
  <mergeCells count="1">
    <mergeCell ref="A1:H1"/>
  </mergeCells>
  <phoneticPr fontId="17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22E88-0DC1-A34C-BE93-801952C72384}">
  <sheetPr codeName="Feuil4"/>
  <dimension ref="A1:AC36"/>
  <sheetViews>
    <sheetView view="pageLayout" topLeftCell="D1" zoomScale="106" zoomScaleNormal="111" zoomScalePageLayoutView="106" workbookViewId="0">
      <selection activeCell="H25" sqref="H25"/>
    </sheetView>
  </sheetViews>
  <sheetFormatPr baseColWidth="10" defaultColWidth="11.5" defaultRowHeight="15"/>
  <cols>
    <col min="1" max="1" width="6.6640625" style="88" hidden="1" customWidth="1"/>
    <col min="2" max="2" width="1.83203125" style="88" hidden="1" customWidth="1"/>
    <col min="3" max="3" width="4" style="88" hidden="1" customWidth="1"/>
    <col min="4" max="4" width="4" style="88" customWidth="1"/>
    <col min="5" max="5" width="15.5" style="88" bestFit="1" customWidth="1"/>
    <col min="6" max="6" width="6.1640625" style="88" customWidth="1"/>
    <col min="7" max="7" width="9.33203125" style="88" customWidth="1"/>
    <col min="8" max="8" width="8.33203125" style="88" customWidth="1"/>
    <col min="9" max="9" width="7.6640625" style="88" customWidth="1"/>
    <col min="10" max="10" width="7.5" style="88" customWidth="1"/>
    <col min="11" max="11" width="13.6640625" style="88" customWidth="1"/>
    <col min="12" max="12" width="8.1640625" style="88" customWidth="1"/>
    <col min="13" max="13" width="8.5" style="88" customWidth="1"/>
    <col min="14" max="15" width="9.5" style="88" customWidth="1"/>
    <col min="16" max="16" width="18" style="88" customWidth="1"/>
    <col min="17" max="17" width="11.5" style="88"/>
    <col min="18" max="19" width="9.6640625" style="88" customWidth="1"/>
    <col min="20" max="20" width="10.6640625" style="88" customWidth="1"/>
    <col min="21" max="22" width="9.33203125" style="88" customWidth="1"/>
    <col min="23" max="23" width="12.83203125" style="88" customWidth="1"/>
    <col min="24" max="24" width="9.5" style="88" customWidth="1"/>
    <col min="25" max="25" width="9" style="88" customWidth="1"/>
    <col min="26" max="26" width="10.6640625" style="88" customWidth="1"/>
    <col min="27" max="16384" width="11.5" style="88"/>
  </cols>
  <sheetData>
    <row r="1" spans="1:29" ht="21">
      <c r="C1" s="89" t="s">
        <v>83</v>
      </c>
      <c r="D1" s="208" t="s">
        <v>84</v>
      </c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</row>
    <row r="2" spans="1:29" ht="16"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</row>
    <row r="3" spans="1:29" ht="16">
      <c r="B3" s="88" t="s">
        <v>29</v>
      </c>
      <c r="D3" s="209" t="s">
        <v>10</v>
      </c>
      <c r="E3" s="210"/>
      <c r="F3" s="149" t="s">
        <v>21</v>
      </c>
      <c r="G3" s="149" t="s">
        <v>24</v>
      </c>
      <c r="H3" s="149" t="s">
        <v>25</v>
      </c>
      <c r="I3" s="149" t="s">
        <v>23</v>
      </c>
      <c r="J3" s="149" t="s">
        <v>27</v>
      </c>
      <c r="K3" s="149" t="s">
        <v>75</v>
      </c>
      <c r="L3" s="149" t="s">
        <v>76</v>
      </c>
      <c r="M3" s="149" t="s">
        <v>77</v>
      </c>
      <c r="N3" s="149" t="s">
        <v>78</v>
      </c>
      <c r="O3" s="149" t="s">
        <v>19</v>
      </c>
      <c r="P3" s="150" t="s">
        <v>85</v>
      </c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</row>
    <row r="4" spans="1:29" ht="16">
      <c r="A4" s="88">
        <f>IF(E4&lt;&gt;0,1,2)</f>
        <v>2</v>
      </c>
      <c r="B4" s="88" t="str">
        <f t="shared" ref="B4:B33" si="0">IF(E4&lt;&gt;0,MONTH(E4),"")</f>
        <v/>
      </c>
      <c r="E4" s="15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74"/>
      <c r="R4" s="74"/>
      <c r="S4" s="74"/>
      <c r="T4" s="74"/>
      <c r="U4" s="74"/>
      <c r="V4" s="74"/>
      <c r="W4" s="74"/>
      <c r="X4" s="74"/>
      <c r="Y4" s="74"/>
      <c r="Z4" s="74"/>
      <c r="AA4" s="74"/>
      <c r="AB4" s="74"/>
      <c r="AC4" s="74"/>
    </row>
    <row r="5" spans="1:29" ht="15" customHeight="1">
      <c r="A5" s="88">
        <f t="shared" ref="A5:A33" si="1">IF(E5&lt;&gt;0,1,2)</f>
        <v>2</v>
      </c>
      <c r="B5" s="88" t="str">
        <f t="shared" si="0"/>
        <v/>
      </c>
      <c r="E5" s="15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</row>
    <row r="6" spans="1:29" ht="16">
      <c r="A6" s="88">
        <f t="shared" si="1"/>
        <v>2</v>
      </c>
      <c r="B6" s="88" t="str">
        <f t="shared" si="0"/>
        <v/>
      </c>
      <c r="E6" s="15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</row>
    <row r="7" spans="1:29" ht="16">
      <c r="A7" s="88">
        <f t="shared" si="1"/>
        <v>2</v>
      </c>
      <c r="B7" s="88" t="str">
        <f t="shared" si="0"/>
        <v/>
      </c>
      <c r="E7" s="151"/>
      <c r="F7" s="91"/>
      <c r="G7" s="91"/>
      <c r="H7" s="91"/>
      <c r="I7" s="91"/>
      <c r="J7" s="91"/>
      <c r="K7" s="91"/>
      <c r="L7" s="91"/>
      <c r="M7" s="91"/>
      <c r="N7" s="91"/>
      <c r="O7" s="91"/>
      <c r="P7" s="91"/>
      <c r="Q7" s="74"/>
      <c r="R7" s="74"/>
      <c r="S7" s="74"/>
      <c r="T7" s="74"/>
      <c r="U7" s="74"/>
      <c r="V7" s="74"/>
      <c r="W7" s="74"/>
      <c r="X7" s="74"/>
      <c r="Y7" s="74"/>
      <c r="Z7" s="74"/>
      <c r="AA7" s="74"/>
      <c r="AB7" s="74"/>
      <c r="AC7" s="74"/>
    </row>
    <row r="8" spans="1:29" ht="15" customHeight="1">
      <c r="A8" s="88">
        <f t="shared" si="1"/>
        <v>2</v>
      </c>
      <c r="B8" s="88" t="str">
        <f t="shared" si="0"/>
        <v/>
      </c>
      <c r="E8" s="151"/>
      <c r="F8" s="91"/>
      <c r="G8" s="91"/>
      <c r="H8" s="91"/>
      <c r="I8" s="91"/>
      <c r="J8" s="91"/>
      <c r="K8" s="91"/>
      <c r="L8" s="91"/>
      <c r="M8" s="91"/>
      <c r="N8" s="91"/>
      <c r="O8" s="91"/>
      <c r="P8" s="91"/>
      <c r="Q8" s="74"/>
      <c r="R8" s="74"/>
      <c r="S8" s="74"/>
      <c r="T8" s="74"/>
      <c r="U8" s="74"/>
      <c r="V8" s="74"/>
      <c r="W8" s="74"/>
      <c r="X8" s="74"/>
      <c r="Y8" s="74"/>
      <c r="Z8" s="74"/>
      <c r="AA8" s="74"/>
      <c r="AB8" s="74"/>
      <c r="AC8" s="74"/>
    </row>
    <row r="9" spans="1:29" ht="16">
      <c r="A9" s="88">
        <f t="shared" si="1"/>
        <v>2</v>
      </c>
      <c r="B9" s="88" t="str">
        <f t="shared" si="0"/>
        <v/>
      </c>
      <c r="E9" s="151"/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74"/>
      <c r="R9" s="74"/>
      <c r="S9" s="74"/>
      <c r="T9" s="74"/>
      <c r="U9" s="74"/>
      <c r="V9" s="74"/>
      <c r="W9" s="74"/>
      <c r="X9" s="74"/>
      <c r="Y9" s="74"/>
      <c r="Z9" s="74"/>
      <c r="AA9" s="74"/>
      <c r="AB9" s="74"/>
      <c r="AC9" s="74"/>
    </row>
    <row r="10" spans="1:29" ht="16">
      <c r="A10" s="88">
        <f t="shared" si="1"/>
        <v>2</v>
      </c>
      <c r="B10" s="88" t="str">
        <f t="shared" si="0"/>
        <v/>
      </c>
      <c r="E10" s="151"/>
      <c r="F10" s="91"/>
      <c r="G10" s="91"/>
      <c r="H10" s="91"/>
      <c r="I10" s="91"/>
      <c r="J10" s="91"/>
      <c r="K10" s="91"/>
      <c r="L10" s="91"/>
      <c r="M10" s="91"/>
      <c r="N10" s="91"/>
      <c r="O10" s="91"/>
      <c r="P10" s="91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</row>
    <row r="11" spans="1:29" ht="16">
      <c r="A11" s="88">
        <f t="shared" si="1"/>
        <v>2</v>
      </c>
      <c r="B11" s="88" t="str">
        <f t="shared" si="0"/>
        <v/>
      </c>
      <c r="E11" s="15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</row>
    <row r="12" spans="1:29" ht="16">
      <c r="A12" s="88">
        <f t="shared" si="1"/>
        <v>2</v>
      </c>
      <c r="B12" s="88" t="str">
        <f t="shared" si="0"/>
        <v/>
      </c>
      <c r="E12" s="15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74"/>
      <c r="R12" s="74"/>
      <c r="S12" s="74"/>
      <c r="T12" s="74"/>
      <c r="U12" s="74"/>
      <c r="V12" s="74"/>
      <c r="W12" s="74"/>
      <c r="X12" s="74"/>
      <c r="Y12" s="74"/>
      <c r="Z12" s="74"/>
      <c r="AA12" s="74"/>
      <c r="AB12" s="74"/>
      <c r="AC12" s="74"/>
    </row>
    <row r="13" spans="1:29" ht="16">
      <c r="A13" s="88">
        <f t="shared" si="1"/>
        <v>2</v>
      </c>
      <c r="B13" s="88" t="str">
        <f t="shared" si="0"/>
        <v/>
      </c>
      <c r="E13" s="151"/>
      <c r="F13" s="91"/>
      <c r="G13" s="91"/>
      <c r="H13" s="91"/>
      <c r="I13" s="91"/>
      <c r="J13" s="91"/>
      <c r="K13" s="91"/>
      <c r="L13" s="91"/>
      <c r="M13" s="91"/>
      <c r="N13" s="91"/>
      <c r="O13" s="91"/>
      <c r="P13" s="91"/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</row>
    <row r="14" spans="1:29" ht="16">
      <c r="A14" s="88">
        <f t="shared" si="1"/>
        <v>2</v>
      </c>
      <c r="B14" s="88" t="str">
        <f t="shared" si="0"/>
        <v/>
      </c>
      <c r="E14" s="151"/>
      <c r="F14" s="91"/>
      <c r="G14" s="91"/>
      <c r="H14" s="91"/>
      <c r="I14" s="91"/>
      <c r="J14" s="91"/>
      <c r="K14" s="91"/>
      <c r="L14" s="91"/>
      <c r="M14" s="91"/>
      <c r="N14" s="91"/>
      <c r="O14" s="91"/>
      <c r="P14" s="91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</row>
    <row r="15" spans="1:29" ht="16">
      <c r="A15" s="88">
        <f t="shared" si="1"/>
        <v>2</v>
      </c>
      <c r="B15" s="88" t="str">
        <f t="shared" si="0"/>
        <v/>
      </c>
      <c r="E15" s="151"/>
      <c r="F15" s="91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74"/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</row>
    <row r="16" spans="1:29" ht="16">
      <c r="A16" s="88">
        <f t="shared" si="1"/>
        <v>2</v>
      </c>
      <c r="B16" s="88" t="str">
        <f t="shared" si="0"/>
        <v/>
      </c>
      <c r="E16" s="151"/>
      <c r="F16" s="91"/>
      <c r="G16" s="91"/>
      <c r="H16" s="91"/>
      <c r="I16" s="91"/>
      <c r="J16" s="91"/>
      <c r="K16" s="91"/>
      <c r="L16" s="91"/>
      <c r="M16" s="91"/>
      <c r="N16" s="91"/>
      <c r="O16" s="91"/>
      <c r="P16" s="91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</row>
    <row r="17" spans="1:29" ht="16">
      <c r="A17" s="88">
        <f t="shared" si="1"/>
        <v>2</v>
      </c>
      <c r="B17" s="88" t="str">
        <f t="shared" si="0"/>
        <v/>
      </c>
      <c r="E17" s="151"/>
      <c r="F17" s="91"/>
      <c r="G17" s="91"/>
      <c r="H17" s="91"/>
      <c r="I17" s="91"/>
      <c r="J17" s="91"/>
      <c r="K17" s="91"/>
      <c r="L17" s="91"/>
      <c r="M17" s="91"/>
      <c r="N17" s="91"/>
      <c r="O17" s="91"/>
      <c r="P17" s="91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</row>
    <row r="18" spans="1:29" ht="16">
      <c r="A18" s="88">
        <f t="shared" si="1"/>
        <v>2</v>
      </c>
      <c r="B18" s="88" t="str">
        <f t="shared" si="0"/>
        <v/>
      </c>
      <c r="E18" s="151"/>
      <c r="F18" s="91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</row>
    <row r="19" spans="1:29" ht="16">
      <c r="A19" s="88">
        <f t="shared" si="1"/>
        <v>2</v>
      </c>
      <c r="B19" s="88" t="str">
        <f t="shared" si="0"/>
        <v/>
      </c>
      <c r="E19" s="15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</row>
    <row r="20" spans="1:29" ht="16">
      <c r="A20" s="88">
        <f t="shared" si="1"/>
        <v>2</v>
      </c>
      <c r="B20" s="88" t="str">
        <f t="shared" si="0"/>
        <v/>
      </c>
      <c r="E20" s="151"/>
      <c r="F20" s="91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</row>
    <row r="21" spans="1:29" ht="16">
      <c r="A21" s="88">
        <f t="shared" si="1"/>
        <v>2</v>
      </c>
      <c r="B21" s="88" t="str">
        <f t="shared" si="0"/>
        <v/>
      </c>
      <c r="E21" s="15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</row>
    <row r="22" spans="1:29">
      <c r="A22" s="88">
        <f t="shared" si="1"/>
        <v>2</v>
      </c>
      <c r="B22" s="88" t="str">
        <f t="shared" si="0"/>
        <v/>
      </c>
      <c r="E22" s="15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</row>
    <row r="23" spans="1:29">
      <c r="A23" s="88">
        <f t="shared" si="1"/>
        <v>2</v>
      </c>
      <c r="B23" s="88" t="str">
        <f t="shared" si="0"/>
        <v/>
      </c>
      <c r="E23" s="151"/>
      <c r="F23" s="91"/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</row>
    <row r="24" spans="1:29">
      <c r="A24" s="88">
        <f t="shared" si="1"/>
        <v>2</v>
      </c>
      <c r="B24" s="88" t="str">
        <f t="shared" si="0"/>
        <v/>
      </c>
      <c r="E24" s="15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</row>
    <row r="25" spans="1:29">
      <c r="A25" s="88">
        <f t="shared" si="1"/>
        <v>2</v>
      </c>
      <c r="B25" s="88" t="str">
        <f t="shared" si="0"/>
        <v/>
      </c>
      <c r="E25" s="151"/>
      <c r="F25" s="91"/>
      <c r="G25" s="91"/>
      <c r="H25" s="91"/>
      <c r="I25" s="91"/>
      <c r="J25" s="91"/>
      <c r="K25" s="91"/>
      <c r="L25" s="91"/>
      <c r="M25" s="91"/>
      <c r="N25" s="91"/>
      <c r="O25" s="91"/>
      <c r="P25" s="91"/>
      <c r="Q25" s="91"/>
    </row>
    <row r="26" spans="1:29">
      <c r="A26" s="88">
        <f t="shared" si="1"/>
        <v>2</v>
      </c>
      <c r="B26" s="88" t="str">
        <f t="shared" si="0"/>
        <v/>
      </c>
      <c r="E26" s="151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</row>
    <row r="27" spans="1:29">
      <c r="A27" s="88">
        <f t="shared" si="1"/>
        <v>2</v>
      </c>
      <c r="B27" s="88" t="str">
        <f t="shared" si="0"/>
        <v/>
      </c>
      <c r="E27" s="15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</row>
    <row r="28" spans="1:29">
      <c r="A28" s="88">
        <f t="shared" si="1"/>
        <v>2</v>
      </c>
      <c r="B28" s="88" t="str">
        <f t="shared" si="0"/>
        <v/>
      </c>
      <c r="E28" s="151"/>
      <c r="F28" s="91"/>
      <c r="G28" s="91"/>
      <c r="H28" s="91"/>
      <c r="I28" s="91"/>
      <c r="J28" s="91"/>
      <c r="K28" s="91"/>
      <c r="L28" s="91"/>
      <c r="M28" s="91"/>
      <c r="N28" s="91"/>
      <c r="O28" s="91"/>
      <c r="P28" s="91"/>
      <c r="Q28" s="91"/>
    </row>
    <row r="29" spans="1:29">
      <c r="A29" s="88">
        <f>IF(E29&lt;&gt;0,1,2)</f>
        <v>2</v>
      </c>
      <c r="B29" s="88" t="str">
        <f t="shared" si="0"/>
        <v/>
      </c>
      <c r="E29" s="151"/>
      <c r="F29" s="91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</row>
    <row r="30" spans="1:29">
      <c r="A30" s="88">
        <f>IF(E30&lt;&gt;0,1,2)</f>
        <v>2</v>
      </c>
      <c r="B30" s="88" t="str">
        <f t="shared" si="0"/>
        <v/>
      </c>
      <c r="E30" s="151"/>
      <c r="F30" s="91"/>
      <c r="G30" s="91"/>
      <c r="H30" s="91"/>
      <c r="I30" s="91"/>
      <c r="J30" s="91"/>
      <c r="K30" s="91"/>
      <c r="L30" s="91"/>
      <c r="M30" s="91"/>
      <c r="N30" s="91"/>
      <c r="O30" s="91"/>
      <c r="P30" s="91"/>
      <c r="Q30" s="91"/>
    </row>
    <row r="31" spans="1:29">
      <c r="A31" s="88">
        <f t="shared" si="1"/>
        <v>2</v>
      </c>
      <c r="B31" s="88" t="str">
        <f t="shared" si="0"/>
        <v/>
      </c>
      <c r="E31" s="151"/>
      <c r="F31" s="91"/>
      <c r="G31" s="91"/>
      <c r="H31" s="91"/>
      <c r="I31" s="91"/>
      <c r="J31" s="91"/>
      <c r="K31" s="91"/>
      <c r="L31" s="91"/>
      <c r="M31" s="91"/>
      <c r="N31" s="91"/>
      <c r="O31" s="91"/>
      <c r="P31" s="91"/>
      <c r="Q31" s="91"/>
    </row>
    <row r="32" spans="1:29">
      <c r="A32" s="88">
        <f t="shared" si="1"/>
        <v>2</v>
      </c>
      <c r="B32" s="88" t="str">
        <f t="shared" si="0"/>
        <v/>
      </c>
      <c r="E32" s="151"/>
      <c r="F32" s="91"/>
      <c r="G32" s="91"/>
      <c r="H32" s="91"/>
      <c r="I32" s="91"/>
      <c r="J32" s="91"/>
      <c r="K32" s="91"/>
      <c r="L32" s="91"/>
      <c r="M32" s="91"/>
      <c r="N32" s="91"/>
      <c r="O32" s="91"/>
      <c r="Q32" s="91"/>
    </row>
    <row r="33" spans="1:17">
      <c r="A33" s="88">
        <f t="shared" si="1"/>
        <v>2</v>
      </c>
      <c r="B33" s="88" t="str">
        <f t="shared" si="0"/>
        <v/>
      </c>
      <c r="F33" s="90" t="s">
        <v>21</v>
      </c>
      <c r="G33" s="90" t="s">
        <v>24</v>
      </c>
      <c r="H33" s="90" t="s">
        <v>25</v>
      </c>
      <c r="I33" s="90" t="s">
        <v>23</v>
      </c>
      <c r="J33" s="90" t="s">
        <v>27</v>
      </c>
      <c r="K33" s="90" t="s">
        <v>75</v>
      </c>
      <c r="L33" s="90" t="s">
        <v>76</v>
      </c>
      <c r="M33" s="90" t="s">
        <v>77</v>
      </c>
      <c r="N33" s="90" t="s">
        <v>78</v>
      </c>
      <c r="O33" s="90" t="s">
        <v>19</v>
      </c>
    </row>
    <row r="34" spans="1:17">
      <c r="C34" s="212" t="s">
        <v>101</v>
      </c>
      <c r="D34" s="213"/>
      <c r="E34" s="214"/>
      <c r="F34" s="92">
        <f t="shared" ref="F34:O34" si="2">SUM(F4:F32)</f>
        <v>0</v>
      </c>
      <c r="G34" s="92">
        <f t="shared" si="2"/>
        <v>0</v>
      </c>
      <c r="H34" s="92">
        <f t="shared" si="2"/>
        <v>0</v>
      </c>
      <c r="I34" s="92">
        <f t="shared" si="2"/>
        <v>0</v>
      </c>
      <c r="J34" s="92">
        <f t="shared" si="2"/>
        <v>0</v>
      </c>
      <c r="K34" s="92">
        <f t="shared" si="2"/>
        <v>0</v>
      </c>
      <c r="L34" s="92">
        <f t="shared" si="2"/>
        <v>0</v>
      </c>
      <c r="M34" s="92">
        <f t="shared" si="2"/>
        <v>0</v>
      </c>
      <c r="N34" s="92">
        <f t="shared" si="2"/>
        <v>0</v>
      </c>
      <c r="O34" s="92">
        <f t="shared" si="2"/>
        <v>0</v>
      </c>
    </row>
    <row r="35" spans="1:17">
      <c r="E35" s="93"/>
      <c r="P35" s="91"/>
      <c r="Q35" s="91"/>
    </row>
    <row r="36" spans="1:17">
      <c r="C36" s="211" t="s">
        <v>102</v>
      </c>
      <c r="D36" s="211"/>
      <c r="E36" s="211"/>
      <c r="F36" s="152">
        <f>SUM(F34,-JANVIER!Y8)</f>
        <v>0</v>
      </c>
      <c r="G36" s="92">
        <f>SUM(G34,-JANVIER!Y10)</f>
        <v>0</v>
      </c>
      <c r="H36" s="92">
        <f>SUM(H34,-JANVIER!Y12)</f>
        <v>0</v>
      </c>
      <c r="I36" s="92">
        <f>SUM(I34,-JANVIER!Y14)</f>
        <v>0</v>
      </c>
      <c r="J36" s="92">
        <f>SUM(J34,-JANVIER!Y16)</f>
        <v>0</v>
      </c>
      <c r="K36" s="92">
        <f>SUM(K34,-JANVIER!AE8)</f>
        <v>0</v>
      </c>
      <c r="L36" s="92">
        <f>SUM(L34,-JANVIER!AE10)</f>
        <v>0</v>
      </c>
      <c r="M36" s="92">
        <f>SUM(M34,-JANVIER!AE12)</f>
        <v>0</v>
      </c>
      <c r="N36" s="92">
        <f>SUM(N34,-JANVIER!AE14)</f>
        <v>0</v>
      </c>
      <c r="O36" s="92">
        <f>SUM(O34,-JANVIER!AE16)</f>
        <v>0</v>
      </c>
      <c r="P36" s="91"/>
      <c r="Q36" s="91"/>
    </row>
  </sheetData>
  <mergeCells count="4">
    <mergeCell ref="D1:P1"/>
    <mergeCell ref="D3:E3"/>
    <mergeCell ref="C36:E36"/>
    <mergeCell ref="C34:E34"/>
  </mergeCells>
  <conditionalFormatting sqref="E4:E32">
    <cfRule type="notContainsBlanks" dxfId="109" priority="14" stopIfTrue="1">
      <formula>LEN(TRIM(E4))&gt;0</formula>
    </cfRule>
  </conditionalFormatting>
  <conditionalFormatting sqref="E4:P32">
    <cfRule type="expression" dxfId="108" priority="1">
      <formula>$B4=12</formula>
    </cfRule>
    <cfRule type="expression" dxfId="107" priority="2">
      <formula>$B4=11</formula>
    </cfRule>
    <cfRule type="expression" dxfId="106" priority="3">
      <formula>$B4=10</formula>
    </cfRule>
    <cfRule type="expression" dxfId="105" priority="4">
      <formula>$B4=9</formula>
    </cfRule>
    <cfRule type="expression" dxfId="104" priority="5">
      <formula>$B4=8</formula>
    </cfRule>
    <cfRule type="expression" dxfId="103" priority="6">
      <formula>$B4=7</formula>
    </cfRule>
    <cfRule type="expression" dxfId="102" priority="7">
      <formula>$B4=6</formula>
    </cfRule>
    <cfRule type="expression" dxfId="101" priority="8">
      <formula>$B4=5</formula>
    </cfRule>
    <cfRule type="expression" dxfId="100" priority="9">
      <formula>$B4=4</formula>
    </cfRule>
    <cfRule type="expression" dxfId="99" priority="10">
      <formula>$B4=3</formula>
    </cfRule>
    <cfRule type="expression" dxfId="98" priority="11">
      <formula>$B4=2</formula>
    </cfRule>
    <cfRule type="expression" dxfId="97" priority="12">
      <formula>$B4=1</formula>
    </cfRule>
    <cfRule type="expression" dxfId="96" priority="13" stopIfTrue="1">
      <formula>$A4=1</formula>
    </cfRule>
  </conditionalFormatting>
  <pageMargins left="0.4153686396677051" right="0.7" top="0.33333333333333331" bottom="0.16666666666666666" header="0.3" footer="0.3"/>
  <pageSetup paperSize="9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D9DE7-0707-7847-B2B3-A296B0FBC7C1}">
  <sheetPr codeName="Feuil3"/>
  <dimension ref="A1:R31"/>
  <sheetViews>
    <sheetView showGridLines="0" view="pageLayout" zoomScaleNormal="100" workbookViewId="0">
      <selection activeCell="D18" sqref="D18"/>
    </sheetView>
  </sheetViews>
  <sheetFormatPr baseColWidth="10" defaultColWidth="10.6640625" defaultRowHeight="16"/>
  <cols>
    <col min="1" max="1" width="10.5" customWidth="1"/>
    <col min="2" max="2" width="5" customWidth="1"/>
    <col min="3" max="3" width="20.83203125" customWidth="1"/>
    <col min="4" max="4" width="37.6640625" customWidth="1"/>
    <col min="5" max="5" width="7" hidden="1" customWidth="1"/>
    <col min="6" max="6" width="0.1640625" hidden="1" customWidth="1"/>
    <col min="7" max="7" width="10.33203125" customWidth="1"/>
    <col min="8" max="8" width="30.83203125" customWidth="1"/>
    <col min="9" max="9" width="12.1640625" customWidth="1"/>
    <col min="10" max="10" width="16.1640625" customWidth="1"/>
  </cols>
  <sheetData>
    <row r="1" spans="1:18" ht="21" customHeight="1">
      <c r="A1" s="28"/>
      <c r="B1" s="28"/>
      <c r="C1" s="161" t="s">
        <v>57</v>
      </c>
      <c r="D1" s="165" t="s">
        <v>47</v>
      </c>
      <c r="E1" s="165"/>
      <c r="F1" s="165"/>
      <c r="G1" s="165"/>
      <c r="H1" s="31"/>
      <c r="I1" s="28"/>
      <c r="J1" s="29"/>
      <c r="K1" s="160"/>
      <c r="L1" s="74"/>
      <c r="N1" s="68"/>
    </row>
    <row r="2" spans="1:18" ht="16" customHeight="1">
      <c r="A2" s="8" t="s">
        <v>1</v>
      </c>
      <c r="B2" s="8"/>
      <c r="C2" s="33">
        <v>44564</v>
      </c>
      <c r="D2" s="165"/>
      <c r="E2" s="165"/>
      <c r="F2" s="165"/>
      <c r="G2" s="165"/>
      <c r="H2" s="31"/>
      <c r="I2" s="28"/>
      <c r="J2" s="29"/>
      <c r="K2" s="160"/>
      <c r="L2" s="74"/>
    </row>
    <row r="3" spans="1:18" ht="16" customHeight="1">
      <c r="A3" s="8" t="s">
        <v>0</v>
      </c>
      <c r="B3" s="8"/>
      <c r="C3" s="33">
        <f>C2+4</f>
        <v>44568</v>
      </c>
      <c r="D3" s="165"/>
      <c r="E3" s="165"/>
      <c r="F3" s="165"/>
      <c r="G3" s="165"/>
      <c r="H3" s="28"/>
      <c r="I3" s="28"/>
      <c r="J3" s="29"/>
      <c r="K3" s="74"/>
      <c r="L3" s="74"/>
    </row>
    <row r="4" spans="1:18">
      <c r="A4" s="2"/>
      <c r="B4" s="2"/>
      <c r="C4" s="2"/>
      <c r="D4" s="2"/>
      <c r="E4" s="2"/>
      <c r="F4" s="2"/>
      <c r="G4" s="2"/>
      <c r="H4" s="2"/>
      <c r="I4" s="2"/>
      <c r="J4" s="30"/>
      <c r="K4" s="159"/>
      <c r="L4" s="159"/>
      <c r="M4" s="2"/>
    </row>
    <row r="5" spans="1:18" ht="17">
      <c r="A5" s="34" t="s">
        <v>51</v>
      </c>
      <c r="B5" s="34">
        <f>VLOOKUP(C2,PARAMETRE!B3:C159,2,0)</f>
        <v>1</v>
      </c>
      <c r="C5" s="34" t="s">
        <v>53</v>
      </c>
      <c r="D5" s="166" t="s">
        <v>17</v>
      </c>
      <c r="E5" s="166"/>
      <c r="F5" s="166" t="s">
        <v>54</v>
      </c>
      <c r="G5" s="166"/>
      <c r="H5" s="34" t="s">
        <v>18</v>
      </c>
      <c r="I5" s="35" t="s">
        <v>52</v>
      </c>
      <c r="K5" s="159"/>
      <c r="L5" s="159"/>
      <c r="M5" s="2"/>
    </row>
    <row r="6" spans="1:18" ht="13.5" customHeight="1">
      <c r="A6" s="167" t="s">
        <v>2</v>
      </c>
      <c r="B6" s="168"/>
      <c r="C6" s="169"/>
      <c r="D6" s="170"/>
      <c r="E6" s="170"/>
      <c r="F6" s="170"/>
      <c r="G6" s="170"/>
      <c r="H6" s="170"/>
      <c r="I6" s="171"/>
      <c r="J6" s="2"/>
      <c r="K6" s="2"/>
      <c r="L6" s="2"/>
      <c r="M6" s="2"/>
    </row>
    <row r="7" spans="1:18" ht="13.5" customHeight="1">
      <c r="A7" s="175">
        <f>C2</f>
        <v>44564</v>
      </c>
      <c r="B7" s="176"/>
      <c r="C7" s="172"/>
      <c r="D7" s="173"/>
      <c r="E7" s="173"/>
      <c r="F7" s="173"/>
      <c r="G7" s="215"/>
      <c r="H7" s="215"/>
      <c r="I7" s="216"/>
      <c r="J7" s="2"/>
      <c r="K7" s="2"/>
      <c r="L7" s="2"/>
      <c r="M7" s="2"/>
    </row>
    <row r="8" spans="1:18" ht="25" customHeight="1">
      <c r="A8" s="181" t="s">
        <v>7</v>
      </c>
      <c r="B8" s="182"/>
      <c r="C8" s="65" t="str">
        <f ca="1">IF(VLOOKUP(C2,INDIRECT(C1),7,FALSE)=0,"",VLOOKUP(C2,INDIRECT(C1),7,FALSE))</f>
        <v>NOM 1</v>
      </c>
      <c r="D8" s="65" t="str">
        <f ca="1">IF(VLOOKUP(C2,INDIRECT(C1),8,FALSE)=0,"",VLOOKUP(C2,INDIRECT(C1),8,FALSE))</f>
        <v>ADRESSE 1</v>
      </c>
      <c r="E8" s="39"/>
      <c r="G8" s="65" t="str">
        <f ca="1">IF(VLOOKUP(C2,INDIRECT(C1),9,FALSE)=0,"",VLOOKUP(C2,INDIRECT(C1),9,FALSE))</f>
        <v>CUBE</v>
      </c>
      <c r="H8" s="65"/>
      <c r="I8" s="97"/>
      <c r="J8" s="2"/>
      <c r="K8" s="2"/>
      <c r="L8" s="2"/>
      <c r="M8" s="2"/>
    </row>
    <row r="9" spans="1:18" ht="25" customHeight="1">
      <c r="A9" s="177" t="s">
        <v>8</v>
      </c>
      <c r="B9" s="178"/>
      <c r="C9" s="69"/>
      <c r="D9" s="66"/>
      <c r="E9" s="39"/>
      <c r="G9" s="66"/>
      <c r="H9" s="66"/>
      <c r="I9" s="95"/>
      <c r="J9" s="2"/>
      <c r="K9" s="219"/>
      <c r="L9" s="219"/>
      <c r="M9" s="219"/>
      <c r="N9" s="219"/>
      <c r="O9" s="219"/>
      <c r="P9" s="219"/>
      <c r="Q9" s="219"/>
      <c r="R9" s="219"/>
    </row>
    <row r="10" spans="1:18" ht="25" customHeight="1">
      <c r="A10" s="185" t="s">
        <v>9</v>
      </c>
      <c r="B10" s="186"/>
      <c r="C10" s="36"/>
      <c r="D10" s="38"/>
      <c r="E10" s="45"/>
      <c r="G10" s="38"/>
      <c r="H10" s="38"/>
      <c r="I10" s="99"/>
      <c r="J10" s="2"/>
      <c r="K10" s="219"/>
      <c r="L10" s="219"/>
      <c r="M10" s="219"/>
      <c r="N10" s="219"/>
      <c r="O10" s="219"/>
      <c r="P10" s="219"/>
      <c r="Q10" s="219"/>
      <c r="R10" s="219"/>
    </row>
    <row r="11" spans="1:18" ht="13.5" customHeight="1">
      <c r="A11" s="167" t="s">
        <v>3</v>
      </c>
      <c r="B11" s="168"/>
      <c r="C11" s="189"/>
      <c r="D11" s="190"/>
      <c r="E11" s="190"/>
      <c r="F11" s="190"/>
      <c r="G11" s="217"/>
      <c r="H11" s="217"/>
      <c r="I11" s="218"/>
      <c r="J11" s="2"/>
      <c r="K11" s="219"/>
      <c r="L11" s="219"/>
      <c r="M11" s="219"/>
      <c r="N11" s="219"/>
      <c r="O11" s="219"/>
      <c r="P11" s="219"/>
      <c r="Q11" s="219"/>
      <c r="R11" s="219"/>
    </row>
    <row r="12" spans="1:18" ht="13.5" customHeight="1">
      <c r="A12" s="175">
        <f>A7+1</f>
        <v>44565</v>
      </c>
      <c r="B12" s="176"/>
      <c r="C12" s="192"/>
      <c r="D12" s="193"/>
      <c r="E12" s="193"/>
      <c r="F12" s="193"/>
      <c r="G12" s="217"/>
      <c r="H12" s="217"/>
      <c r="I12" s="218"/>
      <c r="J12" s="2"/>
      <c r="K12" s="67"/>
      <c r="L12" s="2"/>
      <c r="M12" s="2"/>
      <c r="N12" s="2"/>
      <c r="O12" s="2"/>
    </row>
    <row r="13" spans="1:18" ht="25" customHeight="1">
      <c r="A13" s="181" t="s">
        <v>7</v>
      </c>
      <c r="B13" s="182"/>
      <c r="C13" s="65"/>
      <c r="D13" s="65"/>
      <c r="E13" s="39"/>
      <c r="G13" s="65"/>
      <c r="H13" s="65"/>
      <c r="I13" s="97"/>
      <c r="J13" s="2"/>
      <c r="K13" s="219"/>
      <c r="L13" s="219"/>
      <c r="M13" s="219"/>
      <c r="N13" s="219"/>
      <c r="O13" s="219"/>
      <c r="P13" s="219"/>
      <c r="Q13" s="219"/>
      <c r="R13" s="219"/>
    </row>
    <row r="14" spans="1:18" ht="25" customHeight="1">
      <c r="A14" s="177" t="s">
        <v>8</v>
      </c>
      <c r="B14" s="178"/>
      <c r="C14" s="69"/>
      <c r="D14" s="66"/>
      <c r="E14" s="39"/>
      <c r="G14" s="66"/>
      <c r="H14" s="66"/>
      <c r="I14" s="95"/>
      <c r="J14" s="2"/>
      <c r="K14" s="219"/>
      <c r="L14" s="219"/>
      <c r="M14" s="219"/>
      <c r="N14" s="219"/>
      <c r="O14" s="219"/>
      <c r="P14" s="219"/>
      <c r="Q14" s="219"/>
      <c r="R14" s="219"/>
    </row>
    <row r="15" spans="1:18" ht="25" customHeight="1">
      <c r="A15" s="185" t="s">
        <v>9</v>
      </c>
      <c r="B15" s="186"/>
      <c r="C15" s="36"/>
      <c r="D15" s="38"/>
      <c r="E15" s="49"/>
      <c r="G15" s="38"/>
      <c r="H15" s="38"/>
      <c r="I15" s="96"/>
      <c r="J15" s="2"/>
      <c r="K15" s="219"/>
      <c r="L15" s="219"/>
      <c r="M15" s="219"/>
      <c r="N15" s="219"/>
      <c r="O15" s="219"/>
      <c r="P15" s="219"/>
      <c r="Q15" s="219"/>
      <c r="R15" s="219"/>
    </row>
    <row r="16" spans="1:18" ht="13.5" customHeight="1">
      <c r="A16" s="167" t="s">
        <v>4</v>
      </c>
      <c r="B16" s="168"/>
      <c r="C16" s="197"/>
      <c r="D16" s="198"/>
      <c r="E16" s="198"/>
      <c r="F16" s="198"/>
      <c r="G16" s="220"/>
      <c r="H16" s="220"/>
      <c r="I16" s="221"/>
      <c r="J16" s="2"/>
      <c r="K16" s="67"/>
      <c r="L16" s="2"/>
      <c r="M16" s="2"/>
    </row>
    <row r="17" spans="1:18" ht="13.5" customHeight="1">
      <c r="A17" s="175">
        <f>A12+1</f>
        <v>44566</v>
      </c>
      <c r="B17" s="176"/>
      <c r="C17" s="200"/>
      <c r="D17" s="201"/>
      <c r="E17" s="201"/>
      <c r="F17" s="201"/>
      <c r="G17" s="220"/>
      <c r="H17" s="220"/>
      <c r="I17" s="221"/>
      <c r="J17" s="2"/>
      <c r="K17" s="67"/>
      <c r="L17" s="2"/>
      <c r="M17" s="2"/>
    </row>
    <row r="18" spans="1:18" ht="25" customHeight="1">
      <c r="A18" s="181" t="s">
        <v>7</v>
      </c>
      <c r="B18" s="182"/>
      <c r="C18" s="65"/>
      <c r="D18" s="65"/>
      <c r="E18" s="39"/>
      <c r="G18" s="65"/>
      <c r="H18" s="65"/>
      <c r="I18" s="97"/>
      <c r="J18" s="2"/>
      <c r="K18" s="219"/>
      <c r="L18" s="219"/>
      <c r="M18" s="219"/>
      <c r="N18" s="219"/>
      <c r="O18" s="219"/>
      <c r="P18" s="219"/>
      <c r="Q18" s="219"/>
      <c r="R18" s="219"/>
    </row>
    <row r="19" spans="1:18" ht="25" customHeight="1">
      <c r="A19" s="177" t="s">
        <v>8</v>
      </c>
      <c r="B19" s="178"/>
      <c r="C19" s="42"/>
      <c r="D19" s="66"/>
      <c r="E19" s="39"/>
      <c r="G19" s="66"/>
      <c r="H19" s="66"/>
      <c r="I19" s="95"/>
      <c r="J19" s="2"/>
      <c r="K19" s="219"/>
      <c r="L19" s="219"/>
      <c r="M19" s="219"/>
      <c r="N19" s="219"/>
      <c r="O19" s="219"/>
      <c r="P19" s="219"/>
      <c r="Q19" s="219"/>
      <c r="R19" s="219"/>
    </row>
    <row r="20" spans="1:18" ht="25" customHeight="1">
      <c r="A20" s="185" t="s">
        <v>9</v>
      </c>
      <c r="B20" s="186"/>
      <c r="C20" s="36"/>
      <c r="D20" s="38"/>
      <c r="E20" s="49"/>
      <c r="G20" s="38"/>
      <c r="H20" s="38"/>
      <c r="I20" s="96"/>
      <c r="J20" s="2"/>
      <c r="K20" s="219"/>
      <c r="L20" s="219"/>
      <c r="M20" s="219"/>
      <c r="N20" s="219"/>
      <c r="O20" s="219"/>
      <c r="P20" s="219"/>
      <c r="Q20" s="219"/>
      <c r="R20" s="219"/>
    </row>
    <row r="21" spans="1:18" ht="13.5" customHeight="1">
      <c r="A21" s="167" t="s">
        <v>5</v>
      </c>
      <c r="B21" s="168"/>
      <c r="C21" s="52"/>
      <c r="D21" s="53"/>
      <c r="E21" s="53"/>
      <c r="F21" s="53"/>
      <c r="G21" s="98"/>
      <c r="H21" s="98"/>
      <c r="I21" s="100"/>
      <c r="J21" s="2"/>
      <c r="K21" s="2"/>
      <c r="L21" s="2"/>
      <c r="M21" s="2"/>
    </row>
    <row r="22" spans="1:18" ht="13.5" customHeight="1">
      <c r="A22" s="175">
        <f>A17+1</f>
        <v>44567</v>
      </c>
      <c r="B22" s="176"/>
      <c r="C22" s="55"/>
      <c r="D22" s="56"/>
      <c r="E22" s="56"/>
      <c r="F22" s="56"/>
      <c r="G22" s="98"/>
      <c r="H22" s="98"/>
      <c r="I22" s="100"/>
      <c r="J22" s="2"/>
      <c r="K22" s="2"/>
      <c r="L22" s="2"/>
      <c r="M22" s="2"/>
    </row>
    <row r="23" spans="1:18" ht="25" customHeight="1">
      <c r="A23" s="181" t="s">
        <v>7</v>
      </c>
      <c r="B23" s="182"/>
      <c r="C23" s="65"/>
      <c r="D23" s="65"/>
      <c r="E23" s="39"/>
      <c r="G23" s="65"/>
      <c r="H23" s="65"/>
      <c r="I23" s="97"/>
      <c r="J23" s="2"/>
      <c r="K23" s="2"/>
      <c r="L23" s="2"/>
      <c r="M23" s="2"/>
    </row>
    <row r="24" spans="1:18" ht="25" customHeight="1">
      <c r="A24" s="177" t="s">
        <v>8</v>
      </c>
      <c r="B24" s="178"/>
      <c r="C24" s="69"/>
      <c r="D24" s="66"/>
      <c r="E24" s="39"/>
      <c r="G24" s="66"/>
      <c r="H24" s="66"/>
      <c r="I24" s="95"/>
      <c r="J24" s="2"/>
      <c r="K24" s="2"/>
      <c r="L24" s="2"/>
      <c r="M24" s="2"/>
    </row>
    <row r="25" spans="1:18" ht="25" customHeight="1">
      <c r="A25" s="185" t="s">
        <v>9</v>
      </c>
      <c r="B25" s="186"/>
      <c r="C25" s="70"/>
      <c r="D25" s="38"/>
      <c r="E25" s="49"/>
      <c r="G25" s="38"/>
      <c r="H25" s="38"/>
      <c r="I25" s="96"/>
      <c r="J25" s="2"/>
      <c r="K25" s="2"/>
      <c r="L25" s="2"/>
      <c r="M25" s="2"/>
    </row>
    <row r="26" spans="1:18" ht="13.5" customHeight="1">
      <c r="A26" s="167" t="s">
        <v>6</v>
      </c>
      <c r="B26" s="168"/>
      <c r="C26" s="189"/>
      <c r="D26" s="190"/>
      <c r="E26" s="190"/>
      <c r="F26" s="190"/>
      <c r="G26" s="217"/>
      <c r="H26" s="217"/>
      <c r="I26" s="218"/>
      <c r="J26" s="2"/>
      <c r="K26" s="2"/>
      <c r="L26" s="2"/>
      <c r="M26" s="2"/>
    </row>
    <row r="27" spans="1:18" ht="13.5" customHeight="1">
      <c r="A27" s="255">
        <f>A22+1</f>
        <v>44568</v>
      </c>
      <c r="B27" s="256"/>
      <c r="C27" s="192"/>
      <c r="D27" s="193"/>
      <c r="E27" s="193"/>
      <c r="F27" s="193"/>
      <c r="G27" s="217"/>
      <c r="H27" s="217"/>
      <c r="I27" s="218"/>
      <c r="J27" s="2"/>
      <c r="K27" s="2"/>
      <c r="L27" s="2"/>
      <c r="M27" s="2"/>
    </row>
    <row r="28" spans="1:18" ht="25" customHeight="1">
      <c r="A28" s="257" t="s">
        <v>7</v>
      </c>
      <c r="B28" s="258"/>
      <c r="C28" s="253"/>
      <c r="D28" s="65"/>
      <c r="E28" s="39"/>
      <c r="G28" s="65"/>
      <c r="H28" s="65"/>
      <c r="I28" s="97"/>
      <c r="J28" s="2"/>
      <c r="K28" s="2"/>
      <c r="L28" s="2"/>
      <c r="M28" s="2"/>
    </row>
    <row r="29" spans="1:18" ht="25" customHeight="1">
      <c r="A29" s="259" t="s">
        <v>8</v>
      </c>
      <c r="B29" s="260"/>
      <c r="C29" s="254"/>
      <c r="D29" s="66"/>
      <c r="E29" s="39"/>
      <c r="G29" s="66"/>
      <c r="H29" s="66"/>
      <c r="I29" s="95"/>
      <c r="J29" s="2"/>
      <c r="K29" s="2"/>
      <c r="L29" s="2"/>
      <c r="M29" s="2"/>
    </row>
    <row r="30" spans="1:18" ht="25" customHeight="1">
      <c r="A30" s="261" t="s">
        <v>9</v>
      </c>
      <c r="B30" s="262"/>
      <c r="C30" s="71"/>
      <c r="D30" s="38"/>
      <c r="E30" s="58"/>
      <c r="G30" s="38"/>
      <c r="H30" s="38"/>
      <c r="I30" s="96"/>
      <c r="J30" s="2"/>
      <c r="K30" s="2"/>
      <c r="L30" s="2"/>
      <c r="M30" s="2"/>
    </row>
    <row r="31" spans="1:18">
      <c r="A31" s="1"/>
      <c r="B31" s="1"/>
      <c r="J31" s="2"/>
      <c r="K31" s="2"/>
      <c r="L31" s="2"/>
      <c r="M31" s="2"/>
    </row>
  </sheetData>
  <mergeCells count="35">
    <mergeCell ref="K9:R11"/>
    <mergeCell ref="K13:R15"/>
    <mergeCell ref="K18:R20"/>
    <mergeCell ref="C26:I27"/>
    <mergeCell ref="F5:G5"/>
    <mergeCell ref="C16:I17"/>
    <mergeCell ref="A28:B28"/>
    <mergeCell ref="A29:B29"/>
    <mergeCell ref="A30:B30"/>
    <mergeCell ref="A16:B16"/>
    <mergeCell ref="A17:B17"/>
    <mergeCell ref="A21:B21"/>
    <mergeCell ref="A22:B22"/>
    <mergeCell ref="A26:B26"/>
    <mergeCell ref="A27:B27"/>
    <mergeCell ref="A18:B18"/>
    <mergeCell ref="A19:B19"/>
    <mergeCell ref="A20:B20"/>
    <mergeCell ref="A23:B23"/>
    <mergeCell ref="A24:B24"/>
    <mergeCell ref="D1:G3"/>
    <mergeCell ref="C6:I7"/>
    <mergeCell ref="C11:I12"/>
    <mergeCell ref="A25:B25"/>
    <mergeCell ref="A12:B12"/>
    <mergeCell ref="A6:B6"/>
    <mergeCell ref="A13:B13"/>
    <mergeCell ref="A14:B14"/>
    <mergeCell ref="A15:B15"/>
    <mergeCell ref="A7:B7"/>
    <mergeCell ref="A8:B8"/>
    <mergeCell ref="A9:B9"/>
    <mergeCell ref="A10:B10"/>
    <mergeCell ref="A11:B11"/>
    <mergeCell ref="D5:E5"/>
  </mergeCells>
  <phoneticPr fontId="17" type="noConversion"/>
  <dataValidations count="1">
    <dataValidation type="list" allowBlank="1" showInputMessage="1" showErrorMessage="1" sqref="N7" xr:uid="{9C9678A0-C6D7-8649-BC4B-E010B85021F8}">
      <formula1>$K$8:$K$19</formula1>
    </dataValidation>
  </dataValidations>
  <printOptions horizontalCentered="1" verticalCentered="1"/>
  <pageMargins left="0" right="0" top="0.102880658436214" bottom="0.1404494382022472" header="0" footer="0"/>
  <pageSetup paperSize="9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7E02058-71D8-7E46-8BE8-A7291DBF26E6}">
          <x14:formula1>
            <xm:f>PARAMETRE!$B:$B</xm:f>
          </x14:formula1>
          <xm:sqref>C2 K1</xm:sqref>
        </x14:dataValidation>
        <x14:dataValidation type="list" allowBlank="1" showInputMessage="1" showErrorMessage="1" xr:uid="{E3FBA4EE-FD39-8645-A801-F012363F9060}">
          <x14:formula1>
            <xm:f>PARAMETRE!$H$3:$H$14</xm:f>
          </x14:formula1>
          <xm:sqref>K8</xm:sqref>
        </x14:dataValidation>
        <x14:dataValidation type="list" allowBlank="1" showInputMessage="1" showErrorMessage="1" xr:uid="{ACB27332-4D70-8346-B5DC-8D87C03CF53C}">
          <x14:formula1>
            <xm:f>PARAMETRE!$G$3:$G$14</xm:f>
          </x14:formula1>
          <xm:sqref>G29 G14 G19 G24</xm:sqref>
        </x14:dataValidation>
        <x14:dataValidation type="list" allowBlank="1" showInputMessage="1" showErrorMessage="1" xr:uid="{C97B36CE-9050-CE41-B8B3-6882EE6053C8}">
          <x14:formula1>
            <xm:f>PARAMETRE!$K$3:$K$14</xm:f>
          </x14:formula1>
          <xm:sqref>C1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65D73-90A5-6E44-BB3D-6C84DE1CB316}">
  <sheetPr>
    <pageSetUpPr fitToPage="1"/>
  </sheetPr>
  <dimension ref="A1:AL74"/>
  <sheetViews>
    <sheetView showGridLines="0" tabSelected="1" zoomScale="94" zoomScaleNormal="194" zoomScaleSheetLayoutView="69" zoomScalePageLayoutView="93" workbookViewId="0">
      <selection activeCell="N20" sqref="N20"/>
    </sheetView>
  </sheetViews>
  <sheetFormatPr baseColWidth="10" defaultColWidth="10.6640625" defaultRowHeight="11.5" customHeight="1"/>
  <cols>
    <col min="1" max="1" width="3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29"/>
      <c r="E1" s="229"/>
      <c r="F1" s="87"/>
      <c r="G1" s="230">
        <f>DATE(Installation!C4,Installation!C6,1)</f>
        <v>44562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2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B2" s="26"/>
      <c r="C2" s="27">
        <f>MONTH(G1)</f>
        <v>1</v>
      </c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2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B3" s="26"/>
      <c r="C3" s="27"/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A4" s="26">
        <f>IF(WEEKDAY(G1)=7,G1+2,IF(WEEKDAY(G1)=1,G1+1,G1))</f>
        <v>44564</v>
      </c>
      <c r="B4" s="27">
        <f>IF(C4&lt;&gt;$C$2,"",WEEKDAY(D4))</f>
        <v>2</v>
      </c>
      <c r="C4" s="27">
        <f>MONTH(A4)</f>
        <v>1</v>
      </c>
      <c r="D4" s="11">
        <f>IF(C4&lt;&gt;$C$2,"",A4)</f>
        <v>44564</v>
      </c>
      <c r="E4" s="14">
        <f>IF(C4&lt;&gt;$C$2,"",A4)</f>
        <v>44564</v>
      </c>
      <c r="F4" s="25">
        <f>IFERROR(VLOOKUP($D4,PARAMETRE!$E$3:$F$13,2,FALSE),0)</f>
        <v>0</v>
      </c>
      <c r="G4" s="116">
        <f>IF(B4=2,_xlfn.ISOWEEKNUM(E4),"")</f>
        <v>1</v>
      </c>
      <c r="H4" s="15"/>
      <c r="I4" s="17"/>
      <c r="J4" s="17"/>
      <c r="K4" s="20" t="s">
        <v>124</v>
      </c>
      <c r="L4" s="20" t="s">
        <v>116</v>
      </c>
      <c r="M4" s="108" t="s">
        <v>21</v>
      </c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A5" s="26"/>
      <c r="B5" s="27">
        <f t="shared" ref="B5" si="0">B4</f>
        <v>2</v>
      </c>
      <c r="C5" s="27"/>
      <c r="D5" s="13"/>
      <c r="E5" s="23"/>
      <c r="F5" s="114"/>
      <c r="G5" s="115"/>
      <c r="H5" s="16"/>
      <c r="I5" s="19"/>
      <c r="J5" s="19"/>
      <c r="K5" s="94" t="s">
        <v>125</v>
      </c>
      <c r="L5" s="94" t="s">
        <v>115</v>
      </c>
      <c r="M5" s="110" t="s">
        <v>21</v>
      </c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A6" s="26">
        <f>IF(WEEKDAY(A4)=6,A4+3,A4+1)</f>
        <v>44565</v>
      </c>
      <c r="B6" s="27">
        <f>IF(C6&lt;&gt;$C$2,"",WEEKDAY(D6))</f>
        <v>3</v>
      </c>
      <c r="C6" s="27">
        <f>MONTH(A6)</f>
        <v>1</v>
      </c>
      <c r="D6" s="11">
        <f>IF(C6&lt;&gt;$C$2,"",A6)</f>
        <v>44565</v>
      </c>
      <c r="E6" s="14">
        <f>IF(C6&lt;&gt;$C$2,"",A6)</f>
        <v>44565</v>
      </c>
      <c r="F6" s="25">
        <f>IFERROR(VLOOKUP($D6,PARAMETRE!$E$3:$F$13,2,FALSE),0)</f>
        <v>0</v>
      </c>
      <c r="G6" s="116" t="str">
        <f>IF(B6=2,_xlfn.ISOWEEKNUM(E6),"")</f>
        <v/>
      </c>
      <c r="H6" s="15"/>
      <c r="I6" s="17"/>
      <c r="J6" s="17"/>
      <c r="K6" s="20" t="s">
        <v>126</v>
      </c>
      <c r="L6" s="20" t="s">
        <v>117</v>
      </c>
      <c r="M6" s="108" t="s">
        <v>24</v>
      </c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A7" s="26"/>
      <c r="B7" s="27">
        <f t="shared" ref="B7" si="1">B6</f>
        <v>3</v>
      </c>
      <c r="C7" s="27"/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 t="s">
        <v>127</v>
      </c>
      <c r="L7" s="94" t="s">
        <v>118</v>
      </c>
      <c r="M7" s="110" t="s">
        <v>23</v>
      </c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A8" s="26">
        <f>IF(WEEKDAY(A6)=6,A6+3,A6+1)</f>
        <v>44566</v>
      </c>
      <c r="B8" s="27">
        <f>IF(C8&lt;&gt;$C$2,"",WEEKDAY(D8))</f>
        <v>4</v>
      </c>
      <c r="C8" s="27">
        <f>MONTH(A8)</f>
        <v>1</v>
      </c>
      <c r="D8" s="11">
        <f>IF(C8&lt;&gt;$C$2,"",A8)</f>
        <v>44566</v>
      </c>
      <c r="E8" s="14">
        <f>IF(C8&lt;&gt;$C$2,"",A8)</f>
        <v>44566</v>
      </c>
      <c r="F8" s="25">
        <f>IFERROR(VLOOKUP($D8,PARAMETRE!$E$3:$F$13,2,FALSE),0)</f>
        <v>0</v>
      </c>
      <c r="G8" s="116" t="str">
        <f>IF(B8=2,_xlfn.ISOWEEKNUM(E8),"")</f>
        <v/>
      </c>
      <c r="H8" s="15" t="s">
        <v>7</v>
      </c>
      <c r="I8" s="17" t="s">
        <v>8</v>
      </c>
      <c r="J8" s="17" t="s">
        <v>9</v>
      </c>
      <c r="K8" s="20" t="s">
        <v>128</v>
      </c>
      <c r="L8" s="20" t="s">
        <v>119</v>
      </c>
      <c r="M8" s="108" t="s">
        <v>21</v>
      </c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A9" s="26"/>
      <c r="B9" s="27">
        <f t="shared" ref="B9" si="2">B8</f>
        <v>4</v>
      </c>
      <c r="C9" s="27"/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 t="s">
        <v>129</v>
      </c>
      <c r="L9" s="94" t="s">
        <v>120</v>
      </c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A10" s="26">
        <f>IF(WEEKDAY(A8)=6,A8+3,A8+1)</f>
        <v>44567</v>
      </c>
      <c r="B10" s="27">
        <f>IF(C10&lt;&gt;$C$2,"",WEEKDAY(D10))</f>
        <v>5</v>
      </c>
      <c r="C10" s="27">
        <f>MONTH(A10)</f>
        <v>1</v>
      </c>
      <c r="D10" s="11">
        <f>IF(C10&lt;&gt;$C$2,"",A10)</f>
        <v>44567</v>
      </c>
      <c r="E10" s="14">
        <f>IF(C10&lt;&gt;$C$2,"",A10)</f>
        <v>44567</v>
      </c>
      <c r="F10" s="25">
        <f>IFERROR(VLOOKUP($D10,PARAMETRE!$E$3:$F$13,2,FALSE),0)</f>
        <v>0</v>
      </c>
      <c r="G10" s="116" t="str">
        <f>IF(B10=2,_xlfn.ISOWEEKNUM(E10),"")</f>
        <v/>
      </c>
      <c r="H10" s="15" t="s">
        <v>7</v>
      </c>
      <c r="I10" s="17" t="s">
        <v>8</v>
      </c>
      <c r="J10" s="17" t="s">
        <v>9</v>
      </c>
      <c r="K10" s="20" t="s">
        <v>130</v>
      </c>
      <c r="L10" s="20" t="s">
        <v>121</v>
      </c>
      <c r="M10" s="108" t="s">
        <v>23</v>
      </c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A11" s="26"/>
      <c r="B11" s="27">
        <f t="shared" ref="B11" si="3">B10</f>
        <v>5</v>
      </c>
      <c r="C11" s="27"/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 t="s">
        <v>131</v>
      </c>
      <c r="L11" s="94" t="s">
        <v>122</v>
      </c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A12" s="26">
        <f>IF(WEEKDAY(A10)=6,A10+3,A10+1)</f>
        <v>44568</v>
      </c>
      <c r="B12" s="27">
        <f>IF(C12&lt;&gt;$C$2,"",WEEKDAY(D12))</f>
        <v>6</v>
      </c>
      <c r="C12" s="27">
        <f>MONTH(A12)</f>
        <v>1</v>
      </c>
      <c r="D12" s="11">
        <f>IF(C12&lt;&gt;$C$2,"",A12)</f>
        <v>44568</v>
      </c>
      <c r="E12" s="14">
        <f>IF(C12&lt;&gt;$C$2,"",A12)</f>
        <v>44568</v>
      </c>
      <c r="F12" s="25">
        <f>IFERROR(VLOOKUP($D12,PARAMETRE!$E$3:$F$13,2,FALSE),0)</f>
        <v>0</v>
      </c>
      <c r="G12" s="116" t="str">
        <f>IF(B12=2,_xlfn.ISOWEEKNUM(E12),"")</f>
        <v/>
      </c>
      <c r="H12" s="15" t="s">
        <v>7</v>
      </c>
      <c r="I12" s="17" t="s">
        <v>8</v>
      </c>
      <c r="J12" s="17" t="s">
        <v>9</v>
      </c>
      <c r="K12" s="20" t="s">
        <v>132</v>
      </c>
      <c r="L12" s="20" t="s">
        <v>123</v>
      </c>
      <c r="M12" s="108" t="s">
        <v>27</v>
      </c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A13" s="26"/>
      <c r="B13" s="27">
        <f t="shared" ref="B13" si="4">B12</f>
        <v>6</v>
      </c>
      <c r="C13" s="27"/>
      <c r="D13" s="13"/>
      <c r="E13" s="23"/>
      <c r="F13" s="114">
        <f>IFERROR(VLOOKUP($D13,PARAMETRE!$E$3:$F$13,2,FALSE),0)</f>
        <v>0</v>
      </c>
      <c r="G13" s="115"/>
      <c r="H13" s="16"/>
      <c r="I13" s="19"/>
      <c r="J13" s="19" t="s">
        <v>91</v>
      </c>
      <c r="K13" s="94" t="s">
        <v>114</v>
      </c>
      <c r="L13" s="94" t="s">
        <v>114</v>
      </c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>
        <f>IF(WEEKDAY(A12)=6,A12+3,A12+1)</f>
        <v>44571</v>
      </c>
      <c r="B14" s="27">
        <f>IF(C14&lt;&gt;$C$2,"",WEEKDAY(D14))</f>
        <v>2</v>
      </c>
      <c r="C14" s="27">
        <f>MONTH(A14)</f>
        <v>1</v>
      </c>
      <c r="D14" s="11">
        <f>IF(C14&lt;&gt;$C$2,"",A14)</f>
        <v>44571</v>
      </c>
      <c r="E14" s="14">
        <f>IF(C14&lt;&gt;$C$2,"",A14)</f>
        <v>44571</v>
      </c>
      <c r="F14" s="25">
        <f>IFERROR(VLOOKUP($D14,PARAMETRE!$E$3:$F$13,2,FALSE),0)</f>
        <v>0</v>
      </c>
      <c r="G14" s="116">
        <f>IF(B14=2,_xlfn.ISOWEEKNUM(E14),"")</f>
        <v>2</v>
      </c>
      <c r="H14" s="15" t="s">
        <v>7</v>
      </c>
      <c r="I14" s="17" t="s">
        <v>8</v>
      </c>
      <c r="J14" s="17"/>
      <c r="K14" s="20"/>
      <c r="L14" s="20"/>
      <c r="M14" s="108" t="s">
        <v>19</v>
      </c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A15" s="26"/>
      <c r="B15" s="27">
        <f t="shared" ref="B15" si="5">B14</f>
        <v>2</v>
      </c>
      <c r="C15" s="27"/>
      <c r="D15" s="13"/>
      <c r="E15" s="23"/>
      <c r="F15" s="114">
        <f>IFERROR(VLOOKUP($D15,PARAMETRE!$E$3:$F$13,2,FALSE),0)</f>
        <v>0</v>
      </c>
      <c r="G15" s="115"/>
      <c r="H15" s="16"/>
      <c r="I15" s="19"/>
      <c r="J15" s="19" t="s">
        <v>91</v>
      </c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A16" s="26">
        <f>IF(WEEKDAY(A14)=6,A14+3,A14+1)</f>
        <v>44572</v>
      </c>
      <c r="B16" s="27">
        <f>IF(C16&lt;&gt;$C$2,"",WEEKDAY(D16))</f>
        <v>3</v>
      </c>
      <c r="C16" s="27">
        <f>MONTH(A16)</f>
        <v>1</v>
      </c>
      <c r="D16" s="11">
        <f>IF(C16&lt;&gt;$C$2,"",A16)</f>
        <v>44572</v>
      </c>
      <c r="E16" s="14">
        <f>IF(C16&lt;&gt;$C$2,"",A16)</f>
        <v>44572</v>
      </c>
      <c r="F16" s="25">
        <f>IFERROR(VLOOKUP($D16,PARAMETRE!$E$3:$F$13,2,FALSE),0)</f>
        <v>0</v>
      </c>
      <c r="G16" s="116" t="str">
        <f>IF(B16=2,_xlfn.ISOWEEKNUM(E16),"")</f>
        <v/>
      </c>
      <c r="H16" s="15" t="s">
        <v>7</v>
      </c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/>
      <c r="B17" s="27">
        <f t="shared" ref="B17" si="6">B16</f>
        <v>3</v>
      </c>
      <c r="C17" s="27"/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44573</v>
      </c>
      <c r="B18" s="27">
        <f>IF(C18&lt;&gt;$C$2,"",WEEKDAY(D18))</f>
        <v>4</v>
      </c>
      <c r="C18" s="27">
        <f>MONTH(A18)</f>
        <v>1</v>
      </c>
      <c r="D18" s="11">
        <f>IF(C18&lt;&gt;$C$2,"",A18)</f>
        <v>44573</v>
      </c>
      <c r="E18" s="14">
        <f>IF(C18&lt;&gt;$C$2,"",A18)</f>
        <v>44573</v>
      </c>
      <c r="F18" s="25">
        <f>IFERROR(VLOOKUP($D18,PARAMETRE!$E$3:$F$13,2,FALSE),0)</f>
        <v>0</v>
      </c>
      <c r="G18" s="116" t="str">
        <f>IF(B18=2,_xlfn.ISOWEEKNUM(E18),"")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/>
      <c r="B19" s="27">
        <f t="shared" ref="B19" si="7">B18</f>
        <v>4</v>
      </c>
      <c r="C19" s="27"/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>
        <f>IF(WEEKDAY(A18)=6,A18+3,A18+1)</f>
        <v>44574</v>
      </c>
      <c r="B20" s="27">
        <f>IF(C20&lt;&gt;$C$2,"",WEEKDAY(D20))</f>
        <v>5</v>
      </c>
      <c r="C20" s="27">
        <f>MONTH(A20)</f>
        <v>1</v>
      </c>
      <c r="D20" s="11">
        <f>IF(C20&lt;&gt;$C$2,"",A20)</f>
        <v>44574</v>
      </c>
      <c r="E20" s="14">
        <f>IF(C20&lt;&gt;$C$2,"",A20)</f>
        <v>44574</v>
      </c>
      <c r="F20" s="25">
        <f>IFERROR(VLOOKUP($D20,PARAMETRE!$E$3:$F$13,2,FALSE),0)</f>
        <v>0</v>
      </c>
      <c r="G20" s="116" t="str">
        <f>IF(B20=2,_xlfn.ISOWEEKNUM(E20),"")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/>
      <c r="B21" s="27">
        <f t="shared" ref="B21" si="8">B20</f>
        <v>5</v>
      </c>
      <c r="C21" s="27"/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>
        <f>IF(WEEKDAY(A20)=6,A20+3,A20+1)</f>
        <v>44575</v>
      </c>
      <c r="B22" s="27">
        <f>IF(C22&lt;&gt;$C$2,"",WEEKDAY(D22))</f>
        <v>6</v>
      </c>
      <c r="C22" s="27">
        <f>MONTH(A22)</f>
        <v>1</v>
      </c>
      <c r="D22" s="11">
        <f>IF(C22&lt;&gt;$C$2,"",A22)</f>
        <v>44575</v>
      </c>
      <c r="E22" s="14">
        <f>IF(C22&lt;&gt;$C$2,"",A22)</f>
        <v>44575</v>
      </c>
      <c r="F22" s="25">
        <f>IFERROR(VLOOKUP($D22,PARAMETRE!$E$3:$F$13,2,FALSE),0)</f>
        <v>0</v>
      </c>
      <c r="G22" s="116" t="str">
        <f>IF(B22=2,_xlfn.ISOWEEKNUM(E22),"")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/>
      <c r="B23" s="27">
        <f t="shared" ref="B23" si="9">B22</f>
        <v>6</v>
      </c>
      <c r="C23" s="27"/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>
        <f>IF(WEEKDAY(A22)=6,A22+3,A22+1)</f>
        <v>44578</v>
      </c>
      <c r="B24" s="27">
        <f>IF(C24&lt;&gt;$C$2,"",WEEKDAY(D24))</f>
        <v>2</v>
      </c>
      <c r="C24" s="27">
        <f>MONTH(A24)</f>
        <v>1</v>
      </c>
      <c r="D24" s="11">
        <f>IF(C24&lt;&gt;$C$2,"",A24)</f>
        <v>44578</v>
      </c>
      <c r="E24" s="14">
        <f>IF(C24&lt;&gt;$C$2,"",A24)</f>
        <v>44578</v>
      </c>
      <c r="F24" s="25">
        <f>IFERROR(VLOOKUP($D24,PARAMETRE!$E$3:$F$13,2,FALSE),0)</f>
        <v>0</v>
      </c>
      <c r="G24" s="116">
        <f>IF(B24=2,_xlfn.ISOWEEKNUM(E24),"")</f>
        <v>3</v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/>
      <c r="B25" s="27">
        <f t="shared" ref="B25" si="10">B24</f>
        <v>2</v>
      </c>
      <c r="C25" s="27"/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>
        <f>IF(WEEKDAY(A24)=6,A24+3,A24+1)</f>
        <v>44579</v>
      </c>
      <c r="B26" s="27">
        <f>IF(C26&lt;&gt;$C$2,"",WEEKDAY(D26))</f>
        <v>3</v>
      </c>
      <c r="C26" s="27">
        <f>MONTH(A26)</f>
        <v>1</v>
      </c>
      <c r="D26" s="11">
        <f>IF(C26&lt;&gt;$C$2,"",A26)</f>
        <v>44579</v>
      </c>
      <c r="E26" s="14">
        <f>IF(C26&lt;&gt;$C$2,"",A26)</f>
        <v>44579</v>
      </c>
      <c r="F26" s="25">
        <f>IFERROR(VLOOKUP($D26,PARAMETRE!$E$3:$F$13,2,FALSE),0)</f>
        <v>0</v>
      </c>
      <c r="G26" s="116" t="str">
        <f>IF(B26=2,_xlfn.ISOWEEKNUM(E26),"")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/>
      <c r="B27" s="27">
        <f t="shared" ref="B27" si="11">B26</f>
        <v>3</v>
      </c>
      <c r="C27" s="27"/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>
        <f>IF(WEEKDAY(A26)=6,A26+3,A26+1)</f>
        <v>44580</v>
      </c>
      <c r="B28" s="27">
        <f>IF(C28&lt;&gt;$C$2,"",WEEKDAY(D28))</f>
        <v>4</v>
      </c>
      <c r="C28" s="27">
        <f>MONTH(A28)</f>
        <v>1</v>
      </c>
      <c r="D28" s="11">
        <f>IF(C28&lt;&gt;$C$2,"",A28)</f>
        <v>44580</v>
      </c>
      <c r="E28" s="14">
        <f>IF(C28&lt;&gt;$C$2,"",A28)</f>
        <v>44580</v>
      </c>
      <c r="F28" s="25">
        <f>IFERROR(VLOOKUP($D28,PARAMETRE!$E$3:$F$13,2,FALSE),0)</f>
        <v>0</v>
      </c>
      <c r="G28" s="116" t="str">
        <f>IF(B28=2,_xlfn.ISOWEEKNUM(E28),"")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4</v>
      </c>
      <c r="C29" s="27"/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>
        <f>IF(WEEKDAY(A28)=6,A28+3,A28+1)</f>
        <v>44581</v>
      </c>
      <c r="B30" s="27">
        <f>IF(C30&lt;&gt;$C$2,"",WEEKDAY(D30))</f>
        <v>5</v>
      </c>
      <c r="C30" s="27">
        <f>MONTH(A30)</f>
        <v>1</v>
      </c>
      <c r="D30" s="11">
        <f>IF(C30&lt;&gt;$C$2,"",A30)</f>
        <v>44581</v>
      </c>
      <c r="E30" s="14">
        <f>IF(C30&lt;&gt;$C$2,"",A30)</f>
        <v>44581</v>
      </c>
      <c r="F30" s="25">
        <f>IFERROR(VLOOKUP($D30,PARAMETRE!$E$3:$F$13,2,FALSE),0)</f>
        <v>0</v>
      </c>
      <c r="G30" s="116" t="str">
        <f>IF(B30=2,_xlfn.ISOWEEKNUM(E30),"")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5</v>
      </c>
      <c r="C31" s="27"/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37" t="s">
        <v>23</v>
      </c>
      <c r="Y31" s="138">
        <f>SUMIF(M4:M48,"URBAN",O4:O48)</f>
        <v>0</v>
      </c>
      <c r="Z31" s="147"/>
      <c r="AA31" s="137" t="s">
        <v>27</v>
      </c>
      <c r="AB31" s="139">
        <f>SUMIF(M4:M48,"VMC",O4:O48)</f>
        <v>0</v>
      </c>
      <c r="AC31" s="147"/>
      <c r="AD31" s="137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>
        <f>IF(WEEKDAY(A30)=6,A30+3,A30+1)</f>
        <v>44582</v>
      </c>
      <c r="B32" s="27">
        <f>IF(C32&lt;&gt;$C$2,"",WEEKDAY(D32))</f>
        <v>6</v>
      </c>
      <c r="C32" s="27">
        <f>MONTH(A32)</f>
        <v>1</v>
      </c>
      <c r="D32" s="11">
        <f>IF(C32&lt;&gt;$C$2,"",A32)</f>
        <v>44582</v>
      </c>
      <c r="E32" s="14">
        <f>IF(C32&lt;&gt;$C$2,"",A32)</f>
        <v>44582</v>
      </c>
      <c r="F32" s="25">
        <f>IFERROR(VLOOKUP($D32,PARAMETRE!$E$3:$F$13,2,FALSE),0)</f>
        <v>0</v>
      </c>
      <c r="G32" s="116" t="str">
        <f>IF(B32=2,_xlfn.ISOWEEKNUM(E32),"")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/>
      <c r="B33" s="27">
        <f t="shared" ref="B33" si="14">B32</f>
        <v>6</v>
      </c>
      <c r="C33" s="27"/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37" t="s">
        <v>21</v>
      </c>
      <c r="Y33" s="139">
        <f>SUMIF(M4:M48,"CUBE",O4:O48)</f>
        <v>0</v>
      </c>
      <c r="Z33" s="147"/>
      <c r="AA33" s="137" t="s">
        <v>19</v>
      </c>
      <c r="AB33" s="138">
        <f>SUMIF(M4:M48,"CUVELAGE",O4:O48)</f>
        <v>0</v>
      </c>
      <c r="AC33" s="147"/>
      <c r="AD33" s="137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>
        <f>IF(WEEKDAY(A32)=6,A32+3,A32+1)</f>
        <v>44585</v>
      </c>
      <c r="B34" s="27">
        <f>IF(C34&lt;&gt;$C$2,"",WEEKDAY(D34))</f>
        <v>2</v>
      </c>
      <c r="C34" s="27">
        <f>MONTH(A34)</f>
        <v>1</v>
      </c>
      <c r="D34" s="11">
        <f>IF(C34&lt;&gt;$C$2,"",A34)</f>
        <v>44585</v>
      </c>
      <c r="E34" s="14">
        <f>IF(C34&lt;&gt;$C$2,"",A34)</f>
        <v>44585</v>
      </c>
      <c r="F34" s="25">
        <f>IFERROR(VLOOKUP($D34,PARAMETRE!$E$3:$F$13,2,FALSE),0)</f>
        <v>0</v>
      </c>
      <c r="G34" s="116">
        <f>IF(B34=2,_xlfn.ISOWEEKNUM(E34),"")</f>
        <v>4</v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/>
      <c r="B35" s="27">
        <f t="shared" ref="B35" si="15">B34</f>
        <v>2</v>
      </c>
      <c r="C35" s="27"/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37" t="s">
        <v>24</v>
      </c>
      <c r="Y35" s="139">
        <f>SUMIF(M4:M48,"PUREVENT",O4:O48)</f>
        <v>0</v>
      </c>
      <c r="Z35" s="147"/>
      <c r="AA35" s="137" t="s">
        <v>26</v>
      </c>
      <c r="AB35" s="138">
        <f>SUMIF(M4:M48,"PUISARD",O4:O48)</f>
        <v>0</v>
      </c>
      <c r="AC35" s="147"/>
      <c r="AD35" s="137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>
        <f>IF(WEEKDAY(A34)=6,A34+3,A34+1)</f>
        <v>44586</v>
      </c>
      <c r="B36" s="27">
        <f>IF(C36&lt;&gt;$C$2,"",WEEKDAY(D36))</f>
        <v>3</v>
      </c>
      <c r="C36" s="27">
        <f>MONTH(A36)</f>
        <v>1</v>
      </c>
      <c r="D36" s="11">
        <f>IF(C36&lt;&gt;$C$2,"",A36)</f>
        <v>44586</v>
      </c>
      <c r="E36" s="14">
        <f>IF(C36&lt;&gt;$C$2,"",A36)</f>
        <v>44586</v>
      </c>
      <c r="F36" s="25">
        <f>IFERROR(VLOOKUP($D36,PARAMETRE!$E$3:$F$13,2,FALSE),0)</f>
        <v>0</v>
      </c>
      <c r="G36" s="116" t="str">
        <f>IF(B36=2,_xlfn.ISOWEEKNUM(E36),"")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3</v>
      </c>
      <c r="C37" s="27"/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37" t="s">
        <v>25</v>
      </c>
      <c r="Y37" s="139">
        <f>SUMIF(M4:M48,"PRO 800",O4:O48)</f>
        <v>0</v>
      </c>
      <c r="Z37" s="147"/>
      <c r="AA37" s="137" t="s">
        <v>12</v>
      </c>
      <c r="AB37" s="138">
        <f>SUMIF(M4:M48,"DRAIN",O4:O48)</f>
        <v>0</v>
      </c>
      <c r="AC37" s="147"/>
      <c r="AD37" s="137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>
        <f>IF(WEEKDAY(A36)=6,A36+3,A36+1)</f>
        <v>44587</v>
      </c>
      <c r="B38" s="27">
        <f>IF(C38&lt;&gt;$C$2,"",WEEKDAY(D38))</f>
        <v>4</v>
      </c>
      <c r="C38" s="27">
        <f>MONTH(A38)</f>
        <v>1</v>
      </c>
      <c r="D38" s="11">
        <f>IF(C38&lt;&gt;$C$2,"",A38)</f>
        <v>44587</v>
      </c>
      <c r="E38" s="14">
        <f>IF(C38&lt;&gt;$C$2,"",A38)</f>
        <v>44587</v>
      </c>
      <c r="F38" s="25">
        <f>IFERROR(VLOOKUP($D38,PARAMETRE!$E$3:$F$13,2,FALSE),0)</f>
        <v>0</v>
      </c>
      <c r="G38" s="116" t="str">
        <f>IF(B38=2,_xlfn.ISOWEEKNUM(E38),"")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/>
      <c r="B39" s="27">
        <f t="shared" ref="B39" si="17">B38</f>
        <v>4</v>
      </c>
      <c r="C39" s="27"/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>
        <f>IF(WEEKDAY(A38)=6,A38+3,A38+1)</f>
        <v>44588</v>
      </c>
      <c r="B40" s="27">
        <f>IF(C40&lt;&gt;$C$2,"",WEEKDAY(D40))</f>
        <v>5</v>
      </c>
      <c r="C40" s="27">
        <f>MONTH(A40)</f>
        <v>1</v>
      </c>
      <c r="D40" s="11">
        <f>IF(C40&lt;&gt;$C$2,"",A40)</f>
        <v>44588</v>
      </c>
      <c r="E40" s="14">
        <f>IF(C40&lt;&gt;$C$2,"",A40)</f>
        <v>44588</v>
      </c>
      <c r="F40" s="25">
        <f>IFERROR(VLOOKUP($D40,PARAMETRE!$E$3:$F$13,2,FALSE),0)</f>
        <v>0</v>
      </c>
      <c r="G40" s="116" t="str">
        <f>IF(B40=2,_xlfn.ISOWEEKNUM(E40),"")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/>
      <c r="B41" s="27">
        <f t="shared" ref="B41" si="18">B40</f>
        <v>5</v>
      </c>
      <c r="C41" s="27"/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>
        <f>IF(WEEKDAY(A40)=6,A40+3,A40+1)</f>
        <v>44589</v>
      </c>
      <c r="B42" s="27">
        <f>IF(C42&lt;&gt;$C$2,"",WEEKDAY(D42))</f>
        <v>6</v>
      </c>
      <c r="C42" s="27">
        <f>MONTH(A42)</f>
        <v>1</v>
      </c>
      <c r="D42" s="11">
        <f>IF(C42&lt;&gt;$C$2,"",A42)</f>
        <v>44589</v>
      </c>
      <c r="E42" s="14">
        <f>IF(C42&lt;&gt;$C$2,"",A42)</f>
        <v>44589</v>
      </c>
      <c r="F42" s="25">
        <f>IFERROR(VLOOKUP($D42,PARAMETRE!$E$3:$F$13,2,FALSE),0)</f>
        <v>0</v>
      </c>
      <c r="G42" s="116" t="str">
        <f>IF(B42=2,_xlfn.ISOWEEKNUM(E42),"")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6</v>
      </c>
      <c r="C43" s="27"/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44592</v>
      </c>
      <c r="B44" s="27">
        <f>IF(C44&lt;&gt;$C$2,"",WEEKDAY(D44))</f>
        <v>2</v>
      </c>
      <c r="C44" s="27">
        <f>MONTH(A44)</f>
        <v>1</v>
      </c>
      <c r="D44" s="11">
        <f>IF(C44&lt;&gt;$C$2,"",A44)</f>
        <v>44592</v>
      </c>
      <c r="E44" s="14">
        <f>IF(C44&lt;&gt;$C$2,"",A44)</f>
        <v>44592</v>
      </c>
      <c r="F44" s="25">
        <f>IFERROR(VLOOKUP($D44,PARAMETRE!$E$3:$F$13,2,FALSE),0)</f>
        <v>0</v>
      </c>
      <c r="G44" s="116">
        <f>IF(B44=2,_xlfn.ISOWEEKNUM(E44),"")</f>
        <v>5</v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/>
      <c r="B45" s="27">
        <f>B44</f>
        <v>2</v>
      </c>
      <c r="C45" s="27"/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>
        <f>IF(WEEKDAY(A44)=6,A44+3,A44+1)</f>
        <v>44593</v>
      </c>
      <c r="B46" s="27" t="str">
        <f>IF(C46&lt;&gt;$C$2,"",WEEKDAY(D46))</f>
        <v/>
      </c>
      <c r="C46" s="27">
        <f>MONTH(A46)</f>
        <v>2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/>
      <c r="B47" s="27" t="str">
        <f t="shared" ref="B47" si="19">B46</f>
        <v/>
      </c>
      <c r="C47" s="27"/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>
        <f>IF(WEEKDAY(A46)=6,A46+3,A46+1)</f>
        <v>44594</v>
      </c>
      <c r="B48" s="27" t="str">
        <f>IF(C48&lt;&gt;$C$2,"",WEEKDAY(D48))</f>
        <v/>
      </c>
      <c r="C48" s="27">
        <f>MONTH(A48)</f>
        <v>2</v>
      </c>
      <c r="D48" s="11" t="str">
        <f>IF(C48&lt;&gt;$C$2,"",A48)</f>
        <v/>
      </c>
      <c r="E48" s="14" t="str">
        <f>IF(C48&lt;&gt;$C$2,"",A48)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3:35" ht="11.5" customHeight="1"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3:35" ht="11.5" customHeight="1"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3:35" ht="11.5" customHeight="1"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3:35" ht="11.5" customHeight="1"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3:35" ht="11.5" customHeight="1"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3:35" ht="11.5" customHeight="1"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3:35" ht="11.5" customHeight="1"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3:35" ht="31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3:35" ht="34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3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3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3:35" ht="11.5" customHeight="1">
      <c r="AI60" s="29"/>
    </row>
    <row r="61" spans="3:35" ht="11.5" customHeight="1">
      <c r="AI61" s="29"/>
    </row>
    <row r="62" spans="3:35" ht="11.5" customHeight="1">
      <c r="C62" s="7"/>
      <c r="L62"/>
      <c r="M62"/>
      <c r="N62"/>
    </row>
    <row r="63" spans="3:35" ht="11.5" customHeight="1">
      <c r="C63" s="7"/>
      <c r="AI63" s="29"/>
    </row>
    <row r="64" spans="3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X29:AE30"/>
    <mergeCell ref="AG36:AG37"/>
    <mergeCell ref="AH36:AH37"/>
    <mergeCell ref="AI6:AI7"/>
    <mergeCell ref="AD26:AD27"/>
    <mergeCell ref="AE26:AE27"/>
    <mergeCell ref="AF26:AF27"/>
    <mergeCell ref="AG26:AG27"/>
    <mergeCell ref="AH26:AH27"/>
    <mergeCell ref="Y6:Y7"/>
    <mergeCell ref="AG12:AH12"/>
    <mergeCell ref="AG14:AH14"/>
    <mergeCell ref="AA6:AB7"/>
    <mergeCell ref="AG8:AH8"/>
    <mergeCell ref="AG10:AH10"/>
    <mergeCell ref="Q3:T3"/>
    <mergeCell ref="U3:V3"/>
    <mergeCell ref="Z6:Z7"/>
    <mergeCell ref="AK6:AK7"/>
    <mergeCell ref="AE22:AE23"/>
    <mergeCell ref="AF22:AF23"/>
    <mergeCell ref="AG22:AG23"/>
    <mergeCell ref="AH22:AH23"/>
    <mergeCell ref="X22:X23"/>
    <mergeCell ref="Y22:Y23"/>
    <mergeCell ref="Z22:Z23"/>
    <mergeCell ref="AB22:AB23"/>
    <mergeCell ref="AD22:AD23"/>
    <mergeCell ref="X26:X27"/>
    <mergeCell ref="Y26:Y27"/>
    <mergeCell ref="Z26:Z27"/>
    <mergeCell ref="AA26:AA27"/>
    <mergeCell ref="AB26:AB27"/>
    <mergeCell ref="X49:Y49"/>
    <mergeCell ref="X50:Y50"/>
    <mergeCell ref="X52:Y52"/>
    <mergeCell ref="X18:AE19"/>
    <mergeCell ref="Y20:Y21"/>
    <mergeCell ref="Z20:Z21"/>
    <mergeCell ref="AA20:AA21"/>
    <mergeCell ref="AB20:AB21"/>
    <mergeCell ref="AC20:AC21"/>
    <mergeCell ref="AD20:AD21"/>
    <mergeCell ref="X42:AE43"/>
    <mergeCell ref="X46:Y46"/>
    <mergeCell ref="X48:Y48"/>
    <mergeCell ref="Z50:AA50"/>
    <mergeCell ref="Z52:AA52"/>
    <mergeCell ref="AA22:AA23"/>
    <mergeCell ref="AJ6:AJ7"/>
    <mergeCell ref="X6:X7"/>
    <mergeCell ref="AC1:AC2"/>
    <mergeCell ref="AD1:AD2"/>
    <mergeCell ref="AE1:AE2"/>
    <mergeCell ref="AF1:AF2"/>
    <mergeCell ref="X4:AE5"/>
    <mergeCell ref="AB1:AB2"/>
    <mergeCell ref="AD6:AD7"/>
    <mergeCell ref="AE6:AE7"/>
    <mergeCell ref="D1:E2"/>
    <mergeCell ref="G1:H2"/>
    <mergeCell ref="I1:O2"/>
    <mergeCell ref="Z1:Z2"/>
    <mergeCell ref="AA1:AA2"/>
    <mergeCell ref="Q1:V2"/>
    <mergeCell ref="Z46:AA46"/>
    <mergeCell ref="Z48:AA48"/>
    <mergeCell ref="AA16:AB16"/>
    <mergeCell ref="AG16:AH16"/>
    <mergeCell ref="AF6:AF7"/>
    <mergeCell ref="AG6:AH7"/>
    <mergeCell ref="AA8:AB8"/>
    <mergeCell ref="AA10:AB10"/>
    <mergeCell ref="AA12:AB12"/>
    <mergeCell ref="AA14:AB14"/>
    <mergeCell ref="AC26:AC27"/>
    <mergeCell ref="AE20:AE21"/>
    <mergeCell ref="AF20:AF21"/>
    <mergeCell ref="AG20:AG21"/>
    <mergeCell ref="AH20:AH21"/>
    <mergeCell ref="AC22:AC23"/>
  </mergeCells>
  <phoneticPr fontId="17" type="noConversion"/>
  <conditionalFormatting sqref="R4:R55 T4:T55 V4:V55 D4:P55">
    <cfRule type="expression" dxfId="5" priority="3" stopIfTrue="1">
      <formula>$F4&lt;&gt;0</formula>
    </cfRule>
  </conditionalFormatting>
  <conditionalFormatting sqref="R4:R55 T4:T55 V4:V55 G4:P55">
    <cfRule type="expression" dxfId="4" priority="1" stopIfTrue="1">
      <formula>$H4="DAV"</formula>
    </cfRule>
    <cfRule type="expression" dxfId="3" priority="2" stopIfTrue="1">
      <formula>$J4="DAV"</formula>
    </cfRule>
    <cfRule type="expression" dxfId="2" priority="4">
      <formula>$I4="AT"</formula>
    </cfRule>
    <cfRule type="expression" dxfId="1" priority="5">
      <formula>$H4="AT"</formula>
    </cfRule>
    <cfRule type="expression" dxfId="0" priority="6">
      <formula>$J4="AT"</formula>
    </cfRule>
  </conditionalFormatting>
  <conditionalFormatting sqref="D49:P55 R49:R55 T49:T55 V49:V55">
    <cfRule type="expression" dxfId="95" priority="7" stopIfTrue="1">
      <formula>$B62=2</formula>
    </cfRule>
  </conditionalFormatting>
  <conditionalFormatting sqref="D6:P48 R6:R48 T6:T48 V6:V48">
    <cfRule type="expression" dxfId="6" priority="1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1E57303-BBBC-EC45-AB41-493D6DE95093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FB0EA321-CEB0-434C-8870-8C5A9D22FB92}">
          <x14:formula1>
            <xm:f>PARAMETRE!$I$3:$I$7</xm:f>
          </x14:formula1>
          <xm:sqref>P4:P49</xm:sqref>
        </x14:dataValidation>
        <x14:dataValidation type="list" allowBlank="1" showInputMessage="1" showErrorMessage="1" xr:uid="{D96C0F47-BC9A-AD4E-8FC1-295E23AD0051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0B31544F-A1FE-D648-A794-D59E4A3A0769}">
          <x14:formula1>
            <xm:f>PARAMETRE!$G$3:$G$13</xm:f>
          </x14:formula1>
          <xm:sqref>M4:M48</xm:sqref>
        </x14:dataValidation>
        <x14:dataValidation type="list" allowBlank="1" showInputMessage="1" showErrorMessage="1" xr:uid="{3FFC9D74-F7F7-2047-88D6-36310406A517}">
          <x14:formula1>
            <xm:f>PARAMETRE!$D$3:$D$163</xm:f>
          </x14:formula1>
          <xm:sqref>S4:S55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AF491-EA3E-5E43-8776-DE8E27A32282}">
  <sheetPr>
    <pageSetUpPr fitToPage="1"/>
  </sheetPr>
  <dimension ref="A1:AL74"/>
  <sheetViews>
    <sheetView showGridLines="0" zoomScale="87" zoomScaleNormal="194" zoomScaleSheetLayoutView="69" zoomScalePageLayoutView="93" workbookViewId="0">
      <selection activeCell="L12" sqref="L12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29"/>
      <c r="E1" s="229"/>
      <c r="F1" s="87"/>
      <c r="G1" s="230">
        <f>DATE(Installation!C4,Installation!C6+1,1)</f>
        <v>44593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B2" s="26"/>
      <c r="C2" s="27">
        <f>MONTH(G1)</f>
        <v>2</v>
      </c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B3" s="26"/>
      <c r="C3" s="27"/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A4" s="26">
        <f>IF(WEEKDAY(G1)=7,G1+2,IF(WEEKDAY(G1)=1,G1+1,G1))</f>
        <v>44593</v>
      </c>
      <c r="B4" s="27">
        <f>IF(C4&lt;&gt;$C$2,"",WEEKDAY(D4))</f>
        <v>3</v>
      </c>
      <c r="C4" s="27">
        <f>MONTH(A4)</f>
        <v>2</v>
      </c>
      <c r="D4" s="11">
        <f>IF(C4&lt;&gt;$C$2,"",A4)</f>
        <v>44593</v>
      </c>
      <c r="E4" s="14">
        <f>IF(C4&lt;&gt;$C$2,"",A4)</f>
        <v>44593</v>
      </c>
      <c r="F4" s="25">
        <f>IFERROR(VLOOKUP($D4,PARAMETRE!$E$3:$F$13,2,FALSE),0)</f>
        <v>0</v>
      </c>
      <c r="G4" s="116" t="str">
        <f>IF(B4=2,_xlfn.ISOWEEKNUM(E4),"")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A5" s="26"/>
      <c r="B5" s="27">
        <f t="shared" ref="B5" si="0">B4</f>
        <v>3</v>
      </c>
      <c r="C5" s="27"/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A6" s="26">
        <f>IF(WEEKDAY(A4)=6,A4+3,A4+1)</f>
        <v>44594</v>
      </c>
      <c r="B6" s="27">
        <f>IF(C6&lt;&gt;$C$2,"",WEEKDAY(D6))</f>
        <v>4</v>
      </c>
      <c r="C6" s="27">
        <f>MONTH(A6)</f>
        <v>2</v>
      </c>
      <c r="D6" s="11">
        <f>IF(C6&lt;&gt;$C$2,"",A6)</f>
        <v>44594</v>
      </c>
      <c r="E6" s="14">
        <f>IF(C6&lt;&gt;$C$2,"",A6)</f>
        <v>44594</v>
      </c>
      <c r="F6" s="25">
        <f>IFERROR(VLOOKUP($D6,PARAMETRE!$E$3:$F$13,2,FALSE),0)</f>
        <v>0</v>
      </c>
      <c r="G6" s="116" t="str">
        <f>IF(B6=2,_xlfn.ISOWEEKNUM(E6),"")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A7" s="26"/>
      <c r="B7" s="27">
        <f t="shared" ref="B7" si="1">B6</f>
        <v>4</v>
      </c>
      <c r="C7" s="27"/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A8" s="26">
        <f>IF(WEEKDAY(A6)=6,A6+3,A6+1)</f>
        <v>44595</v>
      </c>
      <c r="B8" s="27">
        <f>IF(C8&lt;&gt;$C$2,"",WEEKDAY(D8))</f>
        <v>5</v>
      </c>
      <c r="C8" s="27">
        <f>MONTH(A8)</f>
        <v>2</v>
      </c>
      <c r="D8" s="11">
        <f>IF(C8&lt;&gt;$C$2,"",A8)</f>
        <v>44595</v>
      </c>
      <c r="E8" s="14">
        <f>IF(C8&lt;&gt;$C$2,"",A8)</f>
        <v>44595</v>
      </c>
      <c r="F8" s="25">
        <f>IFERROR(VLOOKUP($D8,PARAMETRE!$E$3:$F$13,2,FALSE),0)</f>
        <v>0</v>
      </c>
      <c r="G8" s="116" t="str">
        <f>IF(B8=2,_xlfn.ISOWEEKNUM(E8),"")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A9" s="26"/>
      <c r="B9" s="27">
        <f t="shared" ref="B9" si="2">B8</f>
        <v>5</v>
      </c>
      <c r="C9" s="27"/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A10" s="26">
        <f>IF(WEEKDAY(A8)=6,A8+3,A8+1)</f>
        <v>44596</v>
      </c>
      <c r="B10" s="27">
        <f>IF(C10&lt;&gt;$C$2,"",WEEKDAY(D10))</f>
        <v>6</v>
      </c>
      <c r="C10" s="27">
        <f>MONTH(A10)</f>
        <v>2</v>
      </c>
      <c r="D10" s="11">
        <f>IF(C10&lt;&gt;$C$2,"",A10)</f>
        <v>44596</v>
      </c>
      <c r="E10" s="14">
        <f>IF(C10&lt;&gt;$C$2,"",A10)</f>
        <v>44596</v>
      </c>
      <c r="F10" s="25">
        <f>IFERROR(VLOOKUP($D10,PARAMETRE!$E$3:$F$13,2,FALSE),0)</f>
        <v>0</v>
      </c>
      <c r="G10" s="116" t="str">
        <f>IF(B10=2,_xlfn.ISOWEEKNUM(E10),"")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A11" s="26"/>
      <c r="B11" s="27">
        <f t="shared" ref="B11" si="3">B10</f>
        <v>6</v>
      </c>
      <c r="C11" s="27"/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A12" s="26">
        <f>IF(WEEKDAY(A10)=6,A10+3,A10+1)</f>
        <v>44599</v>
      </c>
      <c r="B12" s="27">
        <f>IF(C12&lt;&gt;$C$2,"",WEEKDAY(D12))</f>
        <v>2</v>
      </c>
      <c r="C12" s="27">
        <f>MONTH(A12)</f>
        <v>2</v>
      </c>
      <c r="D12" s="11">
        <f>IF(C12&lt;&gt;$C$2,"",A12)</f>
        <v>44599</v>
      </c>
      <c r="E12" s="14">
        <f>IF(C12&lt;&gt;$C$2,"",A12)</f>
        <v>44599</v>
      </c>
      <c r="F12" s="25">
        <f>IFERROR(VLOOKUP($D12,PARAMETRE!$E$3:$F$13,2,FALSE),0)</f>
        <v>0</v>
      </c>
      <c r="G12" s="116">
        <f>IF(B12=2,_xlfn.ISOWEEKNUM(E12),"")</f>
        <v>6</v>
      </c>
      <c r="H12" s="15"/>
      <c r="I12" s="17"/>
      <c r="J12" s="17"/>
      <c r="K12" s="20" t="s">
        <v>110</v>
      </c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A13" s="26"/>
      <c r="B13" s="27">
        <f t="shared" ref="B13" si="4">B12</f>
        <v>2</v>
      </c>
      <c r="C13" s="27"/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>
        <f>IF(WEEKDAY(A12)=6,A12+3,A12+1)</f>
        <v>44600</v>
      </c>
      <c r="B14" s="27">
        <f>IF(C14&lt;&gt;$C$2,"",WEEKDAY(D14))</f>
        <v>3</v>
      </c>
      <c r="C14" s="27">
        <f>MONTH(A14)</f>
        <v>2</v>
      </c>
      <c r="D14" s="11">
        <f>IF(C14&lt;&gt;$C$2,"",A14)</f>
        <v>44600</v>
      </c>
      <c r="E14" s="14">
        <f>IF(C14&lt;&gt;$C$2,"",A14)</f>
        <v>44600</v>
      </c>
      <c r="F14" s="25">
        <f>IFERROR(VLOOKUP($D14,PARAMETRE!$E$3:$F$13,2,FALSE),0)</f>
        <v>0</v>
      </c>
      <c r="G14" s="116" t="str">
        <f>IF(B14=2,_xlfn.ISOWEEKNUM(E14),"")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A15" s="26"/>
      <c r="B15" s="27">
        <f t="shared" ref="B15" si="5">B14</f>
        <v>3</v>
      </c>
      <c r="C15" s="27"/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A16" s="26">
        <f>IF(WEEKDAY(A14)=6,A14+3,A14+1)</f>
        <v>44601</v>
      </c>
      <c r="B16" s="27">
        <f>IF(C16&lt;&gt;$C$2,"",WEEKDAY(D16))</f>
        <v>4</v>
      </c>
      <c r="C16" s="27">
        <f>MONTH(A16)</f>
        <v>2</v>
      </c>
      <c r="D16" s="11">
        <f>IF(C16&lt;&gt;$C$2,"",A16)</f>
        <v>44601</v>
      </c>
      <c r="E16" s="14">
        <f>IF(C16&lt;&gt;$C$2,"",A16)</f>
        <v>44601</v>
      </c>
      <c r="F16" s="25">
        <f>IFERROR(VLOOKUP($D16,PARAMETRE!$E$3:$F$13,2,FALSE),0)</f>
        <v>0</v>
      </c>
      <c r="G16" s="116" t="str">
        <f>IF(B16=2,_xlfn.ISOWEEKNUM(E16),"")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/>
      <c r="B17" s="27">
        <f t="shared" ref="B17" si="6">B16</f>
        <v>4</v>
      </c>
      <c r="C17" s="27"/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44602</v>
      </c>
      <c r="B18" s="27">
        <f>IF(C18&lt;&gt;$C$2,"",WEEKDAY(D18))</f>
        <v>5</v>
      </c>
      <c r="C18" s="27">
        <f>MONTH(A18)</f>
        <v>2</v>
      </c>
      <c r="D18" s="11">
        <f>IF(C18&lt;&gt;$C$2,"",A18)</f>
        <v>44602</v>
      </c>
      <c r="E18" s="14">
        <f>IF(C18&lt;&gt;$C$2,"",A18)</f>
        <v>44602</v>
      </c>
      <c r="F18" s="25">
        <f>IFERROR(VLOOKUP($D18,PARAMETRE!$E$3:$F$13,2,FALSE),0)</f>
        <v>0</v>
      </c>
      <c r="G18" s="116" t="str">
        <f>IF(B18=2,_xlfn.ISOWEEKNUM(E18),"")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/>
      <c r="B19" s="27">
        <f t="shared" ref="B19" si="7">B18</f>
        <v>5</v>
      </c>
      <c r="C19" s="27"/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>
        <f>IF(WEEKDAY(A18)=6,A18+3,A18+1)</f>
        <v>44603</v>
      </c>
      <c r="B20" s="27">
        <f>IF(C20&lt;&gt;$C$2,"",WEEKDAY(D20))</f>
        <v>6</v>
      </c>
      <c r="C20" s="27">
        <f>MONTH(A20)</f>
        <v>2</v>
      </c>
      <c r="D20" s="11">
        <f>IF(C20&lt;&gt;$C$2,"",A20)</f>
        <v>44603</v>
      </c>
      <c r="E20" s="14">
        <f>IF(C20&lt;&gt;$C$2,"",A20)</f>
        <v>44603</v>
      </c>
      <c r="F20" s="25">
        <f>IFERROR(VLOOKUP($D20,PARAMETRE!$E$3:$F$13,2,FALSE),0)</f>
        <v>0</v>
      </c>
      <c r="G20" s="116" t="str">
        <f>IF(B20=2,_xlfn.ISOWEEKNUM(E20),"")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/>
      <c r="B21" s="27">
        <f t="shared" ref="B21" si="8">B20</f>
        <v>6</v>
      </c>
      <c r="C21" s="27"/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>
        <f>IF(WEEKDAY(A20)=6,A20+3,A20+1)</f>
        <v>44606</v>
      </c>
      <c r="B22" s="27">
        <f>IF(C22&lt;&gt;$C$2,"",WEEKDAY(D22))</f>
        <v>2</v>
      </c>
      <c r="C22" s="27">
        <f>MONTH(A22)</f>
        <v>2</v>
      </c>
      <c r="D22" s="11">
        <f>IF(C22&lt;&gt;$C$2,"",A22)</f>
        <v>44606</v>
      </c>
      <c r="E22" s="14">
        <f>IF(C22&lt;&gt;$C$2,"",A22)</f>
        <v>44606</v>
      </c>
      <c r="F22" s="25">
        <f>IFERROR(VLOOKUP($D22,PARAMETRE!$E$3:$F$13,2,FALSE),0)</f>
        <v>0</v>
      </c>
      <c r="G22" s="116">
        <f>IF(B22=2,_xlfn.ISOWEEKNUM(E22),"")</f>
        <v>7</v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/>
      <c r="B23" s="27">
        <f t="shared" ref="B23" si="9">B22</f>
        <v>2</v>
      </c>
      <c r="C23" s="27"/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>
        <f>IF(WEEKDAY(A22)=6,A22+3,A22+1)</f>
        <v>44607</v>
      </c>
      <c r="B24" s="27">
        <f>IF(C24&lt;&gt;$C$2,"",WEEKDAY(D24))</f>
        <v>3</v>
      </c>
      <c r="C24" s="27">
        <f>MONTH(A24)</f>
        <v>2</v>
      </c>
      <c r="D24" s="11">
        <f>IF(C24&lt;&gt;$C$2,"",A24)</f>
        <v>44607</v>
      </c>
      <c r="E24" s="14">
        <f>IF(C24&lt;&gt;$C$2,"",A24)</f>
        <v>44607</v>
      </c>
      <c r="F24" s="25">
        <f>IFERROR(VLOOKUP($D24,PARAMETRE!$E$3:$F$13,2,FALSE),0)</f>
        <v>0</v>
      </c>
      <c r="G24" s="116" t="str">
        <f>IF(B24=2,_xlfn.ISOWEEKNUM(E24),"")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/>
      <c r="B25" s="27">
        <f t="shared" ref="B25" si="10">B24</f>
        <v>3</v>
      </c>
      <c r="C25" s="27"/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>
        <f>IF(WEEKDAY(A24)=6,A24+3,A24+1)</f>
        <v>44608</v>
      </c>
      <c r="B26" s="27">
        <f>IF(C26&lt;&gt;$C$2,"",WEEKDAY(D26))</f>
        <v>4</v>
      </c>
      <c r="C26" s="27">
        <f>MONTH(A26)</f>
        <v>2</v>
      </c>
      <c r="D26" s="11">
        <f>IF(C26&lt;&gt;$C$2,"",A26)</f>
        <v>44608</v>
      </c>
      <c r="E26" s="14">
        <f>IF(C26&lt;&gt;$C$2,"",A26)</f>
        <v>44608</v>
      </c>
      <c r="F26" s="25">
        <f>IFERROR(VLOOKUP($D26,PARAMETRE!$E$3:$F$13,2,FALSE),0)</f>
        <v>0</v>
      </c>
      <c r="G26" s="116" t="str">
        <f>IF(B26=2,_xlfn.ISOWEEKNUM(E26),"")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/>
      <c r="B27" s="27">
        <f t="shared" ref="B27" si="11">B26</f>
        <v>4</v>
      </c>
      <c r="C27" s="27"/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>
        <f>IF(WEEKDAY(A26)=6,A26+3,A26+1)</f>
        <v>44609</v>
      </c>
      <c r="B28" s="27">
        <f>IF(C28&lt;&gt;$C$2,"",WEEKDAY(D28))</f>
        <v>5</v>
      </c>
      <c r="C28" s="27">
        <f>MONTH(A28)</f>
        <v>2</v>
      </c>
      <c r="D28" s="11">
        <f>IF(C28&lt;&gt;$C$2,"",A28)</f>
        <v>44609</v>
      </c>
      <c r="E28" s="14">
        <f>IF(C28&lt;&gt;$C$2,"",A28)</f>
        <v>44609</v>
      </c>
      <c r="F28" s="25">
        <f>IFERROR(VLOOKUP($D28,PARAMETRE!$E$3:$F$13,2,FALSE),0)</f>
        <v>0</v>
      </c>
      <c r="G28" s="116" t="str">
        <f>IF(B28=2,_xlfn.ISOWEEKNUM(E28),"")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5</v>
      </c>
      <c r="C29" s="27"/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>
        <f>IF(WEEKDAY(A28)=6,A28+3,A28+1)</f>
        <v>44610</v>
      </c>
      <c r="B30" s="27">
        <f>IF(C30&lt;&gt;$C$2,"",WEEKDAY(D30))</f>
        <v>6</v>
      </c>
      <c r="C30" s="27">
        <f>MONTH(A30)</f>
        <v>2</v>
      </c>
      <c r="D30" s="11">
        <f>IF(C30&lt;&gt;$C$2,"",A30)</f>
        <v>44610</v>
      </c>
      <c r="E30" s="14">
        <f>IF(C30&lt;&gt;$C$2,"",A30)</f>
        <v>44610</v>
      </c>
      <c r="F30" s="25">
        <f>IFERROR(VLOOKUP($D30,PARAMETRE!$E$3:$F$13,2,FALSE),0)</f>
        <v>0</v>
      </c>
      <c r="G30" s="116" t="str">
        <f>IF(B30=2,_xlfn.ISOWEEKNUM(E30),"")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6</v>
      </c>
      <c r="C31" s="27"/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>
        <f>IF(WEEKDAY(A30)=6,A30+3,A30+1)</f>
        <v>44613</v>
      </c>
      <c r="B32" s="27">
        <f>IF(C32&lt;&gt;$C$2,"",WEEKDAY(D32))</f>
        <v>2</v>
      </c>
      <c r="C32" s="27">
        <f>MONTH(A32)</f>
        <v>2</v>
      </c>
      <c r="D32" s="11">
        <f>IF(C32&lt;&gt;$C$2,"",A32)</f>
        <v>44613</v>
      </c>
      <c r="E32" s="14">
        <f>IF(C32&lt;&gt;$C$2,"",A32)</f>
        <v>44613</v>
      </c>
      <c r="F32" s="25">
        <f>IFERROR(VLOOKUP($D32,PARAMETRE!$E$3:$F$13,2,FALSE),0)</f>
        <v>0</v>
      </c>
      <c r="G32" s="116">
        <f>IF(B32=2,_xlfn.ISOWEEKNUM(E32),"")</f>
        <v>8</v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/>
      <c r="B33" s="27">
        <f t="shared" ref="B33" si="14">B32</f>
        <v>2</v>
      </c>
      <c r="C33" s="27"/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>
        <f>IF(WEEKDAY(A32)=6,A32+3,A32+1)</f>
        <v>44614</v>
      </c>
      <c r="B34" s="27">
        <f>IF(C34&lt;&gt;$C$2,"",WEEKDAY(D34))</f>
        <v>3</v>
      </c>
      <c r="C34" s="27">
        <f>MONTH(A34)</f>
        <v>2</v>
      </c>
      <c r="D34" s="11">
        <f>IF(C34&lt;&gt;$C$2,"",A34)</f>
        <v>44614</v>
      </c>
      <c r="E34" s="14">
        <f>IF(C34&lt;&gt;$C$2,"",A34)</f>
        <v>44614</v>
      </c>
      <c r="F34" s="25">
        <f>IFERROR(VLOOKUP($D34,PARAMETRE!$E$3:$F$13,2,FALSE),0)</f>
        <v>0</v>
      </c>
      <c r="G34" s="116" t="str">
        <f>IF(B34=2,_xlfn.ISOWEEKNUM(E34),"")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/>
      <c r="B35" s="27">
        <f t="shared" ref="B35" si="15">B34</f>
        <v>3</v>
      </c>
      <c r="C35" s="27"/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>
        <f>IF(WEEKDAY(A34)=6,A34+3,A34+1)</f>
        <v>44615</v>
      </c>
      <c r="B36" s="27">
        <f>IF(C36&lt;&gt;$C$2,"",WEEKDAY(D36))</f>
        <v>4</v>
      </c>
      <c r="C36" s="27">
        <f>MONTH(A36)</f>
        <v>2</v>
      </c>
      <c r="D36" s="11">
        <f>IF(C36&lt;&gt;$C$2,"",A36)</f>
        <v>44615</v>
      </c>
      <c r="E36" s="14">
        <f>IF(C36&lt;&gt;$C$2,"",A36)</f>
        <v>44615</v>
      </c>
      <c r="F36" s="25">
        <f>IFERROR(VLOOKUP($D36,PARAMETRE!$E$3:$F$13,2,FALSE),0)</f>
        <v>0</v>
      </c>
      <c r="G36" s="116" t="str">
        <f>IF(B36=2,_xlfn.ISOWEEKNUM(E36),"")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4</v>
      </c>
      <c r="C37" s="27"/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>
        <f>IF(WEEKDAY(A36)=6,A36+3,A36+1)</f>
        <v>44616</v>
      </c>
      <c r="B38" s="27">
        <f>IF(C38&lt;&gt;$C$2,"",WEEKDAY(D38))</f>
        <v>5</v>
      </c>
      <c r="C38" s="27">
        <f>MONTH(A38)</f>
        <v>2</v>
      </c>
      <c r="D38" s="11">
        <f>IF(C38&lt;&gt;$C$2,"",A38)</f>
        <v>44616</v>
      </c>
      <c r="E38" s="14">
        <f>IF(C38&lt;&gt;$C$2,"",A38)</f>
        <v>44616</v>
      </c>
      <c r="F38" s="25">
        <f>IFERROR(VLOOKUP($D38,PARAMETRE!$E$3:$F$13,2,FALSE),0)</f>
        <v>0</v>
      </c>
      <c r="G38" s="116" t="str">
        <f>IF(B38=2,_xlfn.ISOWEEKNUM(E38),"")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/>
      <c r="B39" s="27">
        <f t="shared" ref="B39" si="17">B38</f>
        <v>5</v>
      </c>
      <c r="C39" s="27"/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>
        <f>IF(WEEKDAY(A38)=6,A38+3,A38+1)</f>
        <v>44617</v>
      </c>
      <c r="B40" s="27">
        <f>IF(C40&lt;&gt;$C$2,"",WEEKDAY(D40))</f>
        <v>6</v>
      </c>
      <c r="C40" s="27">
        <f>MONTH(A40)</f>
        <v>2</v>
      </c>
      <c r="D40" s="11">
        <f>IF(C40&lt;&gt;$C$2,"",A40)</f>
        <v>44617</v>
      </c>
      <c r="E40" s="14">
        <f>IF(C40&lt;&gt;$C$2,"",A40)</f>
        <v>44617</v>
      </c>
      <c r="F40" s="25">
        <f>IFERROR(VLOOKUP($D40,PARAMETRE!$E$3:$F$13,2,FALSE),0)</f>
        <v>0</v>
      </c>
      <c r="G40" s="116" t="str">
        <f>IF(B40=2,_xlfn.ISOWEEKNUM(E40),"")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/>
      <c r="B41" s="27">
        <f t="shared" ref="B41" si="18">B40</f>
        <v>6</v>
      </c>
      <c r="C41" s="27"/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>
        <f>IF(WEEKDAY(A40)=6,A40+3,A40+1)</f>
        <v>44620</v>
      </c>
      <c r="B42" s="27">
        <f>IF(C42&lt;&gt;$C$2,"",WEEKDAY(D42))</f>
        <v>2</v>
      </c>
      <c r="C42" s="27">
        <f>MONTH(A42)</f>
        <v>2</v>
      </c>
      <c r="D42" s="11">
        <f>IF(C42&lt;&gt;$C$2,"",A42)</f>
        <v>44620</v>
      </c>
      <c r="E42" s="14">
        <f>IF(C42&lt;&gt;$C$2,"",A42)</f>
        <v>44620</v>
      </c>
      <c r="F42" s="25">
        <f>IFERROR(VLOOKUP($D42,PARAMETRE!$E$3:$F$13,2,FALSE),0)</f>
        <v>0</v>
      </c>
      <c r="G42" s="116">
        <f>IF(B42=2,_xlfn.ISOWEEKNUM(E42),"")</f>
        <v>9</v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2</v>
      </c>
      <c r="C43" s="27"/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44621</v>
      </c>
      <c r="B44" s="27" t="str">
        <f>IF(C44&lt;&gt;$C$2,"",WEEKDAY(D44))</f>
        <v/>
      </c>
      <c r="C44" s="27">
        <f>MONTH(A44)</f>
        <v>3</v>
      </c>
      <c r="D44" s="11" t="str">
        <f>IF(C44&lt;&gt;$C$2,"",A44)</f>
        <v/>
      </c>
      <c r="E44" s="14" t="str">
        <f>IF(C44&lt;&gt;$C$2,"",A44)</f>
        <v/>
      </c>
      <c r="F44" s="25">
        <f>IFERROR(VLOOKUP($D44,PARAMETRE!$E$3:$F$13,2,FALSE),0)</f>
        <v>0</v>
      </c>
      <c r="G44" s="116" t="str">
        <f>IF(B44=2,_xlfn.ISOWEEKNUM(E44),"")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/>
      <c r="B45" s="27" t="str">
        <f>B44</f>
        <v/>
      </c>
      <c r="C45" s="27"/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>
        <f>IF(WEEKDAY(A44)=6,A44+3,A44+1)</f>
        <v>44622</v>
      </c>
      <c r="B46" s="27" t="str">
        <f>IF(C46&lt;&gt;$C$2,"",WEEKDAY(D46))</f>
        <v/>
      </c>
      <c r="C46" s="27">
        <f>MONTH(A46)</f>
        <v>3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/>
      <c r="B47" s="27" t="str">
        <f t="shared" ref="B47" si="19">B46</f>
        <v/>
      </c>
      <c r="C47" s="27"/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>
        <f>IF(WEEKDAY(A46)=6,A46+3,A46+1)</f>
        <v>44623</v>
      </c>
      <c r="B48" s="27" t="str">
        <f>IF(C48&lt;&gt;$C$2,"",WEEKDAY(D48))</f>
        <v/>
      </c>
      <c r="C48" s="27">
        <f>MONTH(A48)</f>
        <v>3</v>
      </c>
      <c r="D48" s="11" t="str">
        <f>IF(C48&lt;&gt;$C$2,"",A48)</f>
        <v/>
      </c>
      <c r="E48" s="14" t="str">
        <f>IF(C48&lt;&gt;$C$2,"",A48)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3:35" ht="11.5" customHeight="1"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3:35" ht="11.5" customHeight="1"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3:35" ht="11.5" customHeight="1"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3:35" ht="11.5" customHeight="1"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3:35" ht="11.5" customHeight="1"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3:35" ht="11.5" customHeight="1"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3:35" ht="11.5" customHeight="1"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3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3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3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3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3:35" ht="11.5" customHeight="1">
      <c r="AI60" s="29"/>
    </row>
    <row r="61" spans="3:35" ht="11.5" customHeight="1">
      <c r="AI61" s="29"/>
    </row>
    <row r="62" spans="3:35" ht="11.5" customHeight="1">
      <c r="C62" s="7"/>
      <c r="L62"/>
      <c r="M62"/>
      <c r="N62"/>
    </row>
    <row r="63" spans="3:35" ht="11.5" customHeight="1">
      <c r="C63" s="7"/>
      <c r="AI63" s="29"/>
    </row>
    <row r="64" spans="3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94" priority="3" stopIfTrue="1">
      <formula>$F4&lt;&gt;0</formula>
    </cfRule>
  </conditionalFormatting>
  <conditionalFormatting sqref="G4:P55 R4:R55 T4:T55 V4:V55">
    <cfRule type="expression" dxfId="93" priority="1" stopIfTrue="1">
      <formula>$H4="DAV"</formula>
    </cfRule>
    <cfRule type="expression" dxfId="92" priority="2" stopIfTrue="1">
      <formula>$J4="DAV"</formula>
    </cfRule>
    <cfRule type="expression" dxfId="91" priority="4">
      <formula>$I4="AT"</formula>
    </cfRule>
    <cfRule type="expression" dxfId="90" priority="5">
      <formula>$H4="AT"</formula>
    </cfRule>
    <cfRule type="expression" dxfId="89" priority="6">
      <formula>$J4="AT"</formula>
    </cfRule>
  </conditionalFormatting>
  <conditionalFormatting sqref="D49:P55 R49:R55 T49:T55 V49:V55">
    <cfRule type="expression" dxfId="88" priority="7" stopIfTrue="1">
      <formula>$B62=2</formula>
    </cfRule>
  </conditionalFormatting>
  <conditionalFormatting sqref="D6:P48 R6:R48 T6:T48 V6:V48">
    <cfRule type="expression" dxfId="87" priority="20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A7A22-D304-484B-A57E-F001EE9B50B2}">
          <x14:formula1>
            <xm:f>PARAMETRE!$D$3:$D$163</xm:f>
          </x14:formula1>
          <xm:sqref>S4:S55</xm:sqref>
        </x14:dataValidation>
        <x14:dataValidation type="list" allowBlank="1" showInputMessage="1" showErrorMessage="1" xr:uid="{345220CE-D366-694F-8BED-AB7FE0443BEA}">
          <x14:formula1>
            <xm:f>PARAMETRE!$G$3:$G$13</xm:f>
          </x14:formula1>
          <xm:sqref>M4:M48</xm:sqref>
        </x14:dataValidation>
        <x14:dataValidation type="list" allowBlank="1" showInputMessage="1" showErrorMessage="1" xr:uid="{96E583FA-9E6F-354A-BE92-90FACF4FECE3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99DA6235-DBEA-9D40-99EB-776B467A1ED4}">
          <x14:formula1>
            <xm:f>PARAMETRE!$I$3:$I$7</xm:f>
          </x14:formula1>
          <xm:sqref>P4:P49</xm:sqref>
        </x14:dataValidation>
        <x14:dataValidation type="list" allowBlank="1" showInputMessage="1" showErrorMessage="1" xr:uid="{35D6BC87-E713-E145-9FBC-85F38F80D8A8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50CD3-2696-9F41-9ED3-872A50466B9C}">
  <sheetPr>
    <pageSetUpPr fitToPage="1"/>
  </sheetPr>
  <dimension ref="A1:AL68"/>
  <sheetViews>
    <sheetView showGridLines="0" zoomScale="87" zoomScaleNormal="194" zoomScaleSheetLayoutView="69" zoomScalePageLayoutView="93" workbookViewId="0">
      <selection activeCell="I62" sqref="I62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29"/>
      <c r="E1" s="229"/>
      <c r="F1" s="87"/>
      <c r="G1" s="230">
        <f>DATE(Installation!C4,Installation!C6+2,1)</f>
        <v>44621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B2" s="26"/>
      <c r="C2" s="27">
        <f>MONTH(G1)</f>
        <v>3</v>
      </c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B3" s="26"/>
      <c r="C3" s="27"/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A4" s="26">
        <f>IF(WEEKDAY(G1)=7,G1+2,IF(WEEKDAY(G1)=1,G1+1,G1))</f>
        <v>44621</v>
      </c>
      <c r="B4" s="27">
        <f>IF(C4&lt;&gt;$C$2,"",WEEKDAY(D4))</f>
        <v>3</v>
      </c>
      <c r="C4" s="27">
        <f>MONTH(A4)</f>
        <v>3</v>
      </c>
      <c r="D4" s="11">
        <f>IF(C4&lt;&gt;$C$2,"",A4)</f>
        <v>44621</v>
      </c>
      <c r="E4" s="14">
        <f>IF(C4&lt;&gt;$C$2,"",A4)</f>
        <v>44621</v>
      </c>
      <c r="F4" s="25">
        <f>IFERROR(VLOOKUP($D4,PARAMETRE!$E$3:$F$13,2,FALSE),0)</f>
        <v>0</v>
      </c>
      <c r="G4" s="116" t="str">
        <f>IF(B4=2,_xlfn.ISOWEEKNUM(E4),"")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A5" s="26"/>
      <c r="B5" s="27">
        <f t="shared" ref="B5" si="0">B4</f>
        <v>3</v>
      </c>
      <c r="C5" s="27"/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A6" s="26">
        <f>IF(WEEKDAY(A4)=6,A4+3,A4+1)</f>
        <v>44622</v>
      </c>
      <c r="B6" s="27">
        <f>IF(C6&lt;&gt;$C$2,"",WEEKDAY(D6))</f>
        <v>4</v>
      </c>
      <c r="C6" s="27">
        <f>MONTH(A6)</f>
        <v>3</v>
      </c>
      <c r="D6" s="11">
        <f>IF(C6&lt;&gt;$C$2,"",A6)</f>
        <v>44622</v>
      </c>
      <c r="E6" s="14">
        <f>IF(C6&lt;&gt;$C$2,"",A6)</f>
        <v>44622</v>
      </c>
      <c r="F6" s="25">
        <f>IFERROR(VLOOKUP($D6,PARAMETRE!$E$3:$F$13,2,FALSE),0)</f>
        <v>0</v>
      </c>
      <c r="G6" s="116" t="str">
        <f>IF(B6=2,_xlfn.ISOWEEKNUM(E6),"")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A7" s="26"/>
      <c r="B7" s="27">
        <f t="shared" ref="B7" si="1">B6</f>
        <v>4</v>
      </c>
      <c r="C7" s="27"/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A8" s="26">
        <f>IF(WEEKDAY(A6)=6,A6+3,A6+1)</f>
        <v>44623</v>
      </c>
      <c r="B8" s="27">
        <f>IF(C8&lt;&gt;$C$2,"",WEEKDAY(D8))</f>
        <v>5</v>
      </c>
      <c r="C8" s="27">
        <f>MONTH(A8)</f>
        <v>3</v>
      </c>
      <c r="D8" s="11">
        <f>IF(C8&lt;&gt;$C$2,"",A8)</f>
        <v>44623</v>
      </c>
      <c r="E8" s="14">
        <f>IF(C8&lt;&gt;$C$2,"",A8)</f>
        <v>44623</v>
      </c>
      <c r="F8" s="25">
        <f>IFERROR(VLOOKUP($D8,PARAMETRE!$E$3:$F$13,2,FALSE),0)</f>
        <v>0</v>
      </c>
      <c r="G8" s="116" t="str">
        <f>IF(B8=2,_xlfn.ISOWEEKNUM(E8),"")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A9" s="26"/>
      <c r="B9" s="27">
        <f t="shared" ref="B9" si="2">B8</f>
        <v>5</v>
      </c>
      <c r="C9" s="27"/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A10" s="26">
        <f>IF(WEEKDAY(A8)=6,A8+3,A8+1)</f>
        <v>44624</v>
      </c>
      <c r="B10" s="27">
        <f>IF(C10&lt;&gt;$C$2,"",WEEKDAY(D10))</f>
        <v>6</v>
      </c>
      <c r="C10" s="27">
        <f>MONTH(A10)</f>
        <v>3</v>
      </c>
      <c r="D10" s="11">
        <f>IF(C10&lt;&gt;$C$2,"",A10)</f>
        <v>44624</v>
      </c>
      <c r="E10" s="14">
        <f>IF(C10&lt;&gt;$C$2,"",A10)</f>
        <v>44624</v>
      </c>
      <c r="F10" s="25">
        <f>IFERROR(VLOOKUP($D10,PARAMETRE!$E$3:$F$13,2,FALSE),0)</f>
        <v>0</v>
      </c>
      <c r="G10" s="116" t="str">
        <f>IF(B10=2,_xlfn.ISOWEEKNUM(E10),"")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A11" s="26"/>
      <c r="B11" s="27">
        <f t="shared" ref="B11" si="3">B10</f>
        <v>6</v>
      </c>
      <c r="C11" s="27"/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A12" s="26">
        <f>IF(WEEKDAY(A10)=6,A10+3,A10+1)</f>
        <v>44627</v>
      </c>
      <c r="B12" s="27">
        <f>IF(C12&lt;&gt;$C$2,"",WEEKDAY(D12))</f>
        <v>2</v>
      </c>
      <c r="C12" s="27">
        <f>MONTH(A12)</f>
        <v>3</v>
      </c>
      <c r="D12" s="11">
        <f>IF(C12&lt;&gt;$C$2,"",A12)</f>
        <v>44627</v>
      </c>
      <c r="E12" s="14">
        <f>IF(C12&lt;&gt;$C$2,"",A12)</f>
        <v>44627</v>
      </c>
      <c r="F12" s="25">
        <f>IFERROR(VLOOKUP($D12,PARAMETRE!$E$3:$F$13,2,FALSE),0)</f>
        <v>0</v>
      </c>
      <c r="G12" s="116">
        <f>IF(B12=2,_xlfn.ISOWEEKNUM(E12),"")</f>
        <v>10</v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A13" s="26"/>
      <c r="B13" s="27">
        <f t="shared" ref="B13" si="4">B12</f>
        <v>2</v>
      </c>
      <c r="C13" s="27"/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>
        <f>IF(WEEKDAY(A12)=6,A12+3,A12+1)</f>
        <v>44628</v>
      </c>
      <c r="B14" s="27">
        <f>IF(C14&lt;&gt;$C$2,"",WEEKDAY(D14))</f>
        <v>3</v>
      </c>
      <c r="C14" s="27">
        <f>MONTH(A14)</f>
        <v>3</v>
      </c>
      <c r="D14" s="11">
        <f>IF(C14&lt;&gt;$C$2,"",A14)</f>
        <v>44628</v>
      </c>
      <c r="E14" s="14">
        <f>IF(C14&lt;&gt;$C$2,"",A14)</f>
        <v>44628</v>
      </c>
      <c r="F14" s="25">
        <f>IFERROR(VLOOKUP($D14,PARAMETRE!$E$3:$F$13,2,FALSE),0)</f>
        <v>0</v>
      </c>
      <c r="G14" s="116" t="str">
        <f>IF(B14=2,_xlfn.ISOWEEKNUM(E14),"")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A15" s="26"/>
      <c r="B15" s="27">
        <f t="shared" ref="B15" si="5">B14</f>
        <v>3</v>
      </c>
      <c r="C15" s="27"/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A16" s="26">
        <f>IF(WEEKDAY(A14)=6,A14+3,A14+1)</f>
        <v>44629</v>
      </c>
      <c r="B16" s="27">
        <f>IF(C16&lt;&gt;$C$2,"",WEEKDAY(D16))</f>
        <v>4</v>
      </c>
      <c r="C16" s="27">
        <f>MONTH(A16)</f>
        <v>3</v>
      </c>
      <c r="D16" s="11">
        <f>IF(C16&lt;&gt;$C$2,"",A16)</f>
        <v>44629</v>
      </c>
      <c r="E16" s="14">
        <f>IF(C16&lt;&gt;$C$2,"",A16)</f>
        <v>44629</v>
      </c>
      <c r="F16" s="25">
        <f>IFERROR(VLOOKUP($D16,PARAMETRE!$E$3:$F$13,2,FALSE),0)</f>
        <v>0</v>
      </c>
      <c r="G16" s="116" t="str">
        <f>IF(B16=2,_xlfn.ISOWEEKNUM(E16),"")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/>
      <c r="B17" s="27">
        <f t="shared" ref="B17" si="6">B16</f>
        <v>4</v>
      </c>
      <c r="C17" s="27"/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44630</v>
      </c>
      <c r="B18" s="27">
        <f>IF(C18&lt;&gt;$C$2,"",WEEKDAY(D18))</f>
        <v>5</v>
      </c>
      <c r="C18" s="27">
        <f>MONTH(A18)</f>
        <v>3</v>
      </c>
      <c r="D18" s="11">
        <f>IF(C18&lt;&gt;$C$2,"",A18)</f>
        <v>44630</v>
      </c>
      <c r="E18" s="14">
        <f>IF(C18&lt;&gt;$C$2,"",A18)</f>
        <v>44630</v>
      </c>
      <c r="F18" s="25">
        <f>IFERROR(VLOOKUP($D18,PARAMETRE!$E$3:$F$13,2,FALSE),0)</f>
        <v>0</v>
      </c>
      <c r="G18" s="116" t="str">
        <f>IF(B18=2,_xlfn.ISOWEEKNUM(E18),"")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/>
      <c r="B19" s="27">
        <f t="shared" ref="B19" si="7">B18</f>
        <v>5</v>
      </c>
      <c r="C19" s="27"/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>
        <f>IF(WEEKDAY(A18)=6,A18+3,A18+1)</f>
        <v>44631</v>
      </c>
      <c r="B20" s="27">
        <f>IF(C20&lt;&gt;$C$2,"",WEEKDAY(D20))</f>
        <v>6</v>
      </c>
      <c r="C20" s="27">
        <f>MONTH(A20)</f>
        <v>3</v>
      </c>
      <c r="D20" s="11">
        <f>IF(C20&lt;&gt;$C$2,"",A20)</f>
        <v>44631</v>
      </c>
      <c r="E20" s="14">
        <f>IF(C20&lt;&gt;$C$2,"",A20)</f>
        <v>44631</v>
      </c>
      <c r="F20" s="25">
        <f>IFERROR(VLOOKUP($D20,PARAMETRE!$E$3:$F$13,2,FALSE),0)</f>
        <v>0</v>
      </c>
      <c r="G20" s="116" t="str">
        <f>IF(B20=2,_xlfn.ISOWEEKNUM(E20),"")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/>
      <c r="B21" s="27">
        <f t="shared" ref="B21" si="8">B20</f>
        <v>6</v>
      </c>
      <c r="C21" s="27"/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>
        <f>IF(WEEKDAY(A20)=6,A20+3,A20+1)</f>
        <v>44634</v>
      </c>
      <c r="B22" s="27">
        <f>IF(C22&lt;&gt;$C$2,"",WEEKDAY(D22))</f>
        <v>2</v>
      </c>
      <c r="C22" s="27">
        <f>MONTH(A22)</f>
        <v>3</v>
      </c>
      <c r="D22" s="11">
        <f>IF(C22&lt;&gt;$C$2,"",A22)</f>
        <v>44634</v>
      </c>
      <c r="E22" s="14">
        <f>IF(C22&lt;&gt;$C$2,"",A22)</f>
        <v>44634</v>
      </c>
      <c r="F22" s="25">
        <f>IFERROR(VLOOKUP($D22,PARAMETRE!$E$3:$F$13,2,FALSE),0)</f>
        <v>0</v>
      </c>
      <c r="G22" s="116">
        <f>IF(B22=2,_xlfn.ISOWEEKNUM(E22),"")</f>
        <v>11</v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/>
      <c r="B23" s="27">
        <f t="shared" ref="B23" si="9">B22</f>
        <v>2</v>
      </c>
      <c r="C23" s="27"/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>
        <f>IF(WEEKDAY(A22)=6,A22+3,A22+1)</f>
        <v>44635</v>
      </c>
      <c r="B24" s="27">
        <f>IF(C24&lt;&gt;$C$2,"",WEEKDAY(D24))</f>
        <v>3</v>
      </c>
      <c r="C24" s="27">
        <f>MONTH(A24)</f>
        <v>3</v>
      </c>
      <c r="D24" s="11">
        <f>IF(C24&lt;&gt;$C$2,"",A24)</f>
        <v>44635</v>
      </c>
      <c r="E24" s="14">
        <f>IF(C24&lt;&gt;$C$2,"",A24)</f>
        <v>44635</v>
      </c>
      <c r="F24" s="25">
        <f>IFERROR(VLOOKUP($D24,PARAMETRE!$E$3:$F$13,2,FALSE),0)</f>
        <v>0</v>
      </c>
      <c r="G24" s="116" t="str">
        <f>IF(B24=2,_xlfn.ISOWEEKNUM(E24),"")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/>
      <c r="B25" s="27">
        <f t="shared" ref="B25" si="10">B24</f>
        <v>3</v>
      </c>
      <c r="C25" s="27"/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>
        <f>IF(WEEKDAY(A24)=6,A24+3,A24+1)</f>
        <v>44636</v>
      </c>
      <c r="B26" s="27">
        <f>IF(C26&lt;&gt;$C$2,"",WEEKDAY(D26))</f>
        <v>4</v>
      </c>
      <c r="C26" s="27">
        <f>MONTH(A26)</f>
        <v>3</v>
      </c>
      <c r="D26" s="11">
        <f>IF(C26&lt;&gt;$C$2,"",A26)</f>
        <v>44636</v>
      </c>
      <c r="E26" s="14">
        <f>IF(C26&lt;&gt;$C$2,"",A26)</f>
        <v>44636</v>
      </c>
      <c r="F26" s="25">
        <f>IFERROR(VLOOKUP($D26,PARAMETRE!$E$3:$F$13,2,FALSE),0)</f>
        <v>0</v>
      </c>
      <c r="G26" s="116" t="str">
        <f>IF(B26=2,_xlfn.ISOWEEKNUM(E26),"")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/>
      <c r="B27" s="27">
        <f t="shared" ref="B27" si="11">B26</f>
        <v>4</v>
      </c>
      <c r="C27" s="27"/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>
        <f>IF(WEEKDAY(A26)=6,A26+3,A26+1)</f>
        <v>44637</v>
      </c>
      <c r="B28" s="27">
        <f>IF(C28&lt;&gt;$C$2,"",WEEKDAY(D28))</f>
        <v>5</v>
      </c>
      <c r="C28" s="27">
        <f>MONTH(A28)</f>
        <v>3</v>
      </c>
      <c r="D28" s="11">
        <f>IF(C28&lt;&gt;$C$2,"",A28)</f>
        <v>44637</v>
      </c>
      <c r="E28" s="14">
        <f>IF(C28&lt;&gt;$C$2,"",A28)</f>
        <v>44637</v>
      </c>
      <c r="F28" s="25">
        <f>IFERROR(VLOOKUP($D28,PARAMETRE!$E$3:$F$13,2,FALSE),0)</f>
        <v>0</v>
      </c>
      <c r="G28" s="116" t="str">
        <f>IF(B28=2,_xlfn.ISOWEEKNUM(E28),"")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5</v>
      </c>
      <c r="C29" s="27"/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>
        <f>IF(WEEKDAY(A28)=6,A28+3,A28+1)</f>
        <v>44638</v>
      </c>
      <c r="B30" s="27">
        <f>IF(C30&lt;&gt;$C$2,"",WEEKDAY(D30))</f>
        <v>6</v>
      </c>
      <c r="C30" s="27">
        <f>MONTH(A30)</f>
        <v>3</v>
      </c>
      <c r="D30" s="11">
        <f>IF(C30&lt;&gt;$C$2,"",A30)</f>
        <v>44638</v>
      </c>
      <c r="E30" s="14">
        <f>IF(C30&lt;&gt;$C$2,"",A30)</f>
        <v>44638</v>
      </c>
      <c r="F30" s="25">
        <f>IFERROR(VLOOKUP($D30,PARAMETRE!$E$3:$F$13,2,FALSE),0)</f>
        <v>0</v>
      </c>
      <c r="G30" s="116" t="str">
        <f>IF(B30=2,_xlfn.ISOWEEKNUM(E30),"")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6</v>
      </c>
      <c r="C31" s="27"/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>
        <f>IF(WEEKDAY(A30)=6,A30+3,A30+1)</f>
        <v>44641</v>
      </c>
      <c r="B32" s="27">
        <f>IF(C32&lt;&gt;$C$2,"",WEEKDAY(D32))</f>
        <v>2</v>
      </c>
      <c r="C32" s="27">
        <f>MONTH(A32)</f>
        <v>3</v>
      </c>
      <c r="D32" s="11">
        <f>IF(C32&lt;&gt;$C$2,"",A32)</f>
        <v>44641</v>
      </c>
      <c r="E32" s="14">
        <f>IF(C32&lt;&gt;$C$2,"",A32)</f>
        <v>44641</v>
      </c>
      <c r="F32" s="25">
        <f>IFERROR(VLOOKUP($D32,PARAMETRE!$E$3:$F$13,2,FALSE),0)</f>
        <v>0</v>
      </c>
      <c r="G32" s="116">
        <f>IF(B32=2,_xlfn.ISOWEEKNUM(E32),"")</f>
        <v>12</v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/>
      <c r="B33" s="27">
        <f t="shared" ref="B33" si="14">B32</f>
        <v>2</v>
      </c>
      <c r="C33" s="27"/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>
        <f>IF(WEEKDAY(A32)=6,A32+3,A32+1)</f>
        <v>44642</v>
      </c>
      <c r="B34" s="27">
        <f>IF(C34&lt;&gt;$C$2,"",WEEKDAY(D34))</f>
        <v>3</v>
      </c>
      <c r="C34" s="27">
        <f>MONTH(A34)</f>
        <v>3</v>
      </c>
      <c r="D34" s="11">
        <f>IF(C34&lt;&gt;$C$2,"",A34)</f>
        <v>44642</v>
      </c>
      <c r="E34" s="14">
        <f>IF(C34&lt;&gt;$C$2,"",A34)</f>
        <v>44642</v>
      </c>
      <c r="F34" s="25">
        <f>IFERROR(VLOOKUP($D34,PARAMETRE!$E$3:$F$13,2,FALSE),0)</f>
        <v>0</v>
      </c>
      <c r="G34" s="116" t="str">
        <f>IF(B34=2,_xlfn.ISOWEEKNUM(E34),"")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/>
      <c r="B35" s="27">
        <f t="shared" ref="B35" si="15">B34</f>
        <v>3</v>
      </c>
      <c r="C35" s="27"/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>
        <f>IF(WEEKDAY(A34)=6,A34+3,A34+1)</f>
        <v>44643</v>
      </c>
      <c r="B36" s="27">
        <f>IF(C36&lt;&gt;$C$2,"",WEEKDAY(D36))</f>
        <v>4</v>
      </c>
      <c r="C36" s="27">
        <f>MONTH(A36)</f>
        <v>3</v>
      </c>
      <c r="D36" s="11">
        <f>IF(C36&lt;&gt;$C$2,"",A36)</f>
        <v>44643</v>
      </c>
      <c r="E36" s="14">
        <f>IF(C36&lt;&gt;$C$2,"",A36)</f>
        <v>44643</v>
      </c>
      <c r="F36" s="25">
        <f>IFERROR(VLOOKUP($D36,PARAMETRE!$E$3:$F$13,2,FALSE),0)</f>
        <v>0</v>
      </c>
      <c r="G36" s="116" t="str">
        <f>IF(B36=2,_xlfn.ISOWEEKNUM(E36),"")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4</v>
      </c>
      <c r="C37" s="27"/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>
        <f>IF(WEEKDAY(A36)=6,A36+3,A36+1)</f>
        <v>44644</v>
      </c>
      <c r="B38" s="27">
        <f>IF(C38&lt;&gt;$C$2,"",WEEKDAY(D38))</f>
        <v>5</v>
      </c>
      <c r="C38" s="27">
        <f>MONTH(A38)</f>
        <v>3</v>
      </c>
      <c r="D38" s="11">
        <f>IF(C38&lt;&gt;$C$2,"",A38)</f>
        <v>44644</v>
      </c>
      <c r="E38" s="14">
        <f>IF(C38&lt;&gt;$C$2,"",A38)</f>
        <v>44644</v>
      </c>
      <c r="F38" s="25">
        <f>IFERROR(VLOOKUP($D38,PARAMETRE!$E$3:$F$13,2,FALSE),0)</f>
        <v>0</v>
      </c>
      <c r="G38" s="116" t="str">
        <f>IF(B38=2,_xlfn.ISOWEEKNUM(E38),"")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/>
      <c r="B39" s="27">
        <f t="shared" ref="B39" si="17">B38</f>
        <v>5</v>
      </c>
      <c r="C39" s="27"/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>
        <f>IF(WEEKDAY(A38)=6,A38+3,A38+1)</f>
        <v>44645</v>
      </c>
      <c r="B40" s="27">
        <f>IF(C40&lt;&gt;$C$2,"",WEEKDAY(D40))</f>
        <v>6</v>
      </c>
      <c r="C40" s="27">
        <f>MONTH(A40)</f>
        <v>3</v>
      </c>
      <c r="D40" s="11">
        <f>IF(C40&lt;&gt;$C$2,"",A40)</f>
        <v>44645</v>
      </c>
      <c r="E40" s="14">
        <f>IF(C40&lt;&gt;$C$2,"",A40)</f>
        <v>44645</v>
      </c>
      <c r="F40" s="25">
        <f>IFERROR(VLOOKUP($D40,PARAMETRE!$E$3:$F$13,2,FALSE),0)</f>
        <v>0</v>
      </c>
      <c r="G40" s="116" t="str">
        <f>IF(B40=2,_xlfn.ISOWEEKNUM(E40),"")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/>
      <c r="B41" s="27">
        <f t="shared" ref="B41" si="18">B40</f>
        <v>6</v>
      </c>
      <c r="C41" s="27"/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>
        <f>IF(WEEKDAY(A40)=6,A40+3,A40+1)</f>
        <v>44648</v>
      </c>
      <c r="B42" s="27">
        <f>IF(C42&lt;&gt;$C$2,"",WEEKDAY(D42))</f>
        <v>2</v>
      </c>
      <c r="C42" s="27">
        <f>MONTH(A42)</f>
        <v>3</v>
      </c>
      <c r="D42" s="11">
        <f>IF(C42&lt;&gt;$C$2,"",A42)</f>
        <v>44648</v>
      </c>
      <c r="E42" s="14">
        <f>IF(C42&lt;&gt;$C$2,"",A42)</f>
        <v>44648</v>
      </c>
      <c r="F42" s="25">
        <f>IFERROR(VLOOKUP($D42,PARAMETRE!$E$3:$F$13,2,FALSE),0)</f>
        <v>0</v>
      </c>
      <c r="G42" s="116">
        <f>IF(B42=2,_xlfn.ISOWEEKNUM(E42),"")</f>
        <v>13</v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2</v>
      </c>
      <c r="C43" s="27"/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44649</v>
      </c>
      <c r="B44" s="27">
        <f>IF(C44&lt;&gt;$C$2,"",WEEKDAY(D44))</f>
        <v>3</v>
      </c>
      <c r="C44" s="27">
        <f>MONTH(A44)</f>
        <v>3</v>
      </c>
      <c r="D44" s="11">
        <f>IF(C44&lt;&gt;$C$2,"",A44)</f>
        <v>44649</v>
      </c>
      <c r="E44" s="14">
        <f>IF(C44&lt;&gt;$C$2,"",A44)</f>
        <v>44649</v>
      </c>
      <c r="F44" s="25">
        <f>IFERROR(VLOOKUP($D44,PARAMETRE!$E$3:$F$13,2,FALSE),0)</f>
        <v>0</v>
      </c>
      <c r="G44" s="116" t="str">
        <f>IF(B44=2,_xlfn.ISOWEEKNUM(E44),"")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/>
      <c r="B45" s="27">
        <f>B44</f>
        <v>3</v>
      </c>
      <c r="C45" s="27"/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>
        <f>IF(WEEKDAY(A44)=6,A44+3,A44+1)</f>
        <v>44650</v>
      </c>
      <c r="B46" s="27">
        <f>IF(C46&lt;&gt;$C$2,"",WEEKDAY(D46))</f>
        <v>4</v>
      </c>
      <c r="C46" s="27">
        <f>MONTH(A46)</f>
        <v>3</v>
      </c>
      <c r="D46" s="11">
        <f>IF(C46&lt;&gt;$C$2,"",A46)</f>
        <v>44650</v>
      </c>
      <c r="E46" s="14">
        <f>IF(C46&lt;&gt;$C$2,"",A46)</f>
        <v>44650</v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/>
      <c r="B47" s="27">
        <f t="shared" ref="B47" si="19">B46</f>
        <v>4</v>
      </c>
      <c r="C47" s="27"/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>
        <f>IF(WEEKDAY(A46)=6,A46+3,A46+1)</f>
        <v>44651</v>
      </c>
      <c r="B48" s="27">
        <f>IF(C48&lt;&gt;$C$2,"",WEEKDAY(D48))</f>
        <v>5</v>
      </c>
      <c r="C48" s="27">
        <f>MONTH(A48)</f>
        <v>3</v>
      </c>
      <c r="D48" s="11">
        <f>IF(C48&lt;&gt;$C$2,"",A48)</f>
        <v>44651</v>
      </c>
      <c r="E48" s="14">
        <f>IF(C48&lt;&gt;$C$2,"",A48)</f>
        <v>44651</v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C49" s="7"/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C50" s="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C51" s="7"/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C52" s="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C53" s="7"/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C54" s="6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/>
      <c r="B55"/>
      <c r="C55" s="6"/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I60" s="29"/>
    </row>
    <row r="61" spans="1:35" ht="11.5" customHeight="1">
      <c r="A61"/>
      <c r="B61"/>
      <c r="AI61" s="29"/>
    </row>
    <row r="62" spans="1:35" ht="11.5" customHeight="1">
      <c r="L62"/>
      <c r="M62"/>
      <c r="N62"/>
    </row>
    <row r="63" spans="1:35" ht="11.5" customHeight="1">
      <c r="AI63" s="29"/>
    </row>
    <row r="64" spans="1:35" ht="11.5" customHeight="1">
      <c r="AI64" s="29"/>
    </row>
    <row r="65" spans="11:35" ht="11.5" customHeight="1">
      <c r="AI65" s="29"/>
    </row>
    <row r="66" spans="11:35" ht="11.5" customHeight="1">
      <c r="AH66" s="29"/>
      <c r="AI66" s="29"/>
    </row>
    <row r="67" spans="11:35" ht="11.5" customHeight="1">
      <c r="AH67" s="29"/>
      <c r="AI67" s="29"/>
    </row>
    <row r="68" spans="11:35" ht="11.5" customHeight="1">
      <c r="K68" s="85"/>
      <c r="L68"/>
      <c r="M68"/>
      <c r="N68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86" priority="3" stopIfTrue="1">
      <formula>$F4&lt;&gt;0</formula>
    </cfRule>
  </conditionalFormatting>
  <conditionalFormatting sqref="G4:P55 R4:R55 T4:T55 V4:V55">
    <cfRule type="expression" dxfId="85" priority="1" stopIfTrue="1">
      <formula>$H4="DAV"</formula>
    </cfRule>
    <cfRule type="expression" dxfId="84" priority="2" stopIfTrue="1">
      <formula>$J4="DAV"</formula>
    </cfRule>
    <cfRule type="expression" dxfId="83" priority="4">
      <formula>$I4="AT"</formula>
    </cfRule>
    <cfRule type="expression" dxfId="82" priority="5">
      <formula>$H4="AT"</formula>
    </cfRule>
    <cfRule type="expression" dxfId="81" priority="6">
      <formula>$J4="AT"</formula>
    </cfRule>
  </conditionalFormatting>
  <conditionalFormatting sqref="D16:P55 R6:R55 T6:T55 V6:V55">
    <cfRule type="expression" dxfId="80" priority="7" stopIfTrue="1">
      <formula>$B6=2</formula>
    </cfRule>
  </conditionalFormatting>
  <conditionalFormatting sqref="D6:P15">
    <cfRule type="expression" dxfId="79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7FFCA69-7797-DD4E-ADA4-E7EF26147F9D}">
          <x14:formula1>
            <xm:f>PARAMETRE!$D$3:$D$163</xm:f>
          </x14:formula1>
          <xm:sqref>S4:S55</xm:sqref>
        </x14:dataValidation>
        <x14:dataValidation type="list" allowBlank="1" showInputMessage="1" showErrorMessage="1" xr:uid="{3BACBA76-2DAA-5C42-AB28-A8E761DA562F}">
          <x14:formula1>
            <xm:f>PARAMETRE!$G$3:$G$13</xm:f>
          </x14:formula1>
          <xm:sqref>M4:M48</xm:sqref>
        </x14:dataValidation>
        <x14:dataValidation type="list" allowBlank="1" showInputMessage="1" showErrorMessage="1" xr:uid="{8E68D396-263F-9F46-8481-5654BAD96459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B8A23C34-B75C-6D47-914C-2A1F7D6F3E43}">
          <x14:formula1>
            <xm:f>PARAMETRE!$I$3:$I$7</xm:f>
          </x14:formula1>
          <xm:sqref>P4:P49</xm:sqref>
        </x14:dataValidation>
        <x14:dataValidation type="list" allowBlank="1" showInputMessage="1" showErrorMessage="1" xr:uid="{35F4DA30-AC27-DC45-B93E-FF79A57D74E0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2AABB-007A-2544-8D54-557B32A8C20C}">
  <sheetPr>
    <pageSetUpPr fitToPage="1"/>
  </sheetPr>
  <dimension ref="A1:AL68"/>
  <sheetViews>
    <sheetView showGridLines="0" zoomScale="87" zoomScaleNormal="194" zoomScaleSheetLayoutView="69" zoomScalePageLayoutView="93" workbookViewId="0">
      <selection sqref="A1:C13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29"/>
      <c r="E1" s="229"/>
      <c r="F1" s="87"/>
      <c r="G1" s="230">
        <f>DATE(Installation!C4,Installation!C6+3,1)</f>
        <v>44652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B2" s="26"/>
      <c r="C2" s="27">
        <f>MONTH(G1)</f>
        <v>4</v>
      </c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B3" s="26"/>
      <c r="C3" s="27"/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A4" s="26">
        <f>IF(WEEKDAY(G1)=7,G1+2,IF(WEEKDAY(G1)=1,G1+1,G1))</f>
        <v>44652</v>
      </c>
      <c r="B4" s="27">
        <f>IF(C4&lt;&gt;$C$2,"",WEEKDAY(D4))</f>
        <v>6</v>
      </c>
      <c r="C4" s="27">
        <f>MONTH(A4)</f>
        <v>4</v>
      </c>
      <c r="D4" s="11">
        <f>IF(C4&lt;&gt;$C$2,"",A4)</f>
        <v>44652</v>
      </c>
      <c r="E4" s="14">
        <f>IF(C4&lt;&gt;$C$2,"",A4)</f>
        <v>44652</v>
      </c>
      <c r="F4" s="25">
        <f>IFERROR(VLOOKUP($D4,PARAMETRE!$E$3:$F$13,2,FALSE),0)</f>
        <v>0</v>
      </c>
      <c r="G4" s="116" t="str">
        <f>IF(B4=2,_xlfn.ISOWEEKNUM(E4),"")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A5" s="26"/>
      <c r="B5" s="27">
        <f t="shared" ref="B5" si="0">B4</f>
        <v>6</v>
      </c>
      <c r="C5" s="27"/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A6" s="26">
        <f>IF(WEEKDAY(A4)=6,A4+3,A4+1)</f>
        <v>44655</v>
      </c>
      <c r="B6" s="27">
        <f>IF(C6&lt;&gt;$C$2,"",WEEKDAY(D6))</f>
        <v>2</v>
      </c>
      <c r="C6" s="27">
        <f>MONTH(A6)</f>
        <v>4</v>
      </c>
      <c r="D6" s="11">
        <f>IF(C6&lt;&gt;$C$2,"",A6)</f>
        <v>44655</v>
      </c>
      <c r="E6" s="14">
        <f>IF(C6&lt;&gt;$C$2,"",A6)</f>
        <v>44655</v>
      </c>
      <c r="F6" s="25">
        <f>IFERROR(VLOOKUP($D6,PARAMETRE!$E$3:$F$13,2,FALSE),0)</f>
        <v>0</v>
      </c>
      <c r="G6" s="116">
        <f>IF(B6=2,_xlfn.ISOWEEKNUM(E6),"")</f>
        <v>14</v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A7" s="26"/>
      <c r="B7" s="27">
        <f t="shared" ref="B7" si="1">B6</f>
        <v>2</v>
      </c>
      <c r="C7" s="27"/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A8" s="26">
        <f>IF(WEEKDAY(A6)=6,A6+3,A6+1)</f>
        <v>44656</v>
      </c>
      <c r="B8" s="27">
        <f>IF(C8&lt;&gt;$C$2,"",WEEKDAY(D8))</f>
        <v>3</v>
      </c>
      <c r="C8" s="27">
        <f>MONTH(A8)</f>
        <v>4</v>
      </c>
      <c r="D8" s="11">
        <f>IF(C8&lt;&gt;$C$2,"",A8)</f>
        <v>44656</v>
      </c>
      <c r="E8" s="14">
        <f>IF(C8&lt;&gt;$C$2,"",A8)</f>
        <v>44656</v>
      </c>
      <c r="F8" s="25">
        <f>IFERROR(VLOOKUP($D8,PARAMETRE!$E$3:$F$13,2,FALSE),0)</f>
        <v>0</v>
      </c>
      <c r="G8" s="116" t="str">
        <f>IF(B8=2,_xlfn.ISOWEEKNUM(E8),"")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A9" s="26"/>
      <c r="B9" s="27">
        <f t="shared" ref="B9" si="2">B8</f>
        <v>3</v>
      </c>
      <c r="C9" s="27"/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A10" s="26">
        <f>IF(WEEKDAY(A8)=6,A8+3,A8+1)</f>
        <v>44657</v>
      </c>
      <c r="B10" s="27">
        <f>IF(C10&lt;&gt;$C$2,"",WEEKDAY(D10))</f>
        <v>4</v>
      </c>
      <c r="C10" s="27">
        <f>MONTH(A10)</f>
        <v>4</v>
      </c>
      <c r="D10" s="11">
        <f>IF(C10&lt;&gt;$C$2,"",A10)</f>
        <v>44657</v>
      </c>
      <c r="E10" s="14">
        <f>IF(C10&lt;&gt;$C$2,"",A10)</f>
        <v>44657</v>
      </c>
      <c r="F10" s="25">
        <f>IFERROR(VLOOKUP($D10,PARAMETRE!$E$3:$F$13,2,FALSE),0)</f>
        <v>0</v>
      </c>
      <c r="G10" s="116" t="str">
        <f>IF(B10=2,_xlfn.ISOWEEKNUM(E10),"")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A11" s="26"/>
      <c r="B11" s="27">
        <f t="shared" ref="B11" si="3">B10</f>
        <v>4</v>
      </c>
      <c r="C11" s="27"/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A12" s="26">
        <f>IF(WEEKDAY(A10)=6,A10+3,A10+1)</f>
        <v>44658</v>
      </c>
      <c r="B12" s="27">
        <f>IF(C12&lt;&gt;$C$2,"",WEEKDAY(D12))</f>
        <v>5</v>
      </c>
      <c r="C12" s="27">
        <f>MONTH(A12)</f>
        <v>4</v>
      </c>
      <c r="D12" s="11">
        <f>IF(C12&lt;&gt;$C$2,"",A12)</f>
        <v>44658</v>
      </c>
      <c r="E12" s="14">
        <f>IF(C12&lt;&gt;$C$2,"",A12)</f>
        <v>44658</v>
      </c>
      <c r="F12" s="25">
        <f>IFERROR(VLOOKUP($D12,PARAMETRE!$E$3:$F$13,2,FALSE),0)</f>
        <v>0</v>
      </c>
      <c r="G12" s="116" t="str">
        <f>IF(B12=2,_xlfn.ISOWEEKNUM(E12),"")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A13" s="26"/>
      <c r="B13" s="27">
        <f t="shared" ref="B13" si="4">B12</f>
        <v>5</v>
      </c>
      <c r="C13" s="27"/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>
        <f>IF(WEEKDAY(A12)=6,A12+3,A12+1)</f>
        <v>44659</v>
      </c>
      <c r="B14" s="27">
        <f>IF(C14&lt;&gt;$C$2,"",WEEKDAY(D14))</f>
        <v>6</v>
      </c>
      <c r="C14" s="27">
        <f>MONTH(A14)</f>
        <v>4</v>
      </c>
      <c r="D14" s="11">
        <f>IF(C14&lt;&gt;$C$2,"",A14)</f>
        <v>44659</v>
      </c>
      <c r="E14" s="14">
        <f>IF(C14&lt;&gt;$C$2,"",A14)</f>
        <v>44659</v>
      </c>
      <c r="F14" s="25">
        <f>IFERROR(VLOOKUP($D14,PARAMETRE!$E$3:$F$13,2,FALSE),0)</f>
        <v>0</v>
      </c>
      <c r="G14" s="116" t="str">
        <f>IF(B14=2,_xlfn.ISOWEEKNUM(E14),"")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A15" s="26"/>
      <c r="B15" s="27">
        <f t="shared" ref="B15" si="5">B14</f>
        <v>6</v>
      </c>
      <c r="C15" s="27"/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A16" s="26">
        <f>IF(WEEKDAY(A14)=6,A14+3,A14+1)</f>
        <v>44662</v>
      </c>
      <c r="B16" s="27">
        <f>IF(C16&lt;&gt;$C$2,"",WEEKDAY(D16))</f>
        <v>2</v>
      </c>
      <c r="C16" s="27">
        <f>MONTH(A16)</f>
        <v>4</v>
      </c>
      <c r="D16" s="11">
        <f>IF(C16&lt;&gt;$C$2,"",A16)</f>
        <v>44662</v>
      </c>
      <c r="E16" s="14">
        <f>IF(C16&lt;&gt;$C$2,"",A16)</f>
        <v>44662</v>
      </c>
      <c r="F16" s="25">
        <f>IFERROR(VLOOKUP($D16,PARAMETRE!$E$3:$F$13,2,FALSE),0)</f>
        <v>0</v>
      </c>
      <c r="G16" s="116">
        <f>IF(B16=2,_xlfn.ISOWEEKNUM(E16),"")</f>
        <v>15</v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/>
      <c r="B17" s="27">
        <f t="shared" ref="B17" si="6">B16</f>
        <v>2</v>
      </c>
      <c r="C17" s="27"/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44663</v>
      </c>
      <c r="B18" s="27">
        <f>IF(C18&lt;&gt;$C$2,"",WEEKDAY(D18))</f>
        <v>3</v>
      </c>
      <c r="C18" s="27">
        <f>MONTH(A18)</f>
        <v>4</v>
      </c>
      <c r="D18" s="11">
        <f>IF(C18&lt;&gt;$C$2,"",A18)</f>
        <v>44663</v>
      </c>
      <c r="E18" s="14">
        <f>IF(C18&lt;&gt;$C$2,"",A18)</f>
        <v>44663</v>
      </c>
      <c r="F18" s="25">
        <f>IFERROR(VLOOKUP($D18,PARAMETRE!$E$3:$F$13,2,FALSE),0)</f>
        <v>0</v>
      </c>
      <c r="G18" s="116" t="str">
        <f>IF(B18=2,_xlfn.ISOWEEKNUM(E18),"")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/>
      <c r="B19" s="27">
        <f t="shared" ref="B19" si="7">B18</f>
        <v>3</v>
      </c>
      <c r="C19" s="27"/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>
        <f>IF(WEEKDAY(A18)=6,A18+3,A18+1)</f>
        <v>44664</v>
      </c>
      <c r="B20" s="27">
        <f>IF(C20&lt;&gt;$C$2,"",WEEKDAY(D20))</f>
        <v>4</v>
      </c>
      <c r="C20" s="27">
        <f>MONTH(A20)</f>
        <v>4</v>
      </c>
      <c r="D20" s="11">
        <f>IF(C20&lt;&gt;$C$2,"",A20)</f>
        <v>44664</v>
      </c>
      <c r="E20" s="14">
        <f>IF(C20&lt;&gt;$C$2,"",A20)</f>
        <v>44664</v>
      </c>
      <c r="F20" s="25">
        <f>IFERROR(VLOOKUP($D20,PARAMETRE!$E$3:$F$13,2,FALSE),0)</f>
        <v>0</v>
      </c>
      <c r="G20" s="116" t="str">
        <f>IF(B20=2,_xlfn.ISOWEEKNUM(E20),"")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/>
      <c r="B21" s="27">
        <f t="shared" ref="B21" si="8">B20</f>
        <v>4</v>
      </c>
      <c r="C21" s="27"/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>
        <f>IF(WEEKDAY(A20)=6,A20+3,A20+1)</f>
        <v>44665</v>
      </c>
      <c r="B22" s="27">
        <f>IF(C22&lt;&gt;$C$2,"",WEEKDAY(D22))</f>
        <v>5</v>
      </c>
      <c r="C22" s="27">
        <f>MONTH(A22)</f>
        <v>4</v>
      </c>
      <c r="D22" s="11">
        <f>IF(C22&lt;&gt;$C$2,"",A22)</f>
        <v>44665</v>
      </c>
      <c r="E22" s="14">
        <f>IF(C22&lt;&gt;$C$2,"",A22)</f>
        <v>44665</v>
      </c>
      <c r="F22" s="25">
        <f>IFERROR(VLOOKUP($D22,PARAMETRE!$E$3:$F$13,2,FALSE),0)</f>
        <v>0</v>
      </c>
      <c r="G22" s="116" t="str">
        <f>IF(B22=2,_xlfn.ISOWEEKNUM(E22),"")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/>
      <c r="B23" s="27">
        <f t="shared" ref="B23" si="9">B22</f>
        <v>5</v>
      </c>
      <c r="C23" s="27"/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>
        <f>IF(WEEKDAY(A22)=6,A22+3,A22+1)</f>
        <v>44666</v>
      </c>
      <c r="B24" s="27">
        <f>IF(C24&lt;&gt;$C$2,"",WEEKDAY(D24))</f>
        <v>6</v>
      </c>
      <c r="C24" s="27">
        <f>MONTH(A24)</f>
        <v>4</v>
      </c>
      <c r="D24" s="11">
        <f>IF(C24&lt;&gt;$C$2,"",A24)</f>
        <v>44666</v>
      </c>
      <c r="E24" s="14">
        <f>IF(C24&lt;&gt;$C$2,"",A24)</f>
        <v>44666</v>
      </c>
      <c r="F24" s="25">
        <f>IFERROR(VLOOKUP($D24,PARAMETRE!$E$3:$F$13,2,FALSE),0)</f>
        <v>0</v>
      </c>
      <c r="G24" s="116" t="str">
        <f>IF(B24=2,_xlfn.ISOWEEKNUM(E24),"")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/>
      <c r="B25" s="27">
        <f t="shared" ref="B25" si="10">B24</f>
        <v>6</v>
      </c>
      <c r="C25" s="27"/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>
        <f>IF(WEEKDAY(A24)=6,A24+3,A24+1)</f>
        <v>44669</v>
      </c>
      <c r="B26" s="27">
        <f>IF(C26&lt;&gt;$C$2,"",WEEKDAY(D26))</f>
        <v>2</v>
      </c>
      <c r="C26" s="27">
        <f>MONTH(A26)</f>
        <v>4</v>
      </c>
      <c r="D26" s="11">
        <f>IF(C26&lt;&gt;$C$2,"",A26)</f>
        <v>44669</v>
      </c>
      <c r="E26" s="14">
        <f>IF(C26&lt;&gt;$C$2,"",A26)</f>
        <v>44669</v>
      </c>
      <c r="F26" s="25" t="str">
        <f>IFERROR(VLOOKUP($D26,PARAMETRE!$E$3:$F$13,2,FALSE),0)</f>
        <v>LUNDI DE PÂQUES</v>
      </c>
      <c r="G26" s="116">
        <f>IF(B26=2,_xlfn.ISOWEEKNUM(E26),"")</f>
        <v>16</v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/>
      <c r="B27" s="27">
        <f t="shared" ref="B27" si="11">B26</f>
        <v>2</v>
      </c>
      <c r="C27" s="27"/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>
        <f>IF(WEEKDAY(A26)=6,A26+3,A26+1)</f>
        <v>44670</v>
      </c>
      <c r="B28" s="27">
        <f>IF(C28&lt;&gt;$C$2,"",WEEKDAY(D28))</f>
        <v>3</v>
      </c>
      <c r="C28" s="27">
        <f>MONTH(A28)</f>
        <v>4</v>
      </c>
      <c r="D28" s="11">
        <f>IF(C28&lt;&gt;$C$2,"",A28)</f>
        <v>44670</v>
      </c>
      <c r="E28" s="14">
        <f>IF(C28&lt;&gt;$C$2,"",A28)</f>
        <v>44670</v>
      </c>
      <c r="F28" s="25">
        <f>IFERROR(VLOOKUP($D28,PARAMETRE!$E$3:$F$13,2,FALSE),0)</f>
        <v>0</v>
      </c>
      <c r="G28" s="116" t="str">
        <f>IF(B28=2,_xlfn.ISOWEEKNUM(E28),"")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3</v>
      </c>
      <c r="C29" s="27"/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>
        <f>IF(WEEKDAY(A28)=6,A28+3,A28+1)</f>
        <v>44671</v>
      </c>
      <c r="B30" s="27">
        <f>IF(C30&lt;&gt;$C$2,"",WEEKDAY(D30))</f>
        <v>4</v>
      </c>
      <c r="C30" s="27">
        <f>MONTH(A30)</f>
        <v>4</v>
      </c>
      <c r="D30" s="11">
        <f>IF(C30&lt;&gt;$C$2,"",A30)</f>
        <v>44671</v>
      </c>
      <c r="E30" s="14">
        <f>IF(C30&lt;&gt;$C$2,"",A30)</f>
        <v>44671</v>
      </c>
      <c r="F30" s="25">
        <f>IFERROR(VLOOKUP($D30,PARAMETRE!$E$3:$F$13,2,FALSE),0)</f>
        <v>0</v>
      </c>
      <c r="G30" s="116" t="str">
        <f>IF(B30=2,_xlfn.ISOWEEKNUM(E30),"")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4</v>
      </c>
      <c r="C31" s="27"/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>
        <f>IF(WEEKDAY(A30)=6,A30+3,A30+1)</f>
        <v>44672</v>
      </c>
      <c r="B32" s="27">
        <f>IF(C32&lt;&gt;$C$2,"",WEEKDAY(D32))</f>
        <v>5</v>
      </c>
      <c r="C32" s="27">
        <f>MONTH(A32)</f>
        <v>4</v>
      </c>
      <c r="D32" s="11">
        <f>IF(C32&lt;&gt;$C$2,"",A32)</f>
        <v>44672</v>
      </c>
      <c r="E32" s="14">
        <f>IF(C32&lt;&gt;$C$2,"",A32)</f>
        <v>44672</v>
      </c>
      <c r="F32" s="25">
        <f>IFERROR(VLOOKUP($D32,PARAMETRE!$E$3:$F$13,2,FALSE),0)</f>
        <v>0</v>
      </c>
      <c r="G32" s="116" t="str">
        <f>IF(B32=2,_xlfn.ISOWEEKNUM(E32),"")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/>
      <c r="B33" s="27">
        <f t="shared" ref="B33" si="14">B32</f>
        <v>5</v>
      </c>
      <c r="C33" s="27"/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>
        <f>IF(WEEKDAY(A32)=6,A32+3,A32+1)</f>
        <v>44673</v>
      </c>
      <c r="B34" s="27">
        <f>IF(C34&lt;&gt;$C$2,"",WEEKDAY(D34))</f>
        <v>6</v>
      </c>
      <c r="C34" s="27">
        <f>MONTH(A34)</f>
        <v>4</v>
      </c>
      <c r="D34" s="11">
        <f>IF(C34&lt;&gt;$C$2,"",A34)</f>
        <v>44673</v>
      </c>
      <c r="E34" s="14">
        <f>IF(C34&lt;&gt;$C$2,"",A34)</f>
        <v>44673</v>
      </c>
      <c r="F34" s="25">
        <f>IFERROR(VLOOKUP($D34,PARAMETRE!$E$3:$F$13,2,FALSE),0)</f>
        <v>0</v>
      </c>
      <c r="G34" s="116" t="str">
        <f>IF(B34=2,_xlfn.ISOWEEKNUM(E34),"")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/>
      <c r="B35" s="27">
        <f t="shared" ref="B35" si="15">B34</f>
        <v>6</v>
      </c>
      <c r="C35" s="27"/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>
        <f>IF(WEEKDAY(A34)=6,A34+3,A34+1)</f>
        <v>44676</v>
      </c>
      <c r="B36" s="27">
        <f>IF(C36&lt;&gt;$C$2,"",WEEKDAY(D36))</f>
        <v>2</v>
      </c>
      <c r="C36" s="27">
        <f>MONTH(A36)</f>
        <v>4</v>
      </c>
      <c r="D36" s="11">
        <f>IF(C36&lt;&gt;$C$2,"",A36)</f>
        <v>44676</v>
      </c>
      <c r="E36" s="14">
        <f>IF(C36&lt;&gt;$C$2,"",A36)</f>
        <v>44676</v>
      </c>
      <c r="F36" s="25">
        <f>IFERROR(VLOOKUP($D36,PARAMETRE!$E$3:$F$13,2,FALSE),0)</f>
        <v>0</v>
      </c>
      <c r="G36" s="116">
        <f>IF(B36=2,_xlfn.ISOWEEKNUM(E36),"")</f>
        <v>17</v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2</v>
      </c>
      <c r="C37" s="27"/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>
        <f>IF(WEEKDAY(A36)=6,A36+3,A36+1)</f>
        <v>44677</v>
      </c>
      <c r="B38" s="27">
        <f>IF(C38&lt;&gt;$C$2,"",WEEKDAY(D38))</f>
        <v>3</v>
      </c>
      <c r="C38" s="27">
        <f>MONTH(A38)</f>
        <v>4</v>
      </c>
      <c r="D38" s="11">
        <f>IF(C38&lt;&gt;$C$2,"",A38)</f>
        <v>44677</v>
      </c>
      <c r="E38" s="14">
        <f>IF(C38&lt;&gt;$C$2,"",A38)</f>
        <v>44677</v>
      </c>
      <c r="F38" s="25">
        <f>IFERROR(VLOOKUP($D38,PARAMETRE!$E$3:$F$13,2,FALSE),0)</f>
        <v>0</v>
      </c>
      <c r="G38" s="116" t="str">
        <f>IF(B38=2,_xlfn.ISOWEEKNUM(E38),"")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/>
      <c r="B39" s="27">
        <f t="shared" ref="B39" si="17">B38</f>
        <v>3</v>
      </c>
      <c r="C39" s="27"/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>
        <f>IF(WEEKDAY(A38)=6,A38+3,A38+1)</f>
        <v>44678</v>
      </c>
      <c r="B40" s="27">
        <f>IF(C40&lt;&gt;$C$2,"",WEEKDAY(D40))</f>
        <v>4</v>
      </c>
      <c r="C40" s="27">
        <f>MONTH(A40)</f>
        <v>4</v>
      </c>
      <c r="D40" s="11">
        <f>IF(C40&lt;&gt;$C$2,"",A40)</f>
        <v>44678</v>
      </c>
      <c r="E40" s="14">
        <f>IF(C40&lt;&gt;$C$2,"",A40)</f>
        <v>44678</v>
      </c>
      <c r="F40" s="25">
        <f>IFERROR(VLOOKUP($D40,PARAMETRE!$E$3:$F$13,2,FALSE),0)</f>
        <v>0</v>
      </c>
      <c r="G40" s="116" t="str">
        <f>IF(B40=2,_xlfn.ISOWEEKNUM(E40),"")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/>
      <c r="B41" s="27">
        <f t="shared" ref="B41" si="18">B40</f>
        <v>4</v>
      </c>
      <c r="C41" s="27"/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>
        <f>IF(WEEKDAY(A40)=6,A40+3,A40+1)</f>
        <v>44679</v>
      </c>
      <c r="B42" s="27">
        <f>IF(C42&lt;&gt;$C$2,"",WEEKDAY(D42))</f>
        <v>5</v>
      </c>
      <c r="C42" s="27">
        <f>MONTH(A42)</f>
        <v>4</v>
      </c>
      <c r="D42" s="11">
        <f>IF(C42&lt;&gt;$C$2,"",A42)</f>
        <v>44679</v>
      </c>
      <c r="E42" s="14">
        <f>IF(C42&lt;&gt;$C$2,"",A42)</f>
        <v>44679</v>
      </c>
      <c r="F42" s="25">
        <f>IFERROR(VLOOKUP($D42,PARAMETRE!$E$3:$F$13,2,FALSE),0)</f>
        <v>0</v>
      </c>
      <c r="G42" s="116" t="str">
        <f>IF(B42=2,_xlfn.ISOWEEKNUM(E42),"")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5</v>
      </c>
      <c r="C43" s="27"/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44680</v>
      </c>
      <c r="B44" s="27">
        <f>IF(C44&lt;&gt;$C$2,"",WEEKDAY(D44))</f>
        <v>6</v>
      </c>
      <c r="C44" s="27">
        <f>MONTH(A44)</f>
        <v>4</v>
      </c>
      <c r="D44" s="11">
        <f>IF(C44&lt;&gt;$C$2,"",A44)</f>
        <v>44680</v>
      </c>
      <c r="E44" s="14">
        <f>IF(C44&lt;&gt;$C$2,"",A44)</f>
        <v>44680</v>
      </c>
      <c r="F44" s="25">
        <f>IFERROR(VLOOKUP($D44,PARAMETRE!$E$3:$F$13,2,FALSE),0)</f>
        <v>0</v>
      </c>
      <c r="G44" s="116" t="str">
        <f>IF(B44=2,_xlfn.ISOWEEKNUM(E44),"")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/>
      <c r="B45" s="27">
        <f>B44</f>
        <v>6</v>
      </c>
      <c r="C45" s="27"/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>
        <f>IF(WEEKDAY(A44)=6,A44+3,A44+1)</f>
        <v>44683</v>
      </c>
      <c r="B46" s="27" t="str">
        <f>IF(C46&lt;&gt;$C$2,"",WEEKDAY(D46))</f>
        <v/>
      </c>
      <c r="C46" s="27">
        <f>MONTH(A46)</f>
        <v>5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/>
      <c r="B47" s="27" t="str">
        <f t="shared" ref="B47" si="19">B46</f>
        <v/>
      </c>
      <c r="C47" s="27"/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>
        <f>IF(WEEKDAY(A46)=6,A46+3,A46+1)</f>
        <v>44684</v>
      </c>
      <c r="B48" s="27" t="str">
        <f>IF(C48&lt;&gt;$C$2,"",WEEKDAY(D48))</f>
        <v/>
      </c>
      <c r="C48" s="27">
        <f>MONTH(A48)</f>
        <v>5</v>
      </c>
      <c r="D48" s="11" t="str">
        <f>IF(C48&lt;&gt;$C$2,"",A48)</f>
        <v/>
      </c>
      <c r="E48" s="14" t="str">
        <f>IF(C48&lt;&gt;$C$2,"",A48)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C49" s="7"/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C50" s="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C51" s="7"/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C52" s="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C53" s="7"/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C54" s="6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/>
      <c r="B55"/>
      <c r="C55" s="6"/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I60" s="29"/>
    </row>
    <row r="61" spans="1:35" ht="11.5" customHeight="1">
      <c r="A61"/>
      <c r="B61"/>
      <c r="AI61" s="29"/>
    </row>
    <row r="62" spans="1:35" ht="11.5" customHeight="1">
      <c r="L62"/>
      <c r="M62"/>
      <c r="N62"/>
    </row>
    <row r="63" spans="1:35" ht="11.5" customHeight="1">
      <c r="AI63" s="29"/>
    </row>
    <row r="64" spans="1:35" ht="11.5" customHeight="1">
      <c r="AI64" s="29"/>
    </row>
    <row r="65" spans="11:35" ht="11.5" customHeight="1">
      <c r="AI65" s="29"/>
    </row>
    <row r="66" spans="11:35" ht="11.5" customHeight="1">
      <c r="AH66" s="29"/>
      <c r="AI66" s="29"/>
    </row>
    <row r="67" spans="11:35" ht="11.5" customHeight="1">
      <c r="AH67" s="29"/>
      <c r="AI67" s="29"/>
    </row>
    <row r="68" spans="11:35" ht="11.5" customHeight="1">
      <c r="K68" s="85"/>
      <c r="L68"/>
      <c r="M68"/>
      <c r="N68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78" priority="3" stopIfTrue="1">
      <formula>$F4&lt;&gt;0</formula>
    </cfRule>
  </conditionalFormatting>
  <conditionalFormatting sqref="G4:P55 R4:R55 T4:T55 V4:V55">
    <cfRule type="expression" dxfId="77" priority="1" stopIfTrue="1">
      <formula>$H4="DAV"</formula>
    </cfRule>
    <cfRule type="expression" dxfId="76" priority="2" stopIfTrue="1">
      <formula>$J4="DAV"</formula>
    </cfRule>
    <cfRule type="expression" dxfId="75" priority="4">
      <formula>$I4="AT"</formula>
    </cfRule>
    <cfRule type="expression" dxfId="74" priority="5">
      <formula>$H4="AT"</formula>
    </cfRule>
    <cfRule type="expression" dxfId="73" priority="6">
      <formula>$J4="AT"</formula>
    </cfRule>
  </conditionalFormatting>
  <conditionalFormatting sqref="D16:P55 R6:R55 T6:T55 V6:V55">
    <cfRule type="expression" dxfId="72" priority="7" stopIfTrue="1">
      <formula>$B6=2</formula>
    </cfRule>
  </conditionalFormatting>
  <conditionalFormatting sqref="D6:P15">
    <cfRule type="expression" dxfId="71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C1CCCCA-3D6C-8149-9EA3-18E2ACC52666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E5978521-BA77-D64E-84ED-F019BD158B0B}">
          <x14:formula1>
            <xm:f>PARAMETRE!$I$3:$I$7</xm:f>
          </x14:formula1>
          <xm:sqref>P4:P49</xm:sqref>
        </x14:dataValidation>
        <x14:dataValidation type="list" allowBlank="1" showInputMessage="1" showErrorMessage="1" xr:uid="{F6E89AF2-93DB-364A-ADA0-854FB1377BC9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EF17CF89-B67E-944D-8096-C7BB666335FC}">
          <x14:formula1>
            <xm:f>PARAMETRE!$G$3:$G$13</xm:f>
          </x14:formula1>
          <xm:sqref>M4:M48</xm:sqref>
        </x14:dataValidation>
        <x14:dataValidation type="list" allowBlank="1" showInputMessage="1" showErrorMessage="1" xr:uid="{B54B26AB-BB56-344E-9CC1-B0DB26B46622}">
          <x14:formula1>
            <xm:f>PARAMETRE!$D$3:$D$163</xm:f>
          </x14:formula1>
          <xm:sqref>S4:S55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8D669-1007-C549-8EFF-0563C2662637}">
  <sheetPr>
    <pageSetUpPr fitToPage="1"/>
  </sheetPr>
  <dimension ref="A1:AL68"/>
  <sheetViews>
    <sheetView showGridLines="0" zoomScale="87" zoomScaleNormal="194" zoomScaleSheetLayoutView="69" zoomScalePageLayoutView="93" workbookViewId="0">
      <selection sqref="A1:C13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29"/>
      <c r="E1" s="229"/>
      <c r="F1" s="87"/>
      <c r="G1" s="230">
        <f>DATE(Installation!C4,Installation!C6+4,1)</f>
        <v>44682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B2" s="26"/>
      <c r="C2" s="27">
        <f>MONTH(G1)</f>
        <v>5</v>
      </c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B3" s="26"/>
      <c r="C3" s="27"/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A4" s="26">
        <f>IF(WEEKDAY(G1)=7,G1+2,IF(WEEKDAY(G1)=1,G1+1,G1))</f>
        <v>44683</v>
      </c>
      <c r="B4" s="27">
        <f>IF(C4&lt;&gt;$C$2,"",WEEKDAY(D4))</f>
        <v>2</v>
      </c>
      <c r="C4" s="27">
        <f>MONTH(A4)</f>
        <v>5</v>
      </c>
      <c r="D4" s="11">
        <f>IF(C4&lt;&gt;$C$2,"",A4)</f>
        <v>44683</v>
      </c>
      <c r="E4" s="14">
        <f>IF(C4&lt;&gt;$C$2,"",A4)</f>
        <v>44683</v>
      </c>
      <c r="F4" s="25">
        <f>IFERROR(VLOOKUP($D4,PARAMETRE!$E$3:$F$13,2,FALSE),0)</f>
        <v>0</v>
      </c>
      <c r="G4" s="116">
        <f>IF(B4=2,_xlfn.ISOWEEKNUM(E4),"")</f>
        <v>18</v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A5" s="26"/>
      <c r="B5" s="27">
        <f t="shared" ref="B5" si="0">B4</f>
        <v>2</v>
      </c>
      <c r="C5" s="27"/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A6" s="26">
        <f>IF(WEEKDAY(A4)=6,A4+3,A4+1)</f>
        <v>44684</v>
      </c>
      <c r="B6" s="27">
        <f>IF(C6&lt;&gt;$C$2,"",WEEKDAY(D6))</f>
        <v>3</v>
      </c>
      <c r="C6" s="27">
        <f>MONTH(A6)</f>
        <v>5</v>
      </c>
      <c r="D6" s="11">
        <f>IF(C6&lt;&gt;$C$2,"",A6)</f>
        <v>44684</v>
      </c>
      <c r="E6" s="14">
        <f>IF(C6&lt;&gt;$C$2,"",A6)</f>
        <v>44684</v>
      </c>
      <c r="F6" s="25">
        <f>IFERROR(VLOOKUP($D6,PARAMETRE!$E$3:$F$13,2,FALSE),0)</f>
        <v>0</v>
      </c>
      <c r="G6" s="116" t="str">
        <f>IF(B6=2,_xlfn.ISOWEEKNUM(E6),"")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A7" s="26"/>
      <c r="B7" s="27">
        <f t="shared" ref="B7" si="1">B6</f>
        <v>3</v>
      </c>
      <c r="C7" s="27"/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A8" s="26">
        <f>IF(WEEKDAY(A6)=6,A6+3,A6+1)</f>
        <v>44685</v>
      </c>
      <c r="B8" s="27">
        <f>IF(C8&lt;&gt;$C$2,"",WEEKDAY(D8))</f>
        <v>4</v>
      </c>
      <c r="C8" s="27">
        <f>MONTH(A8)</f>
        <v>5</v>
      </c>
      <c r="D8" s="11">
        <f>IF(C8&lt;&gt;$C$2,"",A8)</f>
        <v>44685</v>
      </c>
      <c r="E8" s="14">
        <f>IF(C8&lt;&gt;$C$2,"",A8)</f>
        <v>44685</v>
      </c>
      <c r="F8" s="25">
        <f>IFERROR(VLOOKUP($D8,PARAMETRE!$E$3:$F$13,2,FALSE),0)</f>
        <v>0</v>
      </c>
      <c r="G8" s="116" t="str">
        <f>IF(B8=2,_xlfn.ISOWEEKNUM(E8),"")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A9" s="26"/>
      <c r="B9" s="27">
        <f t="shared" ref="B9" si="2">B8</f>
        <v>4</v>
      </c>
      <c r="C9" s="27"/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A10" s="26">
        <f>IF(WEEKDAY(A8)=6,A8+3,A8+1)</f>
        <v>44686</v>
      </c>
      <c r="B10" s="27">
        <f>IF(C10&lt;&gt;$C$2,"",WEEKDAY(D10))</f>
        <v>5</v>
      </c>
      <c r="C10" s="27">
        <f>MONTH(A10)</f>
        <v>5</v>
      </c>
      <c r="D10" s="11">
        <f>IF(C10&lt;&gt;$C$2,"",A10)</f>
        <v>44686</v>
      </c>
      <c r="E10" s="14">
        <f>IF(C10&lt;&gt;$C$2,"",A10)</f>
        <v>44686</v>
      </c>
      <c r="F10" s="25">
        <f>IFERROR(VLOOKUP($D10,PARAMETRE!$E$3:$F$13,2,FALSE),0)</f>
        <v>0</v>
      </c>
      <c r="G10" s="116" t="str">
        <f>IF(B10=2,_xlfn.ISOWEEKNUM(E10),"")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A11" s="26"/>
      <c r="B11" s="27">
        <f t="shared" ref="B11" si="3">B10</f>
        <v>5</v>
      </c>
      <c r="C11" s="27"/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A12" s="26">
        <f>IF(WEEKDAY(A10)=6,A10+3,A10+1)</f>
        <v>44687</v>
      </c>
      <c r="B12" s="27">
        <f>IF(C12&lt;&gt;$C$2,"",WEEKDAY(D12))</f>
        <v>6</v>
      </c>
      <c r="C12" s="27">
        <f>MONTH(A12)</f>
        <v>5</v>
      </c>
      <c r="D12" s="11">
        <f>IF(C12&lt;&gt;$C$2,"",A12)</f>
        <v>44687</v>
      </c>
      <c r="E12" s="14">
        <f>IF(C12&lt;&gt;$C$2,"",A12)</f>
        <v>44687</v>
      </c>
      <c r="F12" s="25">
        <f>IFERROR(VLOOKUP($D12,PARAMETRE!$E$3:$F$13,2,FALSE),0)</f>
        <v>0</v>
      </c>
      <c r="G12" s="116" t="str">
        <f>IF(B12=2,_xlfn.ISOWEEKNUM(E12),"")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A13" s="26"/>
      <c r="B13" s="27">
        <f t="shared" ref="B13" si="4">B12</f>
        <v>6</v>
      </c>
      <c r="C13" s="27"/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>
        <f>IF(WEEKDAY(A12)=6,A12+3,A12+1)</f>
        <v>44690</v>
      </c>
      <c r="B14" s="27">
        <f>IF(C14&lt;&gt;$C$2,"",WEEKDAY(D14))</f>
        <v>2</v>
      </c>
      <c r="C14" s="27">
        <f>MONTH(A14)</f>
        <v>5</v>
      </c>
      <c r="D14" s="11">
        <f>IF(C14&lt;&gt;$C$2,"",A14)</f>
        <v>44690</v>
      </c>
      <c r="E14" s="14">
        <f>IF(C14&lt;&gt;$C$2,"",A14)</f>
        <v>44690</v>
      </c>
      <c r="F14" s="25">
        <f>IFERROR(VLOOKUP($D14,PARAMETRE!$E$3:$F$13,2,FALSE),0)</f>
        <v>0</v>
      </c>
      <c r="G14" s="116">
        <f>IF(B14=2,_xlfn.ISOWEEKNUM(E14),"")</f>
        <v>19</v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A15" s="26"/>
      <c r="B15" s="27">
        <f t="shared" ref="B15" si="5">B14</f>
        <v>2</v>
      </c>
      <c r="C15" s="27"/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A16" s="26">
        <f>IF(WEEKDAY(A14)=6,A14+3,A14+1)</f>
        <v>44691</v>
      </c>
      <c r="B16" s="27">
        <f>IF(C16&lt;&gt;$C$2,"",WEEKDAY(D16))</f>
        <v>3</v>
      </c>
      <c r="C16" s="27">
        <f>MONTH(A16)</f>
        <v>5</v>
      </c>
      <c r="D16" s="11">
        <f>IF(C16&lt;&gt;$C$2,"",A16)</f>
        <v>44691</v>
      </c>
      <c r="E16" s="14">
        <f>IF(C16&lt;&gt;$C$2,"",A16)</f>
        <v>44691</v>
      </c>
      <c r="F16" s="25">
        <f>IFERROR(VLOOKUP($D16,PARAMETRE!$E$3:$F$13,2,FALSE),0)</f>
        <v>0</v>
      </c>
      <c r="G16" s="116" t="str">
        <f>IF(B16=2,_xlfn.ISOWEEKNUM(E16),"")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/>
      <c r="B17" s="27">
        <f t="shared" ref="B17" si="6">B16</f>
        <v>3</v>
      </c>
      <c r="C17" s="27"/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44692</v>
      </c>
      <c r="B18" s="27">
        <f>IF(C18&lt;&gt;$C$2,"",WEEKDAY(D18))</f>
        <v>4</v>
      </c>
      <c r="C18" s="27">
        <f>MONTH(A18)</f>
        <v>5</v>
      </c>
      <c r="D18" s="11">
        <f>IF(C18&lt;&gt;$C$2,"",A18)</f>
        <v>44692</v>
      </c>
      <c r="E18" s="14">
        <f>IF(C18&lt;&gt;$C$2,"",A18)</f>
        <v>44692</v>
      </c>
      <c r="F18" s="25">
        <f>IFERROR(VLOOKUP($D18,PARAMETRE!$E$3:$F$13,2,FALSE),0)</f>
        <v>0</v>
      </c>
      <c r="G18" s="116" t="str">
        <f>IF(B18=2,_xlfn.ISOWEEKNUM(E18),"")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/>
      <c r="B19" s="27">
        <f t="shared" ref="B19" si="7">B18</f>
        <v>4</v>
      </c>
      <c r="C19" s="27"/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>
        <f>IF(WEEKDAY(A18)=6,A18+3,A18+1)</f>
        <v>44693</v>
      </c>
      <c r="B20" s="27">
        <f>IF(C20&lt;&gt;$C$2,"",WEEKDAY(D20))</f>
        <v>5</v>
      </c>
      <c r="C20" s="27">
        <f>MONTH(A20)</f>
        <v>5</v>
      </c>
      <c r="D20" s="11">
        <f>IF(C20&lt;&gt;$C$2,"",A20)</f>
        <v>44693</v>
      </c>
      <c r="E20" s="14">
        <f>IF(C20&lt;&gt;$C$2,"",A20)</f>
        <v>44693</v>
      </c>
      <c r="F20" s="25">
        <f>IFERROR(VLOOKUP($D20,PARAMETRE!$E$3:$F$13,2,FALSE),0)</f>
        <v>0</v>
      </c>
      <c r="G20" s="116" t="str">
        <f>IF(B20=2,_xlfn.ISOWEEKNUM(E20),"")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/>
      <c r="B21" s="27">
        <f t="shared" ref="B21" si="8">B20</f>
        <v>5</v>
      </c>
      <c r="C21" s="27"/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>
        <f>IF(WEEKDAY(A20)=6,A20+3,A20+1)</f>
        <v>44694</v>
      </c>
      <c r="B22" s="27">
        <f>IF(C22&lt;&gt;$C$2,"",WEEKDAY(D22))</f>
        <v>6</v>
      </c>
      <c r="C22" s="27">
        <f>MONTH(A22)</f>
        <v>5</v>
      </c>
      <c r="D22" s="11">
        <f>IF(C22&lt;&gt;$C$2,"",A22)</f>
        <v>44694</v>
      </c>
      <c r="E22" s="14">
        <f>IF(C22&lt;&gt;$C$2,"",A22)</f>
        <v>44694</v>
      </c>
      <c r="F22" s="25">
        <f>IFERROR(VLOOKUP($D22,PARAMETRE!$E$3:$F$13,2,FALSE),0)</f>
        <v>0</v>
      </c>
      <c r="G22" s="116" t="str">
        <f>IF(B22=2,_xlfn.ISOWEEKNUM(E22),"")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/>
      <c r="B23" s="27">
        <f t="shared" ref="B23" si="9">B22</f>
        <v>6</v>
      </c>
      <c r="C23" s="27"/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>
        <f>IF(WEEKDAY(A22)=6,A22+3,A22+1)</f>
        <v>44697</v>
      </c>
      <c r="B24" s="27">
        <f>IF(C24&lt;&gt;$C$2,"",WEEKDAY(D24))</f>
        <v>2</v>
      </c>
      <c r="C24" s="27">
        <f>MONTH(A24)</f>
        <v>5</v>
      </c>
      <c r="D24" s="11">
        <f>IF(C24&lt;&gt;$C$2,"",A24)</f>
        <v>44697</v>
      </c>
      <c r="E24" s="14">
        <f>IF(C24&lt;&gt;$C$2,"",A24)</f>
        <v>44697</v>
      </c>
      <c r="F24" s="25">
        <f>IFERROR(VLOOKUP($D24,PARAMETRE!$E$3:$F$13,2,FALSE),0)</f>
        <v>0</v>
      </c>
      <c r="G24" s="116">
        <f>IF(B24=2,_xlfn.ISOWEEKNUM(E24),"")</f>
        <v>20</v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/>
      <c r="B25" s="27">
        <f t="shared" ref="B25" si="10">B24</f>
        <v>2</v>
      </c>
      <c r="C25" s="27"/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>
        <f>IF(WEEKDAY(A24)=6,A24+3,A24+1)</f>
        <v>44698</v>
      </c>
      <c r="B26" s="27">
        <f>IF(C26&lt;&gt;$C$2,"",WEEKDAY(D26))</f>
        <v>3</v>
      </c>
      <c r="C26" s="27">
        <f>MONTH(A26)</f>
        <v>5</v>
      </c>
      <c r="D26" s="11">
        <f>IF(C26&lt;&gt;$C$2,"",A26)</f>
        <v>44698</v>
      </c>
      <c r="E26" s="14">
        <f>IF(C26&lt;&gt;$C$2,"",A26)</f>
        <v>44698</v>
      </c>
      <c r="F26" s="25">
        <f>IFERROR(VLOOKUP($D26,PARAMETRE!$E$3:$F$13,2,FALSE),0)</f>
        <v>0</v>
      </c>
      <c r="G26" s="116" t="str">
        <f>IF(B26=2,_xlfn.ISOWEEKNUM(E26),"")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/>
      <c r="B27" s="27">
        <f t="shared" ref="B27" si="11">B26</f>
        <v>3</v>
      </c>
      <c r="C27" s="27"/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>
        <f>IF(WEEKDAY(A26)=6,A26+3,A26+1)</f>
        <v>44699</v>
      </c>
      <c r="B28" s="27">
        <f>IF(C28&lt;&gt;$C$2,"",WEEKDAY(D28))</f>
        <v>4</v>
      </c>
      <c r="C28" s="27">
        <f>MONTH(A28)</f>
        <v>5</v>
      </c>
      <c r="D28" s="11">
        <f>IF(C28&lt;&gt;$C$2,"",A28)</f>
        <v>44699</v>
      </c>
      <c r="E28" s="14">
        <f>IF(C28&lt;&gt;$C$2,"",A28)</f>
        <v>44699</v>
      </c>
      <c r="F28" s="25">
        <f>IFERROR(VLOOKUP($D28,PARAMETRE!$E$3:$F$13,2,FALSE),0)</f>
        <v>0</v>
      </c>
      <c r="G28" s="116" t="str">
        <f>IF(B28=2,_xlfn.ISOWEEKNUM(E28),"")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4</v>
      </c>
      <c r="C29" s="27"/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>
        <f>IF(WEEKDAY(A28)=6,A28+3,A28+1)</f>
        <v>44700</v>
      </c>
      <c r="B30" s="27">
        <f>IF(C30&lt;&gt;$C$2,"",WEEKDAY(D30))</f>
        <v>5</v>
      </c>
      <c r="C30" s="27">
        <f>MONTH(A30)</f>
        <v>5</v>
      </c>
      <c r="D30" s="11">
        <f>IF(C30&lt;&gt;$C$2,"",A30)</f>
        <v>44700</v>
      </c>
      <c r="E30" s="14">
        <f>IF(C30&lt;&gt;$C$2,"",A30)</f>
        <v>44700</v>
      </c>
      <c r="F30" s="25">
        <f>IFERROR(VLOOKUP($D30,PARAMETRE!$E$3:$F$13,2,FALSE),0)</f>
        <v>0</v>
      </c>
      <c r="G30" s="116" t="str">
        <f>IF(B30=2,_xlfn.ISOWEEKNUM(E30),"")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5</v>
      </c>
      <c r="C31" s="27"/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>
        <f>IF(WEEKDAY(A30)=6,A30+3,A30+1)</f>
        <v>44701</v>
      </c>
      <c r="B32" s="27">
        <f>IF(C32&lt;&gt;$C$2,"",WEEKDAY(D32))</f>
        <v>6</v>
      </c>
      <c r="C32" s="27">
        <f>MONTH(A32)</f>
        <v>5</v>
      </c>
      <c r="D32" s="11">
        <f>IF(C32&lt;&gt;$C$2,"",A32)</f>
        <v>44701</v>
      </c>
      <c r="E32" s="14">
        <f>IF(C32&lt;&gt;$C$2,"",A32)</f>
        <v>44701</v>
      </c>
      <c r="F32" s="25">
        <f>IFERROR(VLOOKUP($D32,PARAMETRE!$E$3:$F$13,2,FALSE),0)</f>
        <v>0</v>
      </c>
      <c r="G32" s="116" t="str">
        <f>IF(B32=2,_xlfn.ISOWEEKNUM(E32),"")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/>
      <c r="B33" s="27">
        <f t="shared" ref="B33" si="14">B32</f>
        <v>6</v>
      </c>
      <c r="C33" s="27"/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>
        <f>IF(WEEKDAY(A32)=6,A32+3,A32+1)</f>
        <v>44704</v>
      </c>
      <c r="B34" s="27">
        <f>IF(C34&lt;&gt;$C$2,"",WEEKDAY(D34))</f>
        <v>2</v>
      </c>
      <c r="C34" s="27">
        <f>MONTH(A34)</f>
        <v>5</v>
      </c>
      <c r="D34" s="11">
        <f>IF(C34&lt;&gt;$C$2,"",A34)</f>
        <v>44704</v>
      </c>
      <c r="E34" s="14">
        <f>IF(C34&lt;&gt;$C$2,"",A34)</f>
        <v>44704</v>
      </c>
      <c r="F34" s="25">
        <f>IFERROR(VLOOKUP($D34,PARAMETRE!$E$3:$F$13,2,FALSE),0)</f>
        <v>0</v>
      </c>
      <c r="G34" s="116">
        <f>IF(B34=2,_xlfn.ISOWEEKNUM(E34),"")</f>
        <v>21</v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/>
      <c r="B35" s="27">
        <f t="shared" ref="B35" si="15">B34</f>
        <v>2</v>
      </c>
      <c r="C35" s="27"/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>
        <f>IF(WEEKDAY(A34)=6,A34+3,A34+1)</f>
        <v>44705</v>
      </c>
      <c r="B36" s="27">
        <f>IF(C36&lt;&gt;$C$2,"",WEEKDAY(D36))</f>
        <v>3</v>
      </c>
      <c r="C36" s="27">
        <f>MONTH(A36)</f>
        <v>5</v>
      </c>
      <c r="D36" s="11">
        <f>IF(C36&lt;&gt;$C$2,"",A36)</f>
        <v>44705</v>
      </c>
      <c r="E36" s="14">
        <f>IF(C36&lt;&gt;$C$2,"",A36)</f>
        <v>44705</v>
      </c>
      <c r="F36" s="25">
        <f>IFERROR(VLOOKUP($D36,PARAMETRE!$E$3:$F$13,2,FALSE),0)</f>
        <v>0</v>
      </c>
      <c r="G36" s="116" t="str">
        <f>IF(B36=2,_xlfn.ISOWEEKNUM(E36),"")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3</v>
      </c>
      <c r="C37" s="27"/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>
        <f>IF(WEEKDAY(A36)=6,A36+3,A36+1)</f>
        <v>44706</v>
      </c>
      <c r="B38" s="27">
        <f>IF(C38&lt;&gt;$C$2,"",WEEKDAY(D38))</f>
        <v>4</v>
      </c>
      <c r="C38" s="27">
        <f>MONTH(A38)</f>
        <v>5</v>
      </c>
      <c r="D38" s="11">
        <f>IF(C38&lt;&gt;$C$2,"",A38)</f>
        <v>44706</v>
      </c>
      <c r="E38" s="14">
        <f>IF(C38&lt;&gt;$C$2,"",A38)</f>
        <v>44706</v>
      </c>
      <c r="F38" s="25">
        <f>IFERROR(VLOOKUP($D38,PARAMETRE!$E$3:$F$13,2,FALSE),0)</f>
        <v>0</v>
      </c>
      <c r="G38" s="116" t="str">
        <f>IF(B38=2,_xlfn.ISOWEEKNUM(E38),"")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/>
      <c r="B39" s="27">
        <f t="shared" ref="B39" si="17">B38</f>
        <v>4</v>
      </c>
      <c r="C39" s="27"/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>
        <f>IF(WEEKDAY(A38)=6,A38+3,A38+1)</f>
        <v>44707</v>
      </c>
      <c r="B40" s="27">
        <f>IF(C40&lt;&gt;$C$2,"",WEEKDAY(D40))</f>
        <v>5</v>
      </c>
      <c r="C40" s="27">
        <f>MONTH(A40)</f>
        <v>5</v>
      </c>
      <c r="D40" s="11">
        <f>IF(C40&lt;&gt;$C$2,"",A40)</f>
        <v>44707</v>
      </c>
      <c r="E40" s="14">
        <f>IF(C40&lt;&gt;$C$2,"",A40)</f>
        <v>44707</v>
      </c>
      <c r="F40" s="25" t="str">
        <f>IFERROR(VLOOKUP($D40,PARAMETRE!$E$3:$F$13,2,FALSE),0)</f>
        <v>ASCENSION</v>
      </c>
      <c r="G40" s="116" t="str">
        <f>IF(B40=2,_xlfn.ISOWEEKNUM(E40),"")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/>
      <c r="B41" s="27">
        <f t="shared" ref="B41" si="18">B40</f>
        <v>5</v>
      </c>
      <c r="C41" s="27"/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>
        <f>IF(WEEKDAY(A40)=6,A40+3,A40+1)</f>
        <v>44708</v>
      </c>
      <c r="B42" s="27">
        <f>IF(C42&lt;&gt;$C$2,"",WEEKDAY(D42))</f>
        <v>6</v>
      </c>
      <c r="C42" s="27">
        <f>MONTH(A42)</f>
        <v>5</v>
      </c>
      <c r="D42" s="11">
        <f>IF(C42&lt;&gt;$C$2,"",A42)</f>
        <v>44708</v>
      </c>
      <c r="E42" s="14">
        <f>IF(C42&lt;&gt;$C$2,"",A42)</f>
        <v>44708</v>
      </c>
      <c r="F42" s="25">
        <f>IFERROR(VLOOKUP($D42,PARAMETRE!$E$3:$F$13,2,FALSE),0)</f>
        <v>0</v>
      </c>
      <c r="G42" s="116" t="str">
        <f>IF(B42=2,_xlfn.ISOWEEKNUM(E42),"")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6</v>
      </c>
      <c r="C43" s="27"/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44711</v>
      </c>
      <c r="B44" s="27">
        <f>IF(C44&lt;&gt;$C$2,"",WEEKDAY(D44))</f>
        <v>2</v>
      </c>
      <c r="C44" s="27">
        <f>MONTH(A44)</f>
        <v>5</v>
      </c>
      <c r="D44" s="11">
        <f>IF(C44&lt;&gt;$C$2,"",A44)</f>
        <v>44711</v>
      </c>
      <c r="E44" s="14">
        <f>IF(C44&lt;&gt;$C$2,"",A44)</f>
        <v>44711</v>
      </c>
      <c r="F44" s="25">
        <f>IFERROR(VLOOKUP($D44,PARAMETRE!$E$3:$F$13,2,FALSE),0)</f>
        <v>0</v>
      </c>
      <c r="G44" s="116">
        <f>IF(B44=2,_xlfn.ISOWEEKNUM(E44),"")</f>
        <v>22</v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/>
      <c r="B45" s="27">
        <f>B44</f>
        <v>2</v>
      </c>
      <c r="C45" s="27"/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>
        <f>IF(WEEKDAY(A44)=6,A44+3,A44+1)</f>
        <v>44712</v>
      </c>
      <c r="B46" s="27">
        <f>IF(C46&lt;&gt;$C$2,"",WEEKDAY(D46))</f>
        <v>3</v>
      </c>
      <c r="C46" s="27">
        <f>MONTH(A46)</f>
        <v>5</v>
      </c>
      <c r="D46" s="11">
        <f>IF(C46&lt;&gt;$C$2,"",A46)</f>
        <v>44712</v>
      </c>
      <c r="E46" s="14">
        <f>IF(C46&lt;&gt;$C$2,"",A46)</f>
        <v>44712</v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/>
      <c r="B47" s="27">
        <f t="shared" ref="B47" si="19">B46</f>
        <v>3</v>
      </c>
      <c r="C47" s="27"/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>
        <f>IF(WEEKDAY(A46)=6,A46+3,A46+1)</f>
        <v>44713</v>
      </c>
      <c r="B48" s="27" t="str">
        <f>IF(C48&lt;&gt;$C$2,"",WEEKDAY(D48))</f>
        <v/>
      </c>
      <c r="C48" s="27">
        <f>MONTH(A48)</f>
        <v>6</v>
      </c>
      <c r="D48" s="11" t="str">
        <f>IF(C48&lt;&gt;$C$2,"",A48)</f>
        <v/>
      </c>
      <c r="E48" s="14" t="str">
        <f>IF(C48&lt;&gt;$C$2,"",A48)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C49" s="7"/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C50" s="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C51" s="7"/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C52" s="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C53" s="7"/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C54" s="6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/>
      <c r="B55"/>
      <c r="C55" s="6"/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I60" s="29"/>
    </row>
    <row r="61" spans="1:35" ht="11.5" customHeight="1">
      <c r="A61"/>
      <c r="B61"/>
      <c r="AI61" s="29"/>
    </row>
    <row r="62" spans="1:35" ht="11.5" customHeight="1">
      <c r="L62"/>
      <c r="M62"/>
      <c r="N62"/>
    </row>
    <row r="63" spans="1:35" ht="11.5" customHeight="1">
      <c r="AI63" s="29"/>
    </row>
    <row r="64" spans="1:35" ht="11.5" customHeight="1">
      <c r="AI64" s="29"/>
    </row>
    <row r="65" spans="11:35" ht="11.5" customHeight="1">
      <c r="AI65" s="29"/>
    </row>
    <row r="66" spans="11:35" ht="11.5" customHeight="1">
      <c r="AH66" s="29"/>
      <c r="AI66" s="29"/>
    </row>
    <row r="67" spans="11:35" ht="11.5" customHeight="1">
      <c r="AH67" s="29"/>
      <c r="AI67" s="29"/>
    </row>
    <row r="68" spans="11:35" ht="11.5" customHeight="1">
      <c r="K68" s="85"/>
      <c r="L68"/>
      <c r="M68"/>
      <c r="N68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70" priority="3" stopIfTrue="1">
      <formula>$F4&lt;&gt;0</formula>
    </cfRule>
  </conditionalFormatting>
  <conditionalFormatting sqref="G4:P55 R4:R55 T4:T55 V4:V55">
    <cfRule type="expression" dxfId="69" priority="1" stopIfTrue="1">
      <formula>$H4="DAV"</formula>
    </cfRule>
    <cfRule type="expression" dxfId="68" priority="2" stopIfTrue="1">
      <formula>$J4="DAV"</formula>
    </cfRule>
    <cfRule type="expression" dxfId="67" priority="4">
      <formula>$I4="AT"</formula>
    </cfRule>
    <cfRule type="expression" dxfId="66" priority="5">
      <formula>$H4="AT"</formula>
    </cfRule>
    <cfRule type="expression" dxfId="65" priority="6">
      <formula>$J4="AT"</formula>
    </cfRule>
  </conditionalFormatting>
  <conditionalFormatting sqref="D16:P55 R6:R55 T6:T55 V6:V55">
    <cfRule type="expression" dxfId="64" priority="7" stopIfTrue="1">
      <formula>$B6=2</formula>
    </cfRule>
  </conditionalFormatting>
  <conditionalFormatting sqref="D6:P15">
    <cfRule type="expression" dxfId="63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EFC779E-F7E7-6C4E-9BF7-C3B1C66FB184}">
          <x14:formula1>
            <xm:f>PARAMETRE!$D$3:$D$163</xm:f>
          </x14:formula1>
          <xm:sqref>S4:S55</xm:sqref>
        </x14:dataValidation>
        <x14:dataValidation type="list" allowBlank="1" showInputMessage="1" showErrorMessage="1" xr:uid="{5B421D71-9CCA-3846-B6BB-02B004CB2F0B}">
          <x14:formula1>
            <xm:f>PARAMETRE!$G$3:$G$13</xm:f>
          </x14:formula1>
          <xm:sqref>M4:M48</xm:sqref>
        </x14:dataValidation>
        <x14:dataValidation type="list" allowBlank="1" showInputMessage="1" showErrorMessage="1" xr:uid="{C683354E-B091-FE4E-85E5-B4A8B2F1E51E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F8B666EF-8FA2-5743-8E1B-6B0D3AA21DBB}">
          <x14:formula1>
            <xm:f>PARAMETRE!$I$3:$I$7</xm:f>
          </x14:formula1>
          <xm:sqref>P4:P49</xm:sqref>
        </x14:dataValidation>
        <x14:dataValidation type="list" allowBlank="1" showInputMessage="1" showErrorMessage="1" xr:uid="{D465D485-1646-2F40-A2CB-B10A3546ED57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052BC-8D4B-E94F-A3CE-722A856F0BF2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L64" sqref="L64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29"/>
      <c r="E1" s="229"/>
      <c r="F1" s="87"/>
      <c r="G1" s="230">
        <f>DATE(Installation!C4,Installation!C6+5,1)</f>
        <v>44713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D4" s="11">
        <f>IF(C17&lt;&gt;$C$15,"",A17)</f>
        <v>44713</v>
      </c>
      <c r="E4" s="14">
        <f>IF(C17&lt;&gt;$C$15,"",A17)</f>
        <v>44713</v>
      </c>
      <c r="F4" s="25">
        <f>IFERROR(VLOOKUP($D4,PARAMETRE!$E$3:$F$13,2,FALSE),0)</f>
        <v>0</v>
      </c>
      <c r="G4" s="116" t="str">
        <f>IF(B17=2,_xlfn.ISOWEEKNUM(E4),"")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D6" s="11">
        <f>IF(C19&lt;&gt;$C$15,"",A19)</f>
        <v>44714</v>
      </c>
      <c r="E6" s="14">
        <f>IF(C19&lt;&gt;$C$15,"",A19)</f>
        <v>44714</v>
      </c>
      <c r="F6" s="25">
        <f>IFERROR(VLOOKUP($D6,PARAMETRE!$E$3:$F$13,2,FALSE),0)</f>
        <v>0</v>
      </c>
      <c r="G6" s="116" t="str">
        <f>IF(B19=2,_xlfn.ISOWEEKNUM(E6),"")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D8" s="11">
        <f>IF(C21&lt;&gt;$C$15,"",A21)</f>
        <v>44715</v>
      </c>
      <c r="E8" s="14">
        <f>IF(C21&lt;&gt;$C$15,"",A21)</f>
        <v>44715</v>
      </c>
      <c r="F8" s="25">
        <f>IFERROR(VLOOKUP($D8,PARAMETRE!$E$3:$F$13,2,FALSE),0)</f>
        <v>0</v>
      </c>
      <c r="G8" s="116" t="str">
        <f>IF(B21=2,_xlfn.ISOWEEKNUM(E8),"")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D10" s="11">
        <f>IF(C23&lt;&gt;$C$15,"",A23)</f>
        <v>44718</v>
      </c>
      <c r="E10" s="14">
        <f>IF(C23&lt;&gt;$C$15,"",A23)</f>
        <v>44718</v>
      </c>
      <c r="F10" s="25" t="str">
        <f>IFERROR(VLOOKUP($D10,PARAMETRE!$E$3:$F$13,2,FALSE),0)</f>
        <v>LUNDI DE PENTECÔTE</v>
      </c>
      <c r="G10" s="116">
        <f>IF(B23=2,_xlfn.ISOWEEKNUM(E10),"")</f>
        <v>23</v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D12" s="11">
        <f>IF(C25&lt;&gt;$C$15,"",A25)</f>
        <v>44719</v>
      </c>
      <c r="E12" s="14">
        <f>IF(C25&lt;&gt;$C$15,"",A25)</f>
        <v>44719</v>
      </c>
      <c r="F12" s="25">
        <f>IFERROR(VLOOKUP($D12,PARAMETRE!$E$3:$F$13,2,FALSE),0)</f>
        <v>0</v>
      </c>
      <c r="G12" s="116" t="str">
        <f>IF(B25=2,_xlfn.ISOWEEKNUM(E12),"")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44720</v>
      </c>
      <c r="E14" s="14">
        <f>IF(C27&lt;&gt;$C$15,"",A27)</f>
        <v>44720</v>
      </c>
      <c r="F14" s="25">
        <f>IFERROR(VLOOKUP($D14,PARAMETRE!$E$3:$F$13,2,FALSE),0)</f>
        <v>0</v>
      </c>
      <c r="G14" s="116" t="str">
        <f>IF(B27=2,_xlfn.ISOWEEKNUM(E14),"")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B15" s="26"/>
      <c r="C15" s="27">
        <f>MONTH(G1)</f>
        <v>6</v>
      </c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B16" s="26"/>
      <c r="C16" s="27"/>
      <c r="D16" s="11">
        <f>IF(C29&lt;&gt;$C$15,"",A29)</f>
        <v>44721</v>
      </c>
      <c r="E16" s="14">
        <f>IF(C29&lt;&gt;$C$15,"",A29)</f>
        <v>44721</v>
      </c>
      <c r="F16" s="25">
        <f>IFERROR(VLOOKUP($D16,PARAMETRE!$E$3:$F$13,2,FALSE),0)</f>
        <v>0</v>
      </c>
      <c r="G16" s="116" t="str">
        <f>IF(B29=2,_xlfn.ISOWEEKNUM(E16),"")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>
        <f>IF(WEEKDAY(G1)=7,G1+2,IF(WEEKDAY(G1)=1,G1+1,G1))</f>
        <v>44713</v>
      </c>
      <c r="B17" s="27">
        <f>IF(C17&lt;&gt;$C$15,"",WEEKDAY(D4))</f>
        <v>4</v>
      </c>
      <c r="C17" s="27">
        <f>MONTH(A17)</f>
        <v>6</v>
      </c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4</v>
      </c>
      <c r="C18" s="27"/>
      <c r="D18" s="11">
        <f>IF(C31&lt;&gt;$C$15,"",A31)</f>
        <v>44722</v>
      </c>
      <c r="E18" s="14">
        <f>IF(C31&lt;&gt;$C$15,"",A31)</f>
        <v>44722</v>
      </c>
      <c r="F18" s="25">
        <f>IFERROR(VLOOKUP($D18,PARAMETRE!$E$3:$F$13,2,FALSE),0)</f>
        <v>0</v>
      </c>
      <c r="G18" s="116" t="str">
        <f>IF(B31=2,_xlfn.ISOWEEKNUM(E18),"")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>
        <f>IF(WEEKDAY(A17)=6,A17+3,A17+1)</f>
        <v>44714</v>
      </c>
      <c r="B19" s="27">
        <f>IF(C19&lt;&gt;$C$15,"",WEEKDAY(D6))</f>
        <v>5</v>
      </c>
      <c r="C19" s="27">
        <f>MONTH(A19)</f>
        <v>6</v>
      </c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/>
      <c r="B20" s="27">
        <f t="shared" ref="B20" si="1">B19</f>
        <v>5</v>
      </c>
      <c r="C20" s="27"/>
      <c r="D20" s="11">
        <f>IF(C33&lt;&gt;$C$15,"",A33)</f>
        <v>44725</v>
      </c>
      <c r="E20" s="14">
        <f>IF(C33&lt;&gt;$C$15,"",A33)</f>
        <v>44725</v>
      </c>
      <c r="F20" s="25">
        <f>IFERROR(VLOOKUP($D20,PARAMETRE!$E$3:$F$13,2,FALSE),0)</f>
        <v>0</v>
      </c>
      <c r="G20" s="116">
        <f>IF(B33=2,_xlfn.ISOWEEKNUM(E20),"")</f>
        <v>24</v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>
        <f>IF(WEEKDAY(A19)=6,A19+3,A19+1)</f>
        <v>44715</v>
      </c>
      <c r="B21" s="27">
        <f>IF(C21&lt;&gt;$C$15,"",WEEKDAY(D8))</f>
        <v>6</v>
      </c>
      <c r="C21" s="27">
        <f>MONTH(A21)</f>
        <v>6</v>
      </c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/>
      <c r="B22" s="27">
        <f t="shared" ref="B22" si="2">B21</f>
        <v>6</v>
      </c>
      <c r="C22" s="27"/>
      <c r="D22" s="11">
        <f>IF(C35&lt;&gt;$C$15,"",A35)</f>
        <v>44726</v>
      </c>
      <c r="E22" s="14">
        <f>IF(C35&lt;&gt;$C$15,"",A35)</f>
        <v>44726</v>
      </c>
      <c r="F22" s="25">
        <f>IFERROR(VLOOKUP($D22,PARAMETRE!$E$3:$F$13,2,FALSE),0)</f>
        <v>0</v>
      </c>
      <c r="G22" s="116" t="str">
        <f>IF(B35=2,_xlfn.ISOWEEKNUM(E22),"")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>
        <f>IF(WEEKDAY(A21)=6,A21+3,A21+1)</f>
        <v>44718</v>
      </c>
      <c r="B23" s="27">
        <f>IF(C23&lt;&gt;$C$15,"",WEEKDAY(D10))</f>
        <v>2</v>
      </c>
      <c r="C23" s="27">
        <f>MONTH(A23)</f>
        <v>6</v>
      </c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/>
      <c r="B24" s="27">
        <f t="shared" ref="B24" si="3">B23</f>
        <v>2</v>
      </c>
      <c r="C24" s="27"/>
      <c r="D24" s="11">
        <f>IF(C37&lt;&gt;$C$15,"",A37)</f>
        <v>44727</v>
      </c>
      <c r="E24" s="14">
        <f>IF(C37&lt;&gt;$C$15,"",A37)</f>
        <v>44727</v>
      </c>
      <c r="F24" s="25">
        <f>IFERROR(VLOOKUP($D24,PARAMETRE!$E$3:$F$13,2,FALSE),0)</f>
        <v>0</v>
      </c>
      <c r="G24" s="116" t="str">
        <f>IF(B37=2,_xlfn.ISOWEEKNUM(E24),"")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>
        <f>IF(WEEKDAY(A23)=6,A23+3,A23+1)</f>
        <v>44719</v>
      </c>
      <c r="B25" s="27">
        <f>IF(C25&lt;&gt;$C$15,"",WEEKDAY(D12))</f>
        <v>3</v>
      </c>
      <c r="C25" s="27">
        <f>MONTH(A25)</f>
        <v>6</v>
      </c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/>
      <c r="B26" s="27">
        <f t="shared" ref="B26" si="4">B25</f>
        <v>3</v>
      </c>
      <c r="C26" s="27"/>
      <c r="D26" s="11">
        <f>IF(C39&lt;&gt;$C$15,"",A39)</f>
        <v>44728</v>
      </c>
      <c r="E26" s="14">
        <f>IF(C39&lt;&gt;$C$15,"",A39)</f>
        <v>44728</v>
      </c>
      <c r="F26" s="25">
        <f>IFERROR(VLOOKUP($D26,PARAMETRE!$E$3:$F$13,2,FALSE),0)</f>
        <v>0</v>
      </c>
      <c r="G26" s="116" t="str">
        <f>IF(B39=2,_xlfn.ISOWEEKNUM(E26),"")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>
        <f>IF(WEEKDAY(A25)=6,A25+3,A25+1)</f>
        <v>44720</v>
      </c>
      <c r="B27" s="27">
        <f>IF(C27&lt;&gt;$C$15,"",WEEKDAY(D14))</f>
        <v>4</v>
      </c>
      <c r="C27" s="27">
        <f>MONTH(A27)</f>
        <v>6</v>
      </c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/>
      <c r="B28" s="27">
        <f t="shared" ref="B28" si="5">B27</f>
        <v>4</v>
      </c>
      <c r="C28" s="27"/>
      <c r="D28" s="11">
        <f>IF(C41&lt;&gt;$C$15,"",A41)</f>
        <v>44729</v>
      </c>
      <c r="E28" s="14">
        <f>IF(C41&lt;&gt;$C$15,"",A41)</f>
        <v>44729</v>
      </c>
      <c r="F28" s="25">
        <f>IFERROR(VLOOKUP($D28,PARAMETRE!$E$3:$F$13,2,FALSE),0)</f>
        <v>0</v>
      </c>
      <c r="G28" s="116" t="str">
        <f>IF(B41=2,_xlfn.ISOWEEKNUM(E28),"")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>
        <f>IF(WEEKDAY(A27)=6,A27+3,A27+1)</f>
        <v>44721</v>
      </c>
      <c r="B29" s="27">
        <f>IF(C29&lt;&gt;$C$15,"",WEEKDAY(D16))</f>
        <v>5</v>
      </c>
      <c r="C29" s="27">
        <f>MONTH(A29)</f>
        <v>6</v>
      </c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5</v>
      </c>
      <c r="C30" s="27"/>
      <c r="D30" s="11">
        <f>IF(C43&lt;&gt;$C$15,"",A43)</f>
        <v>44732</v>
      </c>
      <c r="E30" s="14">
        <f>IF(C43&lt;&gt;$C$15,"",A43)</f>
        <v>44732</v>
      </c>
      <c r="F30" s="25">
        <f>IFERROR(VLOOKUP($D30,PARAMETRE!$E$3:$F$13,2,FALSE),0)</f>
        <v>0</v>
      </c>
      <c r="G30" s="116">
        <f>IF(B43=2,_xlfn.ISOWEEKNUM(E30),"")</f>
        <v>25</v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>
        <f>IF(WEEKDAY(A29)=6,A29+3,A29+1)</f>
        <v>44722</v>
      </c>
      <c r="B31" s="27">
        <f>IF(C31&lt;&gt;$C$15,"",WEEKDAY(D18))</f>
        <v>6</v>
      </c>
      <c r="C31" s="27">
        <f>MONTH(A31)</f>
        <v>6</v>
      </c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/>
      <c r="B32" s="27">
        <f t="shared" ref="B32" si="7">B31</f>
        <v>6</v>
      </c>
      <c r="C32" s="27"/>
      <c r="D32" s="11">
        <f>IF(C45&lt;&gt;$C$15,"",A45)</f>
        <v>44733</v>
      </c>
      <c r="E32" s="14">
        <f>IF(C45&lt;&gt;$C$15,"",A45)</f>
        <v>44733</v>
      </c>
      <c r="F32" s="25">
        <f>IFERROR(VLOOKUP($D32,PARAMETRE!$E$3:$F$13,2,FALSE),0)</f>
        <v>0</v>
      </c>
      <c r="G32" s="116" t="str">
        <f>IF(B45=2,_xlfn.ISOWEEKNUM(E32),"")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>
        <f>IF(WEEKDAY(A31)=6,A31+3,A31+1)</f>
        <v>44725</v>
      </c>
      <c r="B33" s="27">
        <f>IF(C33&lt;&gt;$C$15,"",WEEKDAY(D20))</f>
        <v>2</v>
      </c>
      <c r="C33" s="27">
        <f>MONTH(A33)</f>
        <v>6</v>
      </c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/>
      <c r="B34" s="27">
        <f t="shared" ref="B34" si="8">B33</f>
        <v>2</v>
      </c>
      <c r="C34" s="27"/>
      <c r="D34" s="11">
        <f>IF(C47&lt;&gt;$C$15,"",A47)</f>
        <v>44734</v>
      </c>
      <c r="E34" s="14">
        <f>IF(C47&lt;&gt;$C$15,"",A47)</f>
        <v>44734</v>
      </c>
      <c r="F34" s="25">
        <f>IFERROR(VLOOKUP($D34,PARAMETRE!$E$3:$F$13,2,FALSE),0)</f>
        <v>0</v>
      </c>
      <c r="G34" s="116" t="str">
        <f>IF(B47=2,_xlfn.ISOWEEKNUM(E34),"")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>
        <f>IF(WEEKDAY(A33)=6,A33+3,A33+1)</f>
        <v>44726</v>
      </c>
      <c r="B35" s="27">
        <f>IF(C35&lt;&gt;$C$15,"",WEEKDAY(D22))</f>
        <v>3</v>
      </c>
      <c r="C35" s="27">
        <f>MONTH(A35)</f>
        <v>6</v>
      </c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/>
      <c r="B36" s="27">
        <f t="shared" ref="B36" si="9">B35</f>
        <v>3</v>
      </c>
      <c r="C36" s="27"/>
      <c r="D36" s="11">
        <f>IF(C49&lt;&gt;$C$15,"",A49)</f>
        <v>44735</v>
      </c>
      <c r="E36" s="14">
        <f>IF(C49&lt;&gt;$C$15,"",A49)</f>
        <v>44735</v>
      </c>
      <c r="F36" s="25">
        <f>IFERROR(VLOOKUP($D36,PARAMETRE!$E$3:$F$13,2,FALSE),0)</f>
        <v>0</v>
      </c>
      <c r="G36" s="116" t="str">
        <f>IF(B49=2,_xlfn.ISOWEEKNUM(E36),"")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44727</v>
      </c>
      <c r="B37" s="27">
        <f>IF(C37&lt;&gt;$C$15,"",WEEKDAY(D24))</f>
        <v>4</v>
      </c>
      <c r="C37" s="27">
        <f>MONTH(A37)</f>
        <v>6</v>
      </c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/>
      <c r="B38" s="27">
        <f t="shared" ref="B38" si="10">B37</f>
        <v>4</v>
      </c>
      <c r="C38" s="27"/>
      <c r="D38" s="11">
        <f>IF(C51&lt;&gt;$C$15,"",A51)</f>
        <v>44736</v>
      </c>
      <c r="E38" s="14">
        <f>IF(C51&lt;&gt;$C$15,"",A51)</f>
        <v>44736</v>
      </c>
      <c r="F38" s="25">
        <f>IFERROR(VLOOKUP($D38,PARAMETRE!$E$3:$F$13,2,FALSE),0)</f>
        <v>0</v>
      </c>
      <c r="G38" s="116" t="str">
        <f>IF(B51=2,_xlfn.ISOWEEKNUM(E38),"")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>
        <f>IF(WEEKDAY(A37)=6,A37+3,A37+1)</f>
        <v>44728</v>
      </c>
      <c r="B39" s="27">
        <f>IF(C39&lt;&gt;$C$15,"",WEEKDAY(D26))</f>
        <v>5</v>
      </c>
      <c r="C39" s="27">
        <f>MONTH(A39)</f>
        <v>6</v>
      </c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/>
      <c r="B40" s="27">
        <f t="shared" ref="B40" si="11">B39</f>
        <v>5</v>
      </c>
      <c r="C40" s="27"/>
      <c r="D40" s="11">
        <f>IF(C53&lt;&gt;$C$15,"",A53)</f>
        <v>44739</v>
      </c>
      <c r="E40" s="14">
        <f>IF(C53&lt;&gt;$C$15,"",A53)</f>
        <v>44739</v>
      </c>
      <c r="F40" s="25">
        <f>IFERROR(VLOOKUP($D40,PARAMETRE!$E$3:$F$13,2,FALSE),0)</f>
        <v>0</v>
      </c>
      <c r="G40" s="116">
        <f>IF(B53=2,_xlfn.ISOWEEKNUM(E40),"")</f>
        <v>26</v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>
        <f>IF(WEEKDAY(A39)=6,A39+3,A39+1)</f>
        <v>44729</v>
      </c>
      <c r="B41" s="27">
        <f>IF(C41&lt;&gt;$C$15,"",WEEKDAY(D28))</f>
        <v>6</v>
      </c>
      <c r="C41" s="27">
        <f>MONTH(A41)</f>
        <v>6</v>
      </c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/>
      <c r="B42" s="27">
        <f t="shared" ref="B42" si="12">B41</f>
        <v>6</v>
      </c>
      <c r="C42" s="27"/>
      <c r="D42" s="11">
        <f>IF(C55&lt;&gt;$C$15,"",A55)</f>
        <v>44740</v>
      </c>
      <c r="E42" s="14">
        <f>IF(C55&lt;&gt;$C$15,"",A55)</f>
        <v>44740</v>
      </c>
      <c r="F42" s="25">
        <f>IFERROR(VLOOKUP($D42,PARAMETRE!$E$3:$F$13,2,FALSE),0)</f>
        <v>0</v>
      </c>
      <c r="G42" s="116" t="str">
        <f>IF(B55=2,_xlfn.ISOWEEKNUM(E42),"")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44732</v>
      </c>
      <c r="B43" s="27">
        <f>IF(C43&lt;&gt;$C$15,"",WEEKDAY(D30))</f>
        <v>2</v>
      </c>
      <c r="C43" s="27">
        <f>MONTH(A43)</f>
        <v>6</v>
      </c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2</v>
      </c>
      <c r="C44" s="27"/>
      <c r="D44" s="11">
        <f>IF(C57&lt;&gt;$C$15,"",A57)</f>
        <v>44741</v>
      </c>
      <c r="E44" s="14">
        <f>IF(C57&lt;&gt;$C$15,"",A57)</f>
        <v>44741</v>
      </c>
      <c r="F44" s="25">
        <f>IFERROR(VLOOKUP($D44,PARAMETRE!$E$3:$F$13,2,FALSE),0)</f>
        <v>0</v>
      </c>
      <c r="G44" s="116" t="str">
        <f>IF(B57=2,_xlfn.ISOWEEKNUM(E44),"")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>
        <f>IF(WEEKDAY(A43)=6,A43+3,A43+1)</f>
        <v>44733</v>
      </c>
      <c r="B45" s="27">
        <f>IF(C45&lt;&gt;$C$15,"",WEEKDAY(D32))</f>
        <v>3</v>
      </c>
      <c r="C45" s="27">
        <f>MONTH(A45)</f>
        <v>6</v>
      </c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/>
      <c r="B46" s="27">
        <f t="shared" ref="B46" si="14">B45</f>
        <v>3</v>
      </c>
      <c r="C46" s="27"/>
      <c r="D46" s="11">
        <f>IF(C59&lt;&gt;$C$15,"",A59)</f>
        <v>44742</v>
      </c>
      <c r="E46" s="14">
        <f>IF(C59&lt;&gt;$C$15,"",A59)</f>
        <v>44742</v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>
        <f>IF(WEEKDAY(A45)=6,A45+3,A45+1)</f>
        <v>44734</v>
      </c>
      <c r="B47" s="27">
        <f>IF(C47&lt;&gt;$C$15,"",WEEKDAY(D34))</f>
        <v>4</v>
      </c>
      <c r="C47" s="27">
        <f>MONTH(A47)</f>
        <v>6</v>
      </c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/>
      <c r="B48" s="27">
        <f t="shared" ref="B48" si="15">B47</f>
        <v>4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A49" s="26">
        <f>IF(WEEKDAY(A47)=6,A47+3,A47+1)</f>
        <v>44735</v>
      </c>
      <c r="B49" s="27">
        <f>IF(C49&lt;&gt;$C$15,"",WEEKDAY(D36))</f>
        <v>5</v>
      </c>
      <c r="C49" s="27">
        <f>MONTH(A49)</f>
        <v>6</v>
      </c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A50" s="26"/>
      <c r="B50" s="27">
        <f t="shared" ref="B50" si="16">B49</f>
        <v>5</v>
      </c>
      <c r="C50" s="2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A51" s="26">
        <f>IF(WEEKDAY(A49)=6,A49+3,A49+1)</f>
        <v>44736</v>
      </c>
      <c r="B51" s="27">
        <f>IF(C51&lt;&gt;$C$15,"",WEEKDAY(D38))</f>
        <v>6</v>
      </c>
      <c r="C51" s="27">
        <f>MONTH(A51)</f>
        <v>6</v>
      </c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6</v>
      </c>
      <c r="C52" s="2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44739</v>
      </c>
      <c r="B53" s="27">
        <f>IF(C53&lt;&gt;$C$15,"",WEEKDAY(D40))</f>
        <v>2</v>
      </c>
      <c r="C53" s="27">
        <f>MONTH(A53)</f>
        <v>6</v>
      </c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A54" s="26"/>
      <c r="B54" s="27">
        <f t="shared" ref="B54" si="18">B53</f>
        <v>2</v>
      </c>
      <c r="C54" s="27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 s="26">
        <f>IF(WEEKDAY(A53)=6,A53+3,A53+1)</f>
        <v>44740</v>
      </c>
      <c r="B55" s="27">
        <f>IF(C55&lt;&gt;$C$15,"",WEEKDAY(D42))</f>
        <v>3</v>
      </c>
      <c r="C55" s="27">
        <f>MONTH(A55)</f>
        <v>6</v>
      </c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A56" s="26"/>
      <c r="B56" s="27">
        <f>B55</f>
        <v>3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44741</v>
      </c>
      <c r="B57" s="27">
        <f>IF(C57&lt;&gt;$C$15,"",WEEKDAY(D44))</f>
        <v>4</v>
      </c>
      <c r="C57" s="27">
        <f>MONTH(A57)</f>
        <v>6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4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44742</v>
      </c>
      <c r="B59" s="27">
        <f>IF(C59&lt;&gt;$C$15,"",WEEKDAY(D46))</f>
        <v>5</v>
      </c>
      <c r="C59" s="27">
        <f>MONTH(A59)</f>
        <v>6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5</v>
      </c>
      <c r="C60" s="27"/>
      <c r="AI60" s="29"/>
    </row>
    <row r="61" spans="1:35" ht="11.5" customHeight="1">
      <c r="A61" s="26">
        <f>IF(WEEKDAY(A59)=6,A59+3,A59+1)</f>
        <v>44743</v>
      </c>
      <c r="B61" s="27" t="str">
        <f>IF(C61&lt;&gt;$C$15,"",WEEKDAY(D48))</f>
        <v/>
      </c>
      <c r="C61" s="27">
        <f>MONTH(A61)</f>
        <v>7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62" priority="3" stopIfTrue="1">
      <formula>$F4&lt;&gt;0</formula>
    </cfRule>
  </conditionalFormatting>
  <conditionalFormatting sqref="G4:P55 R4:R55 T4:T55 V4:V55">
    <cfRule type="expression" dxfId="61" priority="1" stopIfTrue="1">
      <formula>$H4="DAV"</formula>
    </cfRule>
    <cfRule type="expression" dxfId="60" priority="2" stopIfTrue="1">
      <formula>$J4="DAV"</formula>
    </cfRule>
    <cfRule type="expression" dxfId="59" priority="4">
      <formula>$I4="AT"</formula>
    </cfRule>
    <cfRule type="expression" dxfId="58" priority="5">
      <formula>$H4="AT"</formula>
    </cfRule>
    <cfRule type="expression" dxfId="57" priority="6">
      <formula>$J4="AT"</formula>
    </cfRule>
  </conditionalFormatting>
  <conditionalFormatting sqref="D16:P55 R16:R55 T16:T55 V16:V55">
    <cfRule type="expression" dxfId="56" priority="7" stopIfTrue="1">
      <formula>$B29=2</formula>
    </cfRule>
  </conditionalFormatting>
  <conditionalFormatting sqref="D6:P15 R6:R15 T6:T15 V6:V15">
    <cfRule type="expression" dxfId="55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1414E27-96E9-3B4F-B139-4BE3F599EFFC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1CAE698B-9757-1040-96F6-6F5656A770F4}">
          <x14:formula1>
            <xm:f>PARAMETRE!$I$3:$I$7</xm:f>
          </x14:formula1>
          <xm:sqref>P4:P49</xm:sqref>
        </x14:dataValidation>
        <x14:dataValidation type="list" allowBlank="1" showInputMessage="1" showErrorMessage="1" xr:uid="{87F45E86-7A3B-CF40-9710-486D8FFFC88B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CDB9DD9C-B008-154F-9521-6885841C2C1C}">
          <x14:formula1>
            <xm:f>PARAMETRE!$G$3:$G$13</xm:f>
          </x14:formula1>
          <xm:sqref>M4:M48</xm:sqref>
        </x14:dataValidation>
        <x14:dataValidation type="list" allowBlank="1" showInputMessage="1" showErrorMessage="1" xr:uid="{28E82735-8CCC-C246-891A-7779B5C0333E}">
          <x14:formula1>
            <xm:f>PARAMETRE!$D$3:$D$163</xm:f>
          </x14:formula1>
          <xm:sqref>S4:S55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46E1C-6D47-F54D-98A8-18C24E37394F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V55" sqref="A3:V55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29"/>
      <c r="E1" s="229"/>
      <c r="F1" s="87"/>
      <c r="G1" s="230">
        <f>DATE(Installation!C4,Installation!C6+6,1)</f>
        <v>44743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D4" s="11">
        <f>IF(C17&lt;&gt;$C$15,"",A17)</f>
        <v>44743</v>
      </c>
      <c r="E4" s="14">
        <f>IF(C17&lt;&gt;$C$15,"",A17)</f>
        <v>44743</v>
      </c>
      <c r="F4" s="25">
        <f>IFERROR(VLOOKUP($D4,PARAMETRE!$E$3:$F$13,2,FALSE),0)</f>
        <v>0</v>
      </c>
      <c r="G4" s="116" t="str">
        <f>IF(B17=2,_xlfn.ISOWEEKNUM(E4),"")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D6" s="11">
        <f>IF(C19&lt;&gt;$C$15,"",A19)</f>
        <v>44746</v>
      </c>
      <c r="E6" s="14">
        <f>IF(C19&lt;&gt;$C$15,"",A19)</f>
        <v>44746</v>
      </c>
      <c r="F6" s="25">
        <f>IFERROR(VLOOKUP($D6,PARAMETRE!$E$3:$F$13,2,FALSE),0)</f>
        <v>0</v>
      </c>
      <c r="G6" s="116">
        <f>IF(B19=2,_xlfn.ISOWEEKNUM(E6),"")</f>
        <v>27</v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D8" s="11">
        <f>IF(C21&lt;&gt;$C$15,"",A21)</f>
        <v>44747</v>
      </c>
      <c r="E8" s="14">
        <f>IF(C21&lt;&gt;$C$15,"",A21)</f>
        <v>44747</v>
      </c>
      <c r="F8" s="25">
        <f>IFERROR(VLOOKUP($D8,PARAMETRE!$E$3:$F$13,2,FALSE),0)</f>
        <v>0</v>
      </c>
      <c r="G8" s="116" t="str">
        <f>IF(B21=2,_xlfn.ISOWEEKNUM(E8),"")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D10" s="11">
        <f>IF(C23&lt;&gt;$C$15,"",A23)</f>
        <v>44748</v>
      </c>
      <c r="E10" s="14">
        <f>IF(C23&lt;&gt;$C$15,"",A23)</f>
        <v>44748</v>
      </c>
      <c r="F10" s="25">
        <f>IFERROR(VLOOKUP($D10,PARAMETRE!$E$3:$F$13,2,FALSE),0)</f>
        <v>0</v>
      </c>
      <c r="G10" s="116" t="str">
        <f>IF(B23=2,_xlfn.ISOWEEKNUM(E10),"")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D12" s="11">
        <f>IF(C25&lt;&gt;$C$15,"",A25)</f>
        <v>44749</v>
      </c>
      <c r="E12" s="14">
        <f>IF(C25&lt;&gt;$C$15,"",A25)</f>
        <v>44749</v>
      </c>
      <c r="F12" s="25">
        <f>IFERROR(VLOOKUP($D12,PARAMETRE!$E$3:$F$13,2,FALSE),0)</f>
        <v>0</v>
      </c>
      <c r="G12" s="116" t="str">
        <f>IF(B25=2,_xlfn.ISOWEEKNUM(E12),"")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44750</v>
      </c>
      <c r="E14" s="14">
        <f>IF(C27&lt;&gt;$C$15,"",A27)</f>
        <v>44750</v>
      </c>
      <c r="F14" s="25">
        <f>IFERROR(VLOOKUP($D14,PARAMETRE!$E$3:$F$13,2,FALSE),0)</f>
        <v>0</v>
      </c>
      <c r="G14" s="116" t="str">
        <f>IF(B27=2,_xlfn.ISOWEEKNUM(E14),"")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B15" s="26"/>
      <c r="C15" s="27">
        <f>MONTH(G1)</f>
        <v>7</v>
      </c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B16" s="26"/>
      <c r="C16" s="27"/>
      <c r="D16" s="11">
        <f>IF(C29&lt;&gt;$C$15,"",A29)</f>
        <v>44753</v>
      </c>
      <c r="E16" s="14">
        <f>IF(C29&lt;&gt;$C$15,"",A29)</f>
        <v>44753</v>
      </c>
      <c r="F16" s="25">
        <f>IFERROR(VLOOKUP($D16,PARAMETRE!$E$3:$F$13,2,FALSE),0)</f>
        <v>0</v>
      </c>
      <c r="G16" s="116">
        <f>IF(B29=2,_xlfn.ISOWEEKNUM(E16),"")</f>
        <v>28</v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>
        <f>IF(WEEKDAY(G1)=7,G1+2,IF(WEEKDAY(G1)=1,G1+1,G1))</f>
        <v>44743</v>
      </c>
      <c r="B17" s="27">
        <f>IF(C17&lt;&gt;$C$15,"",WEEKDAY(D4))</f>
        <v>6</v>
      </c>
      <c r="C17" s="27">
        <f>MONTH(A17)</f>
        <v>7</v>
      </c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6</v>
      </c>
      <c r="C18" s="27"/>
      <c r="D18" s="11">
        <f>IF(C31&lt;&gt;$C$15,"",A31)</f>
        <v>44754</v>
      </c>
      <c r="E18" s="14">
        <f>IF(C31&lt;&gt;$C$15,"",A31)</f>
        <v>44754</v>
      </c>
      <c r="F18" s="25">
        <f>IFERROR(VLOOKUP($D18,PARAMETRE!$E$3:$F$13,2,FALSE),0)</f>
        <v>0</v>
      </c>
      <c r="G18" s="116" t="str">
        <f>IF(B31=2,_xlfn.ISOWEEKNUM(E18),"")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>
        <f>IF(WEEKDAY(A17)=6,A17+3,A17+1)</f>
        <v>44746</v>
      </c>
      <c r="B19" s="27">
        <f>IF(C19&lt;&gt;$C$15,"",WEEKDAY(D6))</f>
        <v>2</v>
      </c>
      <c r="C19" s="27">
        <f>MONTH(A19)</f>
        <v>7</v>
      </c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/>
      <c r="B20" s="27">
        <f t="shared" ref="B20" si="1">B19</f>
        <v>2</v>
      </c>
      <c r="C20" s="27"/>
      <c r="D20" s="11">
        <f>IF(C33&lt;&gt;$C$15,"",A33)</f>
        <v>44755</v>
      </c>
      <c r="E20" s="14">
        <f>IF(C33&lt;&gt;$C$15,"",A33)</f>
        <v>44755</v>
      </c>
      <c r="F20" s="25">
        <f>IFERROR(VLOOKUP($D20,PARAMETRE!$E$3:$F$13,2,FALSE),0)</f>
        <v>0</v>
      </c>
      <c r="G20" s="116" t="str">
        <f>IF(B33=2,_xlfn.ISOWEEKNUM(E20),"")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>
        <f>IF(WEEKDAY(A19)=6,A19+3,A19+1)</f>
        <v>44747</v>
      </c>
      <c r="B21" s="27">
        <f>IF(C21&lt;&gt;$C$15,"",WEEKDAY(D8))</f>
        <v>3</v>
      </c>
      <c r="C21" s="27">
        <f>MONTH(A21)</f>
        <v>7</v>
      </c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/>
      <c r="B22" s="27">
        <f t="shared" ref="B22" si="2">B21</f>
        <v>3</v>
      </c>
      <c r="C22" s="27"/>
      <c r="D22" s="11">
        <f>IF(C35&lt;&gt;$C$15,"",A35)</f>
        <v>44756</v>
      </c>
      <c r="E22" s="14">
        <f>IF(C35&lt;&gt;$C$15,"",A35)</f>
        <v>44756</v>
      </c>
      <c r="F22" s="25" t="str">
        <f>IFERROR(VLOOKUP($D22,PARAMETRE!$E$3:$F$13,2,FALSE),0)</f>
        <v>FÊTE NATIONALE</v>
      </c>
      <c r="G22" s="116" t="str">
        <f>IF(B35=2,_xlfn.ISOWEEKNUM(E22),"")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>
        <f>IF(WEEKDAY(A21)=6,A21+3,A21+1)</f>
        <v>44748</v>
      </c>
      <c r="B23" s="27">
        <f>IF(C23&lt;&gt;$C$15,"",WEEKDAY(D10))</f>
        <v>4</v>
      </c>
      <c r="C23" s="27">
        <f>MONTH(A23)</f>
        <v>7</v>
      </c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/>
      <c r="B24" s="27">
        <f t="shared" ref="B24" si="3">B23</f>
        <v>4</v>
      </c>
      <c r="C24" s="27"/>
      <c r="D24" s="11">
        <f>IF(C37&lt;&gt;$C$15,"",A37)</f>
        <v>44757</v>
      </c>
      <c r="E24" s="14">
        <f>IF(C37&lt;&gt;$C$15,"",A37)</f>
        <v>44757</v>
      </c>
      <c r="F24" s="25">
        <f>IFERROR(VLOOKUP($D24,PARAMETRE!$E$3:$F$13,2,FALSE),0)</f>
        <v>0</v>
      </c>
      <c r="G24" s="116" t="str">
        <f>IF(B37=2,_xlfn.ISOWEEKNUM(E24),"")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>
        <f>IF(WEEKDAY(A23)=6,A23+3,A23+1)</f>
        <v>44749</v>
      </c>
      <c r="B25" s="27">
        <f>IF(C25&lt;&gt;$C$15,"",WEEKDAY(D12))</f>
        <v>5</v>
      </c>
      <c r="C25" s="27">
        <f>MONTH(A25)</f>
        <v>7</v>
      </c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/>
      <c r="B26" s="27">
        <f t="shared" ref="B26" si="4">B25</f>
        <v>5</v>
      </c>
      <c r="C26" s="27"/>
      <c r="D26" s="11">
        <f>IF(C39&lt;&gt;$C$15,"",A39)</f>
        <v>44760</v>
      </c>
      <c r="E26" s="14">
        <f>IF(C39&lt;&gt;$C$15,"",A39)</f>
        <v>44760</v>
      </c>
      <c r="F26" s="25">
        <f>IFERROR(VLOOKUP($D26,PARAMETRE!$E$3:$F$13,2,FALSE),0)</f>
        <v>0</v>
      </c>
      <c r="G26" s="116">
        <f>IF(B39=2,_xlfn.ISOWEEKNUM(E26),"")</f>
        <v>29</v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>
        <f>IF(WEEKDAY(A25)=6,A25+3,A25+1)</f>
        <v>44750</v>
      </c>
      <c r="B27" s="27">
        <f>IF(C27&lt;&gt;$C$15,"",WEEKDAY(D14))</f>
        <v>6</v>
      </c>
      <c r="C27" s="27">
        <f>MONTH(A27)</f>
        <v>7</v>
      </c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/>
      <c r="B28" s="27">
        <f t="shared" ref="B28" si="5">B27</f>
        <v>6</v>
      </c>
      <c r="C28" s="27"/>
      <c r="D28" s="11">
        <f>IF(C41&lt;&gt;$C$15,"",A41)</f>
        <v>44761</v>
      </c>
      <c r="E28" s="14">
        <f>IF(C41&lt;&gt;$C$15,"",A41)</f>
        <v>44761</v>
      </c>
      <c r="F28" s="25">
        <f>IFERROR(VLOOKUP($D28,PARAMETRE!$E$3:$F$13,2,FALSE),0)</f>
        <v>0</v>
      </c>
      <c r="G28" s="116" t="str">
        <f>IF(B41=2,_xlfn.ISOWEEKNUM(E28),"")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>
        <f>IF(WEEKDAY(A27)=6,A27+3,A27+1)</f>
        <v>44753</v>
      </c>
      <c r="B29" s="27">
        <f>IF(C29&lt;&gt;$C$15,"",WEEKDAY(D16))</f>
        <v>2</v>
      </c>
      <c r="C29" s="27">
        <f>MONTH(A29)</f>
        <v>7</v>
      </c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2</v>
      </c>
      <c r="C30" s="27"/>
      <c r="D30" s="11">
        <f>IF(C43&lt;&gt;$C$15,"",A43)</f>
        <v>44762</v>
      </c>
      <c r="E30" s="14">
        <f>IF(C43&lt;&gt;$C$15,"",A43)</f>
        <v>44762</v>
      </c>
      <c r="F30" s="25">
        <f>IFERROR(VLOOKUP($D30,PARAMETRE!$E$3:$F$13,2,FALSE),0)</f>
        <v>0</v>
      </c>
      <c r="G30" s="116" t="str">
        <f>IF(B43=2,_xlfn.ISOWEEKNUM(E30),"")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>
        <f>IF(WEEKDAY(A29)=6,A29+3,A29+1)</f>
        <v>44754</v>
      </c>
      <c r="B31" s="27">
        <f>IF(C31&lt;&gt;$C$15,"",WEEKDAY(D18))</f>
        <v>3</v>
      </c>
      <c r="C31" s="27">
        <f>MONTH(A31)</f>
        <v>7</v>
      </c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/>
      <c r="B32" s="27">
        <f t="shared" ref="B32" si="7">B31</f>
        <v>3</v>
      </c>
      <c r="C32" s="27"/>
      <c r="D32" s="11">
        <f>IF(C45&lt;&gt;$C$15,"",A45)</f>
        <v>44763</v>
      </c>
      <c r="E32" s="14">
        <f>IF(C45&lt;&gt;$C$15,"",A45)</f>
        <v>44763</v>
      </c>
      <c r="F32" s="25">
        <f>IFERROR(VLOOKUP($D32,PARAMETRE!$E$3:$F$13,2,FALSE),0)</f>
        <v>0</v>
      </c>
      <c r="G32" s="116" t="str">
        <f>IF(B45=2,_xlfn.ISOWEEKNUM(E32),"")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>
        <f>IF(WEEKDAY(A31)=6,A31+3,A31+1)</f>
        <v>44755</v>
      </c>
      <c r="B33" s="27">
        <f>IF(C33&lt;&gt;$C$15,"",WEEKDAY(D20))</f>
        <v>4</v>
      </c>
      <c r="C33" s="27">
        <f>MONTH(A33)</f>
        <v>7</v>
      </c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/>
      <c r="B34" s="27">
        <f t="shared" ref="B34" si="8">B33</f>
        <v>4</v>
      </c>
      <c r="C34" s="27"/>
      <c r="D34" s="11">
        <f>IF(C47&lt;&gt;$C$15,"",A47)</f>
        <v>44764</v>
      </c>
      <c r="E34" s="14">
        <f>IF(C47&lt;&gt;$C$15,"",A47)</f>
        <v>44764</v>
      </c>
      <c r="F34" s="25">
        <f>IFERROR(VLOOKUP($D34,PARAMETRE!$E$3:$F$13,2,FALSE),0)</f>
        <v>0</v>
      </c>
      <c r="G34" s="116" t="str">
        <f>IF(B47=2,_xlfn.ISOWEEKNUM(E34),"")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>
        <f>IF(WEEKDAY(A33)=6,A33+3,A33+1)</f>
        <v>44756</v>
      </c>
      <c r="B35" s="27">
        <f>IF(C35&lt;&gt;$C$15,"",WEEKDAY(D22))</f>
        <v>5</v>
      </c>
      <c r="C35" s="27">
        <f>MONTH(A35)</f>
        <v>7</v>
      </c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/>
      <c r="B36" s="27">
        <f t="shared" ref="B36" si="9">B35</f>
        <v>5</v>
      </c>
      <c r="C36" s="27"/>
      <c r="D36" s="11">
        <f>IF(C49&lt;&gt;$C$15,"",A49)</f>
        <v>44767</v>
      </c>
      <c r="E36" s="14">
        <f>IF(C49&lt;&gt;$C$15,"",A49)</f>
        <v>44767</v>
      </c>
      <c r="F36" s="25">
        <f>IFERROR(VLOOKUP($D36,PARAMETRE!$E$3:$F$13,2,FALSE),0)</f>
        <v>0</v>
      </c>
      <c r="G36" s="116">
        <f>IF(B49=2,_xlfn.ISOWEEKNUM(E36),"")</f>
        <v>30</v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44757</v>
      </c>
      <c r="B37" s="27">
        <f>IF(C37&lt;&gt;$C$15,"",WEEKDAY(D24))</f>
        <v>6</v>
      </c>
      <c r="C37" s="27">
        <f>MONTH(A37)</f>
        <v>7</v>
      </c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/>
      <c r="B38" s="27">
        <f t="shared" ref="B38" si="10">B37</f>
        <v>6</v>
      </c>
      <c r="C38" s="27"/>
      <c r="D38" s="11">
        <f>IF(C51&lt;&gt;$C$15,"",A51)</f>
        <v>44768</v>
      </c>
      <c r="E38" s="14">
        <f>IF(C51&lt;&gt;$C$15,"",A51)</f>
        <v>44768</v>
      </c>
      <c r="F38" s="25">
        <f>IFERROR(VLOOKUP($D38,PARAMETRE!$E$3:$F$13,2,FALSE),0)</f>
        <v>0</v>
      </c>
      <c r="G38" s="116" t="str">
        <f>IF(B51=2,_xlfn.ISOWEEKNUM(E38),"")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>
        <f>IF(WEEKDAY(A37)=6,A37+3,A37+1)</f>
        <v>44760</v>
      </c>
      <c r="B39" s="27">
        <f>IF(C39&lt;&gt;$C$15,"",WEEKDAY(D26))</f>
        <v>2</v>
      </c>
      <c r="C39" s="27">
        <f>MONTH(A39)</f>
        <v>7</v>
      </c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/>
      <c r="B40" s="27">
        <f t="shared" ref="B40" si="11">B39</f>
        <v>2</v>
      </c>
      <c r="C40" s="27"/>
      <c r="D40" s="11">
        <f>IF(C53&lt;&gt;$C$15,"",A53)</f>
        <v>44769</v>
      </c>
      <c r="E40" s="14">
        <f>IF(C53&lt;&gt;$C$15,"",A53)</f>
        <v>44769</v>
      </c>
      <c r="F40" s="25">
        <f>IFERROR(VLOOKUP($D40,PARAMETRE!$E$3:$F$13,2,FALSE),0)</f>
        <v>0</v>
      </c>
      <c r="G40" s="116" t="str">
        <f>IF(B53=2,_xlfn.ISOWEEKNUM(E40),"")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>
        <f>IF(WEEKDAY(A39)=6,A39+3,A39+1)</f>
        <v>44761</v>
      </c>
      <c r="B41" s="27">
        <f>IF(C41&lt;&gt;$C$15,"",WEEKDAY(D28))</f>
        <v>3</v>
      </c>
      <c r="C41" s="27">
        <f>MONTH(A41)</f>
        <v>7</v>
      </c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/>
      <c r="B42" s="27">
        <f t="shared" ref="B42" si="12">B41</f>
        <v>3</v>
      </c>
      <c r="C42" s="27"/>
      <c r="D42" s="11">
        <f>IF(C55&lt;&gt;$C$15,"",A55)</f>
        <v>44770</v>
      </c>
      <c r="E42" s="14">
        <f>IF(C55&lt;&gt;$C$15,"",A55)</f>
        <v>44770</v>
      </c>
      <c r="F42" s="25">
        <f>IFERROR(VLOOKUP($D42,PARAMETRE!$E$3:$F$13,2,FALSE),0)</f>
        <v>0</v>
      </c>
      <c r="G42" s="116" t="str">
        <f>IF(B55=2,_xlfn.ISOWEEKNUM(E42),"")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44762</v>
      </c>
      <c r="B43" s="27">
        <f>IF(C43&lt;&gt;$C$15,"",WEEKDAY(D30))</f>
        <v>4</v>
      </c>
      <c r="C43" s="27">
        <f>MONTH(A43)</f>
        <v>7</v>
      </c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4</v>
      </c>
      <c r="C44" s="27"/>
      <c r="D44" s="11">
        <f>IF(C57&lt;&gt;$C$15,"",A57)</f>
        <v>44771</v>
      </c>
      <c r="E44" s="14">
        <f>IF(C57&lt;&gt;$C$15,"",A57)</f>
        <v>44771</v>
      </c>
      <c r="F44" s="25">
        <f>IFERROR(VLOOKUP($D44,PARAMETRE!$E$3:$F$13,2,FALSE),0)</f>
        <v>0</v>
      </c>
      <c r="G44" s="116" t="str">
        <f>IF(B57=2,_xlfn.ISOWEEKNUM(E44),"")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>
        <f>IF(WEEKDAY(A43)=6,A43+3,A43+1)</f>
        <v>44763</v>
      </c>
      <c r="B45" s="27">
        <f>IF(C45&lt;&gt;$C$15,"",WEEKDAY(D32))</f>
        <v>5</v>
      </c>
      <c r="C45" s="27">
        <f>MONTH(A45)</f>
        <v>7</v>
      </c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/>
      <c r="B46" s="27">
        <f t="shared" ref="B46" si="14">B45</f>
        <v>5</v>
      </c>
      <c r="C46" s="27"/>
      <c r="D46" s="11" t="str">
        <f>IF(C59&lt;&gt;$C$15,"",A59)</f>
        <v/>
      </c>
      <c r="E46" s="14" t="str">
        <f>IF(C59&lt;&gt;$C$15,"",A59)</f>
        <v/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>
        <f>IF(WEEKDAY(A45)=6,A45+3,A45+1)</f>
        <v>44764</v>
      </c>
      <c r="B47" s="27">
        <f>IF(C47&lt;&gt;$C$15,"",WEEKDAY(D34))</f>
        <v>6</v>
      </c>
      <c r="C47" s="27">
        <f>MONTH(A47)</f>
        <v>7</v>
      </c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/>
      <c r="B48" s="27">
        <f t="shared" ref="B48" si="15">B47</f>
        <v>6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A49" s="26">
        <f>IF(WEEKDAY(A47)=6,A47+3,A47+1)</f>
        <v>44767</v>
      </c>
      <c r="B49" s="27">
        <f>IF(C49&lt;&gt;$C$15,"",WEEKDAY(D36))</f>
        <v>2</v>
      </c>
      <c r="C49" s="27">
        <f>MONTH(A49)</f>
        <v>7</v>
      </c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A50" s="26"/>
      <c r="B50" s="27">
        <f t="shared" ref="B50" si="16">B49</f>
        <v>2</v>
      </c>
      <c r="C50" s="2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A51" s="26">
        <f>IF(WEEKDAY(A49)=6,A49+3,A49+1)</f>
        <v>44768</v>
      </c>
      <c r="B51" s="27">
        <f>IF(C51&lt;&gt;$C$15,"",WEEKDAY(D38))</f>
        <v>3</v>
      </c>
      <c r="C51" s="27">
        <f>MONTH(A51)</f>
        <v>7</v>
      </c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3</v>
      </c>
      <c r="C52" s="2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44769</v>
      </c>
      <c r="B53" s="27">
        <f>IF(C53&lt;&gt;$C$15,"",WEEKDAY(D40))</f>
        <v>4</v>
      </c>
      <c r="C53" s="27">
        <f>MONTH(A53)</f>
        <v>7</v>
      </c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A54" s="26"/>
      <c r="B54" s="27">
        <f t="shared" ref="B54" si="18">B53</f>
        <v>4</v>
      </c>
      <c r="C54" s="27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 s="26">
        <f>IF(WEEKDAY(A53)=6,A53+3,A53+1)</f>
        <v>44770</v>
      </c>
      <c r="B55" s="27">
        <f>IF(C55&lt;&gt;$C$15,"",WEEKDAY(D42))</f>
        <v>5</v>
      </c>
      <c r="C55" s="27">
        <f>MONTH(A55)</f>
        <v>7</v>
      </c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A56" s="26"/>
      <c r="B56" s="27">
        <f>B55</f>
        <v>5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44771</v>
      </c>
      <c r="B57" s="27">
        <f>IF(C57&lt;&gt;$C$15,"",WEEKDAY(D44))</f>
        <v>6</v>
      </c>
      <c r="C57" s="27">
        <f>MONTH(A57)</f>
        <v>7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6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44774</v>
      </c>
      <c r="B59" s="27" t="str">
        <f>IF(C59&lt;&gt;$C$15,"",WEEKDAY(D46))</f>
        <v/>
      </c>
      <c r="C59" s="27">
        <f>MONTH(A59)</f>
        <v>8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 t="str">
        <f t="shared" ref="B60" si="19">B59</f>
        <v/>
      </c>
      <c r="C60" s="27"/>
      <c r="AI60" s="29"/>
    </row>
    <row r="61" spans="1:35" ht="11.5" customHeight="1">
      <c r="A61" s="26">
        <f>IF(WEEKDAY(A59)=6,A59+3,A59+1)</f>
        <v>44775</v>
      </c>
      <c r="B61" s="27" t="str">
        <f>IF(C61&lt;&gt;$C$15,"",WEEKDAY(D48))</f>
        <v/>
      </c>
      <c r="C61" s="27">
        <f>MONTH(A61)</f>
        <v>8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54" priority="3" stopIfTrue="1">
      <formula>$F4&lt;&gt;0</formula>
    </cfRule>
  </conditionalFormatting>
  <conditionalFormatting sqref="G4:P55 R4:R55 T4:T55 V4:V55">
    <cfRule type="expression" dxfId="53" priority="1" stopIfTrue="1">
      <formula>$H4="DAV"</formula>
    </cfRule>
    <cfRule type="expression" dxfId="52" priority="2" stopIfTrue="1">
      <formula>$J4="DAV"</formula>
    </cfRule>
    <cfRule type="expression" dxfId="51" priority="4">
      <formula>$I4="AT"</formula>
    </cfRule>
    <cfRule type="expression" dxfId="50" priority="5">
      <formula>$H4="AT"</formula>
    </cfRule>
    <cfRule type="expression" dxfId="49" priority="6">
      <formula>$J4="AT"</formula>
    </cfRule>
  </conditionalFormatting>
  <conditionalFormatting sqref="D16:P55 R16:R55 T16:T55 V16:V55">
    <cfRule type="expression" dxfId="48" priority="7" stopIfTrue="1">
      <formula>$B29=2</formula>
    </cfRule>
  </conditionalFormatting>
  <conditionalFormatting sqref="D6:P15 R6:R15 T6:T15 V6:V15">
    <cfRule type="expression" dxfId="47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CC2F92C-19FA-F343-AAC1-50DDF1F78E21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EEED4D8C-577D-FB46-AA49-C600075701A2}">
          <x14:formula1>
            <xm:f>PARAMETRE!$I$3:$I$7</xm:f>
          </x14:formula1>
          <xm:sqref>P4:P49</xm:sqref>
        </x14:dataValidation>
        <x14:dataValidation type="list" allowBlank="1" showInputMessage="1" showErrorMessage="1" xr:uid="{A90299DB-CB63-DA45-8287-1846ABD42BF2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AF894733-B475-934F-AD21-98959A6E735B}">
          <x14:formula1>
            <xm:f>PARAMETRE!$G$3:$G$13</xm:f>
          </x14:formula1>
          <xm:sqref>M4:M48</xm:sqref>
        </x14:dataValidation>
        <x14:dataValidation type="list" allowBlank="1" showInputMessage="1" showErrorMessage="1" xr:uid="{B757807B-1DF9-C94A-A8A4-9EA22CF21F51}">
          <x14:formula1>
            <xm:f>PARAMETRE!$D$3:$D$163</xm:f>
          </x14:formula1>
          <xm:sqref>S4:S55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CDB1-161F-584B-AE2E-81D1CA664A41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Y72" sqref="Y72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29"/>
      <c r="E1" s="229"/>
      <c r="F1" s="87"/>
      <c r="G1" s="230">
        <f>DATE(Installation!C4,Installation!C6+7,1)</f>
        <v>44774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D4" s="11">
        <f>IF(C17&lt;&gt;$C$15,"",A17)</f>
        <v>44774</v>
      </c>
      <c r="E4" s="14">
        <f>IF(C17&lt;&gt;$C$15,"",A17)</f>
        <v>44774</v>
      </c>
      <c r="F4" s="25">
        <f>IFERROR(VLOOKUP($D4,PARAMETRE!$E$3:$F$13,2,FALSE),0)</f>
        <v>0</v>
      </c>
      <c r="G4" s="116">
        <f>IF(B17=2,_xlfn.ISOWEEKNUM(E4),"")</f>
        <v>31</v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D6" s="11">
        <f>IF(C19&lt;&gt;$C$15,"",A19)</f>
        <v>44775</v>
      </c>
      <c r="E6" s="14">
        <f>IF(C19&lt;&gt;$C$15,"",A19)</f>
        <v>44775</v>
      </c>
      <c r="F6" s="25">
        <f>IFERROR(VLOOKUP($D6,PARAMETRE!$E$3:$F$13,2,FALSE),0)</f>
        <v>0</v>
      </c>
      <c r="G6" s="116" t="str">
        <f>IF(B19=2,_xlfn.ISOWEEKNUM(E6),"")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D8" s="11">
        <f>IF(C21&lt;&gt;$C$15,"",A21)</f>
        <v>44776</v>
      </c>
      <c r="E8" s="14">
        <f>IF(C21&lt;&gt;$C$15,"",A21)</f>
        <v>44776</v>
      </c>
      <c r="F8" s="25">
        <f>IFERROR(VLOOKUP($D8,PARAMETRE!$E$3:$F$13,2,FALSE),0)</f>
        <v>0</v>
      </c>
      <c r="G8" s="116" t="str">
        <f>IF(B21=2,_xlfn.ISOWEEKNUM(E8),"")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D10" s="11">
        <f>IF(C23&lt;&gt;$C$15,"",A23)</f>
        <v>44777</v>
      </c>
      <c r="E10" s="14">
        <f>IF(C23&lt;&gt;$C$15,"",A23)</f>
        <v>44777</v>
      </c>
      <c r="F10" s="25">
        <f>IFERROR(VLOOKUP($D10,PARAMETRE!$E$3:$F$13,2,FALSE),0)</f>
        <v>0</v>
      </c>
      <c r="G10" s="116" t="str">
        <f>IF(B23=2,_xlfn.ISOWEEKNUM(E10),"")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D12" s="11">
        <f>IF(C25&lt;&gt;$C$15,"",A25)</f>
        <v>44778</v>
      </c>
      <c r="E12" s="14">
        <f>IF(C25&lt;&gt;$C$15,"",A25)</f>
        <v>44778</v>
      </c>
      <c r="F12" s="25">
        <f>IFERROR(VLOOKUP($D12,PARAMETRE!$E$3:$F$13,2,FALSE),0)</f>
        <v>0</v>
      </c>
      <c r="G12" s="116" t="str">
        <f>IF(B25=2,_xlfn.ISOWEEKNUM(E12),"")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44781</v>
      </c>
      <c r="E14" s="14">
        <f>IF(C27&lt;&gt;$C$15,"",A27)</f>
        <v>44781</v>
      </c>
      <c r="F14" s="25">
        <f>IFERROR(VLOOKUP($D14,PARAMETRE!$E$3:$F$13,2,FALSE),0)</f>
        <v>0</v>
      </c>
      <c r="G14" s="116">
        <f>IF(B27=2,_xlfn.ISOWEEKNUM(E14),"")</f>
        <v>32</v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B15" s="26"/>
      <c r="C15" s="27">
        <f>MONTH(G1)</f>
        <v>8</v>
      </c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B16" s="26"/>
      <c r="C16" s="27"/>
      <c r="D16" s="11">
        <f>IF(C29&lt;&gt;$C$15,"",A29)</f>
        <v>44782</v>
      </c>
      <c r="E16" s="14">
        <f>IF(C29&lt;&gt;$C$15,"",A29)</f>
        <v>44782</v>
      </c>
      <c r="F16" s="25">
        <f>IFERROR(VLOOKUP($D16,PARAMETRE!$E$3:$F$13,2,FALSE),0)</f>
        <v>0</v>
      </c>
      <c r="G16" s="116" t="str">
        <f>IF(B29=2,_xlfn.ISOWEEKNUM(E16),"")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>
        <f>IF(WEEKDAY(G1)=7,G1+2,IF(WEEKDAY(G1)=1,G1+1,G1))</f>
        <v>44774</v>
      </c>
      <c r="B17" s="27">
        <f>IF(C17&lt;&gt;$C$15,"",WEEKDAY(D4))</f>
        <v>2</v>
      </c>
      <c r="C17" s="27">
        <f>MONTH(A17)</f>
        <v>8</v>
      </c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2</v>
      </c>
      <c r="C18" s="27"/>
      <c r="D18" s="11">
        <f>IF(C31&lt;&gt;$C$15,"",A31)</f>
        <v>44783</v>
      </c>
      <c r="E18" s="14">
        <f>IF(C31&lt;&gt;$C$15,"",A31)</f>
        <v>44783</v>
      </c>
      <c r="F18" s="25">
        <f>IFERROR(VLOOKUP($D18,PARAMETRE!$E$3:$F$13,2,FALSE),0)</f>
        <v>0</v>
      </c>
      <c r="G18" s="116" t="str">
        <f>IF(B31=2,_xlfn.ISOWEEKNUM(E18),"")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>
        <f>IF(WEEKDAY(A17)=6,A17+3,A17+1)</f>
        <v>44775</v>
      </c>
      <c r="B19" s="27">
        <f>IF(C19&lt;&gt;$C$15,"",WEEKDAY(D6))</f>
        <v>3</v>
      </c>
      <c r="C19" s="27">
        <f>MONTH(A19)</f>
        <v>8</v>
      </c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/>
      <c r="B20" s="27">
        <f t="shared" ref="B20" si="1">B19</f>
        <v>3</v>
      </c>
      <c r="C20" s="27"/>
      <c r="D20" s="11">
        <f>IF(C33&lt;&gt;$C$15,"",A33)</f>
        <v>44784</v>
      </c>
      <c r="E20" s="14">
        <f>IF(C33&lt;&gt;$C$15,"",A33)</f>
        <v>44784</v>
      </c>
      <c r="F20" s="25">
        <f>IFERROR(VLOOKUP($D20,PARAMETRE!$E$3:$F$13,2,FALSE),0)</f>
        <v>0</v>
      </c>
      <c r="G20" s="116" t="str">
        <f>IF(B33=2,_xlfn.ISOWEEKNUM(E20),"")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>
        <f>IF(WEEKDAY(A19)=6,A19+3,A19+1)</f>
        <v>44776</v>
      </c>
      <c r="B21" s="27">
        <f>IF(C21&lt;&gt;$C$15,"",WEEKDAY(D8))</f>
        <v>4</v>
      </c>
      <c r="C21" s="27">
        <f>MONTH(A21)</f>
        <v>8</v>
      </c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/>
      <c r="B22" s="27">
        <f t="shared" ref="B22" si="2">B21</f>
        <v>4</v>
      </c>
      <c r="C22" s="27"/>
      <c r="D22" s="11">
        <f>IF(C35&lt;&gt;$C$15,"",A35)</f>
        <v>44785</v>
      </c>
      <c r="E22" s="14">
        <f>IF(C35&lt;&gt;$C$15,"",A35)</f>
        <v>44785</v>
      </c>
      <c r="F22" s="25">
        <f>IFERROR(VLOOKUP($D22,PARAMETRE!$E$3:$F$13,2,FALSE),0)</f>
        <v>0</v>
      </c>
      <c r="G22" s="116" t="str">
        <f>IF(B35=2,_xlfn.ISOWEEKNUM(E22),"")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>
        <f>IF(WEEKDAY(A21)=6,A21+3,A21+1)</f>
        <v>44777</v>
      </c>
      <c r="B23" s="27">
        <f>IF(C23&lt;&gt;$C$15,"",WEEKDAY(D10))</f>
        <v>5</v>
      </c>
      <c r="C23" s="27">
        <f>MONTH(A23)</f>
        <v>8</v>
      </c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/>
      <c r="B24" s="27">
        <f t="shared" ref="B24" si="3">B23</f>
        <v>5</v>
      </c>
      <c r="C24" s="27"/>
      <c r="D24" s="11">
        <f>IF(C37&lt;&gt;$C$15,"",A37)</f>
        <v>44788</v>
      </c>
      <c r="E24" s="14">
        <f>IF(C37&lt;&gt;$C$15,"",A37)</f>
        <v>44788</v>
      </c>
      <c r="F24" s="25" t="str">
        <f>IFERROR(VLOOKUP($D24,PARAMETRE!$E$3:$F$13,2,FALSE),0)</f>
        <v>ASSOMPTION</v>
      </c>
      <c r="G24" s="116">
        <f>IF(B37=2,_xlfn.ISOWEEKNUM(E24),"")</f>
        <v>33</v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>
        <f>IF(WEEKDAY(A23)=6,A23+3,A23+1)</f>
        <v>44778</v>
      </c>
      <c r="B25" s="27">
        <f>IF(C25&lt;&gt;$C$15,"",WEEKDAY(D12))</f>
        <v>6</v>
      </c>
      <c r="C25" s="27">
        <f>MONTH(A25)</f>
        <v>8</v>
      </c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/>
      <c r="B26" s="27">
        <f t="shared" ref="B26" si="4">B25</f>
        <v>6</v>
      </c>
      <c r="C26" s="27"/>
      <c r="D26" s="11">
        <f>IF(C39&lt;&gt;$C$15,"",A39)</f>
        <v>44789</v>
      </c>
      <c r="E26" s="14">
        <f>IF(C39&lt;&gt;$C$15,"",A39)</f>
        <v>44789</v>
      </c>
      <c r="F26" s="25">
        <f>IFERROR(VLOOKUP($D26,PARAMETRE!$E$3:$F$13,2,FALSE),0)</f>
        <v>0</v>
      </c>
      <c r="G26" s="116" t="str">
        <f>IF(B39=2,_xlfn.ISOWEEKNUM(E26),"")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>
        <f>IF(WEEKDAY(A25)=6,A25+3,A25+1)</f>
        <v>44781</v>
      </c>
      <c r="B27" s="27">
        <f>IF(C27&lt;&gt;$C$15,"",WEEKDAY(D14))</f>
        <v>2</v>
      </c>
      <c r="C27" s="27">
        <f>MONTH(A27)</f>
        <v>8</v>
      </c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/>
      <c r="B28" s="27">
        <f t="shared" ref="B28" si="5">B27</f>
        <v>2</v>
      </c>
      <c r="C28" s="27"/>
      <c r="D28" s="11">
        <f>IF(C41&lt;&gt;$C$15,"",A41)</f>
        <v>44790</v>
      </c>
      <c r="E28" s="14">
        <f>IF(C41&lt;&gt;$C$15,"",A41)</f>
        <v>44790</v>
      </c>
      <c r="F28" s="25">
        <f>IFERROR(VLOOKUP($D28,PARAMETRE!$E$3:$F$13,2,FALSE),0)</f>
        <v>0</v>
      </c>
      <c r="G28" s="116" t="str">
        <f>IF(B41=2,_xlfn.ISOWEEKNUM(E28),"")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>
        <f>IF(WEEKDAY(A27)=6,A27+3,A27+1)</f>
        <v>44782</v>
      </c>
      <c r="B29" s="27">
        <f>IF(C29&lt;&gt;$C$15,"",WEEKDAY(D16))</f>
        <v>3</v>
      </c>
      <c r="C29" s="27">
        <f>MONTH(A29)</f>
        <v>8</v>
      </c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3</v>
      </c>
      <c r="C30" s="27"/>
      <c r="D30" s="11">
        <f>IF(C43&lt;&gt;$C$15,"",A43)</f>
        <v>44791</v>
      </c>
      <c r="E30" s="14">
        <f>IF(C43&lt;&gt;$C$15,"",A43)</f>
        <v>44791</v>
      </c>
      <c r="F30" s="25">
        <f>IFERROR(VLOOKUP($D30,PARAMETRE!$E$3:$F$13,2,FALSE),0)</f>
        <v>0</v>
      </c>
      <c r="G30" s="116" t="str">
        <f>IF(B43=2,_xlfn.ISOWEEKNUM(E30),"")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>
        <f>IF(WEEKDAY(A29)=6,A29+3,A29+1)</f>
        <v>44783</v>
      </c>
      <c r="B31" s="27">
        <f>IF(C31&lt;&gt;$C$15,"",WEEKDAY(D18))</f>
        <v>4</v>
      </c>
      <c r="C31" s="27">
        <f>MONTH(A31)</f>
        <v>8</v>
      </c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/>
      <c r="B32" s="27">
        <f t="shared" ref="B32" si="7">B31</f>
        <v>4</v>
      </c>
      <c r="C32" s="27"/>
      <c r="D32" s="11">
        <f>IF(C45&lt;&gt;$C$15,"",A45)</f>
        <v>44792</v>
      </c>
      <c r="E32" s="14">
        <f>IF(C45&lt;&gt;$C$15,"",A45)</f>
        <v>44792</v>
      </c>
      <c r="F32" s="25">
        <f>IFERROR(VLOOKUP($D32,PARAMETRE!$E$3:$F$13,2,FALSE),0)</f>
        <v>0</v>
      </c>
      <c r="G32" s="116" t="str">
        <f>IF(B45=2,_xlfn.ISOWEEKNUM(E32),"")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>
        <f>IF(WEEKDAY(A31)=6,A31+3,A31+1)</f>
        <v>44784</v>
      </c>
      <c r="B33" s="27">
        <f>IF(C33&lt;&gt;$C$15,"",WEEKDAY(D20))</f>
        <v>5</v>
      </c>
      <c r="C33" s="27">
        <f>MONTH(A33)</f>
        <v>8</v>
      </c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/>
      <c r="B34" s="27">
        <f t="shared" ref="B34" si="8">B33</f>
        <v>5</v>
      </c>
      <c r="C34" s="27"/>
      <c r="D34" s="11">
        <f>IF(C47&lt;&gt;$C$15,"",A47)</f>
        <v>44795</v>
      </c>
      <c r="E34" s="14">
        <f>IF(C47&lt;&gt;$C$15,"",A47)</f>
        <v>44795</v>
      </c>
      <c r="F34" s="25">
        <f>IFERROR(VLOOKUP($D34,PARAMETRE!$E$3:$F$13,2,FALSE),0)</f>
        <v>0</v>
      </c>
      <c r="G34" s="116">
        <f>IF(B47=2,_xlfn.ISOWEEKNUM(E34),"")</f>
        <v>34</v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>
        <f>IF(WEEKDAY(A33)=6,A33+3,A33+1)</f>
        <v>44785</v>
      </c>
      <c r="B35" s="27">
        <f>IF(C35&lt;&gt;$C$15,"",WEEKDAY(D22))</f>
        <v>6</v>
      </c>
      <c r="C35" s="27">
        <f>MONTH(A35)</f>
        <v>8</v>
      </c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/>
      <c r="B36" s="27">
        <f t="shared" ref="B36" si="9">B35</f>
        <v>6</v>
      </c>
      <c r="C36" s="27"/>
      <c r="D36" s="11">
        <f>IF(C49&lt;&gt;$C$15,"",A49)</f>
        <v>44796</v>
      </c>
      <c r="E36" s="14">
        <f>IF(C49&lt;&gt;$C$15,"",A49)</f>
        <v>44796</v>
      </c>
      <c r="F36" s="25">
        <f>IFERROR(VLOOKUP($D36,PARAMETRE!$E$3:$F$13,2,FALSE),0)</f>
        <v>0</v>
      </c>
      <c r="G36" s="116" t="str">
        <f>IF(B49=2,_xlfn.ISOWEEKNUM(E36),"")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44788</v>
      </c>
      <c r="B37" s="27">
        <f>IF(C37&lt;&gt;$C$15,"",WEEKDAY(D24))</f>
        <v>2</v>
      </c>
      <c r="C37" s="27">
        <f>MONTH(A37)</f>
        <v>8</v>
      </c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/>
      <c r="B38" s="27">
        <f t="shared" ref="B38" si="10">B37</f>
        <v>2</v>
      </c>
      <c r="C38" s="27"/>
      <c r="D38" s="11">
        <f>IF(C51&lt;&gt;$C$15,"",A51)</f>
        <v>44797</v>
      </c>
      <c r="E38" s="14">
        <f>IF(C51&lt;&gt;$C$15,"",A51)</f>
        <v>44797</v>
      </c>
      <c r="F38" s="25">
        <f>IFERROR(VLOOKUP($D38,PARAMETRE!$E$3:$F$13,2,FALSE),0)</f>
        <v>0</v>
      </c>
      <c r="G38" s="116" t="str">
        <f>IF(B51=2,_xlfn.ISOWEEKNUM(E38),"")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>
        <f>IF(WEEKDAY(A37)=6,A37+3,A37+1)</f>
        <v>44789</v>
      </c>
      <c r="B39" s="27">
        <f>IF(C39&lt;&gt;$C$15,"",WEEKDAY(D26))</f>
        <v>3</v>
      </c>
      <c r="C39" s="27">
        <f>MONTH(A39)</f>
        <v>8</v>
      </c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/>
      <c r="B40" s="27">
        <f t="shared" ref="B40" si="11">B39</f>
        <v>3</v>
      </c>
      <c r="C40" s="27"/>
      <c r="D40" s="11">
        <f>IF(C53&lt;&gt;$C$15,"",A53)</f>
        <v>44798</v>
      </c>
      <c r="E40" s="14">
        <f>IF(C53&lt;&gt;$C$15,"",A53)</f>
        <v>44798</v>
      </c>
      <c r="F40" s="25">
        <f>IFERROR(VLOOKUP($D40,PARAMETRE!$E$3:$F$13,2,FALSE),0)</f>
        <v>0</v>
      </c>
      <c r="G40" s="116" t="str">
        <f>IF(B53=2,_xlfn.ISOWEEKNUM(E40),"")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>
        <f>IF(WEEKDAY(A39)=6,A39+3,A39+1)</f>
        <v>44790</v>
      </c>
      <c r="B41" s="27">
        <f>IF(C41&lt;&gt;$C$15,"",WEEKDAY(D28))</f>
        <v>4</v>
      </c>
      <c r="C41" s="27">
        <f>MONTH(A41)</f>
        <v>8</v>
      </c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/>
      <c r="B42" s="27">
        <f t="shared" ref="B42" si="12">B41</f>
        <v>4</v>
      </c>
      <c r="C42" s="27"/>
      <c r="D42" s="11">
        <f>IF(C55&lt;&gt;$C$15,"",A55)</f>
        <v>44799</v>
      </c>
      <c r="E42" s="14">
        <f>IF(C55&lt;&gt;$C$15,"",A55)</f>
        <v>44799</v>
      </c>
      <c r="F42" s="25">
        <f>IFERROR(VLOOKUP($D42,PARAMETRE!$E$3:$F$13,2,FALSE),0)</f>
        <v>0</v>
      </c>
      <c r="G42" s="116" t="str">
        <f>IF(B55=2,_xlfn.ISOWEEKNUM(E42),"")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44791</v>
      </c>
      <c r="B43" s="27">
        <f>IF(C43&lt;&gt;$C$15,"",WEEKDAY(D30))</f>
        <v>5</v>
      </c>
      <c r="C43" s="27">
        <f>MONTH(A43)</f>
        <v>8</v>
      </c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5</v>
      </c>
      <c r="C44" s="27"/>
      <c r="D44" s="11">
        <f>IF(C57&lt;&gt;$C$15,"",A57)</f>
        <v>44802</v>
      </c>
      <c r="E44" s="14">
        <f>IF(C57&lt;&gt;$C$15,"",A57)</f>
        <v>44802</v>
      </c>
      <c r="F44" s="25">
        <f>IFERROR(VLOOKUP($D44,PARAMETRE!$E$3:$F$13,2,FALSE),0)</f>
        <v>0</v>
      </c>
      <c r="G44" s="116">
        <f>IF(B57=2,_xlfn.ISOWEEKNUM(E44),"")</f>
        <v>35</v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>
        <f>IF(WEEKDAY(A43)=6,A43+3,A43+1)</f>
        <v>44792</v>
      </c>
      <c r="B45" s="27">
        <f>IF(C45&lt;&gt;$C$15,"",WEEKDAY(D32))</f>
        <v>6</v>
      </c>
      <c r="C45" s="27">
        <f>MONTH(A45)</f>
        <v>8</v>
      </c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/>
      <c r="B46" s="27">
        <f t="shared" ref="B46" si="14">B45</f>
        <v>6</v>
      </c>
      <c r="C46" s="27"/>
      <c r="D46" s="11">
        <f>IF(C59&lt;&gt;$C$15,"",A59)</f>
        <v>44803</v>
      </c>
      <c r="E46" s="14">
        <f>IF(C59&lt;&gt;$C$15,"",A59)</f>
        <v>44803</v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>
        <f>IF(WEEKDAY(A45)=6,A45+3,A45+1)</f>
        <v>44795</v>
      </c>
      <c r="B47" s="27">
        <f>IF(C47&lt;&gt;$C$15,"",WEEKDAY(D34))</f>
        <v>2</v>
      </c>
      <c r="C47" s="27">
        <f>MONTH(A47)</f>
        <v>8</v>
      </c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/>
      <c r="B48" s="27">
        <f t="shared" ref="B48" si="15">B47</f>
        <v>2</v>
      </c>
      <c r="C48" s="27"/>
      <c r="D48" s="11">
        <f>IF(C61&lt;&gt;$C$15,"",A61)</f>
        <v>44804</v>
      </c>
      <c r="E48" s="14">
        <f>IF(C61&lt;&gt;$C$15,"",A61)</f>
        <v>44804</v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A49" s="26">
        <f>IF(WEEKDAY(A47)=6,A47+3,A47+1)</f>
        <v>44796</v>
      </c>
      <c r="B49" s="27">
        <f>IF(C49&lt;&gt;$C$15,"",WEEKDAY(D36))</f>
        <v>3</v>
      </c>
      <c r="C49" s="27">
        <f>MONTH(A49)</f>
        <v>8</v>
      </c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A50" s="26"/>
      <c r="B50" s="27">
        <f t="shared" ref="B50" si="16">B49</f>
        <v>3</v>
      </c>
      <c r="C50" s="2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A51" s="26">
        <f>IF(WEEKDAY(A49)=6,A49+3,A49+1)</f>
        <v>44797</v>
      </c>
      <c r="B51" s="27">
        <f>IF(C51&lt;&gt;$C$15,"",WEEKDAY(D38))</f>
        <v>4</v>
      </c>
      <c r="C51" s="27">
        <f>MONTH(A51)</f>
        <v>8</v>
      </c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4</v>
      </c>
      <c r="C52" s="2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44798</v>
      </c>
      <c r="B53" s="27">
        <f>IF(C53&lt;&gt;$C$15,"",WEEKDAY(D40))</f>
        <v>5</v>
      </c>
      <c r="C53" s="27">
        <f>MONTH(A53)</f>
        <v>8</v>
      </c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A54" s="26"/>
      <c r="B54" s="27">
        <f t="shared" ref="B54" si="18">B53</f>
        <v>5</v>
      </c>
      <c r="C54" s="27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 s="26">
        <f>IF(WEEKDAY(A53)=6,A53+3,A53+1)</f>
        <v>44799</v>
      </c>
      <c r="B55" s="27">
        <f>IF(C55&lt;&gt;$C$15,"",WEEKDAY(D42))</f>
        <v>6</v>
      </c>
      <c r="C55" s="27">
        <f>MONTH(A55)</f>
        <v>8</v>
      </c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A56" s="26"/>
      <c r="B56" s="27">
        <f>B55</f>
        <v>6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44802</v>
      </c>
      <c r="B57" s="27">
        <f>IF(C57&lt;&gt;$C$15,"",WEEKDAY(D44))</f>
        <v>2</v>
      </c>
      <c r="C57" s="27">
        <f>MONTH(A57)</f>
        <v>8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2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44803</v>
      </c>
      <c r="B59" s="27">
        <f>IF(C59&lt;&gt;$C$15,"",WEEKDAY(D46))</f>
        <v>3</v>
      </c>
      <c r="C59" s="27">
        <f>MONTH(A59)</f>
        <v>8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3</v>
      </c>
      <c r="C60" s="27"/>
      <c r="AI60" s="29"/>
    </row>
    <row r="61" spans="1:35" ht="11.5" customHeight="1">
      <c r="A61" s="26">
        <f>IF(WEEKDAY(A59)=6,A59+3,A59+1)</f>
        <v>44804</v>
      </c>
      <c r="B61" s="27">
        <f>IF(C61&lt;&gt;$C$15,"",WEEKDAY(D48))</f>
        <v>4</v>
      </c>
      <c r="C61" s="27">
        <f>MONTH(A61)</f>
        <v>8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46" priority="3" stopIfTrue="1">
      <formula>$F4&lt;&gt;0</formula>
    </cfRule>
  </conditionalFormatting>
  <conditionalFormatting sqref="G4:P55 R4:R55 T4:T55 V4:V55">
    <cfRule type="expression" dxfId="45" priority="1" stopIfTrue="1">
      <formula>$H4="DAV"</formula>
    </cfRule>
    <cfRule type="expression" dxfId="44" priority="2" stopIfTrue="1">
      <formula>$J4="DAV"</formula>
    </cfRule>
    <cfRule type="expression" dxfId="43" priority="4">
      <formula>$I4="AT"</formula>
    </cfRule>
    <cfRule type="expression" dxfId="42" priority="5">
      <formula>$H4="AT"</formula>
    </cfRule>
    <cfRule type="expression" dxfId="41" priority="6">
      <formula>$J4="AT"</formula>
    </cfRule>
  </conditionalFormatting>
  <conditionalFormatting sqref="D16:P55 R16:R55 T16:T55 V16:V55">
    <cfRule type="expression" dxfId="40" priority="7" stopIfTrue="1">
      <formula>$B29=2</formula>
    </cfRule>
  </conditionalFormatting>
  <conditionalFormatting sqref="D6:P15 R6:R15 T6:T15 V6:V15">
    <cfRule type="expression" dxfId="39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6FBB171-4758-2A42-9700-B9A146293300}">
          <x14:formula1>
            <xm:f>PARAMETRE!$D$3:$D$163</xm:f>
          </x14:formula1>
          <xm:sqref>S4:S55</xm:sqref>
        </x14:dataValidation>
        <x14:dataValidation type="list" allowBlank="1" showInputMessage="1" showErrorMessage="1" xr:uid="{BDDE9290-13F8-1D45-A51E-EA9F39DC994B}">
          <x14:formula1>
            <xm:f>PARAMETRE!$G$3:$G$13</xm:f>
          </x14:formula1>
          <xm:sqref>M4:M48</xm:sqref>
        </x14:dataValidation>
        <x14:dataValidation type="list" allowBlank="1" showInputMessage="1" showErrorMessage="1" xr:uid="{60890180-2973-2848-AC84-5BBF611BE148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3724D3F3-6515-0548-99E0-1489AA098B0B}">
          <x14:formula1>
            <xm:f>PARAMETRE!$I$3:$I$7</xm:f>
          </x14:formula1>
          <xm:sqref>P4:P49</xm:sqref>
        </x14:dataValidation>
        <x14:dataValidation type="list" allowBlank="1" showInputMessage="1" showErrorMessage="1" xr:uid="{639739A3-E65D-C946-BF9D-E393C80A4A8D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A3372-3B24-4D43-866B-37CC14E03E11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V59" sqref="H4:V59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29"/>
      <c r="E1" s="229"/>
      <c r="F1" s="87"/>
      <c r="G1" s="230">
        <f>DATE(Installation!C4,Installation!C6+8,1)</f>
        <v>44805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D4" s="11">
        <f>IF(C17&lt;&gt;$C$15,"",A17)</f>
        <v>44805</v>
      </c>
      <c r="E4" s="14">
        <f>IF(C17&lt;&gt;$C$15,"",A17)</f>
        <v>44805</v>
      </c>
      <c r="F4" s="25">
        <f>IFERROR(VLOOKUP($D4,PARAMETRE!$E$3:$F$13,2,FALSE),0)</f>
        <v>0</v>
      </c>
      <c r="G4" s="116" t="str">
        <f>IF(B17=2,_xlfn.ISOWEEKNUM(E4),"")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D6" s="11">
        <f>IF(C19&lt;&gt;$C$15,"",A19)</f>
        <v>44806</v>
      </c>
      <c r="E6" s="14">
        <f>IF(C19&lt;&gt;$C$15,"",A19)</f>
        <v>44806</v>
      </c>
      <c r="F6" s="25">
        <f>IFERROR(VLOOKUP($D6,PARAMETRE!$E$3:$F$13,2,FALSE),0)</f>
        <v>0</v>
      </c>
      <c r="G6" s="116" t="str">
        <f>IF(B19=2,_xlfn.ISOWEEKNUM(E6),"")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D8" s="11">
        <f>IF(C21&lt;&gt;$C$15,"",A21)</f>
        <v>44809</v>
      </c>
      <c r="E8" s="14">
        <f>IF(C21&lt;&gt;$C$15,"",A21)</f>
        <v>44809</v>
      </c>
      <c r="F8" s="25">
        <f>IFERROR(VLOOKUP($D8,PARAMETRE!$E$3:$F$13,2,FALSE),0)</f>
        <v>0</v>
      </c>
      <c r="G8" s="116">
        <f>IF(B21=2,_xlfn.ISOWEEKNUM(E8),"")</f>
        <v>36</v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D10" s="11">
        <f>IF(C23&lt;&gt;$C$15,"",A23)</f>
        <v>44810</v>
      </c>
      <c r="E10" s="14">
        <f>IF(C23&lt;&gt;$C$15,"",A23)</f>
        <v>44810</v>
      </c>
      <c r="F10" s="25">
        <f>IFERROR(VLOOKUP($D10,PARAMETRE!$E$3:$F$13,2,FALSE),0)</f>
        <v>0</v>
      </c>
      <c r="G10" s="116" t="str">
        <f>IF(B23=2,_xlfn.ISOWEEKNUM(E10),"")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D12" s="11">
        <f>IF(C25&lt;&gt;$C$15,"",A25)</f>
        <v>44811</v>
      </c>
      <c r="E12" s="14">
        <f>IF(C25&lt;&gt;$C$15,"",A25)</f>
        <v>44811</v>
      </c>
      <c r="F12" s="25">
        <f>IFERROR(VLOOKUP($D12,PARAMETRE!$E$3:$F$13,2,FALSE),0)</f>
        <v>0</v>
      </c>
      <c r="G12" s="116" t="str">
        <f>IF(B25=2,_xlfn.ISOWEEKNUM(E12),"")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44812</v>
      </c>
      <c r="E14" s="14">
        <f>IF(C27&lt;&gt;$C$15,"",A27)</f>
        <v>44812</v>
      </c>
      <c r="F14" s="25">
        <f>IFERROR(VLOOKUP($D14,PARAMETRE!$E$3:$F$13,2,FALSE),0)</f>
        <v>0</v>
      </c>
      <c r="G14" s="116" t="str">
        <f>IF(B27=2,_xlfn.ISOWEEKNUM(E14),"")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B15" s="26"/>
      <c r="C15" s="27">
        <f>MONTH(G1)</f>
        <v>9</v>
      </c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B16" s="26"/>
      <c r="C16" s="27"/>
      <c r="D16" s="11">
        <f>IF(C29&lt;&gt;$C$15,"",A29)</f>
        <v>44813</v>
      </c>
      <c r="E16" s="14">
        <f>IF(C29&lt;&gt;$C$15,"",A29)</f>
        <v>44813</v>
      </c>
      <c r="F16" s="25">
        <f>IFERROR(VLOOKUP($D16,PARAMETRE!$E$3:$F$13,2,FALSE),0)</f>
        <v>0</v>
      </c>
      <c r="G16" s="116" t="str">
        <f>IF(B29=2,_xlfn.ISOWEEKNUM(E16),"")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>
        <f>IF(WEEKDAY(G1)=7,G1+2,IF(WEEKDAY(G1)=1,G1+1,G1))</f>
        <v>44805</v>
      </c>
      <c r="B17" s="27">
        <f>IF(C17&lt;&gt;$C$15,"",WEEKDAY(D4))</f>
        <v>5</v>
      </c>
      <c r="C17" s="27">
        <f>MONTH(A17)</f>
        <v>9</v>
      </c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5</v>
      </c>
      <c r="C18" s="27"/>
      <c r="D18" s="11">
        <f>IF(C31&lt;&gt;$C$15,"",A31)</f>
        <v>44816</v>
      </c>
      <c r="E18" s="14">
        <f>IF(C31&lt;&gt;$C$15,"",A31)</f>
        <v>44816</v>
      </c>
      <c r="F18" s="25">
        <f>IFERROR(VLOOKUP($D18,PARAMETRE!$E$3:$F$13,2,FALSE),0)</f>
        <v>0</v>
      </c>
      <c r="G18" s="116">
        <f>IF(B31=2,_xlfn.ISOWEEKNUM(E18),"")</f>
        <v>37</v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>
        <f>IF(WEEKDAY(A17)=6,A17+3,A17+1)</f>
        <v>44806</v>
      </c>
      <c r="B19" s="27">
        <f>IF(C19&lt;&gt;$C$15,"",WEEKDAY(D6))</f>
        <v>6</v>
      </c>
      <c r="C19" s="27">
        <f>MONTH(A19)</f>
        <v>9</v>
      </c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/>
      <c r="B20" s="27">
        <f t="shared" ref="B20" si="1">B19</f>
        <v>6</v>
      </c>
      <c r="C20" s="27"/>
      <c r="D20" s="11">
        <f>IF(C33&lt;&gt;$C$15,"",A33)</f>
        <v>44817</v>
      </c>
      <c r="E20" s="14">
        <f>IF(C33&lt;&gt;$C$15,"",A33)</f>
        <v>44817</v>
      </c>
      <c r="F20" s="25">
        <f>IFERROR(VLOOKUP($D20,PARAMETRE!$E$3:$F$13,2,FALSE),0)</f>
        <v>0</v>
      </c>
      <c r="G20" s="116" t="str">
        <f>IF(B33=2,_xlfn.ISOWEEKNUM(E20),"")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>
        <f>IF(WEEKDAY(A19)=6,A19+3,A19+1)</f>
        <v>44809</v>
      </c>
      <c r="B21" s="27">
        <f>IF(C21&lt;&gt;$C$15,"",WEEKDAY(D8))</f>
        <v>2</v>
      </c>
      <c r="C21" s="27">
        <f>MONTH(A21)</f>
        <v>9</v>
      </c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/>
      <c r="B22" s="27">
        <f t="shared" ref="B22" si="2">B21</f>
        <v>2</v>
      </c>
      <c r="C22" s="27"/>
      <c r="D22" s="11">
        <f>IF(C35&lt;&gt;$C$15,"",A35)</f>
        <v>44818</v>
      </c>
      <c r="E22" s="14">
        <f>IF(C35&lt;&gt;$C$15,"",A35)</f>
        <v>44818</v>
      </c>
      <c r="F22" s="25">
        <f>IFERROR(VLOOKUP($D22,PARAMETRE!$E$3:$F$13,2,FALSE),0)</f>
        <v>0</v>
      </c>
      <c r="G22" s="116" t="str">
        <f>IF(B35=2,_xlfn.ISOWEEKNUM(E22),"")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>
        <f>IF(WEEKDAY(A21)=6,A21+3,A21+1)</f>
        <v>44810</v>
      </c>
      <c r="B23" s="27">
        <f>IF(C23&lt;&gt;$C$15,"",WEEKDAY(D10))</f>
        <v>3</v>
      </c>
      <c r="C23" s="27">
        <f>MONTH(A23)</f>
        <v>9</v>
      </c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/>
      <c r="B24" s="27">
        <f t="shared" ref="B24" si="3">B23</f>
        <v>3</v>
      </c>
      <c r="C24" s="27"/>
      <c r="D24" s="11">
        <f>IF(C37&lt;&gt;$C$15,"",A37)</f>
        <v>44819</v>
      </c>
      <c r="E24" s="14">
        <f>IF(C37&lt;&gt;$C$15,"",A37)</f>
        <v>44819</v>
      </c>
      <c r="F24" s="25">
        <f>IFERROR(VLOOKUP($D24,PARAMETRE!$E$3:$F$13,2,FALSE),0)</f>
        <v>0</v>
      </c>
      <c r="G24" s="116" t="str">
        <f>IF(B37=2,_xlfn.ISOWEEKNUM(E24),"")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>
        <f>IF(WEEKDAY(A23)=6,A23+3,A23+1)</f>
        <v>44811</v>
      </c>
      <c r="B25" s="27">
        <f>IF(C25&lt;&gt;$C$15,"",WEEKDAY(D12))</f>
        <v>4</v>
      </c>
      <c r="C25" s="27">
        <f>MONTH(A25)</f>
        <v>9</v>
      </c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/>
      <c r="B26" s="27">
        <f t="shared" ref="B26" si="4">B25</f>
        <v>4</v>
      </c>
      <c r="C26" s="27"/>
      <c r="D26" s="11">
        <f>IF(C39&lt;&gt;$C$15,"",A39)</f>
        <v>44820</v>
      </c>
      <c r="E26" s="14">
        <f>IF(C39&lt;&gt;$C$15,"",A39)</f>
        <v>44820</v>
      </c>
      <c r="F26" s="25">
        <f>IFERROR(VLOOKUP($D26,PARAMETRE!$E$3:$F$13,2,FALSE),0)</f>
        <v>0</v>
      </c>
      <c r="G26" s="116" t="str">
        <f>IF(B39=2,_xlfn.ISOWEEKNUM(E26),"")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>
        <f>IF(WEEKDAY(A25)=6,A25+3,A25+1)</f>
        <v>44812</v>
      </c>
      <c r="B27" s="27">
        <f>IF(C27&lt;&gt;$C$15,"",WEEKDAY(D14))</f>
        <v>5</v>
      </c>
      <c r="C27" s="27">
        <f>MONTH(A27)</f>
        <v>9</v>
      </c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/>
      <c r="B28" s="27">
        <f t="shared" ref="B28" si="5">B27</f>
        <v>5</v>
      </c>
      <c r="C28" s="27"/>
      <c r="D28" s="11">
        <f>IF(C41&lt;&gt;$C$15,"",A41)</f>
        <v>44823</v>
      </c>
      <c r="E28" s="14">
        <f>IF(C41&lt;&gt;$C$15,"",A41)</f>
        <v>44823</v>
      </c>
      <c r="F28" s="25">
        <f>IFERROR(VLOOKUP($D28,PARAMETRE!$E$3:$F$13,2,FALSE),0)</f>
        <v>0</v>
      </c>
      <c r="G28" s="116">
        <f>IF(B41=2,_xlfn.ISOWEEKNUM(E28),"")</f>
        <v>38</v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>
        <f>IF(WEEKDAY(A27)=6,A27+3,A27+1)</f>
        <v>44813</v>
      </c>
      <c r="B29" s="27">
        <f>IF(C29&lt;&gt;$C$15,"",WEEKDAY(D16))</f>
        <v>6</v>
      </c>
      <c r="C29" s="27">
        <f>MONTH(A29)</f>
        <v>9</v>
      </c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6</v>
      </c>
      <c r="C30" s="27"/>
      <c r="D30" s="11">
        <f>IF(C43&lt;&gt;$C$15,"",A43)</f>
        <v>44824</v>
      </c>
      <c r="E30" s="14">
        <f>IF(C43&lt;&gt;$C$15,"",A43)</f>
        <v>44824</v>
      </c>
      <c r="F30" s="25">
        <f>IFERROR(VLOOKUP($D30,PARAMETRE!$E$3:$F$13,2,FALSE),0)</f>
        <v>0</v>
      </c>
      <c r="G30" s="116" t="str">
        <f>IF(B43=2,_xlfn.ISOWEEKNUM(E30),"")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>
        <f>IF(WEEKDAY(A29)=6,A29+3,A29+1)</f>
        <v>44816</v>
      </c>
      <c r="B31" s="27">
        <f>IF(C31&lt;&gt;$C$15,"",WEEKDAY(D18))</f>
        <v>2</v>
      </c>
      <c r="C31" s="27">
        <f>MONTH(A31)</f>
        <v>9</v>
      </c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/>
      <c r="B32" s="27">
        <f t="shared" ref="B32" si="7">B31</f>
        <v>2</v>
      </c>
      <c r="C32" s="27"/>
      <c r="D32" s="11">
        <f>IF(C45&lt;&gt;$C$15,"",A45)</f>
        <v>44825</v>
      </c>
      <c r="E32" s="14">
        <f>IF(C45&lt;&gt;$C$15,"",A45)</f>
        <v>44825</v>
      </c>
      <c r="F32" s="25">
        <f>IFERROR(VLOOKUP($D32,PARAMETRE!$E$3:$F$13,2,FALSE),0)</f>
        <v>0</v>
      </c>
      <c r="G32" s="116" t="str">
        <f>IF(B45=2,_xlfn.ISOWEEKNUM(E32),"")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>
        <f>IF(WEEKDAY(A31)=6,A31+3,A31+1)</f>
        <v>44817</v>
      </c>
      <c r="B33" s="27">
        <f>IF(C33&lt;&gt;$C$15,"",WEEKDAY(D20))</f>
        <v>3</v>
      </c>
      <c r="C33" s="27">
        <f>MONTH(A33)</f>
        <v>9</v>
      </c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/>
      <c r="B34" s="27">
        <f t="shared" ref="B34" si="8">B33</f>
        <v>3</v>
      </c>
      <c r="C34" s="27"/>
      <c r="D34" s="11">
        <f>IF(C47&lt;&gt;$C$15,"",A47)</f>
        <v>44826</v>
      </c>
      <c r="E34" s="14">
        <f>IF(C47&lt;&gt;$C$15,"",A47)</f>
        <v>44826</v>
      </c>
      <c r="F34" s="25">
        <f>IFERROR(VLOOKUP($D34,PARAMETRE!$E$3:$F$13,2,FALSE),0)</f>
        <v>0</v>
      </c>
      <c r="G34" s="116" t="str">
        <f>IF(B47=2,_xlfn.ISOWEEKNUM(E34),"")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>
        <f>IF(WEEKDAY(A33)=6,A33+3,A33+1)</f>
        <v>44818</v>
      </c>
      <c r="B35" s="27">
        <f>IF(C35&lt;&gt;$C$15,"",WEEKDAY(D22))</f>
        <v>4</v>
      </c>
      <c r="C35" s="27">
        <f>MONTH(A35)</f>
        <v>9</v>
      </c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/>
      <c r="B36" s="27">
        <f t="shared" ref="B36" si="9">B35</f>
        <v>4</v>
      </c>
      <c r="C36" s="27"/>
      <c r="D36" s="11">
        <f>IF(C49&lt;&gt;$C$15,"",A49)</f>
        <v>44827</v>
      </c>
      <c r="E36" s="14">
        <f>IF(C49&lt;&gt;$C$15,"",A49)</f>
        <v>44827</v>
      </c>
      <c r="F36" s="25">
        <f>IFERROR(VLOOKUP($D36,PARAMETRE!$E$3:$F$13,2,FALSE),0)</f>
        <v>0</v>
      </c>
      <c r="G36" s="116" t="str">
        <f>IF(B49=2,_xlfn.ISOWEEKNUM(E36),"")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44819</v>
      </c>
      <c r="B37" s="27">
        <f>IF(C37&lt;&gt;$C$15,"",WEEKDAY(D24))</f>
        <v>5</v>
      </c>
      <c r="C37" s="27">
        <f>MONTH(A37)</f>
        <v>9</v>
      </c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/>
      <c r="B38" s="27">
        <f t="shared" ref="B38" si="10">B37</f>
        <v>5</v>
      </c>
      <c r="C38" s="27"/>
      <c r="D38" s="11">
        <f>IF(C51&lt;&gt;$C$15,"",A51)</f>
        <v>44830</v>
      </c>
      <c r="E38" s="14">
        <f>IF(C51&lt;&gt;$C$15,"",A51)</f>
        <v>44830</v>
      </c>
      <c r="F38" s="25">
        <f>IFERROR(VLOOKUP($D38,PARAMETRE!$E$3:$F$13,2,FALSE),0)</f>
        <v>0</v>
      </c>
      <c r="G38" s="116">
        <f>IF(B51=2,_xlfn.ISOWEEKNUM(E38),"")</f>
        <v>39</v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>
        <f>IF(WEEKDAY(A37)=6,A37+3,A37+1)</f>
        <v>44820</v>
      </c>
      <c r="B39" s="27">
        <f>IF(C39&lt;&gt;$C$15,"",WEEKDAY(D26))</f>
        <v>6</v>
      </c>
      <c r="C39" s="27">
        <f>MONTH(A39)</f>
        <v>9</v>
      </c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/>
      <c r="B40" s="27">
        <f t="shared" ref="B40" si="11">B39</f>
        <v>6</v>
      </c>
      <c r="C40" s="27"/>
      <c r="D40" s="11">
        <f>IF(C53&lt;&gt;$C$15,"",A53)</f>
        <v>44831</v>
      </c>
      <c r="E40" s="14">
        <f>IF(C53&lt;&gt;$C$15,"",A53)</f>
        <v>44831</v>
      </c>
      <c r="F40" s="25">
        <f>IFERROR(VLOOKUP($D40,PARAMETRE!$E$3:$F$13,2,FALSE),0)</f>
        <v>0</v>
      </c>
      <c r="G40" s="116" t="str">
        <f>IF(B53=2,_xlfn.ISOWEEKNUM(E40),"")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>
        <f>IF(WEEKDAY(A39)=6,A39+3,A39+1)</f>
        <v>44823</v>
      </c>
      <c r="B41" s="27">
        <f>IF(C41&lt;&gt;$C$15,"",WEEKDAY(D28))</f>
        <v>2</v>
      </c>
      <c r="C41" s="27">
        <f>MONTH(A41)</f>
        <v>9</v>
      </c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/>
      <c r="B42" s="27">
        <f t="shared" ref="B42" si="12">B41</f>
        <v>2</v>
      </c>
      <c r="C42" s="27"/>
      <c r="D42" s="11">
        <f>IF(C55&lt;&gt;$C$15,"",A55)</f>
        <v>44832</v>
      </c>
      <c r="E42" s="14">
        <f>IF(C55&lt;&gt;$C$15,"",A55)</f>
        <v>44832</v>
      </c>
      <c r="F42" s="25">
        <f>IFERROR(VLOOKUP($D42,PARAMETRE!$E$3:$F$13,2,FALSE),0)</f>
        <v>0</v>
      </c>
      <c r="G42" s="116" t="str">
        <f>IF(B55=2,_xlfn.ISOWEEKNUM(E42),"")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44824</v>
      </c>
      <c r="B43" s="27">
        <f>IF(C43&lt;&gt;$C$15,"",WEEKDAY(D30))</f>
        <v>3</v>
      </c>
      <c r="C43" s="27">
        <f>MONTH(A43)</f>
        <v>9</v>
      </c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3</v>
      </c>
      <c r="C44" s="27"/>
      <c r="D44" s="11">
        <f>IF(C57&lt;&gt;$C$15,"",A57)</f>
        <v>44833</v>
      </c>
      <c r="E44" s="14">
        <f>IF(C57&lt;&gt;$C$15,"",A57)</f>
        <v>44833</v>
      </c>
      <c r="F44" s="25">
        <f>IFERROR(VLOOKUP($D44,PARAMETRE!$E$3:$F$13,2,FALSE),0)</f>
        <v>0</v>
      </c>
      <c r="G44" s="116" t="str">
        <f>IF(B57=2,_xlfn.ISOWEEKNUM(E44),"")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>
        <f>IF(WEEKDAY(A43)=6,A43+3,A43+1)</f>
        <v>44825</v>
      </c>
      <c r="B45" s="27">
        <f>IF(C45&lt;&gt;$C$15,"",WEEKDAY(D32))</f>
        <v>4</v>
      </c>
      <c r="C45" s="27">
        <f>MONTH(A45)</f>
        <v>9</v>
      </c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/>
      <c r="B46" s="27">
        <f t="shared" ref="B46" si="14">B45</f>
        <v>4</v>
      </c>
      <c r="C46" s="27"/>
      <c r="D46" s="11">
        <f>IF(C59&lt;&gt;$C$15,"",A59)</f>
        <v>44834</v>
      </c>
      <c r="E46" s="14">
        <f>IF(C59&lt;&gt;$C$15,"",A59)</f>
        <v>44834</v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>
        <f>IF(WEEKDAY(A45)=6,A45+3,A45+1)</f>
        <v>44826</v>
      </c>
      <c r="B47" s="27">
        <f>IF(C47&lt;&gt;$C$15,"",WEEKDAY(D34))</f>
        <v>5</v>
      </c>
      <c r="C47" s="27">
        <f>MONTH(A47)</f>
        <v>9</v>
      </c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/>
      <c r="B48" s="27">
        <f t="shared" ref="B48" si="15">B47</f>
        <v>5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A49" s="26">
        <f>IF(WEEKDAY(A47)=6,A47+3,A47+1)</f>
        <v>44827</v>
      </c>
      <c r="B49" s="27">
        <f>IF(C49&lt;&gt;$C$15,"",WEEKDAY(D36))</f>
        <v>6</v>
      </c>
      <c r="C49" s="27">
        <f>MONTH(A49)</f>
        <v>9</v>
      </c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A50" s="26"/>
      <c r="B50" s="27">
        <f t="shared" ref="B50" si="16">B49</f>
        <v>6</v>
      </c>
      <c r="C50" s="2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A51" s="26">
        <f>IF(WEEKDAY(A49)=6,A49+3,A49+1)</f>
        <v>44830</v>
      </c>
      <c r="B51" s="27">
        <f>IF(C51&lt;&gt;$C$15,"",WEEKDAY(D38))</f>
        <v>2</v>
      </c>
      <c r="C51" s="27">
        <f>MONTH(A51)</f>
        <v>9</v>
      </c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2</v>
      </c>
      <c r="C52" s="2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44831</v>
      </c>
      <c r="B53" s="27">
        <f>IF(C53&lt;&gt;$C$15,"",WEEKDAY(D40))</f>
        <v>3</v>
      </c>
      <c r="C53" s="27">
        <f>MONTH(A53)</f>
        <v>9</v>
      </c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A54" s="26"/>
      <c r="B54" s="27">
        <f t="shared" ref="B54" si="18">B53</f>
        <v>3</v>
      </c>
      <c r="C54" s="27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 s="26">
        <f>IF(WEEKDAY(A53)=6,A53+3,A53+1)</f>
        <v>44832</v>
      </c>
      <c r="B55" s="27">
        <f>IF(C55&lt;&gt;$C$15,"",WEEKDAY(D42))</f>
        <v>4</v>
      </c>
      <c r="C55" s="27">
        <f>MONTH(A55)</f>
        <v>9</v>
      </c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A56" s="26"/>
      <c r="B56" s="27">
        <f>B55</f>
        <v>4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44833</v>
      </c>
      <c r="B57" s="27">
        <f>IF(C57&lt;&gt;$C$15,"",WEEKDAY(D44))</f>
        <v>5</v>
      </c>
      <c r="C57" s="27">
        <f>MONTH(A57)</f>
        <v>9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5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44834</v>
      </c>
      <c r="B59" s="27">
        <f>IF(C59&lt;&gt;$C$15,"",WEEKDAY(D46))</f>
        <v>6</v>
      </c>
      <c r="C59" s="27">
        <f>MONTH(A59)</f>
        <v>9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6</v>
      </c>
      <c r="C60" s="27"/>
      <c r="AI60" s="29"/>
    </row>
    <row r="61" spans="1:35" ht="11.5" customHeight="1">
      <c r="A61" s="26">
        <f>IF(WEEKDAY(A59)=6,A59+3,A59+1)</f>
        <v>44837</v>
      </c>
      <c r="B61" s="27" t="str">
        <f>IF(C61&lt;&gt;$C$15,"",WEEKDAY(D48))</f>
        <v/>
      </c>
      <c r="C61" s="27">
        <f>MONTH(A61)</f>
        <v>10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38" priority="3" stopIfTrue="1">
      <formula>$F4&lt;&gt;0</formula>
    </cfRule>
  </conditionalFormatting>
  <conditionalFormatting sqref="G4:P55 R4:R55 T4:T55 V4:V55">
    <cfRule type="expression" dxfId="37" priority="1" stopIfTrue="1">
      <formula>$H4="DAV"</formula>
    </cfRule>
    <cfRule type="expression" dxfId="36" priority="2" stopIfTrue="1">
      <formula>$J4="DAV"</formula>
    </cfRule>
    <cfRule type="expression" dxfId="35" priority="4">
      <formula>$I4="AT"</formula>
    </cfRule>
    <cfRule type="expression" dxfId="34" priority="5">
      <formula>$H4="AT"</formula>
    </cfRule>
    <cfRule type="expression" dxfId="33" priority="6">
      <formula>$J4="AT"</formula>
    </cfRule>
  </conditionalFormatting>
  <conditionalFormatting sqref="D16:P55 R16:R55 T16:T55 V16:V55">
    <cfRule type="expression" dxfId="32" priority="7" stopIfTrue="1">
      <formula>$B29=2</formula>
    </cfRule>
  </conditionalFormatting>
  <conditionalFormatting sqref="D6:P15 R6:R15 T6:T15 V6:V15">
    <cfRule type="expression" dxfId="31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D099233-93BB-0F48-A76E-46FC57256F17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DFD7ED74-FDB8-CD46-9D72-2E42DCDF3C62}">
          <x14:formula1>
            <xm:f>PARAMETRE!$I$3:$I$7</xm:f>
          </x14:formula1>
          <xm:sqref>P4:P49</xm:sqref>
        </x14:dataValidation>
        <x14:dataValidation type="list" allowBlank="1" showInputMessage="1" showErrorMessage="1" xr:uid="{F7FCB5EB-AC79-D64E-8420-AD2267C36584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21F4E784-B07E-3849-9018-30EF19A815DD}">
          <x14:formula1>
            <xm:f>PARAMETRE!$G$3:$G$13</xm:f>
          </x14:formula1>
          <xm:sqref>M4:M48</xm:sqref>
        </x14:dataValidation>
        <x14:dataValidation type="list" allowBlank="1" showInputMessage="1" showErrorMessage="1" xr:uid="{2D0E2DB4-D533-7A4A-B831-9FD72B793E29}">
          <x14:formula1>
            <xm:f>PARAMETRE!$D$3:$D$163</xm:f>
          </x14:formula1>
          <xm:sqref>S4:S55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4482F-4260-334A-8F48-CBD97036B9BC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W60" sqref="H4:W60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29"/>
      <c r="E1" s="229"/>
      <c r="F1" s="87"/>
      <c r="G1" s="230">
        <f>DATE(Installation!C4,Installation!C6+9,1)</f>
        <v>44835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D4" s="11">
        <f>IF(C17&lt;&gt;$C$15,"",A17)</f>
        <v>44837</v>
      </c>
      <c r="E4" s="14">
        <f>IF(C17&lt;&gt;$C$15,"",A17)</f>
        <v>44837</v>
      </c>
      <c r="F4" s="25">
        <f>IFERROR(VLOOKUP($D4,PARAMETRE!$E$3:$F$13,2,FALSE),0)</f>
        <v>0</v>
      </c>
      <c r="G4" s="116">
        <f>IF(B17=2,_xlfn.ISOWEEKNUM(E4),"")</f>
        <v>40</v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D6" s="11">
        <f>IF(C19&lt;&gt;$C$15,"",A19)</f>
        <v>44838</v>
      </c>
      <c r="E6" s="14">
        <f>IF(C19&lt;&gt;$C$15,"",A19)</f>
        <v>44838</v>
      </c>
      <c r="F6" s="25">
        <f>IFERROR(VLOOKUP($D6,PARAMETRE!$E$3:$F$13,2,FALSE),0)</f>
        <v>0</v>
      </c>
      <c r="G6" s="116" t="str">
        <f>IF(B19=2,_xlfn.ISOWEEKNUM(E6),"")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D8" s="11">
        <f>IF(C21&lt;&gt;$C$15,"",A21)</f>
        <v>44839</v>
      </c>
      <c r="E8" s="14">
        <f>IF(C21&lt;&gt;$C$15,"",A21)</f>
        <v>44839</v>
      </c>
      <c r="F8" s="25">
        <f>IFERROR(VLOOKUP($D8,PARAMETRE!$E$3:$F$13,2,FALSE),0)</f>
        <v>0</v>
      </c>
      <c r="G8" s="116" t="str">
        <f>IF(B21=2,_xlfn.ISOWEEKNUM(E8),"")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D10" s="11">
        <f>IF(C23&lt;&gt;$C$15,"",A23)</f>
        <v>44840</v>
      </c>
      <c r="E10" s="14">
        <f>IF(C23&lt;&gt;$C$15,"",A23)</f>
        <v>44840</v>
      </c>
      <c r="F10" s="25">
        <f>IFERROR(VLOOKUP($D10,PARAMETRE!$E$3:$F$13,2,FALSE),0)</f>
        <v>0</v>
      </c>
      <c r="G10" s="116" t="str">
        <f>IF(B23=2,_xlfn.ISOWEEKNUM(E10),"")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D12" s="11">
        <f>IF(C25&lt;&gt;$C$15,"",A25)</f>
        <v>44841</v>
      </c>
      <c r="E12" s="14">
        <f>IF(C25&lt;&gt;$C$15,"",A25)</f>
        <v>44841</v>
      </c>
      <c r="F12" s="25">
        <f>IFERROR(VLOOKUP($D12,PARAMETRE!$E$3:$F$13,2,FALSE),0)</f>
        <v>0</v>
      </c>
      <c r="G12" s="116" t="str">
        <f>IF(B25=2,_xlfn.ISOWEEKNUM(E12),"")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44844</v>
      </c>
      <c r="E14" s="14">
        <f>IF(C27&lt;&gt;$C$15,"",A27)</f>
        <v>44844</v>
      </c>
      <c r="F14" s="25">
        <f>IFERROR(VLOOKUP($D14,PARAMETRE!$E$3:$F$13,2,FALSE),0)</f>
        <v>0</v>
      </c>
      <c r="G14" s="116">
        <f>IF(B27=2,_xlfn.ISOWEEKNUM(E14),"")</f>
        <v>41</v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B15" s="26"/>
      <c r="C15" s="27">
        <f>MONTH(G1)</f>
        <v>10</v>
      </c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B16" s="26"/>
      <c r="C16" s="27"/>
      <c r="D16" s="11">
        <f>IF(C29&lt;&gt;$C$15,"",A29)</f>
        <v>44845</v>
      </c>
      <c r="E16" s="14">
        <f>IF(C29&lt;&gt;$C$15,"",A29)</f>
        <v>44845</v>
      </c>
      <c r="F16" s="25">
        <f>IFERROR(VLOOKUP($D16,PARAMETRE!$E$3:$F$13,2,FALSE),0)</f>
        <v>0</v>
      </c>
      <c r="G16" s="116" t="str">
        <f>IF(B29=2,_xlfn.ISOWEEKNUM(E16),"")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>
        <f>IF(WEEKDAY(G1)=7,G1+2,IF(WEEKDAY(G1)=1,G1+1,G1))</f>
        <v>44837</v>
      </c>
      <c r="B17" s="27">
        <f>IF(C17&lt;&gt;$C$15,"",WEEKDAY(D4))</f>
        <v>2</v>
      </c>
      <c r="C17" s="27">
        <f>MONTH(A17)</f>
        <v>10</v>
      </c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2</v>
      </c>
      <c r="C18" s="27"/>
      <c r="D18" s="11">
        <f>IF(C31&lt;&gt;$C$15,"",A31)</f>
        <v>44846</v>
      </c>
      <c r="E18" s="14">
        <f>IF(C31&lt;&gt;$C$15,"",A31)</f>
        <v>44846</v>
      </c>
      <c r="F18" s="25">
        <f>IFERROR(VLOOKUP($D18,PARAMETRE!$E$3:$F$13,2,FALSE),0)</f>
        <v>0</v>
      </c>
      <c r="G18" s="116" t="str">
        <f>IF(B31=2,_xlfn.ISOWEEKNUM(E18),"")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>
        <f>IF(WEEKDAY(A17)=6,A17+3,A17+1)</f>
        <v>44838</v>
      </c>
      <c r="B19" s="27">
        <f>IF(C19&lt;&gt;$C$15,"",WEEKDAY(D6))</f>
        <v>3</v>
      </c>
      <c r="C19" s="27">
        <f>MONTH(A19)</f>
        <v>10</v>
      </c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/>
      <c r="B20" s="27">
        <f t="shared" ref="B20" si="1">B19</f>
        <v>3</v>
      </c>
      <c r="C20" s="27"/>
      <c r="D20" s="11">
        <f>IF(C33&lt;&gt;$C$15,"",A33)</f>
        <v>44847</v>
      </c>
      <c r="E20" s="14">
        <f>IF(C33&lt;&gt;$C$15,"",A33)</f>
        <v>44847</v>
      </c>
      <c r="F20" s="25">
        <f>IFERROR(VLOOKUP($D20,PARAMETRE!$E$3:$F$13,2,FALSE),0)</f>
        <v>0</v>
      </c>
      <c r="G20" s="116" t="str">
        <f>IF(B33=2,_xlfn.ISOWEEKNUM(E20),"")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>
        <f>IF(WEEKDAY(A19)=6,A19+3,A19+1)</f>
        <v>44839</v>
      </c>
      <c r="B21" s="27">
        <f>IF(C21&lt;&gt;$C$15,"",WEEKDAY(D8))</f>
        <v>4</v>
      </c>
      <c r="C21" s="27">
        <f>MONTH(A21)</f>
        <v>10</v>
      </c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/>
      <c r="B22" s="27">
        <f t="shared" ref="B22" si="2">B21</f>
        <v>4</v>
      </c>
      <c r="C22" s="27"/>
      <c r="D22" s="11">
        <f>IF(C35&lt;&gt;$C$15,"",A35)</f>
        <v>44848</v>
      </c>
      <c r="E22" s="14">
        <f>IF(C35&lt;&gt;$C$15,"",A35)</f>
        <v>44848</v>
      </c>
      <c r="F22" s="25">
        <f>IFERROR(VLOOKUP($D22,PARAMETRE!$E$3:$F$13,2,FALSE),0)</f>
        <v>0</v>
      </c>
      <c r="G22" s="116" t="str">
        <f>IF(B35=2,_xlfn.ISOWEEKNUM(E22),"")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>
        <f>IF(WEEKDAY(A21)=6,A21+3,A21+1)</f>
        <v>44840</v>
      </c>
      <c r="B23" s="27">
        <f>IF(C23&lt;&gt;$C$15,"",WEEKDAY(D10))</f>
        <v>5</v>
      </c>
      <c r="C23" s="27">
        <f>MONTH(A23)</f>
        <v>10</v>
      </c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/>
      <c r="B24" s="27">
        <f t="shared" ref="B24" si="3">B23</f>
        <v>5</v>
      </c>
      <c r="C24" s="27"/>
      <c r="D24" s="11">
        <f>IF(C37&lt;&gt;$C$15,"",A37)</f>
        <v>44851</v>
      </c>
      <c r="E24" s="14">
        <f>IF(C37&lt;&gt;$C$15,"",A37)</f>
        <v>44851</v>
      </c>
      <c r="F24" s="25">
        <f>IFERROR(VLOOKUP($D24,PARAMETRE!$E$3:$F$13,2,FALSE),0)</f>
        <v>0</v>
      </c>
      <c r="G24" s="116">
        <f>IF(B37=2,_xlfn.ISOWEEKNUM(E24),"")</f>
        <v>42</v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>
        <f>IF(WEEKDAY(A23)=6,A23+3,A23+1)</f>
        <v>44841</v>
      </c>
      <c r="B25" s="27">
        <f>IF(C25&lt;&gt;$C$15,"",WEEKDAY(D12))</f>
        <v>6</v>
      </c>
      <c r="C25" s="27">
        <f>MONTH(A25)</f>
        <v>10</v>
      </c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/>
      <c r="B26" s="27">
        <f t="shared" ref="B26" si="4">B25</f>
        <v>6</v>
      </c>
      <c r="C26" s="27"/>
      <c r="D26" s="11">
        <f>IF(C39&lt;&gt;$C$15,"",A39)</f>
        <v>44852</v>
      </c>
      <c r="E26" s="14">
        <f>IF(C39&lt;&gt;$C$15,"",A39)</f>
        <v>44852</v>
      </c>
      <c r="F26" s="25">
        <f>IFERROR(VLOOKUP($D26,PARAMETRE!$E$3:$F$13,2,FALSE),0)</f>
        <v>0</v>
      </c>
      <c r="G26" s="116" t="str">
        <f>IF(B39=2,_xlfn.ISOWEEKNUM(E26),"")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>
        <f>IF(WEEKDAY(A25)=6,A25+3,A25+1)</f>
        <v>44844</v>
      </c>
      <c r="B27" s="27">
        <f>IF(C27&lt;&gt;$C$15,"",WEEKDAY(D14))</f>
        <v>2</v>
      </c>
      <c r="C27" s="27">
        <f>MONTH(A27)</f>
        <v>10</v>
      </c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/>
      <c r="B28" s="27">
        <f t="shared" ref="B28" si="5">B27</f>
        <v>2</v>
      </c>
      <c r="C28" s="27"/>
      <c r="D28" s="11">
        <f>IF(C41&lt;&gt;$C$15,"",A41)</f>
        <v>44853</v>
      </c>
      <c r="E28" s="14">
        <f>IF(C41&lt;&gt;$C$15,"",A41)</f>
        <v>44853</v>
      </c>
      <c r="F28" s="25">
        <f>IFERROR(VLOOKUP($D28,PARAMETRE!$E$3:$F$13,2,FALSE),0)</f>
        <v>0</v>
      </c>
      <c r="G28" s="116" t="str">
        <f>IF(B41=2,_xlfn.ISOWEEKNUM(E28),"")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>
        <f>IF(WEEKDAY(A27)=6,A27+3,A27+1)</f>
        <v>44845</v>
      </c>
      <c r="B29" s="27">
        <f>IF(C29&lt;&gt;$C$15,"",WEEKDAY(D16))</f>
        <v>3</v>
      </c>
      <c r="C29" s="27">
        <f>MONTH(A29)</f>
        <v>10</v>
      </c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3</v>
      </c>
      <c r="C30" s="27"/>
      <c r="D30" s="11">
        <f>IF(C43&lt;&gt;$C$15,"",A43)</f>
        <v>44854</v>
      </c>
      <c r="E30" s="14">
        <f>IF(C43&lt;&gt;$C$15,"",A43)</f>
        <v>44854</v>
      </c>
      <c r="F30" s="25">
        <f>IFERROR(VLOOKUP($D30,PARAMETRE!$E$3:$F$13,2,FALSE),0)</f>
        <v>0</v>
      </c>
      <c r="G30" s="116" t="str">
        <f>IF(B43=2,_xlfn.ISOWEEKNUM(E30),"")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>
        <f>IF(WEEKDAY(A29)=6,A29+3,A29+1)</f>
        <v>44846</v>
      </c>
      <c r="B31" s="27">
        <f>IF(C31&lt;&gt;$C$15,"",WEEKDAY(D18))</f>
        <v>4</v>
      </c>
      <c r="C31" s="27">
        <f>MONTH(A31)</f>
        <v>10</v>
      </c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/>
      <c r="B32" s="27">
        <f t="shared" ref="B32" si="7">B31</f>
        <v>4</v>
      </c>
      <c r="C32" s="27"/>
      <c r="D32" s="11">
        <f>IF(C45&lt;&gt;$C$15,"",A45)</f>
        <v>44855</v>
      </c>
      <c r="E32" s="14">
        <f>IF(C45&lt;&gt;$C$15,"",A45)</f>
        <v>44855</v>
      </c>
      <c r="F32" s="25">
        <f>IFERROR(VLOOKUP($D32,PARAMETRE!$E$3:$F$13,2,FALSE),0)</f>
        <v>0</v>
      </c>
      <c r="G32" s="116" t="str">
        <f>IF(B45=2,_xlfn.ISOWEEKNUM(E32),"")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>
        <f>IF(WEEKDAY(A31)=6,A31+3,A31+1)</f>
        <v>44847</v>
      </c>
      <c r="B33" s="27">
        <f>IF(C33&lt;&gt;$C$15,"",WEEKDAY(D20))</f>
        <v>5</v>
      </c>
      <c r="C33" s="27">
        <f>MONTH(A33)</f>
        <v>10</v>
      </c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/>
      <c r="B34" s="27">
        <f t="shared" ref="B34" si="8">B33</f>
        <v>5</v>
      </c>
      <c r="C34" s="27"/>
      <c r="D34" s="11">
        <f>IF(C47&lt;&gt;$C$15,"",A47)</f>
        <v>44858</v>
      </c>
      <c r="E34" s="14">
        <f>IF(C47&lt;&gt;$C$15,"",A47)</f>
        <v>44858</v>
      </c>
      <c r="F34" s="25">
        <f>IFERROR(VLOOKUP($D34,PARAMETRE!$E$3:$F$13,2,FALSE),0)</f>
        <v>0</v>
      </c>
      <c r="G34" s="116">
        <f>IF(B47=2,_xlfn.ISOWEEKNUM(E34),"")</f>
        <v>43</v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>
        <f>IF(WEEKDAY(A33)=6,A33+3,A33+1)</f>
        <v>44848</v>
      </c>
      <c r="B35" s="27">
        <f>IF(C35&lt;&gt;$C$15,"",WEEKDAY(D22))</f>
        <v>6</v>
      </c>
      <c r="C35" s="27">
        <f>MONTH(A35)</f>
        <v>10</v>
      </c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/>
      <c r="B36" s="27">
        <f t="shared" ref="B36" si="9">B35</f>
        <v>6</v>
      </c>
      <c r="C36" s="27"/>
      <c r="D36" s="11">
        <f>IF(C49&lt;&gt;$C$15,"",A49)</f>
        <v>44859</v>
      </c>
      <c r="E36" s="14">
        <f>IF(C49&lt;&gt;$C$15,"",A49)</f>
        <v>44859</v>
      </c>
      <c r="F36" s="25">
        <f>IFERROR(VLOOKUP($D36,PARAMETRE!$E$3:$F$13,2,FALSE),0)</f>
        <v>0</v>
      </c>
      <c r="G36" s="116" t="str">
        <f>IF(B49=2,_xlfn.ISOWEEKNUM(E36),"")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44851</v>
      </c>
      <c r="B37" s="27">
        <f>IF(C37&lt;&gt;$C$15,"",WEEKDAY(D24))</f>
        <v>2</v>
      </c>
      <c r="C37" s="27">
        <f>MONTH(A37)</f>
        <v>10</v>
      </c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/>
      <c r="B38" s="27">
        <f t="shared" ref="B38" si="10">B37</f>
        <v>2</v>
      </c>
      <c r="C38" s="27"/>
      <c r="D38" s="11">
        <f>IF(C51&lt;&gt;$C$15,"",A51)</f>
        <v>44860</v>
      </c>
      <c r="E38" s="14">
        <f>IF(C51&lt;&gt;$C$15,"",A51)</f>
        <v>44860</v>
      </c>
      <c r="F38" s="25">
        <f>IFERROR(VLOOKUP($D38,PARAMETRE!$E$3:$F$13,2,FALSE),0)</f>
        <v>0</v>
      </c>
      <c r="G38" s="116" t="str">
        <f>IF(B51=2,_xlfn.ISOWEEKNUM(E38),"")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>
        <f>IF(WEEKDAY(A37)=6,A37+3,A37+1)</f>
        <v>44852</v>
      </c>
      <c r="B39" s="27">
        <f>IF(C39&lt;&gt;$C$15,"",WEEKDAY(D26))</f>
        <v>3</v>
      </c>
      <c r="C39" s="27">
        <f>MONTH(A39)</f>
        <v>10</v>
      </c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/>
      <c r="B40" s="27">
        <f t="shared" ref="B40" si="11">B39</f>
        <v>3</v>
      </c>
      <c r="C40" s="27"/>
      <c r="D40" s="11">
        <f>IF(C53&lt;&gt;$C$15,"",A53)</f>
        <v>44861</v>
      </c>
      <c r="E40" s="14">
        <f>IF(C53&lt;&gt;$C$15,"",A53)</f>
        <v>44861</v>
      </c>
      <c r="F40" s="25">
        <f>IFERROR(VLOOKUP($D40,PARAMETRE!$E$3:$F$13,2,FALSE),0)</f>
        <v>0</v>
      </c>
      <c r="G40" s="116" t="str">
        <f>IF(B53=2,_xlfn.ISOWEEKNUM(E40),"")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>
        <f>IF(WEEKDAY(A39)=6,A39+3,A39+1)</f>
        <v>44853</v>
      </c>
      <c r="B41" s="27">
        <f>IF(C41&lt;&gt;$C$15,"",WEEKDAY(D28))</f>
        <v>4</v>
      </c>
      <c r="C41" s="27">
        <f>MONTH(A41)</f>
        <v>10</v>
      </c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/>
      <c r="B42" s="27">
        <f t="shared" ref="B42" si="12">B41</f>
        <v>4</v>
      </c>
      <c r="C42" s="27"/>
      <c r="D42" s="11">
        <f>IF(C55&lt;&gt;$C$15,"",A55)</f>
        <v>44862</v>
      </c>
      <c r="E42" s="14">
        <f>IF(C55&lt;&gt;$C$15,"",A55)</f>
        <v>44862</v>
      </c>
      <c r="F42" s="25">
        <f>IFERROR(VLOOKUP($D42,PARAMETRE!$E$3:$F$13,2,FALSE),0)</f>
        <v>0</v>
      </c>
      <c r="G42" s="116" t="str">
        <f>IF(B55=2,_xlfn.ISOWEEKNUM(E42),"")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44854</v>
      </c>
      <c r="B43" s="27">
        <f>IF(C43&lt;&gt;$C$15,"",WEEKDAY(D30))</f>
        <v>5</v>
      </c>
      <c r="C43" s="27">
        <f>MONTH(A43)</f>
        <v>10</v>
      </c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5</v>
      </c>
      <c r="C44" s="27"/>
      <c r="D44" s="11">
        <f>IF(C57&lt;&gt;$C$15,"",A57)</f>
        <v>44865</v>
      </c>
      <c r="E44" s="14">
        <f>IF(C57&lt;&gt;$C$15,"",A57)</f>
        <v>44865</v>
      </c>
      <c r="F44" s="25">
        <f>IFERROR(VLOOKUP($D44,PARAMETRE!$E$3:$F$13,2,FALSE),0)</f>
        <v>0</v>
      </c>
      <c r="G44" s="116">
        <f>IF(B57=2,_xlfn.ISOWEEKNUM(E44),"")</f>
        <v>44</v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>
        <f>IF(WEEKDAY(A43)=6,A43+3,A43+1)</f>
        <v>44855</v>
      </c>
      <c r="B45" s="27">
        <f>IF(C45&lt;&gt;$C$15,"",WEEKDAY(D32))</f>
        <v>6</v>
      </c>
      <c r="C45" s="27">
        <f>MONTH(A45)</f>
        <v>10</v>
      </c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/>
      <c r="B46" s="27">
        <f t="shared" ref="B46" si="14">B45</f>
        <v>6</v>
      </c>
      <c r="C46" s="27"/>
      <c r="D46" s="11" t="str">
        <f>IF(C59&lt;&gt;$C$15,"",A59)</f>
        <v/>
      </c>
      <c r="E46" s="14" t="str">
        <f>IF(C59&lt;&gt;$C$15,"",A59)</f>
        <v/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>
        <f>IF(WEEKDAY(A45)=6,A45+3,A45+1)</f>
        <v>44858</v>
      </c>
      <c r="B47" s="27">
        <f>IF(C47&lt;&gt;$C$15,"",WEEKDAY(D34))</f>
        <v>2</v>
      </c>
      <c r="C47" s="27">
        <f>MONTH(A47)</f>
        <v>10</v>
      </c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/>
      <c r="B48" s="27">
        <f t="shared" ref="B48" si="15">B47</f>
        <v>2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A49" s="26">
        <f>IF(WEEKDAY(A47)=6,A47+3,A47+1)</f>
        <v>44859</v>
      </c>
      <c r="B49" s="27">
        <f>IF(C49&lt;&gt;$C$15,"",WEEKDAY(D36))</f>
        <v>3</v>
      </c>
      <c r="C49" s="27">
        <f>MONTH(A49)</f>
        <v>10</v>
      </c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A50" s="26"/>
      <c r="B50" s="27">
        <f t="shared" ref="B50" si="16">B49</f>
        <v>3</v>
      </c>
      <c r="C50" s="2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A51" s="26">
        <f>IF(WEEKDAY(A49)=6,A49+3,A49+1)</f>
        <v>44860</v>
      </c>
      <c r="B51" s="27">
        <f>IF(C51&lt;&gt;$C$15,"",WEEKDAY(D38))</f>
        <v>4</v>
      </c>
      <c r="C51" s="27">
        <f>MONTH(A51)</f>
        <v>10</v>
      </c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4</v>
      </c>
      <c r="C52" s="2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44861</v>
      </c>
      <c r="B53" s="27">
        <f>IF(C53&lt;&gt;$C$15,"",WEEKDAY(D40))</f>
        <v>5</v>
      </c>
      <c r="C53" s="27">
        <f>MONTH(A53)</f>
        <v>10</v>
      </c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A54" s="26"/>
      <c r="B54" s="27">
        <f t="shared" ref="B54" si="18">B53</f>
        <v>5</v>
      </c>
      <c r="C54" s="27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 s="26">
        <f>IF(WEEKDAY(A53)=6,A53+3,A53+1)</f>
        <v>44862</v>
      </c>
      <c r="B55" s="27">
        <f>IF(C55&lt;&gt;$C$15,"",WEEKDAY(D42))</f>
        <v>6</v>
      </c>
      <c r="C55" s="27">
        <f>MONTH(A55)</f>
        <v>10</v>
      </c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A56" s="26"/>
      <c r="B56" s="27">
        <f>B55</f>
        <v>6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44865</v>
      </c>
      <c r="B57" s="27">
        <f>IF(C57&lt;&gt;$C$15,"",WEEKDAY(D44))</f>
        <v>2</v>
      </c>
      <c r="C57" s="27">
        <f>MONTH(A57)</f>
        <v>10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2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44866</v>
      </c>
      <c r="B59" s="27" t="str">
        <f>IF(C59&lt;&gt;$C$15,"",WEEKDAY(D46))</f>
        <v/>
      </c>
      <c r="C59" s="27">
        <f>MONTH(A59)</f>
        <v>11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 t="str">
        <f t="shared" ref="B60" si="19">B59</f>
        <v/>
      </c>
      <c r="C60" s="27"/>
      <c r="AI60" s="29"/>
    </row>
    <row r="61" spans="1:35" ht="11.5" customHeight="1">
      <c r="A61" s="26">
        <f>IF(WEEKDAY(A59)=6,A59+3,A59+1)</f>
        <v>44867</v>
      </c>
      <c r="B61" s="27" t="str">
        <f>IF(C61&lt;&gt;$C$15,"",WEEKDAY(D48))</f>
        <v/>
      </c>
      <c r="C61" s="27">
        <f>MONTH(A61)</f>
        <v>11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30" priority="3" stopIfTrue="1">
      <formula>$F4&lt;&gt;0</formula>
    </cfRule>
  </conditionalFormatting>
  <conditionalFormatting sqref="G4:P55 R4:R55 T4:T55 V4:V55">
    <cfRule type="expression" dxfId="29" priority="1" stopIfTrue="1">
      <formula>$H4="DAV"</formula>
    </cfRule>
    <cfRule type="expression" dxfId="28" priority="2" stopIfTrue="1">
      <formula>$J4="DAV"</formula>
    </cfRule>
    <cfRule type="expression" dxfId="27" priority="4">
      <formula>$I4="AT"</formula>
    </cfRule>
    <cfRule type="expression" dxfId="26" priority="5">
      <formula>$H4="AT"</formula>
    </cfRule>
    <cfRule type="expression" dxfId="25" priority="6">
      <formula>$J4="AT"</formula>
    </cfRule>
  </conditionalFormatting>
  <conditionalFormatting sqref="D16:P55 R16:R55 T16:T55 V16:V55">
    <cfRule type="expression" dxfId="24" priority="7" stopIfTrue="1">
      <formula>$B29=2</formula>
    </cfRule>
  </conditionalFormatting>
  <conditionalFormatting sqref="D6:P15 R6:R15 T6:T15 V6:V15">
    <cfRule type="expression" dxfId="23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2B22590-18B9-CF46-A45E-F6582C6ACB25}">
          <x14:formula1>
            <xm:f>PARAMETRE!$D$3:$D$163</xm:f>
          </x14:formula1>
          <xm:sqref>S4:S55</xm:sqref>
        </x14:dataValidation>
        <x14:dataValidation type="list" allowBlank="1" showInputMessage="1" showErrorMessage="1" xr:uid="{05944F66-81AB-A244-8FF0-16D3398F50C9}">
          <x14:formula1>
            <xm:f>PARAMETRE!$G$3:$G$13</xm:f>
          </x14:formula1>
          <xm:sqref>M4:M48</xm:sqref>
        </x14:dataValidation>
        <x14:dataValidation type="list" allowBlank="1" showInputMessage="1" showErrorMessage="1" xr:uid="{1546DB37-8DA4-E641-923A-C11DDFCB1810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6CB0D044-F74E-414F-857A-141CB7260243}">
          <x14:formula1>
            <xm:f>PARAMETRE!$I$3:$I$7</xm:f>
          </x14:formula1>
          <xm:sqref>P4:P49</xm:sqref>
        </x14:dataValidation>
        <x14:dataValidation type="list" allowBlank="1" showInputMessage="1" showErrorMessage="1" xr:uid="{ADBFF285-DD1E-5D47-8373-E4C6E64EE701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97FA2-B971-8A4F-9DF4-9071EB9EF69E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H4" sqref="H4:W60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29"/>
      <c r="E1" s="229"/>
      <c r="F1" s="87"/>
      <c r="G1" s="230">
        <f>DATE(Installation!C4,Installation!C6+10,1)</f>
        <v>44866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D4" s="11">
        <f>IF(C17&lt;&gt;$C$15,"",A17)</f>
        <v>44866</v>
      </c>
      <c r="E4" s="14">
        <f>IF(C17&lt;&gt;$C$15,"",A17)</f>
        <v>44866</v>
      </c>
      <c r="F4" s="25" t="str">
        <f>IFERROR(VLOOKUP($D4,PARAMETRE!$E$3:$F$13,2,FALSE),0)</f>
        <v>TOUSSAINT</v>
      </c>
      <c r="G4" s="116" t="str">
        <f>IF(B17=2,_xlfn.ISOWEEKNUM(E4),"")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D6" s="11">
        <f>IF(C19&lt;&gt;$C$15,"",A19)</f>
        <v>44867</v>
      </c>
      <c r="E6" s="14">
        <f>IF(C19&lt;&gt;$C$15,"",A19)</f>
        <v>44867</v>
      </c>
      <c r="F6" s="25">
        <f>IFERROR(VLOOKUP($D6,PARAMETRE!$E$3:$F$13,2,FALSE),0)</f>
        <v>0</v>
      </c>
      <c r="G6" s="116" t="str">
        <f>IF(B19=2,_xlfn.ISOWEEKNUM(E6),"")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D8" s="11">
        <f>IF(C21&lt;&gt;$C$15,"",A21)</f>
        <v>44868</v>
      </c>
      <c r="E8" s="14">
        <f>IF(C21&lt;&gt;$C$15,"",A21)</f>
        <v>44868</v>
      </c>
      <c r="F8" s="25">
        <f>IFERROR(VLOOKUP($D8,PARAMETRE!$E$3:$F$13,2,FALSE),0)</f>
        <v>0</v>
      </c>
      <c r="G8" s="116" t="str">
        <f>IF(B21=2,_xlfn.ISOWEEKNUM(E8),"")</f>
        <v/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D10" s="11">
        <f>IF(C23&lt;&gt;$C$15,"",A23)</f>
        <v>44869</v>
      </c>
      <c r="E10" s="14">
        <f>IF(C23&lt;&gt;$C$15,"",A23)</f>
        <v>44869</v>
      </c>
      <c r="F10" s="25">
        <f>IFERROR(VLOOKUP($D10,PARAMETRE!$E$3:$F$13,2,FALSE),0)</f>
        <v>0</v>
      </c>
      <c r="G10" s="116" t="str">
        <f>IF(B23=2,_xlfn.ISOWEEKNUM(E10),"")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D12" s="11">
        <f>IF(C25&lt;&gt;$C$15,"",A25)</f>
        <v>44872</v>
      </c>
      <c r="E12" s="14">
        <f>IF(C25&lt;&gt;$C$15,"",A25)</f>
        <v>44872</v>
      </c>
      <c r="F12" s="25">
        <f>IFERROR(VLOOKUP($D12,PARAMETRE!$E$3:$F$13,2,FALSE),0)</f>
        <v>0</v>
      </c>
      <c r="G12" s="116">
        <f>IF(B25=2,_xlfn.ISOWEEKNUM(E12),"")</f>
        <v>45</v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44873</v>
      </c>
      <c r="E14" s="14">
        <f>IF(C27&lt;&gt;$C$15,"",A27)</f>
        <v>44873</v>
      </c>
      <c r="F14" s="25">
        <f>IFERROR(VLOOKUP($D14,PARAMETRE!$E$3:$F$13,2,FALSE),0)</f>
        <v>0</v>
      </c>
      <c r="G14" s="116" t="str">
        <f>IF(B27=2,_xlfn.ISOWEEKNUM(E14),"")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B15" s="26"/>
      <c r="C15" s="27">
        <f>MONTH(G1)</f>
        <v>11</v>
      </c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B16" s="26"/>
      <c r="C16" s="27"/>
      <c r="D16" s="11">
        <f>IF(C29&lt;&gt;$C$15,"",A29)</f>
        <v>44874</v>
      </c>
      <c r="E16" s="14">
        <f>IF(C29&lt;&gt;$C$15,"",A29)</f>
        <v>44874</v>
      </c>
      <c r="F16" s="25">
        <f>IFERROR(VLOOKUP($D16,PARAMETRE!$E$3:$F$13,2,FALSE),0)</f>
        <v>0</v>
      </c>
      <c r="G16" s="116" t="str">
        <f>IF(B29=2,_xlfn.ISOWEEKNUM(E16),"")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>
        <f>IF(WEEKDAY(G1)=7,G1+2,IF(WEEKDAY(G1)=1,G1+1,G1))</f>
        <v>44866</v>
      </c>
      <c r="B17" s="27">
        <f>IF(C17&lt;&gt;$C$15,"",WEEKDAY(D4))</f>
        <v>3</v>
      </c>
      <c r="C17" s="27">
        <f>MONTH(A17)</f>
        <v>11</v>
      </c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3</v>
      </c>
      <c r="C18" s="27"/>
      <c r="D18" s="11">
        <f>IF(C31&lt;&gt;$C$15,"",A31)</f>
        <v>44875</v>
      </c>
      <c r="E18" s="14">
        <f>IF(C31&lt;&gt;$C$15,"",A31)</f>
        <v>44875</v>
      </c>
      <c r="F18" s="25">
        <f>IFERROR(VLOOKUP($D18,PARAMETRE!$E$3:$F$13,2,FALSE),0)</f>
        <v>0</v>
      </c>
      <c r="G18" s="116" t="str">
        <f>IF(B31=2,_xlfn.ISOWEEKNUM(E18),"")</f>
        <v/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>
        <f>IF(WEEKDAY(A17)=6,A17+3,A17+1)</f>
        <v>44867</v>
      </c>
      <c r="B19" s="27">
        <f>IF(C19&lt;&gt;$C$15,"",WEEKDAY(D6))</f>
        <v>4</v>
      </c>
      <c r="C19" s="27">
        <f>MONTH(A19)</f>
        <v>11</v>
      </c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/>
      <c r="B20" s="27">
        <f t="shared" ref="B20" si="1">B19</f>
        <v>4</v>
      </c>
      <c r="C20" s="27"/>
      <c r="D20" s="11">
        <f>IF(C33&lt;&gt;$C$15,"",A33)</f>
        <v>44876</v>
      </c>
      <c r="E20" s="14">
        <f>IF(C33&lt;&gt;$C$15,"",A33)</f>
        <v>44876</v>
      </c>
      <c r="F20" s="25" t="str">
        <f>IFERROR(VLOOKUP($D20,PARAMETRE!$E$3:$F$13,2,FALSE),0)</f>
        <v>ARMISTICE DE 1918</v>
      </c>
      <c r="G20" s="116" t="str">
        <f>IF(B33=2,_xlfn.ISOWEEKNUM(E20),"")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>
        <f>IF(WEEKDAY(A19)=6,A19+3,A19+1)</f>
        <v>44868</v>
      </c>
      <c r="B21" s="27">
        <f>IF(C21&lt;&gt;$C$15,"",WEEKDAY(D8))</f>
        <v>5</v>
      </c>
      <c r="C21" s="27">
        <f>MONTH(A21)</f>
        <v>11</v>
      </c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/>
      <c r="B22" s="27">
        <f t="shared" ref="B22" si="2">B21</f>
        <v>5</v>
      </c>
      <c r="C22" s="27"/>
      <c r="D22" s="11">
        <f>IF(C35&lt;&gt;$C$15,"",A35)</f>
        <v>44879</v>
      </c>
      <c r="E22" s="14">
        <f>IF(C35&lt;&gt;$C$15,"",A35)</f>
        <v>44879</v>
      </c>
      <c r="F22" s="25">
        <f>IFERROR(VLOOKUP($D22,PARAMETRE!$E$3:$F$13,2,FALSE),0)</f>
        <v>0</v>
      </c>
      <c r="G22" s="116">
        <f>IF(B35=2,_xlfn.ISOWEEKNUM(E22),"")</f>
        <v>46</v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>
        <f>IF(WEEKDAY(A21)=6,A21+3,A21+1)</f>
        <v>44869</v>
      </c>
      <c r="B23" s="27">
        <f>IF(C23&lt;&gt;$C$15,"",WEEKDAY(D10))</f>
        <v>6</v>
      </c>
      <c r="C23" s="27">
        <f>MONTH(A23)</f>
        <v>11</v>
      </c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/>
      <c r="B24" s="27">
        <f t="shared" ref="B24" si="3">B23</f>
        <v>6</v>
      </c>
      <c r="C24" s="27"/>
      <c r="D24" s="11">
        <f>IF(C37&lt;&gt;$C$15,"",A37)</f>
        <v>44880</v>
      </c>
      <c r="E24" s="14">
        <f>IF(C37&lt;&gt;$C$15,"",A37)</f>
        <v>44880</v>
      </c>
      <c r="F24" s="25">
        <f>IFERROR(VLOOKUP($D24,PARAMETRE!$E$3:$F$13,2,FALSE),0)</f>
        <v>0</v>
      </c>
      <c r="G24" s="116" t="str">
        <f>IF(B37=2,_xlfn.ISOWEEKNUM(E24),"")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>
        <f>IF(WEEKDAY(A23)=6,A23+3,A23+1)</f>
        <v>44872</v>
      </c>
      <c r="B25" s="27">
        <f>IF(C25&lt;&gt;$C$15,"",WEEKDAY(D12))</f>
        <v>2</v>
      </c>
      <c r="C25" s="27">
        <f>MONTH(A25)</f>
        <v>11</v>
      </c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/>
      <c r="B26" s="27">
        <f t="shared" ref="B26" si="4">B25</f>
        <v>2</v>
      </c>
      <c r="C26" s="27"/>
      <c r="D26" s="11">
        <f>IF(C39&lt;&gt;$C$15,"",A39)</f>
        <v>44881</v>
      </c>
      <c r="E26" s="14">
        <f>IF(C39&lt;&gt;$C$15,"",A39)</f>
        <v>44881</v>
      </c>
      <c r="F26" s="25">
        <f>IFERROR(VLOOKUP($D26,PARAMETRE!$E$3:$F$13,2,FALSE),0)</f>
        <v>0</v>
      </c>
      <c r="G26" s="116" t="str">
        <f>IF(B39=2,_xlfn.ISOWEEKNUM(E26),"")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>
        <f>IF(WEEKDAY(A25)=6,A25+3,A25+1)</f>
        <v>44873</v>
      </c>
      <c r="B27" s="27">
        <f>IF(C27&lt;&gt;$C$15,"",WEEKDAY(D14))</f>
        <v>3</v>
      </c>
      <c r="C27" s="27">
        <f>MONTH(A27)</f>
        <v>11</v>
      </c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/>
      <c r="B28" s="27">
        <f t="shared" ref="B28" si="5">B27</f>
        <v>3</v>
      </c>
      <c r="C28" s="27"/>
      <c r="D28" s="11">
        <f>IF(C41&lt;&gt;$C$15,"",A41)</f>
        <v>44882</v>
      </c>
      <c r="E28" s="14">
        <f>IF(C41&lt;&gt;$C$15,"",A41)</f>
        <v>44882</v>
      </c>
      <c r="F28" s="25">
        <f>IFERROR(VLOOKUP($D28,PARAMETRE!$E$3:$F$13,2,FALSE),0)</f>
        <v>0</v>
      </c>
      <c r="G28" s="116" t="str">
        <f>IF(B41=2,_xlfn.ISOWEEKNUM(E28),"")</f>
        <v/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>
        <f>IF(WEEKDAY(A27)=6,A27+3,A27+1)</f>
        <v>44874</v>
      </c>
      <c r="B29" s="27">
        <f>IF(C29&lt;&gt;$C$15,"",WEEKDAY(D16))</f>
        <v>4</v>
      </c>
      <c r="C29" s="27">
        <f>MONTH(A29)</f>
        <v>11</v>
      </c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4</v>
      </c>
      <c r="C30" s="27"/>
      <c r="D30" s="11">
        <f>IF(C43&lt;&gt;$C$15,"",A43)</f>
        <v>44883</v>
      </c>
      <c r="E30" s="14">
        <f>IF(C43&lt;&gt;$C$15,"",A43)</f>
        <v>44883</v>
      </c>
      <c r="F30" s="25">
        <f>IFERROR(VLOOKUP($D30,PARAMETRE!$E$3:$F$13,2,FALSE),0)</f>
        <v>0</v>
      </c>
      <c r="G30" s="116" t="str">
        <f>IF(B43=2,_xlfn.ISOWEEKNUM(E30),"")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>
        <f>IF(WEEKDAY(A29)=6,A29+3,A29+1)</f>
        <v>44875</v>
      </c>
      <c r="B31" s="27">
        <f>IF(C31&lt;&gt;$C$15,"",WEEKDAY(D18))</f>
        <v>5</v>
      </c>
      <c r="C31" s="27">
        <f>MONTH(A31)</f>
        <v>11</v>
      </c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/>
      <c r="B32" s="27">
        <f t="shared" ref="B32" si="7">B31</f>
        <v>5</v>
      </c>
      <c r="C32" s="27"/>
      <c r="D32" s="11">
        <f>IF(C45&lt;&gt;$C$15,"",A45)</f>
        <v>44886</v>
      </c>
      <c r="E32" s="14">
        <f>IF(C45&lt;&gt;$C$15,"",A45)</f>
        <v>44886</v>
      </c>
      <c r="F32" s="25">
        <f>IFERROR(VLOOKUP($D32,PARAMETRE!$E$3:$F$13,2,FALSE),0)</f>
        <v>0</v>
      </c>
      <c r="G32" s="116">
        <f>IF(B45=2,_xlfn.ISOWEEKNUM(E32),"")</f>
        <v>47</v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>
        <f>IF(WEEKDAY(A31)=6,A31+3,A31+1)</f>
        <v>44876</v>
      </c>
      <c r="B33" s="27">
        <f>IF(C33&lt;&gt;$C$15,"",WEEKDAY(D20))</f>
        <v>6</v>
      </c>
      <c r="C33" s="27">
        <f>MONTH(A33)</f>
        <v>11</v>
      </c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/>
      <c r="B34" s="27">
        <f t="shared" ref="B34" si="8">B33</f>
        <v>6</v>
      </c>
      <c r="C34" s="27"/>
      <c r="D34" s="11">
        <f>IF(C47&lt;&gt;$C$15,"",A47)</f>
        <v>44887</v>
      </c>
      <c r="E34" s="14">
        <f>IF(C47&lt;&gt;$C$15,"",A47)</f>
        <v>44887</v>
      </c>
      <c r="F34" s="25">
        <f>IFERROR(VLOOKUP($D34,PARAMETRE!$E$3:$F$13,2,FALSE),0)</f>
        <v>0</v>
      </c>
      <c r="G34" s="116" t="str">
        <f>IF(B47=2,_xlfn.ISOWEEKNUM(E34),"")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>
        <f>IF(WEEKDAY(A33)=6,A33+3,A33+1)</f>
        <v>44879</v>
      </c>
      <c r="B35" s="27">
        <f>IF(C35&lt;&gt;$C$15,"",WEEKDAY(D22))</f>
        <v>2</v>
      </c>
      <c r="C35" s="27">
        <f>MONTH(A35)</f>
        <v>11</v>
      </c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/>
      <c r="B36" s="27">
        <f t="shared" ref="B36" si="9">B35</f>
        <v>2</v>
      </c>
      <c r="C36" s="27"/>
      <c r="D36" s="11">
        <f>IF(C49&lt;&gt;$C$15,"",A49)</f>
        <v>44888</v>
      </c>
      <c r="E36" s="14">
        <f>IF(C49&lt;&gt;$C$15,"",A49)</f>
        <v>44888</v>
      </c>
      <c r="F36" s="25">
        <f>IFERROR(VLOOKUP($D36,PARAMETRE!$E$3:$F$13,2,FALSE),0)</f>
        <v>0</v>
      </c>
      <c r="G36" s="116" t="str">
        <f>IF(B49=2,_xlfn.ISOWEEKNUM(E36),"")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44880</v>
      </c>
      <c r="B37" s="27">
        <f>IF(C37&lt;&gt;$C$15,"",WEEKDAY(D24))</f>
        <v>3</v>
      </c>
      <c r="C37" s="27">
        <f>MONTH(A37)</f>
        <v>11</v>
      </c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/>
      <c r="B38" s="27">
        <f t="shared" ref="B38" si="10">B37</f>
        <v>3</v>
      </c>
      <c r="C38" s="27"/>
      <c r="D38" s="11">
        <f>IF(C51&lt;&gt;$C$15,"",A51)</f>
        <v>44889</v>
      </c>
      <c r="E38" s="14">
        <f>IF(C51&lt;&gt;$C$15,"",A51)</f>
        <v>44889</v>
      </c>
      <c r="F38" s="25">
        <f>IFERROR(VLOOKUP($D38,PARAMETRE!$E$3:$F$13,2,FALSE),0)</f>
        <v>0</v>
      </c>
      <c r="G38" s="116" t="str">
        <f>IF(B51=2,_xlfn.ISOWEEKNUM(E38),"")</f>
        <v/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>
        <f>IF(WEEKDAY(A37)=6,A37+3,A37+1)</f>
        <v>44881</v>
      </c>
      <c r="B39" s="27">
        <f>IF(C39&lt;&gt;$C$15,"",WEEKDAY(D26))</f>
        <v>4</v>
      </c>
      <c r="C39" s="27">
        <f>MONTH(A39)</f>
        <v>11</v>
      </c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/>
      <c r="B40" s="27">
        <f t="shared" ref="B40" si="11">B39</f>
        <v>4</v>
      </c>
      <c r="C40" s="27"/>
      <c r="D40" s="11">
        <f>IF(C53&lt;&gt;$C$15,"",A53)</f>
        <v>44890</v>
      </c>
      <c r="E40" s="14">
        <f>IF(C53&lt;&gt;$C$15,"",A53)</f>
        <v>44890</v>
      </c>
      <c r="F40" s="25">
        <f>IFERROR(VLOOKUP($D40,PARAMETRE!$E$3:$F$13,2,FALSE),0)</f>
        <v>0</v>
      </c>
      <c r="G40" s="116" t="str">
        <f>IF(B53=2,_xlfn.ISOWEEKNUM(E40),"")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>
        <f>IF(WEEKDAY(A39)=6,A39+3,A39+1)</f>
        <v>44882</v>
      </c>
      <c r="B41" s="27">
        <f>IF(C41&lt;&gt;$C$15,"",WEEKDAY(D28))</f>
        <v>5</v>
      </c>
      <c r="C41" s="27">
        <f>MONTH(A41)</f>
        <v>11</v>
      </c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/>
      <c r="B42" s="27">
        <f t="shared" ref="B42" si="12">B41</f>
        <v>5</v>
      </c>
      <c r="C42" s="27"/>
      <c r="D42" s="11">
        <f>IF(C55&lt;&gt;$C$15,"",A55)</f>
        <v>44893</v>
      </c>
      <c r="E42" s="14">
        <f>IF(C55&lt;&gt;$C$15,"",A55)</f>
        <v>44893</v>
      </c>
      <c r="F42" s="25">
        <f>IFERROR(VLOOKUP($D42,PARAMETRE!$E$3:$F$13,2,FALSE),0)</f>
        <v>0</v>
      </c>
      <c r="G42" s="116">
        <f>IF(B55=2,_xlfn.ISOWEEKNUM(E42),"")</f>
        <v>48</v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44883</v>
      </c>
      <c r="B43" s="27">
        <f>IF(C43&lt;&gt;$C$15,"",WEEKDAY(D30))</f>
        <v>6</v>
      </c>
      <c r="C43" s="27">
        <f>MONTH(A43)</f>
        <v>11</v>
      </c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6</v>
      </c>
      <c r="C44" s="27"/>
      <c r="D44" s="11">
        <f>IF(C57&lt;&gt;$C$15,"",A57)</f>
        <v>44894</v>
      </c>
      <c r="E44" s="14">
        <f>IF(C57&lt;&gt;$C$15,"",A57)</f>
        <v>44894</v>
      </c>
      <c r="F44" s="25">
        <f>IFERROR(VLOOKUP($D44,PARAMETRE!$E$3:$F$13,2,FALSE),0)</f>
        <v>0</v>
      </c>
      <c r="G44" s="116" t="str">
        <f>IF(B57=2,_xlfn.ISOWEEKNUM(E44),"")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>
        <f>IF(WEEKDAY(A43)=6,A43+3,A43+1)</f>
        <v>44886</v>
      </c>
      <c r="B45" s="27">
        <f>IF(C45&lt;&gt;$C$15,"",WEEKDAY(D32))</f>
        <v>2</v>
      </c>
      <c r="C45" s="27">
        <f>MONTH(A45)</f>
        <v>11</v>
      </c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/>
      <c r="B46" s="27">
        <f t="shared" ref="B46" si="14">B45</f>
        <v>2</v>
      </c>
      <c r="C46" s="27"/>
      <c r="D46" s="11">
        <f>IF(C59&lt;&gt;$C$15,"",A59)</f>
        <v>44895</v>
      </c>
      <c r="E46" s="14">
        <f>IF(C59&lt;&gt;$C$15,"",A59)</f>
        <v>44895</v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>
        <f>IF(WEEKDAY(A45)=6,A45+3,A45+1)</f>
        <v>44887</v>
      </c>
      <c r="B47" s="27">
        <f>IF(C47&lt;&gt;$C$15,"",WEEKDAY(D34))</f>
        <v>3</v>
      </c>
      <c r="C47" s="27">
        <f>MONTH(A47)</f>
        <v>11</v>
      </c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/>
      <c r="B48" s="27">
        <f t="shared" ref="B48" si="15">B47</f>
        <v>3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A49" s="26">
        <f>IF(WEEKDAY(A47)=6,A47+3,A47+1)</f>
        <v>44888</v>
      </c>
      <c r="B49" s="27">
        <f>IF(C49&lt;&gt;$C$15,"",WEEKDAY(D36))</f>
        <v>4</v>
      </c>
      <c r="C49" s="27">
        <f>MONTH(A49)</f>
        <v>11</v>
      </c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A50" s="26"/>
      <c r="B50" s="27">
        <f t="shared" ref="B50" si="16">B49</f>
        <v>4</v>
      </c>
      <c r="C50" s="2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A51" s="26">
        <f>IF(WEEKDAY(A49)=6,A49+3,A49+1)</f>
        <v>44889</v>
      </c>
      <c r="B51" s="27">
        <f>IF(C51&lt;&gt;$C$15,"",WEEKDAY(D38))</f>
        <v>5</v>
      </c>
      <c r="C51" s="27">
        <f>MONTH(A51)</f>
        <v>11</v>
      </c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5</v>
      </c>
      <c r="C52" s="2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44890</v>
      </c>
      <c r="B53" s="27">
        <f>IF(C53&lt;&gt;$C$15,"",WEEKDAY(D40))</f>
        <v>6</v>
      </c>
      <c r="C53" s="27">
        <f>MONTH(A53)</f>
        <v>11</v>
      </c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A54" s="26"/>
      <c r="B54" s="27">
        <f t="shared" ref="B54" si="18">B53</f>
        <v>6</v>
      </c>
      <c r="C54" s="27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 s="26">
        <f>IF(WEEKDAY(A53)=6,A53+3,A53+1)</f>
        <v>44893</v>
      </c>
      <c r="B55" s="27">
        <f>IF(C55&lt;&gt;$C$15,"",WEEKDAY(D42))</f>
        <v>2</v>
      </c>
      <c r="C55" s="27">
        <f>MONTH(A55)</f>
        <v>11</v>
      </c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A56" s="26"/>
      <c r="B56" s="27">
        <f>B55</f>
        <v>2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44894</v>
      </c>
      <c r="B57" s="27">
        <f>IF(C57&lt;&gt;$C$15,"",WEEKDAY(D44))</f>
        <v>3</v>
      </c>
      <c r="C57" s="27">
        <f>MONTH(A57)</f>
        <v>11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3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44895</v>
      </c>
      <c r="B59" s="27">
        <f>IF(C59&lt;&gt;$C$15,"",WEEKDAY(D46))</f>
        <v>4</v>
      </c>
      <c r="C59" s="27">
        <f>MONTH(A59)</f>
        <v>11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4</v>
      </c>
      <c r="C60" s="27"/>
      <c r="AI60" s="29"/>
    </row>
    <row r="61" spans="1:35" ht="11.5" customHeight="1">
      <c r="A61" s="26">
        <f>IF(WEEKDAY(A59)=6,A59+3,A59+1)</f>
        <v>44896</v>
      </c>
      <c r="B61" s="27" t="str">
        <f>IF(C61&lt;&gt;$C$15,"",WEEKDAY(D48))</f>
        <v/>
      </c>
      <c r="C61" s="27">
        <f>MONTH(A61)</f>
        <v>12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22" priority="3" stopIfTrue="1">
      <formula>$F4&lt;&gt;0</formula>
    </cfRule>
  </conditionalFormatting>
  <conditionalFormatting sqref="G4:P55 R4:R55 T4:T55 V4:V55">
    <cfRule type="expression" dxfId="21" priority="1" stopIfTrue="1">
      <formula>$H4="DAV"</formula>
    </cfRule>
    <cfRule type="expression" dxfId="20" priority="2" stopIfTrue="1">
      <formula>$J4="DAV"</formula>
    </cfRule>
    <cfRule type="expression" dxfId="19" priority="4">
      <formula>$I4="AT"</formula>
    </cfRule>
    <cfRule type="expression" dxfId="18" priority="5">
      <formula>$H4="AT"</formula>
    </cfRule>
    <cfRule type="expression" dxfId="17" priority="6">
      <formula>$J4="AT"</formula>
    </cfRule>
  </conditionalFormatting>
  <conditionalFormatting sqref="D16:P55 R16:R55 T16:T55 V16:V55">
    <cfRule type="expression" dxfId="16" priority="7" stopIfTrue="1">
      <formula>$B29=2</formula>
    </cfRule>
  </conditionalFormatting>
  <conditionalFormatting sqref="D6:P15 R6:R15 T6:T15 V6:V15">
    <cfRule type="expression" dxfId="15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6366E79-34B6-1346-9C1C-AED2A8ECA95F}">
          <x14:formula1>
            <xm:f>PARAMETRE!$D$3:$D$163</xm:f>
          </x14:formula1>
          <xm:sqref>S4:S55</xm:sqref>
        </x14:dataValidation>
        <x14:dataValidation type="list" allowBlank="1" showInputMessage="1" showErrorMessage="1" xr:uid="{13F89AC6-90A6-B242-8951-4C5E8EDBDDF5}">
          <x14:formula1>
            <xm:f>PARAMETRE!$G$3:$G$13</xm:f>
          </x14:formula1>
          <xm:sqref>M4:M48</xm:sqref>
        </x14:dataValidation>
        <x14:dataValidation type="list" allowBlank="1" showInputMessage="1" showErrorMessage="1" xr:uid="{2E1C00DD-AC03-3C40-A518-382865ACD2A6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4FC9BEBD-D713-6E48-B6B3-E699E1E3A1A3}">
          <x14:formula1>
            <xm:f>PARAMETRE!$I$3:$I$7</xm:f>
          </x14:formula1>
          <xm:sqref>P4:P49</xm:sqref>
        </x14:dataValidation>
        <x14:dataValidation type="list" allowBlank="1" showInputMessage="1" showErrorMessage="1" xr:uid="{85C553CC-4996-BE4D-BEFC-FFD904229DBE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58335-AB66-8745-BA21-34ED473FE169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Z69" sqref="Z69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29"/>
      <c r="E1" s="229"/>
      <c r="F1" s="87"/>
      <c r="G1" s="230">
        <f>DATE(Installation!C4,Installation!C6+11,1)</f>
        <v>44896</v>
      </c>
      <c r="H1" s="230"/>
      <c r="I1" s="231">
        <f>DATE(Installation!C4,Installation!C6,1)</f>
        <v>44562</v>
      </c>
      <c r="J1" s="231"/>
      <c r="K1" s="231"/>
      <c r="L1" s="231"/>
      <c r="M1" s="231"/>
      <c r="N1" s="231"/>
      <c r="O1" s="231"/>
      <c r="P1" s="73"/>
      <c r="Q1" s="233"/>
      <c r="R1" s="233"/>
      <c r="S1" s="233"/>
      <c r="T1" s="233"/>
      <c r="U1" s="233"/>
      <c r="V1" s="233"/>
      <c r="W1" s="123"/>
      <c r="X1" s="28"/>
      <c r="Y1" s="107"/>
      <c r="Z1" s="232" t="s">
        <v>81</v>
      </c>
      <c r="AA1" s="232">
        <f>I1</f>
        <v>44562</v>
      </c>
      <c r="AB1" s="232"/>
      <c r="AC1" s="232"/>
      <c r="AD1" s="232"/>
      <c r="AE1" s="232"/>
      <c r="AF1" s="232"/>
    </row>
    <row r="2" spans="1:37" ht="11" customHeight="1">
      <c r="D2" s="229"/>
      <c r="E2" s="229"/>
      <c r="F2" s="87"/>
      <c r="G2" s="230"/>
      <c r="H2" s="230"/>
      <c r="I2" s="231"/>
      <c r="J2" s="231"/>
      <c r="K2" s="231"/>
      <c r="L2" s="231"/>
      <c r="M2" s="231"/>
      <c r="N2" s="231"/>
      <c r="O2" s="231"/>
      <c r="P2" s="73"/>
      <c r="Q2" s="233"/>
      <c r="R2" s="233"/>
      <c r="S2" s="233"/>
      <c r="T2" s="233"/>
      <c r="U2" s="233"/>
      <c r="V2" s="233"/>
      <c r="W2" s="123"/>
      <c r="X2" s="28"/>
      <c r="Y2" s="107"/>
      <c r="Z2" s="232"/>
      <c r="AA2" s="232"/>
      <c r="AB2" s="232"/>
      <c r="AC2" s="232"/>
      <c r="AD2" s="232"/>
      <c r="AE2" s="232"/>
      <c r="AF2" s="232"/>
    </row>
    <row r="3" spans="1:37" ht="18" customHeight="1">
      <c r="D3" s="101"/>
      <c r="E3" s="102"/>
      <c r="F3" s="102"/>
      <c r="G3" s="103" t="s">
        <v>31</v>
      </c>
      <c r="H3" s="104" t="s">
        <v>7</v>
      </c>
      <c r="I3" s="104" t="s">
        <v>8</v>
      </c>
      <c r="J3" s="104" t="s">
        <v>9</v>
      </c>
      <c r="K3" s="104" t="s">
        <v>53</v>
      </c>
      <c r="L3" s="106" t="s">
        <v>17</v>
      </c>
      <c r="M3" s="106" t="s">
        <v>54</v>
      </c>
      <c r="N3" s="106" t="s">
        <v>74</v>
      </c>
      <c r="O3" s="106" t="s">
        <v>46</v>
      </c>
      <c r="P3" s="106" t="s">
        <v>88</v>
      </c>
      <c r="Q3" s="249" t="s">
        <v>96</v>
      </c>
      <c r="R3" s="249"/>
      <c r="S3" s="249"/>
      <c r="T3" s="249"/>
      <c r="U3" s="249"/>
      <c r="V3" s="249"/>
    </row>
    <row r="4" spans="1:37" ht="11.5" customHeight="1">
      <c r="D4" s="11">
        <f>IF(C17&lt;&gt;$C$15,"",A17)</f>
        <v>44896</v>
      </c>
      <c r="E4" s="14">
        <f>IF(C17&lt;&gt;$C$15,"",A17)</f>
        <v>44896</v>
      </c>
      <c r="F4" s="25">
        <f>IFERROR(VLOOKUP($D4,PARAMETRE!$E$3:$F$13,2,FALSE),0)</f>
        <v>0</v>
      </c>
      <c r="G4" s="116" t="str">
        <f>IF(B17=2,_xlfn.ISOWEEKNUM(E4),"")</f>
        <v/>
      </c>
      <c r="H4" s="15"/>
      <c r="I4" s="17"/>
      <c r="J4" s="17"/>
      <c r="K4" s="20"/>
      <c r="L4" s="20"/>
      <c r="M4" s="108"/>
      <c r="N4" s="131"/>
      <c r="O4" s="128"/>
      <c r="P4" s="112"/>
      <c r="Q4" s="134"/>
      <c r="R4" s="24"/>
      <c r="S4" s="134"/>
      <c r="T4" s="124"/>
      <c r="U4" s="134"/>
      <c r="V4" s="24"/>
      <c r="X4" s="237" t="s">
        <v>105</v>
      </c>
      <c r="Y4" s="238"/>
      <c r="Z4" s="238"/>
      <c r="AA4" s="238"/>
      <c r="AB4" s="238"/>
      <c r="AC4" s="238"/>
      <c r="AD4" s="238"/>
      <c r="AE4" s="238"/>
      <c r="AF4" s="118"/>
      <c r="AG4" s="118"/>
      <c r="AH4" s="119"/>
    </row>
    <row r="5" spans="1:37" ht="11.5" customHeight="1">
      <c r="D5" s="13"/>
      <c r="E5" s="23"/>
      <c r="F5" s="114"/>
      <c r="G5" s="115"/>
      <c r="H5" s="16"/>
      <c r="I5" s="19"/>
      <c r="J5" s="19"/>
      <c r="K5" s="94"/>
      <c r="L5" s="94"/>
      <c r="M5" s="110"/>
      <c r="N5" s="132"/>
      <c r="O5" s="129"/>
      <c r="P5" s="111"/>
      <c r="Q5" s="134"/>
      <c r="R5" s="117"/>
      <c r="S5" s="134"/>
      <c r="T5" s="117"/>
      <c r="U5" s="134"/>
      <c r="V5" s="117"/>
      <c r="X5" s="239"/>
      <c r="Y5" s="240"/>
      <c r="Z5" s="240"/>
      <c r="AA5" s="240"/>
      <c r="AB5" s="240"/>
      <c r="AC5" s="240"/>
      <c r="AD5" s="240"/>
      <c r="AE5" s="240"/>
      <c r="AF5" s="120"/>
      <c r="AG5" s="120"/>
      <c r="AH5" s="121"/>
    </row>
    <row r="6" spans="1:37" ht="11.5" customHeight="1">
      <c r="D6" s="11">
        <f>IF(C19&lt;&gt;$C$15,"",A19)</f>
        <v>44897</v>
      </c>
      <c r="E6" s="14">
        <f>IF(C19&lt;&gt;$C$15,"",A19)</f>
        <v>44897</v>
      </c>
      <c r="F6" s="25">
        <f>IFERROR(VLOOKUP($D6,PARAMETRE!$E$3:$F$13,2,FALSE),0)</f>
        <v>0</v>
      </c>
      <c r="G6" s="116" t="str">
        <f>IF(B19=2,_xlfn.ISOWEEKNUM(E6),"")</f>
        <v/>
      </c>
      <c r="H6" s="15"/>
      <c r="I6" s="17"/>
      <c r="J6" s="17"/>
      <c r="K6" s="20"/>
      <c r="L6" s="20"/>
      <c r="M6" s="108"/>
      <c r="N6" s="131"/>
      <c r="O6" s="128"/>
      <c r="P6" s="112"/>
      <c r="Q6" s="134"/>
      <c r="R6" s="24"/>
      <c r="S6" s="134"/>
      <c r="T6" s="24"/>
      <c r="U6" s="134"/>
      <c r="V6" s="24"/>
      <c r="X6" s="236"/>
      <c r="Y6" s="225" t="s">
        <v>100</v>
      </c>
      <c r="Z6" s="225" t="s">
        <v>99</v>
      </c>
      <c r="AA6" s="225" t="s">
        <v>104</v>
      </c>
      <c r="AB6" s="227"/>
      <c r="AD6" s="236"/>
      <c r="AE6" s="225" t="s">
        <v>74</v>
      </c>
      <c r="AF6" s="225" t="s">
        <v>99</v>
      </c>
      <c r="AG6" s="225" t="s">
        <v>104</v>
      </c>
      <c r="AH6" s="227"/>
      <c r="AI6" s="234" t="s">
        <v>95</v>
      </c>
      <c r="AJ6" s="234" t="s">
        <v>98</v>
      </c>
      <c r="AK6" s="225" t="s">
        <v>97</v>
      </c>
    </row>
    <row r="7" spans="1:37" ht="11.5" customHeight="1">
      <c r="D7" s="13"/>
      <c r="E7" s="23"/>
      <c r="F7" s="114">
        <f>IFERROR(VLOOKUP($D7,PARAMETRE!$E$3:$F$13,2,FALSE),0)</f>
        <v>0</v>
      </c>
      <c r="G7" s="115"/>
      <c r="H7" s="16"/>
      <c r="I7" s="19"/>
      <c r="J7" s="19"/>
      <c r="K7" s="94"/>
      <c r="L7" s="94"/>
      <c r="M7" s="110"/>
      <c r="N7" s="132"/>
      <c r="O7" s="129"/>
      <c r="P7" s="111"/>
      <c r="Q7" s="134"/>
      <c r="R7" s="117"/>
      <c r="S7" s="134"/>
      <c r="T7" s="117"/>
      <c r="U7" s="134"/>
      <c r="V7" s="117"/>
      <c r="X7" s="236"/>
      <c r="Y7" s="226"/>
      <c r="Z7" s="226"/>
      <c r="AA7" s="226"/>
      <c r="AB7" s="228"/>
      <c r="AD7" s="236"/>
      <c r="AE7" s="226"/>
      <c r="AF7" s="226"/>
      <c r="AG7" s="226"/>
      <c r="AH7" s="228"/>
      <c r="AI7" s="235"/>
      <c r="AJ7" s="235"/>
      <c r="AK7" s="250"/>
    </row>
    <row r="8" spans="1:37" ht="11.5" customHeight="1">
      <c r="D8" s="11">
        <f>IF(C21&lt;&gt;$C$15,"",A21)</f>
        <v>44900</v>
      </c>
      <c r="E8" s="14">
        <f>IF(C21&lt;&gt;$C$15,"",A21)</f>
        <v>44900</v>
      </c>
      <c r="F8" s="25">
        <f>IFERROR(VLOOKUP($D8,PARAMETRE!$E$3:$F$13,2,FALSE),0)</f>
        <v>0</v>
      </c>
      <c r="G8" s="116">
        <f>IF(B21=2,_xlfn.ISOWEEKNUM(E8),"")</f>
        <v>49</v>
      </c>
      <c r="H8" s="15"/>
      <c r="I8" s="17"/>
      <c r="J8" s="17"/>
      <c r="K8" s="20"/>
      <c r="L8" s="20"/>
      <c r="M8" s="108"/>
      <c r="N8" s="131"/>
      <c r="O8" s="128"/>
      <c r="P8" s="112"/>
      <c r="Q8" s="134"/>
      <c r="R8" s="24"/>
      <c r="S8" s="134"/>
      <c r="T8" s="24"/>
      <c r="U8" s="134"/>
      <c r="V8" s="24"/>
      <c r="X8" s="154" t="s">
        <v>21</v>
      </c>
      <c r="Y8" s="155">
        <f>SUMIF(M4:M49,"CUBE",N4:N49)</f>
        <v>0</v>
      </c>
      <c r="Z8" s="156">
        <f>ACHATS!F34</f>
        <v>0</v>
      </c>
      <c r="AA8" s="223" t="str">
        <f>Z8-Y8&amp;" cube"</f>
        <v>0 cube</v>
      </c>
      <c r="AB8" s="223"/>
      <c r="AD8" s="154" t="s">
        <v>80</v>
      </c>
      <c r="AE8" s="155">
        <f>SUM(AI8:AK8)</f>
        <v>0</v>
      </c>
      <c r="AF8" s="156">
        <f>ACHATS!K34</f>
        <v>0</v>
      </c>
      <c r="AG8" s="223" t="str">
        <f>ACHATS!K36&amp;" bouche(s)"</f>
        <v>0 bouche(s)</v>
      </c>
      <c r="AH8" s="224"/>
      <c r="AI8" s="153">
        <f>SUMIF(R4:R55,AD8,Q4:Q55)</f>
        <v>0</v>
      </c>
      <c r="AJ8" s="135">
        <f>SUMIF(T4:T55,AD8,S4:S55)</f>
        <v>0</v>
      </c>
      <c r="AK8" s="136">
        <f>SUMIF(V4:V55,AD8,U4:U55)</f>
        <v>0</v>
      </c>
    </row>
    <row r="9" spans="1:37" ht="11.5" customHeight="1">
      <c r="D9" s="13"/>
      <c r="E9" s="23"/>
      <c r="F9" s="114">
        <f>IFERROR(VLOOKUP($D9,PARAMETRE!$E$3:$F$13,2,FALSE),0)</f>
        <v>0</v>
      </c>
      <c r="G9" s="115"/>
      <c r="H9" s="16"/>
      <c r="I9" s="19"/>
      <c r="J9" s="19"/>
      <c r="K9" s="94"/>
      <c r="L9" s="94"/>
      <c r="M9" s="110"/>
      <c r="N9" s="132"/>
      <c r="O9" s="129"/>
      <c r="P9" s="111"/>
      <c r="Q9" s="134"/>
      <c r="R9" s="117"/>
      <c r="S9" s="134"/>
      <c r="T9" s="117"/>
      <c r="U9" s="134"/>
      <c r="V9" s="117"/>
      <c r="X9" s="2"/>
      <c r="Y9" s="2"/>
      <c r="Z9" s="2"/>
      <c r="AA9" s="157"/>
      <c r="AB9" s="157"/>
      <c r="AD9" s="2"/>
      <c r="AE9" s="2"/>
      <c r="AF9" s="2"/>
      <c r="AG9" s="157"/>
      <c r="AH9" s="157"/>
      <c r="AI9" s="153">
        <f>SUMIF(R4:R55,AD10,Q4:Q55)</f>
        <v>0</v>
      </c>
      <c r="AJ9" s="135">
        <f>SUMIF(T4:T55,AD10,S4:S55)</f>
        <v>0</v>
      </c>
      <c r="AK9" s="136">
        <f>SUMIF(V4:V55,AD10,U4:U55)</f>
        <v>0</v>
      </c>
    </row>
    <row r="10" spans="1:37" ht="11.5" customHeight="1">
      <c r="D10" s="11">
        <f>IF(C23&lt;&gt;$C$15,"",A23)</f>
        <v>44901</v>
      </c>
      <c r="E10" s="14">
        <f>IF(C23&lt;&gt;$C$15,"",A23)</f>
        <v>44901</v>
      </c>
      <c r="F10" s="25">
        <f>IFERROR(VLOOKUP($D10,PARAMETRE!$E$3:$F$13,2,FALSE),0)</f>
        <v>0</v>
      </c>
      <c r="G10" s="116" t="str">
        <f>IF(B23=2,_xlfn.ISOWEEKNUM(E10),"")</f>
        <v/>
      </c>
      <c r="H10" s="15"/>
      <c r="I10" s="17"/>
      <c r="J10" s="17"/>
      <c r="K10" s="20"/>
      <c r="L10" s="20"/>
      <c r="M10" s="108"/>
      <c r="N10" s="131"/>
      <c r="O10" s="128"/>
      <c r="P10" s="112"/>
      <c r="Q10" s="134"/>
      <c r="R10" s="24"/>
      <c r="S10" s="134"/>
      <c r="T10" s="24"/>
      <c r="U10" s="134"/>
      <c r="V10" s="24"/>
      <c r="X10" s="154" t="s">
        <v>24</v>
      </c>
      <c r="Y10" s="155">
        <f>SUMIF($M4:$M49,"PUREVENT",$N4:$N49)</f>
        <v>0</v>
      </c>
      <c r="Z10" s="156">
        <f>ACHATS!G34</f>
        <v>0</v>
      </c>
      <c r="AA10" s="223" t="str">
        <f>Z10-Y10&amp;" purevent"</f>
        <v>0 purevent</v>
      </c>
      <c r="AB10" s="224"/>
      <c r="AD10" s="154" t="s">
        <v>76</v>
      </c>
      <c r="AE10" s="155">
        <f>SUM(AI9:AK9)</f>
        <v>0</v>
      </c>
      <c r="AF10" s="156">
        <f>ACHATS!L34</f>
        <v>0</v>
      </c>
      <c r="AG10" s="224" t="str">
        <f>ACHATS!L36&amp;" gaine(s)"</f>
        <v>0 gaine(s)</v>
      </c>
      <c r="AH10" s="224"/>
      <c r="AI10" s="153">
        <f>SUMIF(R4:R55,AD12,Q4:Q55)</f>
        <v>0</v>
      </c>
      <c r="AJ10" s="135">
        <f>SUMIF(T4:T55,AD12,S4:S55)</f>
        <v>0</v>
      </c>
      <c r="AK10" s="136">
        <f>SUMIF(V4:V55,AD12,U4:U55)</f>
        <v>0</v>
      </c>
    </row>
    <row r="11" spans="1:37" ht="11.5" customHeight="1">
      <c r="D11" s="13"/>
      <c r="E11" s="23"/>
      <c r="F11" s="114">
        <f>IFERROR(VLOOKUP($D11,PARAMETRE!$E$3:$F$13,2,FALSE),0)</f>
        <v>0</v>
      </c>
      <c r="G11" s="115"/>
      <c r="H11" s="16"/>
      <c r="I11" s="19"/>
      <c r="J11" s="19"/>
      <c r="K11" s="94"/>
      <c r="L11" s="94"/>
      <c r="M11" s="110"/>
      <c r="N11" s="132"/>
      <c r="O11" s="129"/>
      <c r="P11" s="111"/>
      <c r="Q11" s="134"/>
      <c r="R11" s="117"/>
      <c r="S11" s="134"/>
      <c r="T11" s="117"/>
      <c r="U11" s="134"/>
      <c r="V11" s="117"/>
      <c r="X11" s="2"/>
      <c r="Y11" s="2"/>
      <c r="Z11" s="2"/>
      <c r="AA11" s="157"/>
      <c r="AB11" s="157"/>
      <c r="AD11" s="2"/>
      <c r="AE11" s="2"/>
      <c r="AF11" s="2"/>
      <c r="AG11" s="157"/>
      <c r="AH11" s="157"/>
      <c r="AI11" s="153">
        <f>SUMIF(R4:R55,AD14,Q4:Q55)</f>
        <v>0</v>
      </c>
      <c r="AJ11" s="135">
        <f>SUMIF(T4:T55,AD14,S4:S55)</f>
        <v>0</v>
      </c>
      <c r="AK11" s="136">
        <f>SUMIF(V4:V55,AD14,U4:U55)</f>
        <v>0</v>
      </c>
    </row>
    <row r="12" spans="1:37" ht="11.5" customHeight="1">
      <c r="D12" s="11">
        <f>IF(C25&lt;&gt;$C$15,"",A25)</f>
        <v>44902</v>
      </c>
      <c r="E12" s="14">
        <f>IF(C25&lt;&gt;$C$15,"",A25)</f>
        <v>44902</v>
      </c>
      <c r="F12" s="25">
        <f>IFERROR(VLOOKUP($D12,PARAMETRE!$E$3:$F$13,2,FALSE),0)</f>
        <v>0</v>
      </c>
      <c r="G12" s="116" t="str">
        <f>IF(B25=2,_xlfn.ISOWEEKNUM(E12),"")</f>
        <v/>
      </c>
      <c r="H12" s="15"/>
      <c r="I12" s="17"/>
      <c r="J12" s="17"/>
      <c r="K12" s="20"/>
      <c r="L12" s="20"/>
      <c r="M12" s="108"/>
      <c r="N12" s="131"/>
      <c r="O12" s="128"/>
      <c r="P12" s="112"/>
      <c r="Q12" s="134"/>
      <c r="R12" s="24"/>
      <c r="S12" s="134"/>
      <c r="T12" s="24"/>
      <c r="U12" s="134"/>
      <c r="V12" s="24"/>
      <c r="X12" s="154" t="s">
        <v>25</v>
      </c>
      <c r="Y12" s="155">
        <f>SUMIF($M4:$M49,AA20,$N4:$N49)</f>
        <v>0</v>
      </c>
      <c r="Z12" s="156">
        <f>ACHATS!H34</f>
        <v>0</v>
      </c>
      <c r="AA12" s="223" t="str">
        <f>Z12-Y12&amp;" pro 800"</f>
        <v>0 pro 800</v>
      </c>
      <c r="AB12" s="224"/>
      <c r="AD12" s="154" t="s">
        <v>77</v>
      </c>
      <c r="AE12" s="155">
        <f>SUM(AI10:AK10)</f>
        <v>0</v>
      </c>
      <c r="AF12" s="156">
        <f>ACHATS!M34</f>
        <v>0</v>
      </c>
      <c r="AG12" s="224" t="str">
        <f>ACHATS!M36&amp;" filtre(s)"</f>
        <v>0 filtre(s)</v>
      </c>
      <c r="AH12" s="224"/>
    </row>
    <row r="13" spans="1:37" ht="11.5" customHeight="1">
      <c r="D13" s="13"/>
      <c r="E13" s="23"/>
      <c r="F13" s="114">
        <f>IFERROR(VLOOKUP($D13,PARAMETRE!$E$3:$F$13,2,FALSE),0)</f>
        <v>0</v>
      </c>
      <c r="G13" s="115"/>
      <c r="H13" s="16"/>
      <c r="I13" s="19"/>
      <c r="J13" s="19"/>
      <c r="K13" s="94"/>
      <c r="L13" s="94"/>
      <c r="M13" s="110"/>
      <c r="N13" s="132"/>
      <c r="O13" s="129"/>
      <c r="P13" s="111"/>
      <c r="Q13" s="134"/>
      <c r="R13" s="117"/>
      <c r="S13" s="134"/>
      <c r="T13" s="117"/>
      <c r="U13" s="134"/>
      <c r="V13" s="117"/>
      <c r="X13" s="2"/>
      <c r="Y13" s="2"/>
      <c r="Z13" s="2"/>
      <c r="AA13" s="157"/>
      <c r="AB13" s="157"/>
      <c r="AD13" s="2"/>
      <c r="AE13" s="2"/>
      <c r="AF13" s="2"/>
      <c r="AG13" s="157"/>
      <c r="AH13" s="157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44903</v>
      </c>
      <c r="E14" s="14">
        <f>IF(C27&lt;&gt;$C$15,"",A27)</f>
        <v>44903</v>
      </c>
      <c r="F14" s="25">
        <f>IFERROR(VLOOKUP($D14,PARAMETRE!$E$3:$F$13,2,FALSE),0)</f>
        <v>0</v>
      </c>
      <c r="G14" s="116" t="str">
        <f>IF(B27=2,_xlfn.ISOWEEKNUM(E14),"")</f>
        <v/>
      </c>
      <c r="H14" s="15"/>
      <c r="I14" s="17"/>
      <c r="J14" s="17"/>
      <c r="K14" s="20"/>
      <c r="L14" s="20"/>
      <c r="M14" s="108"/>
      <c r="N14" s="131"/>
      <c r="O14" s="128"/>
      <c r="P14" s="112"/>
      <c r="Q14" s="134"/>
      <c r="R14" s="24"/>
      <c r="S14" s="134"/>
      <c r="T14" s="24"/>
      <c r="U14" s="134"/>
      <c r="V14" s="24"/>
      <c r="W14"/>
      <c r="X14" s="154" t="s">
        <v>23</v>
      </c>
      <c r="Y14" s="155">
        <f>SUMIF($M4:$M49,AB20,$N4:$N49)</f>
        <v>0</v>
      </c>
      <c r="Z14" s="156">
        <f>ACHATS!I34</f>
        <v>0</v>
      </c>
      <c r="AA14" s="223" t="str">
        <f>Z14-Y14&amp;" urban"</f>
        <v>0 urban</v>
      </c>
      <c r="AB14" s="224"/>
      <c r="AC14" s="122"/>
      <c r="AD14" s="154" t="s">
        <v>78</v>
      </c>
      <c r="AE14" s="155">
        <f>SUM(AI11:AK11)</f>
        <v>0</v>
      </c>
      <c r="AF14" s="156">
        <f>ACHATS!N34</f>
        <v>0</v>
      </c>
      <c r="AG14" s="224" t="str">
        <f>ACHATS!N36&amp;" sac(s)"</f>
        <v>0 sac(s)</v>
      </c>
      <c r="AH14" s="224"/>
      <c r="AI14"/>
    </row>
    <row r="15" spans="1:37" ht="11" customHeight="1">
      <c r="B15" s="26"/>
      <c r="C15" s="27">
        <f>MONTH(G1)</f>
        <v>12</v>
      </c>
      <c r="D15" s="13"/>
      <c r="E15" s="23"/>
      <c r="F15" s="114">
        <f>IFERROR(VLOOKUP($D15,PARAMETRE!$E$3:$F$13,2,FALSE),0)</f>
        <v>0</v>
      </c>
      <c r="G15" s="115"/>
      <c r="H15" s="16"/>
      <c r="I15" s="19"/>
      <c r="J15" s="19"/>
      <c r="K15" s="94"/>
      <c r="L15" s="94"/>
      <c r="M15" s="110"/>
      <c r="N15" s="132"/>
      <c r="O15" s="129"/>
      <c r="P15" s="111"/>
      <c r="Q15" s="134"/>
      <c r="R15" s="117"/>
      <c r="S15" s="134"/>
      <c r="T15" s="117"/>
      <c r="U15" s="134"/>
      <c r="V15" s="117"/>
      <c r="X15" s="2"/>
      <c r="Y15" s="2"/>
      <c r="Z15" s="2"/>
      <c r="AA15" s="157"/>
      <c r="AB15" s="157"/>
      <c r="AD15" s="2"/>
      <c r="AE15" s="2"/>
      <c r="AF15" s="2"/>
      <c r="AG15" s="157"/>
      <c r="AH15" s="157"/>
    </row>
    <row r="16" spans="1:37" ht="11" customHeight="1">
      <c r="B16" s="26"/>
      <c r="C16" s="27"/>
      <c r="D16" s="11">
        <f>IF(C29&lt;&gt;$C$15,"",A29)</f>
        <v>44904</v>
      </c>
      <c r="E16" s="14">
        <f>IF(C29&lt;&gt;$C$15,"",A29)</f>
        <v>44904</v>
      </c>
      <c r="F16" s="25">
        <f>IFERROR(VLOOKUP($D16,PARAMETRE!$E$3:$F$13,2,FALSE),0)</f>
        <v>0</v>
      </c>
      <c r="G16" s="116" t="str">
        <f>IF(B29=2,_xlfn.ISOWEEKNUM(E16),"")</f>
        <v/>
      </c>
      <c r="H16" s="15"/>
      <c r="I16" s="17"/>
      <c r="J16" s="17"/>
      <c r="K16" s="20"/>
      <c r="L16" s="20"/>
      <c r="M16" s="108"/>
      <c r="N16" s="131"/>
      <c r="O16" s="128"/>
      <c r="P16" s="112"/>
      <c r="Q16" s="134"/>
      <c r="R16" s="24"/>
      <c r="S16" s="134"/>
      <c r="T16" s="24"/>
      <c r="U16" s="134"/>
      <c r="V16" s="24"/>
      <c r="X16" s="154" t="s">
        <v>27</v>
      </c>
      <c r="Y16" s="155">
        <f>SUMIF($M4:$M49,AC20,$N4:$N49)</f>
        <v>0</v>
      </c>
      <c r="Z16" s="156">
        <f>ACHATS!J34</f>
        <v>0</v>
      </c>
      <c r="AA16" s="223" t="str">
        <f>Z16-Y16&amp;" VMC"</f>
        <v>0 VMC</v>
      </c>
      <c r="AB16" s="224"/>
      <c r="AD16" s="154" t="s">
        <v>19</v>
      </c>
      <c r="AE16" s="155">
        <f>SUMIF($M4:$M49,AH20,$N4:$N49)</f>
        <v>0</v>
      </c>
      <c r="AF16" s="156">
        <f>ACHATS!O34</f>
        <v>0</v>
      </c>
      <c r="AG16" s="224" t="str">
        <f>ACHATS!O36&amp;" sac(s)"</f>
        <v>0 sac(s)</v>
      </c>
      <c r="AH16" s="224"/>
    </row>
    <row r="17" spans="1:38" ht="11.5" customHeight="1">
      <c r="A17" s="26">
        <f>IF(WEEKDAY(G1)=7,G1+2,IF(WEEKDAY(G1)=1,G1+1,G1))</f>
        <v>44896</v>
      </c>
      <c r="B17" s="27">
        <f>IF(C17&lt;&gt;$C$15,"",WEEKDAY(D4))</f>
        <v>5</v>
      </c>
      <c r="C17" s="27">
        <f>MONTH(A17)</f>
        <v>12</v>
      </c>
      <c r="D17" s="13"/>
      <c r="E17" s="23"/>
      <c r="F17" s="114">
        <f>IFERROR(VLOOKUP($D17,PARAMETRE!$E$3:$F$13,2,FALSE),0)</f>
        <v>0</v>
      </c>
      <c r="G17" s="115"/>
      <c r="H17" s="16"/>
      <c r="I17" s="19"/>
      <c r="J17" s="19"/>
      <c r="K17" s="94"/>
      <c r="L17" s="94"/>
      <c r="M17" s="110"/>
      <c r="N17" s="132"/>
      <c r="O17" s="129"/>
      <c r="P17" s="111"/>
      <c r="Q17" s="134"/>
      <c r="R17" s="117"/>
      <c r="S17" s="134"/>
      <c r="T17" s="117"/>
      <c r="U17" s="134"/>
      <c r="V17" s="117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5</v>
      </c>
      <c r="C18" s="27"/>
      <c r="D18" s="11">
        <f>IF(C31&lt;&gt;$C$15,"",A31)</f>
        <v>44907</v>
      </c>
      <c r="E18" s="14">
        <f>IF(C31&lt;&gt;$C$15,"",A31)</f>
        <v>44907</v>
      </c>
      <c r="F18" s="25">
        <f>IFERROR(VLOOKUP($D18,PARAMETRE!$E$3:$F$13,2,FALSE),0)</f>
        <v>0</v>
      </c>
      <c r="G18" s="116">
        <f>IF(B31=2,_xlfn.ISOWEEKNUM(E18),"")</f>
        <v>50</v>
      </c>
      <c r="H18" s="15"/>
      <c r="I18" s="17"/>
      <c r="J18" s="17"/>
      <c r="K18" s="20"/>
      <c r="L18" s="20"/>
      <c r="M18" s="108"/>
      <c r="N18" s="131"/>
      <c r="O18" s="128"/>
      <c r="P18" s="112"/>
      <c r="Q18" s="134"/>
      <c r="R18" s="24"/>
      <c r="S18" s="134"/>
      <c r="T18" s="24"/>
      <c r="U18" s="134"/>
      <c r="V18" s="24"/>
      <c r="X18" s="243" t="s">
        <v>103</v>
      </c>
      <c r="Y18" s="243"/>
      <c r="Z18" s="243"/>
      <c r="AA18" s="243"/>
      <c r="AB18" s="243"/>
      <c r="AC18" s="243"/>
      <c r="AD18" s="243"/>
      <c r="AE18" s="243"/>
      <c r="AF18" s="28"/>
      <c r="AG18" s="28"/>
      <c r="AH18" s="28"/>
    </row>
    <row r="19" spans="1:38" ht="11.5" customHeight="1">
      <c r="A19" s="26">
        <f>IF(WEEKDAY(A17)=6,A17+3,A17+1)</f>
        <v>44897</v>
      </c>
      <c r="B19" s="27">
        <f>IF(C19&lt;&gt;$C$15,"",WEEKDAY(D6))</f>
        <v>6</v>
      </c>
      <c r="C19" s="27">
        <f>MONTH(A19)</f>
        <v>12</v>
      </c>
      <c r="D19" s="13"/>
      <c r="E19" s="23"/>
      <c r="F19" s="114">
        <f>IFERROR(VLOOKUP($D19,PARAMETRE!$E$3:$F$13,2,FALSE),0)</f>
        <v>0</v>
      </c>
      <c r="G19" s="115"/>
      <c r="H19" s="16"/>
      <c r="I19" s="19"/>
      <c r="J19" s="19"/>
      <c r="K19" s="94"/>
      <c r="L19" s="94"/>
      <c r="M19" s="110"/>
      <c r="N19" s="132"/>
      <c r="O19" s="129"/>
      <c r="P19" s="111"/>
      <c r="Q19" s="134"/>
      <c r="R19" s="117"/>
      <c r="S19" s="134"/>
      <c r="T19" s="117"/>
      <c r="U19" s="134"/>
      <c r="V19" s="117"/>
      <c r="X19" s="243"/>
      <c r="Y19" s="243"/>
      <c r="Z19" s="243"/>
      <c r="AA19" s="243"/>
      <c r="AB19" s="243"/>
      <c r="AC19" s="243"/>
      <c r="AD19" s="243"/>
      <c r="AE19" s="243"/>
      <c r="AF19" s="28"/>
      <c r="AG19" s="28"/>
      <c r="AH19" s="28"/>
    </row>
    <row r="20" spans="1:38" ht="11.5" customHeight="1">
      <c r="A20" s="26"/>
      <c r="B20" s="27">
        <f t="shared" ref="B20" si="1">B19</f>
        <v>6</v>
      </c>
      <c r="C20" s="27"/>
      <c r="D20" s="11">
        <f>IF(C33&lt;&gt;$C$15,"",A33)</f>
        <v>44908</v>
      </c>
      <c r="E20" s="14">
        <f>IF(C33&lt;&gt;$C$15,"",A33)</f>
        <v>44908</v>
      </c>
      <c r="F20" s="25">
        <f>IFERROR(VLOOKUP($D20,PARAMETRE!$E$3:$F$13,2,FALSE),0)</f>
        <v>0</v>
      </c>
      <c r="G20" s="116" t="str">
        <f>IF(B33=2,_xlfn.ISOWEEKNUM(E20),"")</f>
        <v/>
      </c>
      <c r="H20" s="15"/>
      <c r="I20" s="17"/>
      <c r="J20" s="17"/>
      <c r="K20" s="20"/>
      <c r="L20" s="20"/>
      <c r="M20" s="108"/>
      <c r="N20" s="131"/>
      <c r="O20" s="128"/>
      <c r="P20" s="112"/>
      <c r="Q20" s="134"/>
      <c r="R20" s="24"/>
      <c r="S20" s="134"/>
      <c r="T20" s="24"/>
      <c r="U20" s="134"/>
      <c r="V20" s="24"/>
      <c r="X20" s="84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5" customHeight="1">
      <c r="A21" s="26">
        <f>IF(WEEKDAY(A19)=6,A19+3,A19+1)</f>
        <v>44900</v>
      </c>
      <c r="B21" s="27">
        <f>IF(C21&lt;&gt;$C$15,"",WEEKDAY(D8))</f>
        <v>2</v>
      </c>
      <c r="C21" s="27">
        <f>MONTH(A21)</f>
        <v>12</v>
      </c>
      <c r="D21" s="13"/>
      <c r="E21" s="23"/>
      <c r="F21" s="114">
        <f>IFERROR(VLOOKUP($D21,PARAMETRE!$E$3:$F$13,2,FALSE),0)</f>
        <v>0</v>
      </c>
      <c r="G21" s="115"/>
      <c r="H21" s="16"/>
      <c r="I21" s="19"/>
      <c r="J21" s="19"/>
      <c r="K21" s="94"/>
      <c r="L21" s="94"/>
      <c r="M21" s="110"/>
      <c r="N21" s="132"/>
      <c r="O21" s="129"/>
      <c r="P21" s="111"/>
      <c r="Q21" s="134"/>
      <c r="R21" s="117"/>
      <c r="S21" s="134"/>
      <c r="T21" s="117"/>
      <c r="U21" s="134"/>
      <c r="V21" s="117"/>
      <c r="X21" s="84"/>
      <c r="Y21" s="228"/>
      <c r="Z21" s="228"/>
      <c r="AA21" s="228"/>
      <c r="AB21" s="228"/>
      <c r="AC21" s="228"/>
      <c r="AD21" s="246"/>
      <c r="AE21" s="246"/>
      <c r="AF21" s="246"/>
      <c r="AG21" s="246"/>
      <c r="AH21" s="228"/>
    </row>
    <row r="22" spans="1:38" ht="11.5" customHeight="1">
      <c r="A22" s="26"/>
      <c r="B22" s="27">
        <f t="shared" ref="B22" si="2">B21</f>
        <v>2</v>
      </c>
      <c r="C22" s="27"/>
      <c r="D22" s="11">
        <f>IF(C35&lt;&gt;$C$15,"",A35)</f>
        <v>44909</v>
      </c>
      <c r="E22" s="14">
        <f>IF(C35&lt;&gt;$C$15,"",A35)</f>
        <v>44909</v>
      </c>
      <c r="F22" s="25">
        <f>IFERROR(VLOOKUP($D22,PARAMETRE!$E$3:$F$13,2,FALSE),0)</f>
        <v>0</v>
      </c>
      <c r="G22" s="116" t="str">
        <f>IF(B35=2,_xlfn.ISOWEEKNUM(E22),"")</f>
        <v/>
      </c>
      <c r="H22" s="15"/>
      <c r="I22" s="17"/>
      <c r="J22" s="17"/>
      <c r="K22" s="20"/>
      <c r="L22" s="20"/>
      <c r="M22" s="108"/>
      <c r="N22" s="131"/>
      <c r="O22" s="128"/>
      <c r="P22" s="112"/>
      <c r="Q22" s="134"/>
      <c r="R22" s="24"/>
      <c r="S22" s="134"/>
      <c r="T22" s="24"/>
      <c r="U22" s="134"/>
      <c r="V22" s="24"/>
      <c r="X22" s="248" t="s">
        <v>104</v>
      </c>
      <c r="Y22" s="247" t="str">
        <f>Z8-Y8&amp;" cube"</f>
        <v>0 cube</v>
      </c>
      <c r="Z22" s="247" t="str">
        <f>Z10-Y10&amp;" purevent"</f>
        <v>0 purevent</v>
      </c>
      <c r="AA22" s="247" t="str">
        <f>Z12-Y12&amp;" pro 800"</f>
        <v>0 pro 800</v>
      </c>
      <c r="AB22" s="247" t="str">
        <f>Z14-Y14&amp;" urban"</f>
        <v>0 urban</v>
      </c>
      <c r="AC22" s="247" t="str">
        <f>Z16-Y16&amp;" VMC"</f>
        <v>0 VMC</v>
      </c>
      <c r="AD22" s="247" t="str">
        <f>ACHATS!K36&amp;" bouche(s)"</f>
        <v>0 bouche(s)</v>
      </c>
      <c r="AE22" s="247" t="str">
        <f>ACHATS!L36&amp;" gaine(s)"</f>
        <v>0 gaine(s)</v>
      </c>
      <c r="AF22" s="247" t="str">
        <f>ACHATS!M36&amp;" filtre(s)"</f>
        <v>0 filtre(s)</v>
      </c>
      <c r="AG22" s="247" t="str">
        <f>ACHATS!N36&amp;" sac(s)"</f>
        <v>0 sac(s)</v>
      </c>
      <c r="AH22" s="247" t="str">
        <f>ACHATS!O36&amp;" sac(s)"</f>
        <v>0 sac(s)</v>
      </c>
    </row>
    <row r="23" spans="1:38" ht="11.5" customHeight="1">
      <c r="A23" s="26">
        <f>IF(WEEKDAY(A21)=6,A21+3,A21+1)</f>
        <v>44901</v>
      </c>
      <c r="B23" s="27">
        <f>IF(C23&lt;&gt;$C$15,"",WEEKDAY(D10))</f>
        <v>3</v>
      </c>
      <c r="C23" s="27">
        <f>MONTH(A23)</f>
        <v>12</v>
      </c>
      <c r="D23" s="13"/>
      <c r="E23" s="23"/>
      <c r="F23" s="114">
        <f>IFERROR(VLOOKUP($D23,PARAMETRE!$E$3:$F$13,2,FALSE),0)</f>
        <v>0</v>
      </c>
      <c r="G23" s="115"/>
      <c r="H23" s="16"/>
      <c r="I23" s="19"/>
      <c r="J23" s="19"/>
      <c r="K23" s="94"/>
      <c r="L23" s="94"/>
      <c r="M23" s="110"/>
      <c r="N23" s="132"/>
      <c r="O23" s="129"/>
      <c r="P23" s="111"/>
      <c r="Q23" s="134"/>
      <c r="R23" s="117"/>
      <c r="S23" s="134"/>
      <c r="T23" s="117"/>
      <c r="U23" s="134"/>
      <c r="V23" s="117"/>
      <c r="X23" s="248"/>
      <c r="Y23" s="247"/>
      <c r="Z23" s="247"/>
      <c r="AA23" s="247"/>
      <c r="AB23" s="247"/>
      <c r="AC23" s="247"/>
      <c r="AD23" s="247"/>
      <c r="AE23" s="247"/>
      <c r="AF23" s="247"/>
      <c r="AG23" s="247"/>
      <c r="AH23" s="247"/>
    </row>
    <row r="24" spans="1:38" ht="11.5" customHeight="1">
      <c r="A24" s="26"/>
      <c r="B24" s="27">
        <f t="shared" ref="B24" si="3">B23</f>
        <v>3</v>
      </c>
      <c r="C24" s="27"/>
      <c r="D24" s="11">
        <f>IF(C37&lt;&gt;$C$15,"",A37)</f>
        <v>44910</v>
      </c>
      <c r="E24" s="14">
        <f>IF(C37&lt;&gt;$C$15,"",A37)</f>
        <v>44910</v>
      </c>
      <c r="F24" s="25">
        <f>IFERROR(VLOOKUP($D24,PARAMETRE!$E$3:$F$13,2,FALSE),0)</f>
        <v>0</v>
      </c>
      <c r="G24" s="116" t="str">
        <f>IF(B37=2,_xlfn.ISOWEEKNUM(E24),"")</f>
        <v/>
      </c>
      <c r="H24" s="15"/>
      <c r="I24" s="17"/>
      <c r="J24" s="17"/>
      <c r="K24" s="20"/>
      <c r="L24" s="20"/>
      <c r="M24" s="108"/>
      <c r="N24" s="131"/>
      <c r="O24" s="128"/>
      <c r="P24" s="112"/>
      <c r="Q24" s="134"/>
      <c r="R24" s="24"/>
      <c r="S24" s="134"/>
      <c r="T24" s="24"/>
      <c r="U24" s="134"/>
      <c r="V24" s="2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</row>
    <row r="25" spans="1:38" ht="11.5" customHeight="1">
      <c r="A25" s="26">
        <f>IF(WEEKDAY(A23)=6,A23+3,A23+1)</f>
        <v>44902</v>
      </c>
      <c r="B25" s="27">
        <f>IF(C25&lt;&gt;$C$15,"",WEEKDAY(D12))</f>
        <v>4</v>
      </c>
      <c r="C25" s="27">
        <f>MONTH(A25)</f>
        <v>12</v>
      </c>
      <c r="D25" s="13"/>
      <c r="E25" s="23"/>
      <c r="F25" s="114">
        <f>IFERROR(VLOOKUP($D25,PARAMETRE!$E$3:$F$13,2,FALSE),0)</f>
        <v>0</v>
      </c>
      <c r="G25" s="115"/>
      <c r="H25" s="16"/>
      <c r="I25" s="19"/>
      <c r="J25" s="19"/>
      <c r="K25" s="94"/>
      <c r="L25" s="94"/>
      <c r="M25" s="110"/>
      <c r="N25" s="132"/>
      <c r="O25" s="129"/>
      <c r="P25" s="111"/>
      <c r="Q25" s="134"/>
      <c r="R25" s="117"/>
      <c r="S25" s="134"/>
      <c r="T25" s="117"/>
      <c r="U25" s="134"/>
      <c r="V25" s="117"/>
      <c r="X25" s="142"/>
      <c r="Y25" s="84"/>
      <c r="Z25" s="84"/>
      <c r="AA25" s="84"/>
      <c r="AB25" s="84"/>
      <c r="AC25" s="84"/>
      <c r="AD25" s="84"/>
      <c r="AE25" s="84"/>
      <c r="AF25" s="84"/>
      <c r="AG25" s="84"/>
      <c r="AH25" s="84"/>
    </row>
    <row r="26" spans="1:38" ht="11.5" customHeight="1">
      <c r="A26" s="26"/>
      <c r="B26" s="27">
        <f t="shared" ref="B26" si="4">B25</f>
        <v>4</v>
      </c>
      <c r="C26" s="27"/>
      <c r="D26" s="11">
        <f>IF(C39&lt;&gt;$C$15,"",A39)</f>
        <v>44911</v>
      </c>
      <c r="E26" s="14">
        <f>IF(C39&lt;&gt;$C$15,"",A39)</f>
        <v>44911</v>
      </c>
      <c r="F26" s="25">
        <f>IFERROR(VLOOKUP($D26,PARAMETRE!$E$3:$F$13,2,FALSE),0)</f>
        <v>0</v>
      </c>
      <c r="G26" s="116" t="str">
        <f>IF(B39=2,_xlfn.ISOWEEKNUM(E26),"")</f>
        <v/>
      </c>
      <c r="H26" s="15"/>
      <c r="I26" s="17"/>
      <c r="J26" s="17"/>
      <c r="K26" s="20"/>
      <c r="L26" s="20"/>
      <c r="M26" s="108"/>
      <c r="N26" s="131"/>
      <c r="O26" s="128"/>
      <c r="P26" s="112"/>
      <c r="Q26" s="134"/>
      <c r="R26" s="24"/>
      <c r="S26" s="134"/>
      <c r="T26" s="24"/>
      <c r="U26" s="134"/>
      <c r="V26" s="24"/>
      <c r="X26" s="248" t="s">
        <v>92</v>
      </c>
      <c r="Y26" s="247"/>
      <c r="Z26" s="247"/>
      <c r="AA26" s="247"/>
      <c r="AB26" s="247"/>
      <c r="AC26" s="247"/>
      <c r="AD26" s="247"/>
      <c r="AE26" s="247"/>
      <c r="AF26" s="247"/>
      <c r="AG26" s="247"/>
      <c r="AH26" s="247"/>
    </row>
    <row r="27" spans="1:38" ht="11.5" customHeight="1">
      <c r="A27" s="26">
        <f>IF(WEEKDAY(A25)=6,A25+3,A25+1)</f>
        <v>44903</v>
      </c>
      <c r="B27" s="27">
        <f>IF(C27&lt;&gt;$C$15,"",WEEKDAY(D14))</f>
        <v>5</v>
      </c>
      <c r="C27" s="27">
        <f>MONTH(A27)</f>
        <v>12</v>
      </c>
      <c r="D27" s="13"/>
      <c r="E27" s="23"/>
      <c r="F27" s="114">
        <f>IFERROR(VLOOKUP($D27,PARAMETRE!$E$3:$F$13,2,FALSE),0)</f>
        <v>0</v>
      </c>
      <c r="G27" s="115"/>
      <c r="H27" s="16"/>
      <c r="I27" s="19"/>
      <c r="J27" s="19"/>
      <c r="K27" s="94"/>
      <c r="L27" s="94"/>
      <c r="M27" s="110"/>
      <c r="N27" s="132"/>
      <c r="O27" s="129"/>
      <c r="P27" s="111"/>
      <c r="Q27" s="134"/>
      <c r="R27" s="117"/>
      <c r="S27" s="134"/>
      <c r="T27" s="117"/>
      <c r="U27" s="134"/>
      <c r="V27" s="117"/>
      <c r="X27" s="248"/>
      <c r="Y27" s="247"/>
      <c r="Z27" s="247"/>
      <c r="AA27" s="247"/>
      <c r="AB27" s="247"/>
      <c r="AC27" s="247"/>
      <c r="AD27" s="247"/>
      <c r="AE27" s="247"/>
      <c r="AF27" s="247"/>
      <c r="AG27" s="247"/>
      <c r="AH27" s="247"/>
    </row>
    <row r="28" spans="1:38" ht="11.5" customHeight="1">
      <c r="A28" s="26"/>
      <c r="B28" s="27">
        <f t="shared" ref="B28" si="5">B27</f>
        <v>5</v>
      </c>
      <c r="C28" s="27"/>
      <c r="D28" s="11">
        <f>IF(C41&lt;&gt;$C$15,"",A41)</f>
        <v>44914</v>
      </c>
      <c r="E28" s="14">
        <f>IF(C41&lt;&gt;$C$15,"",A41)</f>
        <v>44914</v>
      </c>
      <c r="F28" s="25">
        <f>IFERROR(VLOOKUP($D28,PARAMETRE!$E$3:$F$13,2,FALSE),0)</f>
        <v>0</v>
      </c>
      <c r="G28" s="116">
        <f>IF(B41=2,_xlfn.ISOWEEKNUM(E28),"")</f>
        <v>51</v>
      </c>
      <c r="H28" s="15"/>
      <c r="I28" s="17"/>
      <c r="J28" s="17"/>
      <c r="K28" s="20"/>
      <c r="L28" s="20"/>
      <c r="M28" s="108"/>
      <c r="N28" s="131"/>
      <c r="O28" s="128"/>
      <c r="P28" s="112"/>
      <c r="Q28" s="134"/>
      <c r="R28" s="24"/>
      <c r="S28" s="134"/>
      <c r="T28" s="24"/>
      <c r="U28" s="134"/>
      <c r="V28" s="24"/>
      <c r="X28" s="9"/>
      <c r="AI28" s="29"/>
      <c r="AJ28" s="29"/>
    </row>
    <row r="29" spans="1:38" ht="11.5" customHeight="1">
      <c r="A29" s="26">
        <f>IF(WEEKDAY(A27)=6,A27+3,A27+1)</f>
        <v>44904</v>
      </c>
      <c r="B29" s="27">
        <f>IF(C29&lt;&gt;$C$15,"",WEEKDAY(D16))</f>
        <v>6</v>
      </c>
      <c r="C29" s="27">
        <f>MONTH(A29)</f>
        <v>12</v>
      </c>
      <c r="D29" s="13"/>
      <c r="E29" s="23"/>
      <c r="F29" s="114">
        <f>IFERROR(VLOOKUP($D29,PARAMETRE!$E$3:$F$13,2,FALSE),0)</f>
        <v>0</v>
      </c>
      <c r="G29" s="115"/>
      <c r="H29" s="16"/>
      <c r="I29" s="19"/>
      <c r="J29" s="19"/>
      <c r="K29" s="94"/>
      <c r="L29" s="94"/>
      <c r="M29" s="110"/>
      <c r="N29" s="132"/>
      <c r="O29" s="129"/>
      <c r="P29" s="111"/>
      <c r="Q29" s="134"/>
      <c r="R29" s="117"/>
      <c r="S29" s="134"/>
      <c r="T29" s="117"/>
      <c r="U29" s="134"/>
      <c r="V29" s="117"/>
      <c r="X29" s="243" t="s">
        <v>107</v>
      </c>
      <c r="Y29" s="243"/>
      <c r="Z29" s="243"/>
      <c r="AA29" s="243"/>
      <c r="AB29" s="243"/>
      <c r="AC29" s="243"/>
      <c r="AD29" s="243"/>
      <c r="AE29" s="243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6</v>
      </c>
      <c r="C30" s="27"/>
      <c r="D30" s="11">
        <f>IF(C43&lt;&gt;$C$15,"",A43)</f>
        <v>44915</v>
      </c>
      <c r="E30" s="14">
        <f>IF(C43&lt;&gt;$C$15,"",A43)</f>
        <v>44915</v>
      </c>
      <c r="F30" s="25">
        <f>IFERROR(VLOOKUP($D30,PARAMETRE!$E$3:$F$13,2,FALSE),0)</f>
        <v>0</v>
      </c>
      <c r="G30" s="116" t="str">
        <f>IF(B43=2,_xlfn.ISOWEEKNUM(E30),"")</f>
        <v/>
      </c>
      <c r="H30" s="15"/>
      <c r="I30" s="17"/>
      <c r="J30" s="17"/>
      <c r="K30" s="20"/>
      <c r="L30" s="20"/>
      <c r="M30" s="108"/>
      <c r="N30" s="131"/>
      <c r="O30" s="128"/>
      <c r="P30" s="112"/>
      <c r="Q30" s="134"/>
      <c r="R30" s="24"/>
      <c r="S30" s="134"/>
      <c r="T30" s="24"/>
      <c r="U30" s="134"/>
      <c r="V30" s="24"/>
      <c r="X30" s="243"/>
      <c r="Y30" s="243"/>
      <c r="Z30" s="243"/>
      <c r="AA30" s="243"/>
      <c r="AB30" s="243"/>
      <c r="AC30" s="243"/>
      <c r="AD30" s="243"/>
      <c r="AE30" s="243"/>
      <c r="AF30" s="28"/>
      <c r="AG30" s="28"/>
      <c r="AH30" s="28"/>
      <c r="AJ30" s="29"/>
    </row>
    <row r="31" spans="1:38" ht="11.5" customHeight="1">
      <c r="A31" s="26">
        <f>IF(WEEKDAY(A29)=6,A29+3,A29+1)</f>
        <v>44907</v>
      </c>
      <c r="B31" s="27">
        <f>IF(C31&lt;&gt;$C$15,"",WEEKDAY(D18))</f>
        <v>2</v>
      </c>
      <c r="C31" s="27">
        <f>MONTH(A31)</f>
        <v>12</v>
      </c>
      <c r="D31" s="13"/>
      <c r="E31" s="23"/>
      <c r="F31" s="114">
        <f>IFERROR(VLOOKUP($D31,PARAMETRE!$E$3:$F$13,2,FALSE),0)</f>
        <v>0</v>
      </c>
      <c r="G31" s="115"/>
      <c r="H31" s="16"/>
      <c r="I31" s="19"/>
      <c r="J31" s="19"/>
      <c r="K31" s="94"/>
      <c r="L31" s="94"/>
      <c r="M31" s="110"/>
      <c r="N31" s="132"/>
      <c r="O31" s="129"/>
      <c r="P31" s="111"/>
      <c r="Q31" s="134"/>
      <c r="R31" s="117"/>
      <c r="S31" s="134"/>
      <c r="T31" s="117"/>
      <c r="U31" s="134"/>
      <c r="V31" s="117"/>
      <c r="X31" s="143" t="s">
        <v>23</v>
      </c>
      <c r="Y31" s="138">
        <f>SUMIF(M4:M48,"URBAN",O4:O48)</f>
        <v>0</v>
      </c>
      <c r="Z31" s="147"/>
      <c r="AA31" s="143" t="s">
        <v>27</v>
      </c>
      <c r="AB31" s="139">
        <f>SUMIF(M4:M48,"VMC",O4:O48)</f>
        <v>0</v>
      </c>
      <c r="AC31" s="147"/>
      <c r="AD31" s="143" t="s">
        <v>20</v>
      </c>
      <c r="AE31" s="139">
        <f>SUMIF(M4:M48,"RENO",O4:O48)</f>
        <v>0</v>
      </c>
      <c r="AF31" s="74"/>
      <c r="AG31" s="74"/>
      <c r="AH31" s="74"/>
      <c r="AI31" s="74"/>
      <c r="AJ31" s="74"/>
      <c r="AK31" s="74"/>
      <c r="AL31" s="74"/>
    </row>
    <row r="32" spans="1:38" ht="11.5" customHeight="1">
      <c r="A32" s="26"/>
      <c r="B32" s="27">
        <f t="shared" ref="B32" si="7">B31</f>
        <v>2</v>
      </c>
      <c r="C32" s="27"/>
      <c r="D32" s="11">
        <f>IF(C45&lt;&gt;$C$15,"",A45)</f>
        <v>44916</v>
      </c>
      <c r="E32" s="14">
        <f>IF(C45&lt;&gt;$C$15,"",A45)</f>
        <v>44916</v>
      </c>
      <c r="F32" s="25">
        <f>IFERROR(VLOOKUP($D32,PARAMETRE!$E$3:$F$13,2,FALSE),0)</f>
        <v>0</v>
      </c>
      <c r="G32" s="116" t="str">
        <f>IF(B45=2,_xlfn.ISOWEEKNUM(E32),"")</f>
        <v/>
      </c>
      <c r="H32" s="15"/>
      <c r="I32" s="17"/>
      <c r="J32" s="17"/>
      <c r="K32" s="20"/>
      <c r="L32" s="20"/>
      <c r="M32" s="108"/>
      <c r="N32" s="131"/>
      <c r="O32" s="128"/>
      <c r="P32" s="112"/>
      <c r="Q32" s="134"/>
      <c r="R32" s="24"/>
      <c r="S32" s="134"/>
      <c r="T32" s="24"/>
      <c r="U32" s="134"/>
      <c r="V32" s="24"/>
      <c r="X32" s="86"/>
      <c r="Y32" s="140"/>
      <c r="Z32" s="147"/>
      <c r="AA32" s="127"/>
      <c r="AB32" s="127"/>
      <c r="AC32" s="147"/>
      <c r="AD32" s="86"/>
      <c r="AE32" s="141"/>
      <c r="AF32" s="74"/>
      <c r="AG32" s="74"/>
      <c r="AH32" s="74"/>
      <c r="AI32" s="74"/>
      <c r="AJ32" s="74"/>
      <c r="AK32" s="74"/>
      <c r="AL32" s="74"/>
    </row>
    <row r="33" spans="1:38" ht="11.5" customHeight="1">
      <c r="A33" s="26">
        <f>IF(WEEKDAY(A31)=6,A31+3,A31+1)</f>
        <v>44908</v>
      </c>
      <c r="B33" s="27">
        <f>IF(C33&lt;&gt;$C$15,"",WEEKDAY(D20))</f>
        <v>3</v>
      </c>
      <c r="C33" s="27">
        <f>MONTH(A33)</f>
        <v>12</v>
      </c>
      <c r="D33" s="13"/>
      <c r="E33" s="23"/>
      <c r="F33" s="114">
        <f>IFERROR(VLOOKUP($D33,PARAMETRE!$E$3:$F$13,2,FALSE),0)</f>
        <v>0</v>
      </c>
      <c r="G33" s="115"/>
      <c r="H33" s="16"/>
      <c r="I33" s="19"/>
      <c r="J33" s="19"/>
      <c r="K33" s="94"/>
      <c r="L33" s="94"/>
      <c r="M33" s="110"/>
      <c r="N33" s="132"/>
      <c r="O33" s="129"/>
      <c r="P33" s="111"/>
      <c r="Q33" s="134"/>
      <c r="R33" s="117"/>
      <c r="S33" s="134"/>
      <c r="T33" s="117"/>
      <c r="U33" s="134"/>
      <c r="V33" s="117"/>
      <c r="X33" s="143" t="s">
        <v>21</v>
      </c>
      <c r="Y33" s="139">
        <f>SUMIF(M4:M48,"CUBE",O4:O48)</f>
        <v>0</v>
      </c>
      <c r="Z33" s="147"/>
      <c r="AA33" s="143" t="s">
        <v>19</v>
      </c>
      <c r="AB33" s="138">
        <f>SUMIF(M4:M48,"CUVELAGE",O4:O48)</f>
        <v>0</v>
      </c>
      <c r="AC33" s="147"/>
      <c r="AD33" s="143" t="s">
        <v>22</v>
      </c>
      <c r="AE33" s="138">
        <f>SUMIF(M4:M48,"S&amp;B",O4:O48)</f>
        <v>0</v>
      </c>
      <c r="AF33" s="74"/>
      <c r="AG33" s="74"/>
      <c r="AH33" s="74"/>
      <c r="AI33" s="74"/>
      <c r="AJ33" s="74"/>
      <c r="AK33" s="74"/>
      <c r="AL33" s="74"/>
    </row>
    <row r="34" spans="1:38" ht="11.5" customHeight="1">
      <c r="A34" s="26"/>
      <c r="B34" s="27">
        <f t="shared" ref="B34" si="8">B33</f>
        <v>3</v>
      </c>
      <c r="C34" s="27"/>
      <c r="D34" s="11">
        <f>IF(C47&lt;&gt;$C$15,"",A47)</f>
        <v>44917</v>
      </c>
      <c r="E34" s="14">
        <f>IF(C47&lt;&gt;$C$15,"",A47)</f>
        <v>44917</v>
      </c>
      <c r="F34" s="25">
        <f>IFERROR(VLOOKUP($D34,PARAMETRE!$E$3:$F$13,2,FALSE),0)</f>
        <v>0</v>
      </c>
      <c r="G34" s="116" t="str">
        <f>IF(B47=2,_xlfn.ISOWEEKNUM(E34),"")</f>
        <v/>
      </c>
      <c r="H34" s="15"/>
      <c r="I34" s="17"/>
      <c r="J34" s="17"/>
      <c r="K34" s="20"/>
      <c r="L34" s="20"/>
      <c r="M34" s="108"/>
      <c r="N34" s="131"/>
      <c r="O34" s="128"/>
      <c r="P34" s="112"/>
      <c r="Q34" s="134"/>
      <c r="R34" s="24"/>
      <c r="S34" s="134"/>
      <c r="T34" s="24"/>
      <c r="U34" s="134"/>
      <c r="V34" s="24"/>
      <c r="X34" s="86"/>
      <c r="Y34" s="141"/>
      <c r="Z34" s="147"/>
      <c r="AA34" s="127"/>
      <c r="AB34" s="127"/>
      <c r="AC34" s="147"/>
      <c r="AD34" s="86"/>
      <c r="AE34" s="140"/>
      <c r="AF34" s="74"/>
      <c r="AG34" s="74"/>
      <c r="AH34" s="74"/>
      <c r="AI34" s="74"/>
      <c r="AJ34" s="74"/>
      <c r="AK34" s="74"/>
      <c r="AL34" s="74"/>
    </row>
    <row r="35" spans="1:38" ht="11.5" customHeight="1">
      <c r="A35" s="26">
        <f>IF(WEEKDAY(A33)=6,A33+3,A33+1)</f>
        <v>44909</v>
      </c>
      <c r="B35" s="27">
        <f>IF(C35&lt;&gt;$C$15,"",WEEKDAY(D22))</f>
        <v>4</v>
      </c>
      <c r="C35" s="27">
        <f>MONTH(A35)</f>
        <v>12</v>
      </c>
      <c r="D35" s="13"/>
      <c r="E35" s="23"/>
      <c r="F35" s="114">
        <f>IFERROR(VLOOKUP($D35,PARAMETRE!$E$3:$F$13,2,FALSE),0)</f>
        <v>0</v>
      </c>
      <c r="G35" s="115"/>
      <c r="H35" s="16"/>
      <c r="I35" s="19"/>
      <c r="J35" s="19"/>
      <c r="K35" s="94"/>
      <c r="L35" s="94"/>
      <c r="M35" s="110"/>
      <c r="N35" s="132"/>
      <c r="O35" s="129"/>
      <c r="P35" s="111"/>
      <c r="Q35" s="134"/>
      <c r="R35" s="117"/>
      <c r="S35" s="134"/>
      <c r="T35" s="117"/>
      <c r="U35" s="134"/>
      <c r="V35" s="117"/>
      <c r="X35" s="143" t="s">
        <v>24</v>
      </c>
      <c r="Y35" s="139">
        <f>SUMIF(M4:M48,"PUREVENT",O4:O48)</f>
        <v>0</v>
      </c>
      <c r="Z35" s="147"/>
      <c r="AA35" s="143" t="s">
        <v>26</v>
      </c>
      <c r="AB35" s="138">
        <f>SUMIF(M4:M48,"PUISARD",O4:O48)</f>
        <v>0</v>
      </c>
      <c r="AC35" s="147"/>
      <c r="AD35" s="143" t="s">
        <v>11</v>
      </c>
      <c r="AE35" s="138">
        <f>SUMIF(M4:M48,"BE",O4:O48)</f>
        <v>0</v>
      </c>
      <c r="AF35" s="74"/>
      <c r="AG35" s="74"/>
      <c r="AH35" s="74"/>
      <c r="AI35" s="74"/>
      <c r="AJ35" s="74"/>
      <c r="AK35" s="74"/>
      <c r="AL35" s="74"/>
    </row>
    <row r="36" spans="1:38" ht="11.5" customHeight="1">
      <c r="A36" s="26"/>
      <c r="B36" s="27">
        <f t="shared" ref="B36" si="9">B35</f>
        <v>4</v>
      </c>
      <c r="C36" s="27"/>
      <c r="D36" s="11">
        <f>IF(C49&lt;&gt;$C$15,"",A49)</f>
        <v>44918</v>
      </c>
      <c r="E36" s="14">
        <f>IF(C49&lt;&gt;$C$15,"",A49)</f>
        <v>44918</v>
      </c>
      <c r="F36" s="25">
        <f>IFERROR(VLOOKUP($D36,PARAMETRE!$E$3:$F$13,2,FALSE),0)</f>
        <v>0</v>
      </c>
      <c r="G36" s="116" t="str">
        <f>IF(B49=2,_xlfn.ISOWEEKNUM(E36),"")</f>
        <v/>
      </c>
      <c r="H36" s="15"/>
      <c r="I36" s="17"/>
      <c r="J36" s="17"/>
      <c r="K36" s="20"/>
      <c r="L36" s="20"/>
      <c r="M36" s="108"/>
      <c r="N36" s="131"/>
      <c r="O36" s="128"/>
      <c r="P36" s="112"/>
      <c r="Q36" s="134"/>
      <c r="R36" s="24"/>
      <c r="S36" s="134"/>
      <c r="T36" s="24"/>
      <c r="U36" s="134"/>
      <c r="V36" s="24"/>
      <c r="X36" s="86"/>
      <c r="Y36" s="141"/>
      <c r="Z36" s="147"/>
      <c r="AA36" s="127"/>
      <c r="AB36" s="127"/>
      <c r="AC36" s="147"/>
      <c r="AD36" s="127"/>
      <c r="AE36" s="127"/>
      <c r="AG36" s="251" t="str">
        <f>"TOTAL MOIS"</f>
        <v>TOTAL MOIS</v>
      </c>
      <c r="AH36" s="252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44910</v>
      </c>
      <c r="B37" s="27">
        <f>IF(C37&lt;&gt;$C$15,"",WEEKDAY(D24))</f>
        <v>5</v>
      </c>
      <c r="C37" s="27">
        <f>MONTH(A37)</f>
        <v>12</v>
      </c>
      <c r="D37" s="13"/>
      <c r="E37" s="23"/>
      <c r="F37" s="114">
        <f>IFERROR(VLOOKUP($D37,PARAMETRE!$E$3:$F$13,2,FALSE),0)</f>
        <v>0</v>
      </c>
      <c r="G37" s="115"/>
      <c r="H37" s="16"/>
      <c r="I37" s="19"/>
      <c r="J37" s="19"/>
      <c r="K37" s="94"/>
      <c r="L37" s="94"/>
      <c r="M37" s="110"/>
      <c r="N37" s="132"/>
      <c r="O37" s="129"/>
      <c r="P37" s="111"/>
      <c r="Q37" s="134"/>
      <c r="R37" s="117"/>
      <c r="S37" s="134"/>
      <c r="T37" s="117"/>
      <c r="U37" s="134"/>
      <c r="V37" s="117"/>
      <c r="X37" s="143" t="s">
        <v>25</v>
      </c>
      <c r="Y37" s="139">
        <f>SUMIF(M4:M48,"PRO 800",O4:O48)</f>
        <v>0</v>
      </c>
      <c r="Z37" s="147"/>
      <c r="AA37" s="143" t="s">
        <v>12</v>
      </c>
      <c r="AB37" s="138">
        <f>SUMIF(M4:M48,"DRAIN",O4:O48)</f>
        <v>0</v>
      </c>
      <c r="AC37" s="147"/>
      <c r="AD37" s="143" t="s">
        <v>82</v>
      </c>
      <c r="AE37" s="139">
        <f>SUMIF(M4:M48,"",O4:O48)</f>
        <v>0</v>
      </c>
      <c r="AG37" s="251"/>
      <c r="AH37" s="252"/>
      <c r="AJ37" s="29"/>
    </row>
    <row r="38" spans="1:38" ht="11.5" customHeight="1">
      <c r="A38" s="26"/>
      <c r="B38" s="27">
        <f t="shared" ref="B38" si="10">B37</f>
        <v>5</v>
      </c>
      <c r="C38" s="27"/>
      <c r="D38" s="11">
        <f>IF(C51&lt;&gt;$C$15,"",A51)</f>
        <v>44921</v>
      </c>
      <c r="E38" s="14">
        <f>IF(C51&lt;&gt;$C$15,"",A51)</f>
        <v>44921</v>
      </c>
      <c r="F38" s="25">
        <f>IFERROR(VLOOKUP($D38,PARAMETRE!$E$3:$F$13,2,FALSE),0)</f>
        <v>0</v>
      </c>
      <c r="G38" s="116">
        <f>IF(B51=2,_xlfn.ISOWEEKNUM(E38),"")</f>
        <v>52</v>
      </c>
      <c r="H38" s="15"/>
      <c r="I38" s="17"/>
      <c r="J38" s="17"/>
      <c r="K38" s="20"/>
      <c r="L38" s="20"/>
      <c r="M38" s="108"/>
      <c r="N38" s="131"/>
      <c r="O38" s="128"/>
      <c r="P38" s="112"/>
      <c r="Q38" s="134"/>
      <c r="R38" s="24"/>
      <c r="S38" s="134"/>
      <c r="T38" s="24"/>
      <c r="U38" s="134"/>
      <c r="V38" s="24"/>
      <c r="X38" s="127"/>
      <c r="Y38" s="127"/>
      <c r="Z38" s="127"/>
      <c r="AA38" s="127"/>
      <c r="AB38" s="127"/>
      <c r="AC38" s="127"/>
      <c r="AD38" s="127"/>
      <c r="AE38" s="127"/>
      <c r="AF38" s="29"/>
      <c r="AG38" s="29"/>
      <c r="AJ38" s="29"/>
    </row>
    <row r="39" spans="1:38" ht="11.5" customHeight="1">
      <c r="A39" s="26">
        <f>IF(WEEKDAY(A37)=6,A37+3,A37+1)</f>
        <v>44911</v>
      </c>
      <c r="B39" s="27">
        <f>IF(C39&lt;&gt;$C$15,"",WEEKDAY(D26))</f>
        <v>6</v>
      </c>
      <c r="C39" s="27">
        <f>MONTH(A39)</f>
        <v>12</v>
      </c>
      <c r="D39" s="13"/>
      <c r="E39" s="23"/>
      <c r="F39" s="114">
        <f>IFERROR(VLOOKUP($D39,PARAMETRE!$E$3:$F$13,2,FALSE),0)</f>
        <v>0</v>
      </c>
      <c r="G39" s="115"/>
      <c r="H39" s="16"/>
      <c r="I39" s="19"/>
      <c r="J39" s="19"/>
      <c r="K39" s="94"/>
      <c r="L39" s="94"/>
      <c r="M39" s="110"/>
      <c r="N39" s="132"/>
      <c r="O39" s="129"/>
      <c r="P39" s="111"/>
      <c r="Q39" s="134"/>
      <c r="R39" s="117"/>
      <c r="S39" s="134"/>
      <c r="T39" s="117"/>
      <c r="U39" s="134"/>
      <c r="V39" s="117"/>
      <c r="X39" s="9"/>
      <c r="Y39" s="127"/>
      <c r="Z39" s="127"/>
      <c r="AA39" s="127"/>
      <c r="AB39" s="127"/>
      <c r="AC39" s="127"/>
      <c r="AF39" s="29"/>
      <c r="AG39" s="29"/>
      <c r="AH39" s="84"/>
      <c r="AJ39" s="29"/>
    </row>
    <row r="40" spans="1:38" ht="11.5" customHeight="1">
      <c r="A40" s="26"/>
      <c r="B40" s="27">
        <f t="shared" ref="B40" si="11">B39</f>
        <v>6</v>
      </c>
      <c r="C40" s="27"/>
      <c r="D40" s="11">
        <f>IF(C53&lt;&gt;$C$15,"",A53)</f>
        <v>44922</v>
      </c>
      <c r="E40" s="14">
        <f>IF(C53&lt;&gt;$C$15,"",A53)</f>
        <v>44922</v>
      </c>
      <c r="F40" s="25">
        <f>IFERROR(VLOOKUP($D40,PARAMETRE!$E$3:$F$13,2,FALSE),0)</f>
        <v>0</v>
      </c>
      <c r="G40" s="116" t="str">
        <f>IF(B53=2,_xlfn.ISOWEEKNUM(E40),"")</f>
        <v/>
      </c>
      <c r="H40" s="15"/>
      <c r="I40" s="17"/>
      <c r="J40" s="17"/>
      <c r="K40" s="20"/>
      <c r="L40" s="20"/>
      <c r="M40" s="108"/>
      <c r="N40" s="131"/>
      <c r="O40" s="128"/>
      <c r="P40" s="112"/>
      <c r="Q40" s="134"/>
      <c r="R40" s="24"/>
      <c r="S40" s="134"/>
      <c r="T40" s="24"/>
      <c r="U40" s="134"/>
      <c r="V40" s="24"/>
      <c r="X40" s="9"/>
      <c r="Y40" s="86"/>
      <c r="Z40" s="141"/>
      <c r="AA40" s="127"/>
      <c r="AB40" s="127"/>
      <c r="AC40" s="127"/>
      <c r="AJ40" s="29"/>
    </row>
    <row r="41" spans="1:38" ht="11.5" customHeight="1">
      <c r="A41" s="26">
        <f>IF(WEEKDAY(A39)=6,A39+3,A39+1)</f>
        <v>44914</v>
      </c>
      <c r="B41" s="27">
        <f>IF(C41&lt;&gt;$C$15,"",WEEKDAY(D28))</f>
        <v>2</v>
      </c>
      <c r="C41" s="27">
        <f>MONTH(A41)</f>
        <v>12</v>
      </c>
      <c r="D41" s="13"/>
      <c r="E41" s="23"/>
      <c r="F41" s="114">
        <f>IFERROR(VLOOKUP($D41,PARAMETRE!$E$3:$F$13,2,FALSE),0)</f>
        <v>0</v>
      </c>
      <c r="G41" s="115"/>
      <c r="H41" s="16"/>
      <c r="I41" s="19"/>
      <c r="J41" s="19"/>
      <c r="K41" s="94"/>
      <c r="L41" s="94"/>
      <c r="M41" s="110"/>
      <c r="N41" s="132"/>
      <c r="O41" s="129"/>
      <c r="P41" s="111"/>
      <c r="Q41" s="134"/>
      <c r="R41" s="117"/>
      <c r="S41" s="134"/>
      <c r="T41" s="117"/>
      <c r="U41" s="134"/>
      <c r="V41" s="117"/>
      <c r="AJ41" s="29"/>
    </row>
    <row r="42" spans="1:38" ht="11.5" customHeight="1">
      <c r="A42" s="26"/>
      <c r="B42" s="27">
        <f t="shared" ref="B42" si="12">B41</f>
        <v>2</v>
      </c>
      <c r="C42" s="27"/>
      <c r="D42" s="11">
        <f>IF(C55&lt;&gt;$C$15,"",A55)</f>
        <v>44923</v>
      </c>
      <c r="E42" s="14">
        <f>IF(C55&lt;&gt;$C$15,"",A55)</f>
        <v>44923</v>
      </c>
      <c r="F42" s="25">
        <f>IFERROR(VLOOKUP($D42,PARAMETRE!$E$3:$F$13,2,FALSE),0)</f>
        <v>0</v>
      </c>
      <c r="G42" s="116" t="str">
        <f>IF(B55=2,_xlfn.ISOWEEKNUM(E42),"")</f>
        <v/>
      </c>
      <c r="H42" s="15"/>
      <c r="I42" s="17"/>
      <c r="J42" s="17"/>
      <c r="K42" s="20"/>
      <c r="L42" s="20"/>
      <c r="M42" s="108"/>
      <c r="N42" s="131"/>
      <c r="O42" s="128"/>
      <c r="P42" s="112"/>
      <c r="Q42" s="134"/>
      <c r="R42" s="24"/>
      <c r="S42" s="134"/>
      <c r="T42" s="24"/>
      <c r="U42" s="134"/>
      <c r="V42" s="24"/>
      <c r="X42" s="243" t="s">
        <v>106</v>
      </c>
      <c r="Y42" s="243"/>
      <c r="Z42" s="243"/>
      <c r="AA42" s="243"/>
      <c r="AB42" s="243"/>
      <c r="AC42" s="243"/>
      <c r="AD42" s="243"/>
      <c r="AE42" s="243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44915</v>
      </c>
      <c r="B43" s="27">
        <f>IF(C43&lt;&gt;$C$15,"",WEEKDAY(D30))</f>
        <v>3</v>
      </c>
      <c r="C43" s="27">
        <f>MONTH(A43)</f>
        <v>12</v>
      </c>
      <c r="D43" s="13"/>
      <c r="E43" s="23"/>
      <c r="F43" s="114">
        <f>IFERROR(VLOOKUP($D43,PARAMETRE!$E$3:$F$13,2,FALSE),0)</f>
        <v>0</v>
      </c>
      <c r="G43" s="115"/>
      <c r="H43" s="16"/>
      <c r="I43" s="19"/>
      <c r="J43" s="19"/>
      <c r="K43" s="94"/>
      <c r="L43" s="94"/>
      <c r="M43" s="110"/>
      <c r="N43" s="132"/>
      <c r="O43" s="129"/>
      <c r="P43" s="111"/>
      <c r="Q43" s="134"/>
      <c r="R43" s="117"/>
      <c r="S43" s="134"/>
      <c r="T43" s="117"/>
      <c r="U43" s="134"/>
      <c r="V43" s="117"/>
      <c r="X43" s="243"/>
      <c r="Y43" s="243"/>
      <c r="Z43" s="243"/>
      <c r="AA43" s="243"/>
      <c r="AB43" s="243"/>
      <c r="AC43" s="243"/>
      <c r="AD43" s="243"/>
      <c r="AE43" s="243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3</v>
      </c>
      <c r="C44" s="27"/>
      <c r="D44" s="11">
        <f>IF(C57&lt;&gt;$C$15,"",A57)</f>
        <v>44924</v>
      </c>
      <c r="E44" s="14">
        <f>IF(C57&lt;&gt;$C$15,"",A57)</f>
        <v>44924</v>
      </c>
      <c r="F44" s="25">
        <f>IFERROR(VLOOKUP($D44,PARAMETRE!$E$3:$F$13,2,FALSE),0)</f>
        <v>0</v>
      </c>
      <c r="G44" s="116" t="str">
        <f>IF(B57=2,_xlfn.ISOWEEKNUM(E44),"")</f>
        <v/>
      </c>
      <c r="H44" s="15"/>
      <c r="I44" s="17"/>
      <c r="J44" s="17"/>
      <c r="K44" s="20"/>
      <c r="L44" s="20"/>
      <c r="M44" s="108"/>
      <c r="N44" s="131"/>
      <c r="O44" s="128"/>
      <c r="P44" s="112"/>
      <c r="Q44" s="134"/>
      <c r="R44" s="24"/>
      <c r="S44" s="134"/>
      <c r="T44" s="24"/>
      <c r="U44" s="134"/>
      <c r="V44" s="24"/>
      <c r="X44" s="9"/>
      <c r="AI44" s="29"/>
      <c r="AJ44" s="29"/>
    </row>
    <row r="45" spans="1:38" ht="11.5" customHeight="1">
      <c r="A45" s="26">
        <f>IF(WEEKDAY(A43)=6,A43+3,A43+1)</f>
        <v>44916</v>
      </c>
      <c r="B45" s="27">
        <f>IF(C45&lt;&gt;$C$15,"",WEEKDAY(D32))</f>
        <v>4</v>
      </c>
      <c r="C45" s="27">
        <f>MONTH(A45)</f>
        <v>12</v>
      </c>
      <c r="D45" s="13"/>
      <c r="E45" s="23"/>
      <c r="F45" s="114">
        <f>IFERROR(VLOOKUP($D45,PARAMETRE!$E$3:$F$13,2,FALSE),0)</f>
        <v>0</v>
      </c>
      <c r="G45" s="115"/>
      <c r="H45" s="16"/>
      <c r="I45" s="19"/>
      <c r="J45" s="19"/>
      <c r="K45" s="94"/>
      <c r="L45" s="94"/>
      <c r="M45" s="110"/>
      <c r="N45" s="132"/>
      <c r="O45" s="129"/>
      <c r="P45" s="111"/>
      <c r="Q45" s="134"/>
      <c r="R45" s="117"/>
      <c r="S45" s="134"/>
      <c r="T45" s="117"/>
      <c r="U45" s="134"/>
      <c r="V45" s="117"/>
      <c r="X45" s="9"/>
      <c r="AI45" s="29"/>
      <c r="AJ45" s="29"/>
    </row>
    <row r="46" spans="1:38" ht="11.5" customHeight="1">
      <c r="A46" s="26"/>
      <c r="B46" s="27">
        <f t="shared" ref="B46" si="14">B45</f>
        <v>4</v>
      </c>
      <c r="C46" s="27"/>
      <c r="D46" s="11">
        <f>IF(C59&lt;&gt;$C$15,"",A59)</f>
        <v>44925</v>
      </c>
      <c r="E46" s="14">
        <f>IF(C59&lt;&gt;$C$15,"",A59)</f>
        <v>44925</v>
      </c>
      <c r="F46" s="25">
        <f>IFERROR(VLOOKUP($D46,PARAMETRE!$E$3:$F$13,2,FALSE),0)</f>
        <v>0</v>
      </c>
      <c r="G46" s="116"/>
      <c r="H46" s="15"/>
      <c r="I46" s="17"/>
      <c r="J46" s="17"/>
      <c r="K46" s="20"/>
      <c r="L46" s="20"/>
      <c r="M46" s="108"/>
      <c r="N46" s="131"/>
      <c r="O46" s="128"/>
      <c r="P46" s="112"/>
      <c r="Q46" s="134"/>
      <c r="R46" s="24"/>
      <c r="S46" s="134"/>
      <c r="T46" s="24"/>
      <c r="U46" s="134"/>
      <c r="V46" s="24"/>
      <c r="X46" s="242" t="s">
        <v>86</v>
      </c>
      <c r="Y46" s="242"/>
      <c r="Z46" s="222">
        <f>SUMIF(P4:P49,"PART",O4:O49)</f>
        <v>0</v>
      </c>
      <c r="AA46" s="222"/>
    </row>
    <row r="47" spans="1:38" ht="11.5" customHeight="1">
      <c r="A47" s="26">
        <f>IF(WEEKDAY(A45)=6,A45+3,A45+1)</f>
        <v>44917</v>
      </c>
      <c r="B47" s="27">
        <f>IF(C47&lt;&gt;$C$15,"",WEEKDAY(D34))</f>
        <v>5</v>
      </c>
      <c r="C47" s="27">
        <f>MONTH(A47)</f>
        <v>12</v>
      </c>
      <c r="D47" s="13"/>
      <c r="E47" s="23"/>
      <c r="F47" s="114">
        <f>IFERROR(VLOOKUP($D47,PARAMETRE!$E$3:$F$13,2,FALSE),0)</f>
        <v>0</v>
      </c>
      <c r="G47" s="115"/>
      <c r="H47" s="16"/>
      <c r="I47" s="19"/>
      <c r="J47" s="19"/>
      <c r="K47" s="94"/>
      <c r="L47" s="94"/>
      <c r="M47" s="110"/>
      <c r="N47" s="132"/>
      <c r="O47" s="129"/>
      <c r="P47" s="111"/>
      <c r="Q47" s="134"/>
      <c r="R47" s="117"/>
      <c r="S47" s="134"/>
      <c r="T47" s="117"/>
      <c r="U47" s="134"/>
      <c r="V47" s="117"/>
      <c r="X47" s="86"/>
      <c r="Y47" s="144"/>
      <c r="Z47" s="145"/>
    </row>
    <row r="48" spans="1:38" ht="11.5" customHeight="1">
      <c r="A48" s="26"/>
      <c r="B48" s="27">
        <f t="shared" ref="B48" si="15">B47</f>
        <v>5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6"/>
      <c r="H48" s="15"/>
      <c r="I48" s="17"/>
      <c r="J48" s="17"/>
      <c r="K48" s="20"/>
      <c r="L48" s="20"/>
      <c r="M48" s="108"/>
      <c r="N48" s="131"/>
      <c r="O48" s="128"/>
      <c r="P48" s="112"/>
      <c r="Q48" s="134"/>
      <c r="R48" s="24"/>
      <c r="S48" s="134"/>
      <c r="T48" s="24"/>
      <c r="U48" s="134"/>
      <c r="V48" s="24"/>
      <c r="X48" s="242" t="s">
        <v>82</v>
      </c>
      <c r="Y48" s="242"/>
      <c r="Z48" s="222">
        <f>SUMIF(P4:P49,"",O4:O49)</f>
        <v>0</v>
      </c>
      <c r="AA48" s="222"/>
    </row>
    <row r="49" spans="1:35" ht="11.5" customHeight="1">
      <c r="A49" s="26">
        <f>IF(WEEKDAY(A47)=6,A47+3,A47+1)</f>
        <v>44918</v>
      </c>
      <c r="B49" s="27">
        <f>IF(C49&lt;&gt;$C$15,"",WEEKDAY(D36))</f>
        <v>6</v>
      </c>
      <c r="C49" s="27">
        <f>MONTH(A49)</f>
        <v>12</v>
      </c>
      <c r="D49" s="13"/>
      <c r="E49" s="23"/>
      <c r="F49" s="114"/>
      <c r="G49" s="115"/>
      <c r="H49" s="16"/>
      <c r="I49" s="19"/>
      <c r="J49" s="19"/>
      <c r="K49" s="94"/>
      <c r="L49" s="94"/>
      <c r="M49" s="110"/>
      <c r="N49" s="132"/>
      <c r="O49" s="129"/>
      <c r="P49" s="111"/>
      <c r="Q49" s="134"/>
      <c r="R49" s="117"/>
      <c r="S49" s="134"/>
      <c r="T49" s="117"/>
      <c r="U49" s="134"/>
      <c r="V49" s="117"/>
      <c r="X49" s="241"/>
      <c r="Y49" s="241"/>
      <c r="Z49" s="127"/>
    </row>
    <row r="50" spans="1:35" ht="11.5" customHeight="1">
      <c r="A50" s="26"/>
      <c r="B50" s="27">
        <f t="shared" ref="B50" si="16">B49</f>
        <v>6</v>
      </c>
      <c r="C50" s="27"/>
      <c r="D50" s="11"/>
      <c r="E50" s="14"/>
      <c r="F50" s="25"/>
      <c r="G50" s="116"/>
      <c r="H50" s="15"/>
      <c r="I50" s="17"/>
      <c r="J50" s="17"/>
      <c r="K50" s="20"/>
      <c r="L50" s="20"/>
      <c r="M50" s="108"/>
      <c r="N50" s="131"/>
      <c r="O50" s="128"/>
      <c r="P50" s="112"/>
      <c r="Q50" s="134"/>
      <c r="R50" s="24"/>
      <c r="S50" s="134"/>
      <c r="T50" s="24"/>
      <c r="U50" s="134"/>
      <c r="V50" s="24"/>
      <c r="X50" s="242" t="s">
        <v>87</v>
      </c>
      <c r="Y50" s="242"/>
      <c r="Z50" s="222">
        <f>SUMIF(P4:P49,"COL.",O4:O49)</f>
        <v>0</v>
      </c>
      <c r="AA50" s="222"/>
    </row>
    <row r="51" spans="1:35" ht="11.5" customHeight="1">
      <c r="A51" s="26">
        <f>IF(WEEKDAY(A49)=6,A49+3,A49+1)</f>
        <v>44921</v>
      </c>
      <c r="B51" s="27">
        <f>IF(C51&lt;&gt;$C$15,"",WEEKDAY(D38))</f>
        <v>2</v>
      </c>
      <c r="C51" s="27">
        <f>MONTH(A51)</f>
        <v>12</v>
      </c>
      <c r="D51" s="13"/>
      <c r="E51" s="23"/>
      <c r="F51" s="114"/>
      <c r="G51" s="115"/>
      <c r="H51" s="16"/>
      <c r="I51" s="19"/>
      <c r="J51" s="19"/>
      <c r="K51" s="94"/>
      <c r="L51" s="94"/>
      <c r="M51" s="110"/>
      <c r="N51" s="132"/>
      <c r="O51" s="129"/>
      <c r="P51" s="111"/>
      <c r="Q51" s="134"/>
      <c r="R51" s="117"/>
      <c r="S51" s="134"/>
      <c r="T51" s="117"/>
      <c r="U51" s="134"/>
      <c r="V51" s="117"/>
      <c r="X51" s="86"/>
      <c r="Y51" s="144"/>
      <c r="Z51" s="146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2</v>
      </c>
      <c r="C52" s="27"/>
      <c r="D52" s="11"/>
      <c r="E52" s="14"/>
      <c r="F52" s="25"/>
      <c r="G52" s="116"/>
      <c r="H52" s="15"/>
      <c r="I52" s="17"/>
      <c r="J52" s="17"/>
      <c r="K52" s="20"/>
      <c r="L52" s="20"/>
      <c r="M52" s="108"/>
      <c r="N52" s="131"/>
      <c r="O52" s="128"/>
      <c r="P52" s="112"/>
      <c r="Q52" s="134"/>
      <c r="R52" s="24"/>
      <c r="S52" s="134"/>
      <c r="T52" s="24"/>
      <c r="U52" s="134"/>
      <c r="V52" s="24"/>
      <c r="X52" s="242" t="s">
        <v>109</v>
      </c>
      <c r="Y52" s="242"/>
      <c r="Z52" s="222">
        <f>SUMIF(P4:P49,"ENT.",O4:O49)</f>
        <v>0</v>
      </c>
      <c r="AA52" s="222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44922</v>
      </c>
      <c r="B53" s="27">
        <f>IF(C53&lt;&gt;$C$15,"",WEEKDAY(D40))</f>
        <v>3</v>
      </c>
      <c r="C53" s="27">
        <f>MONTH(A53)</f>
        <v>12</v>
      </c>
      <c r="D53" s="13"/>
      <c r="E53" s="23"/>
      <c r="F53" s="114"/>
      <c r="G53" s="115"/>
      <c r="H53" s="16"/>
      <c r="I53" s="19"/>
      <c r="J53" s="19"/>
      <c r="K53" s="94"/>
      <c r="L53" s="94"/>
      <c r="M53" s="110"/>
      <c r="N53" s="132"/>
      <c r="O53" s="129"/>
      <c r="P53" s="111"/>
      <c r="Q53" s="134"/>
      <c r="R53" s="117"/>
      <c r="S53" s="134"/>
      <c r="T53" s="117"/>
      <c r="U53" s="134"/>
      <c r="V53" s="117"/>
      <c r="X53" s="9"/>
    </row>
    <row r="54" spans="1:35" ht="11.5" customHeight="1">
      <c r="A54" s="26"/>
      <c r="B54" s="27">
        <f t="shared" ref="B54" si="18">B53</f>
        <v>3</v>
      </c>
      <c r="C54" s="27"/>
      <c r="D54" s="11"/>
      <c r="E54" s="14"/>
      <c r="F54" s="125"/>
      <c r="G54" s="116"/>
      <c r="H54" s="15"/>
      <c r="I54" s="17"/>
      <c r="J54" s="17"/>
      <c r="K54" s="20"/>
      <c r="L54" s="20"/>
      <c r="M54" s="108"/>
      <c r="N54" s="131"/>
      <c r="O54" s="128"/>
      <c r="P54" s="112"/>
      <c r="Q54" s="134"/>
      <c r="R54" s="124"/>
      <c r="S54" s="134"/>
      <c r="T54" s="124"/>
      <c r="U54" s="134"/>
      <c r="V54" s="124"/>
      <c r="X54" s="9"/>
    </row>
    <row r="55" spans="1:35" ht="11.5" customHeight="1">
      <c r="A55" s="26">
        <f>IF(WEEKDAY(A53)=6,A53+3,A53+1)</f>
        <v>44923</v>
      </c>
      <c r="B55" s="27">
        <f>IF(C55&lt;&gt;$C$15,"",WEEKDAY(D42))</f>
        <v>4</v>
      </c>
      <c r="C55" s="27">
        <f>MONTH(A55)</f>
        <v>12</v>
      </c>
      <c r="D55" s="12"/>
      <c r="E55" s="126"/>
      <c r="F55" s="114"/>
      <c r="G55" s="115"/>
      <c r="H55" s="16"/>
      <c r="I55" s="18"/>
      <c r="J55" s="18"/>
      <c r="K55" s="21"/>
      <c r="L55" s="21"/>
      <c r="M55" s="109"/>
      <c r="N55" s="133"/>
      <c r="O55" s="130"/>
      <c r="P55" s="113"/>
      <c r="Q55" s="134"/>
      <c r="R55" s="117"/>
      <c r="S55" s="134"/>
      <c r="T55" s="117"/>
      <c r="U55" s="134"/>
      <c r="V55" s="117"/>
      <c r="AI55" s="29"/>
    </row>
    <row r="56" spans="1:35" ht="11.5" customHeight="1">
      <c r="A56" s="26"/>
      <c r="B56" s="27">
        <f>B55</f>
        <v>4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44924</v>
      </c>
      <c r="B57" s="27">
        <f>IF(C57&lt;&gt;$C$15,"",WEEKDAY(D44))</f>
        <v>5</v>
      </c>
      <c r="C57" s="27">
        <f>MONTH(A57)</f>
        <v>12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5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44925</v>
      </c>
      <c r="B59" s="27">
        <f>IF(C59&lt;&gt;$C$15,"",WEEKDAY(D46))</f>
        <v>6</v>
      </c>
      <c r="C59" s="27">
        <f>MONTH(A59)</f>
        <v>12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6</v>
      </c>
      <c r="C60" s="27"/>
      <c r="AI60" s="29"/>
    </row>
    <row r="61" spans="1:35" ht="11.5" customHeight="1">
      <c r="A61" s="26">
        <f>IF(WEEKDAY(A59)=6,A59+3,A59+1)</f>
        <v>44928</v>
      </c>
      <c r="B61" s="27" t="str">
        <f>IF(C61&lt;&gt;$C$15,"",WEEKDAY(D48))</f>
        <v/>
      </c>
      <c r="C61" s="27">
        <f>MONTH(A61)</f>
        <v>1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5"/>
      <c r="L68"/>
      <c r="M68"/>
      <c r="N68"/>
    </row>
    <row r="74" spans="1:35" ht="11.5" customHeight="1">
      <c r="A74"/>
      <c r="B74"/>
    </row>
  </sheetData>
  <mergeCells count="81">
    <mergeCell ref="Z1:Z2"/>
    <mergeCell ref="AA1:AA2"/>
    <mergeCell ref="Q3:T3"/>
    <mergeCell ref="U3:V3"/>
    <mergeCell ref="D1:E2"/>
    <mergeCell ref="G1:H2"/>
    <mergeCell ref="I1:O2"/>
    <mergeCell ref="Q1:V2"/>
    <mergeCell ref="AB1:AB2"/>
    <mergeCell ref="AC1:AC2"/>
    <mergeCell ref="AD1:AD2"/>
    <mergeCell ref="AE1:AE2"/>
    <mergeCell ref="AF1:AF2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I6:AI7"/>
    <mergeCell ref="AJ6:AJ7"/>
    <mergeCell ref="AK6:AK7"/>
    <mergeCell ref="AA10:AB10"/>
    <mergeCell ref="AG10:AH10"/>
    <mergeCell ref="AA12:AB12"/>
    <mergeCell ref="AG12:AH12"/>
    <mergeCell ref="AA14:AB14"/>
    <mergeCell ref="AG14:AH14"/>
    <mergeCell ref="AA16:AB16"/>
    <mergeCell ref="AG16:AH16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X48:Y48"/>
    <mergeCell ref="Z48:AA48"/>
    <mergeCell ref="AD26:AD27"/>
    <mergeCell ref="AE26:AE27"/>
    <mergeCell ref="AF26:AF27"/>
    <mergeCell ref="AG36:AG37"/>
    <mergeCell ref="AH36:AH37"/>
    <mergeCell ref="X42:AE43"/>
    <mergeCell ref="X46:Y46"/>
    <mergeCell ref="Z46:AA46"/>
    <mergeCell ref="X49:Y49"/>
    <mergeCell ref="X50:Y50"/>
    <mergeCell ref="Z50:AA50"/>
    <mergeCell ref="X52:Y52"/>
    <mergeCell ref="Z52:AA52"/>
  </mergeCells>
  <conditionalFormatting sqref="D4:P55 R4:R55 T4:T55 V4:V55">
    <cfRule type="expression" dxfId="14" priority="3" stopIfTrue="1">
      <formula>$F4&lt;&gt;0</formula>
    </cfRule>
  </conditionalFormatting>
  <conditionalFormatting sqref="G4:P55 R4:R55 T4:T55 V4:V55">
    <cfRule type="expression" dxfId="13" priority="1" stopIfTrue="1">
      <formula>$H4="DAV"</formula>
    </cfRule>
    <cfRule type="expression" dxfId="12" priority="2" stopIfTrue="1">
      <formula>$J4="DAV"</formula>
    </cfRule>
    <cfRule type="expression" dxfId="11" priority="4">
      <formula>$I4="AT"</formula>
    </cfRule>
    <cfRule type="expression" dxfId="10" priority="5">
      <formula>$H4="AT"</formula>
    </cfRule>
    <cfRule type="expression" dxfId="9" priority="6">
      <formula>$J4="AT"</formula>
    </cfRule>
  </conditionalFormatting>
  <conditionalFormatting sqref="D16:P55 R16:R55 T16:T55 V16:V55">
    <cfRule type="expression" dxfId="8" priority="7" stopIfTrue="1">
      <formula>$B29=2</formula>
    </cfRule>
  </conditionalFormatting>
  <conditionalFormatting sqref="D6:P15 R6:R15 T6:T15 V6:V15">
    <cfRule type="expression" dxfId="7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862F7FF-7190-864A-A9A9-98AB962BFC64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6978A8A0-8976-3942-9821-F0652FC4BFC8}">
          <x14:formula1>
            <xm:f>PARAMETRE!$I$3:$I$7</xm:f>
          </x14:formula1>
          <xm:sqref>P4:P49</xm:sqref>
        </x14:dataValidation>
        <x14:dataValidation type="list" allowBlank="1" showInputMessage="1" showErrorMessage="1" xr:uid="{D73A601F-D973-204D-BCFD-E37F2BA90E3D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27ACFD57-1EF4-1943-840B-19FDD8746E48}">
          <x14:formula1>
            <xm:f>PARAMETRE!$G$3:$G$13</xm:f>
          </x14:formula1>
          <xm:sqref>M4:M48</xm:sqref>
        </x14:dataValidation>
        <x14:dataValidation type="list" allowBlank="1" showInputMessage="1" showErrorMessage="1" xr:uid="{B2DDE9A1-EF6E-5846-AB7F-9FCE90558ECC}">
          <x14:formula1>
            <xm:f>PARAMETRE!$D$3:$D$163</xm:f>
          </x14:formula1>
          <xm:sqref>S4:S55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24</vt:i4>
      </vt:variant>
    </vt:vector>
  </HeadingPairs>
  <TitlesOfParts>
    <vt:vector size="41" baseType="lpstr">
      <vt:lpstr>Installation</vt:lpstr>
      <vt:lpstr>TEST VBA</vt:lpstr>
      <vt:lpstr>PARAMETRE</vt:lpstr>
      <vt:lpstr>ACHATS</vt:lpstr>
      <vt:lpstr>Semaine en cours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AOUT</vt:lpstr>
      <vt:lpstr>AVRIL</vt:lpstr>
      <vt:lpstr>DECEMBRE</vt:lpstr>
      <vt:lpstr>FEVRIER</vt:lpstr>
      <vt:lpstr>JANVIER</vt:lpstr>
      <vt:lpstr>JUILLET</vt:lpstr>
      <vt:lpstr>JUIN</vt:lpstr>
      <vt:lpstr>MAI</vt:lpstr>
      <vt:lpstr>MARS</vt:lpstr>
      <vt:lpstr>NOVEMBRE</vt:lpstr>
      <vt:lpstr>OCTOBRE</vt:lpstr>
      <vt:lpstr>SEPTEMBRE_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Florine Petit</dc:creator>
  <cp:lastModifiedBy>Florine Petit</cp:lastModifiedBy>
  <cp:lastPrinted>2022-03-14T19:35:20Z</cp:lastPrinted>
  <dcterms:created xsi:type="dcterms:W3CDTF">2022-03-10T21:41:49Z</dcterms:created>
  <dcterms:modified xsi:type="dcterms:W3CDTF">2022-03-16T02:14:53Z</dcterms:modified>
</cp:coreProperties>
</file>