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svg" ContentType="image/svg+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tables/table16.xml" ContentType="application/vnd.openxmlformats-officedocument.spreadsheetml.table+xml"/>
  <Override PartName="/xl/tables/table17.xml" ContentType="application/vnd.openxmlformats-officedocument.spreadsheetml.table+xml"/>
  <Override PartName="/xl/tables/table18.xml" ContentType="application/vnd.openxmlformats-officedocument.spreadsheetml.table+xml"/>
  <Override PartName="/xl/tables/table19.xml" ContentType="application/vnd.openxmlformats-officedocument.spreadsheetml.table+xml"/>
  <Override PartName="/xl/tables/table20.xml" ContentType="application/vnd.openxmlformats-officedocument.spreadsheetml.table+xml"/>
  <Override PartName="/xl/tables/table21.xml" ContentType="application/vnd.openxmlformats-officedocument.spreadsheetml.table+xml"/>
  <Override PartName="/xl/tables/table22.xml" ContentType="application/vnd.openxmlformats-officedocument.spreadsheetml.table+xml"/>
  <Override PartName="/xl/tables/table23.xml" ContentType="application/vnd.openxmlformats-officedocument.spreadsheetml.table+xml"/>
  <Override PartName="/xl/tables/table24.xml" ContentType="application/vnd.openxmlformats-officedocument.spreadsheetml.table+xml"/>
  <Override PartName="/xl/tables/table25.xml" ContentType="application/vnd.openxmlformats-officedocument.spreadsheetml.table+xml"/>
  <Override PartName="/xl/tables/table26.xml" ContentType="application/vnd.openxmlformats-officedocument.spreadsheetml.table+xml"/>
  <Override PartName="/xl/tables/table27.xml" ContentType="application/vnd.openxmlformats-officedocument.spreadsheetml.table+xml"/>
  <Override PartName="/xl/tables/table28.xml" ContentType="application/vnd.openxmlformats-officedocument.spreadsheetml.table+xml"/>
  <Override PartName="/xl/tables/table29.xml" ContentType="application/vnd.openxmlformats-officedocument.spreadsheetml.table+xml"/>
  <Override PartName="/xl/tables/table30.xml" ContentType="application/vnd.openxmlformats-officedocument.spreadsheetml.table+xml"/>
  <Override PartName="/xl/tables/table31.xml" ContentType="application/vnd.openxmlformats-officedocument.spreadsheetml.table+xml"/>
  <Override PartName="/xl/tables/table32.xml" ContentType="application/vnd.openxmlformats-officedocument.spreadsheetml.table+xml"/>
  <Override PartName="/xl/tables/table33.xml" ContentType="application/vnd.openxmlformats-officedocument.spreadsheetml.table+xml"/>
  <Override PartName="/xl/tables/table34.xml" ContentType="application/vnd.openxmlformats-officedocument.spreadsheetml.table+xml"/>
  <Override PartName="/xl/tables/table35.xml" ContentType="application/vnd.openxmlformats-officedocument.spreadsheetml.table+xml"/>
  <Override PartName="/xl/tables/table36.xml" ContentType="application/vnd.openxmlformats-officedocument.spreadsheetml.table+xml"/>
  <Override PartName="/xl/tables/table37.xml" ContentType="application/vnd.openxmlformats-officedocument.spreadsheetml.table+xml"/>
  <Override PartName="/xl/tables/table38.xml" ContentType="application/vnd.openxmlformats-officedocument.spreadsheetml.table+xml"/>
  <Override PartName="/xl/tables/table39.xml" ContentType="application/vnd.openxmlformats-officedocument.spreadsheetml.table+xml"/>
  <Override PartName="/xl/tables/table40.xml" ContentType="application/vnd.openxmlformats-officedocument.spreadsheetml.table+xml"/>
  <Override PartName="/xl/tables/table41.xml" ContentType="application/vnd.openxmlformats-officedocument.spreadsheetml.table+xml"/>
  <Override PartName="/xl/tables/table42.xml" ContentType="application/vnd.openxmlformats-officedocument.spreadsheetml.table+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931" codeName="{B6124F1A-AFFB-F854-7757-9A1D4C6FC43C}"/>
  <workbookPr codeName="ThisWorkbook"/>
  <mc:AlternateContent xmlns:mc="http://schemas.openxmlformats.org/markup-compatibility/2006">
    <mc:Choice Requires="x15">
      <x15ac:absPath xmlns:x15ac="http://schemas.microsoft.com/office/spreadsheetml/2010/11/ac" url="https://d.docs.live.net/89b384c785cfdbf7/TRAVAIL/RÉALISATIONS/^NPROJET_NOM PROJET - Template/300_ESTIMATION^J SOUMISSION ^0 CONTRAT/"/>
    </mc:Choice>
  </mc:AlternateContent>
  <xr:revisionPtr revIDLastSave="1" documentId="8_{8AD1CD1C-82BD-4F3A-9E7C-9205F0591049}" xr6:coauthVersionLast="47" xr6:coauthVersionMax="47" xr10:uidLastSave="{D703AE68-6BD4-429B-9499-A6B20C705BD1}"/>
  <bookViews>
    <workbookView xWindow="-120" yWindow="-120" windowWidth="29040" windowHeight="15720" tabRatio="999" xr2:uid="{7ABBB7ED-8CBB-44BC-8A1B-575D0DC214CD}"/>
  </bookViews>
  <sheets>
    <sheet name="TAKE-OFF PROJET" sheetId="8" r:id="rId1"/>
    <sheet name="SOUMISSION CLIENT" sheetId="16" r:id="rId2"/>
  </sheets>
  <functionGroups builtInGroupCount="19"/>
  <externalReferences>
    <externalReference r:id="rId3"/>
  </externalReferences>
  <definedNames>
    <definedName name="L_champ">'[1]REGISTRE | SOUS-TRAITANTS'!$A:$A</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A161" i="16" l="1"/>
  <c r="A162" i="16"/>
  <c r="A163" i="16"/>
  <c r="A164" i="16"/>
  <c r="A165" i="16"/>
  <c r="A166" i="16"/>
  <c r="A167" i="16"/>
  <c r="A168" i="16"/>
  <c r="A169" i="16"/>
  <c r="A170" i="16"/>
  <c r="A171" i="16"/>
  <c r="A172" i="16"/>
  <c r="A173" i="16"/>
  <c r="A174" i="16"/>
  <c r="A175" i="16"/>
  <c r="A176" i="16"/>
  <c r="A177" i="16"/>
  <c r="A178" i="16"/>
  <c r="A179" i="16"/>
  <c r="A180" i="16"/>
  <c r="A181" i="16"/>
  <c r="A182" i="16"/>
  <c r="A183" i="16"/>
  <c r="A184" i="16"/>
  <c r="A185" i="16"/>
  <c r="A186" i="16"/>
  <c r="A187" i="16"/>
  <c r="A188" i="16"/>
  <c r="A189" i="16"/>
  <c r="A160" i="16"/>
  <c r="B161" i="16"/>
  <c r="B162" i="16"/>
  <c r="B163" i="16"/>
  <c r="B164" i="16"/>
  <c r="B165" i="16"/>
  <c r="B166" i="16"/>
  <c r="B167" i="16"/>
  <c r="B168" i="16"/>
  <c r="B169" i="16"/>
  <c r="B170" i="16"/>
  <c r="B171" i="16"/>
  <c r="B172" i="16"/>
  <c r="B173" i="16"/>
  <c r="B174" i="16"/>
  <c r="B175" i="16"/>
  <c r="B176" i="16"/>
  <c r="B177" i="16"/>
  <c r="B178" i="16"/>
  <c r="B179" i="16"/>
  <c r="B180" i="16"/>
  <c r="B181" i="16"/>
  <c r="B182" i="16"/>
  <c r="B183" i="16"/>
  <c r="B184" i="16"/>
  <c r="B185" i="16"/>
  <c r="B186" i="16"/>
  <c r="B187" i="16"/>
  <c r="B188" i="16"/>
  <c r="B189" i="16"/>
  <c r="B160" i="16"/>
  <c r="A158" i="16"/>
  <c r="A155" i="16"/>
  <c r="A152" i="16"/>
  <c r="A149" i="16"/>
  <c r="A146" i="16"/>
  <c r="A143" i="16"/>
  <c r="A140" i="16"/>
  <c r="A137" i="16"/>
  <c r="A134" i="16"/>
  <c r="A131" i="16"/>
  <c r="A128" i="16"/>
  <c r="A125" i="16"/>
  <c r="A122" i="16"/>
  <c r="A119" i="16"/>
  <c r="A116" i="16"/>
  <c r="A113" i="16"/>
  <c r="A110" i="16"/>
  <c r="A107" i="16"/>
  <c r="A104" i="16"/>
  <c r="A101" i="16"/>
  <c r="A98" i="16"/>
  <c r="A95" i="16"/>
  <c r="A92" i="16"/>
  <c r="A89" i="16"/>
  <c r="A86" i="16"/>
  <c r="A83" i="16"/>
  <c r="A80" i="16"/>
  <c r="A77" i="16"/>
  <c r="A74" i="16"/>
  <c r="A71" i="16"/>
  <c r="A68" i="16"/>
  <c r="A65" i="16"/>
  <c r="A62" i="16"/>
  <c r="A59" i="16"/>
  <c r="A56" i="16"/>
  <c r="A53" i="16"/>
  <c r="A50" i="16"/>
  <c r="A47" i="16"/>
  <c r="A44" i="16"/>
  <c r="A41" i="16"/>
  <c r="A38" i="16"/>
  <c r="A35" i="16"/>
  <c r="B31" i="16"/>
  <c r="B30" i="16"/>
  <c r="B29" i="16"/>
  <c r="B28" i="16"/>
  <c r="B26" i="16"/>
  <c r="B25" i="16"/>
  <c r="B23" i="16"/>
  <c r="B22" i="16"/>
  <c r="C30" i="16"/>
  <c r="C29" i="16"/>
  <c r="C26" i="16"/>
  <c r="C25" i="16"/>
  <c r="B20" i="16"/>
  <c r="F9" i="16"/>
  <c r="C9" i="16"/>
  <c r="B9" i="16"/>
  <c r="F5" i="16"/>
  <c r="E6" i="16"/>
  <c r="E5" i="16"/>
  <c r="B6" i="16"/>
  <c r="B5" i="16"/>
  <c r="A6" i="16"/>
  <c r="A5" i="16"/>
  <c r="F2" i="16"/>
  <c r="F1" i="16"/>
  <c r="E3" i="16"/>
  <c r="E2" i="16"/>
  <c r="E1" i="16"/>
  <c r="B3" i="16"/>
  <c r="B2" i="16"/>
  <c r="B1" i="16"/>
  <c r="A1" i="16"/>
  <c r="A8" i="16"/>
  <c r="B12" i="16"/>
  <c r="B14" i="16"/>
  <c r="B16" i="16"/>
  <c r="B18" i="16"/>
  <c r="J3" i="8"/>
  <c r="J1" i="8"/>
  <c r="J2" i="8" s="1"/>
  <c r="L372" i="8" l="1"/>
  <c r="H372" i="8"/>
  <c r="C372" i="8"/>
  <c r="L365" i="8"/>
  <c r="H365" i="8"/>
  <c r="C365" i="8"/>
  <c r="L358" i="8"/>
  <c r="H358" i="8"/>
  <c r="C358" i="8"/>
  <c r="L351" i="8"/>
  <c r="H351" i="8"/>
  <c r="C351" i="8"/>
  <c r="L344" i="8"/>
  <c r="H344" i="8"/>
  <c r="C344" i="8"/>
  <c r="L337" i="8"/>
  <c r="H337" i="8"/>
  <c r="C337" i="8"/>
  <c r="L330" i="8"/>
  <c r="H330" i="8"/>
  <c r="C330" i="8"/>
  <c r="L323" i="8"/>
  <c r="H323" i="8"/>
  <c r="C323" i="8"/>
  <c r="L316" i="8"/>
  <c r="H316" i="8"/>
  <c r="C316" i="8"/>
  <c r="L309" i="8"/>
  <c r="H309" i="8"/>
  <c r="C309" i="8"/>
  <c r="L302" i="8"/>
  <c r="H302" i="8"/>
  <c r="C302" i="8"/>
  <c r="L295" i="8"/>
  <c r="H295" i="8"/>
  <c r="C295" i="8"/>
  <c r="L288" i="8"/>
  <c r="H288" i="8"/>
  <c r="C288" i="8"/>
  <c r="L281" i="8"/>
  <c r="H281" i="8"/>
  <c r="C281" i="8"/>
  <c r="L274" i="8"/>
  <c r="H274" i="8"/>
  <c r="C274" i="8"/>
  <c r="L267" i="8"/>
  <c r="H267" i="8"/>
  <c r="C267" i="8"/>
  <c r="L260" i="8"/>
  <c r="H260" i="8"/>
  <c r="C260" i="8"/>
  <c r="L253" i="8"/>
  <c r="H253" i="8"/>
  <c r="C253" i="8"/>
  <c r="L246" i="8"/>
  <c r="H246" i="8"/>
  <c r="C246" i="8"/>
  <c r="L239" i="8"/>
  <c r="H239" i="8"/>
  <c r="C239" i="8"/>
  <c r="L232" i="8"/>
  <c r="H232" i="8"/>
  <c r="C232" i="8"/>
  <c r="L225" i="8"/>
  <c r="H225" i="8"/>
  <c r="C225" i="8"/>
  <c r="L218" i="8"/>
  <c r="H218" i="8"/>
  <c r="C218" i="8"/>
  <c r="L211" i="8"/>
  <c r="H211" i="8"/>
  <c r="C211" i="8"/>
  <c r="L204" i="8"/>
  <c r="H204" i="8"/>
  <c r="C204" i="8"/>
  <c r="L197" i="8"/>
  <c r="H197" i="8"/>
  <c r="C197" i="8"/>
  <c r="L190" i="8"/>
  <c r="H190" i="8"/>
  <c r="C190" i="8"/>
  <c r="L183" i="8"/>
  <c r="H183" i="8"/>
  <c r="C183" i="8"/>
  <c r="L176" i="8"/>
  <c r="H176" i="8"/>
  <c r="C176" i="8"/>
  <c r="L169" i="8"/>
  <c r="H169" i="8"/>
  <c r="C169" i="8"/>
  <c r="L162" i="8"/>
  <c r="H162" i="8"/>
  <c r="C162" i="8"/>
  <c r="L155" i="8"/>
  <c r="H155" i="8"/>
  <c r="C155" i="8"/>
  <c r="L148" i="8"/>
  <c r="H148" i="8"/>
  <c r="C148" i="8"/>
  <c r="L141" i="8"/>
  <c r="H141" i="8"/>
  <c r="C141" i="8"/>
  <c r="L134" i="8"/>
  <c r="H134" i="8"/>
  <c r="C134" i="8"/>
  <c r="L127" i="8"/>
  <c r="H127" i="8"/>
  <c r="C127" i="8"/>
  <c r="L120" i="8"/>
  <c r="H120" i="8"/>
  <c r="C120" i="8"/>
  <c r="L113" i="8"/>
  <c r="H113" i="8"/>
  <c r="C113" i="8"/>
  <c r="L106" i="8"/>
  <c r="H106" i="8"/>
  <c r="C106" i="8"/>
  <c r="L63" i="8"/>
  <c r="H63" i="8"/>
  <c r="C63" i="8"/>
  <c r="L40" i="8"/>
  <c r="H40" i="8"/>
  <c r="C40" i="8"/>
  <c r="G122" i="8" l="1"/>
  <c r="K122" i="8" s="1"/>
  <c r="L122" i="8" s="1"/>
  <c r="K123" i="8" l="1"/>
  <c r="G123" i="8"/>
  <c r="F48" i="16" s="1"/>
  <c r="L3" i="8"/>
  <c r="F3" i="16" s="1"/>
  <c r="G43" i="8"/>
  <c r="G44" i="8"/>
  <c r="G45" i="8"/>
  <c r="G46" i="8"/>
  <c r="G47" i="8"/>
  <c r="G48" i="8"/>
  <c r="G49" i="8"/>
  <c r="G50" i="8"/>
  <c r="G51" i="8"/>
  <c r="G52" i="8"/>
  <c r="G53" i="8"/>
  <c r="G54" i="8"/>
  <c r="G55" i="8"/>
  <c r="G56" i="8"/>
  <c r="G57" i="8"/>
  <c r="G58" i="8"/>
  <c r="K58" i="8" l="1"/>
  <c r="L58" i="8" s="1"/>
  <c r="K57" i="8"/>
  <c r="L57" i="8" s="1"/>
  <c r="G101" i="8" l="1"/>
  <c r="K101" i="8" s="1"/>
  <c r="L101" i="8" s="1"/>
  <c r="K56" i="8"/>
  <c r="L56" i="8" s="1"/>
  <c r="G42" i="8" l="1"/>
  <c r="K42" i="8" s="1"/>
  <c r="L42" i="8" s="1"/>
  <c r="K55" i="8"/>
  <c r="L55" i="8" s="1"/>
  <c r="K54" i="8"/>
  <c r="L54" i="8" s="1"/>
  <c r="K53" i="8"/>
  <c r="L53" i="8" s="1"/>
  <c r="G61" i="8" l="1"/>
  <c r="L382" i="8" l="1"/>
  <c r="F161" i="16" s="1"/>
  <c r="L383" i="8"/>
  <c r="F162" i="16" s="1"/>
  <c r="L384" i="8"/>
  <c r="F163" i="16" s="1"/>
  <c r="L385" i="8"/>
  <c r="F164" i="16" s="1"/>
  <c r="L386" i="8"/>
  <c r="F165" i="16" s="1"/>
  <c r="L387" i="8"/>
  <c r="F166" i="16" s="1"/>
  <c r="L388" i="8"/>
  <c r="F167" i="16" s="1"/>
  <c r="L389" i="8"/>
  <c r="F168" i="16" s="1"/>
  <c r="L390" i="8"/>
  <c r="F169" i="16" s="1"/>
  <c r="L391" i="8"/>
  <c r="F170" i="16" s="1"/>
  <c r="L392" i="8"/>
  <c r="F171" i="16" s="1"/>
  <c r="L393" i="8"/>
  <c r="F172" i="16" s="1"/>
  <c r="L394" i="8"/>
  <c r="F173" i="16" s="1"/>
  <c r="L395" i="8"/>
  <c r="F174" i="16" s="1"/>
  <c r="L396" i="8"/>
  <c r="F175" i="16" s="1"/>
  <c r="L397" i="8"/>
  <c r="F176" i="16" s="1"/>
  <c r="L398" i="8"/>
  <c r="F177" i="16" s="1"/>
  <c r="L399" i="8"/>
  <c r="F178" i="16" s="1"/>
  <c r="L400" i="8"/>
  <c r="F179" i="16" s="1"/>
  <c r="L401" i="8"/>
  <c r="F180" i="16" s="1"/>
  <c r="L402" i="8"/>
  <c r="F181" i="16" s="1"/>
  <c r="L403" i="8"/>
  <c r="F182" i="16" s="1"/>
  <c r="L404" i="8"/>
  <c r="F183" i="16" s="1"/>
  <c r="L405" i="8"/>
  <c r="F184" i="16" s="1"/>
  <c r="L406" i="8"/>
  <c r="F185" i="16" s="1"/>
  <c r="L407" i="8"/>
  <c r="F186" i="16" s="1"/>
  <c r="L408" i="8"/>
  <c r="F187" i="16" s="1"/>
  <c r="L409" i="8"/>
  <c r="F188" i="16" s="1"/>
  <c r="L410" i="8"/>
  <c r="F189" i="16" s="1"/>
  <c r="L381" i="8"/>
  <c r="F160" i="16" s="1"/>
  <c r="G374" i="8"/>
  <c r="K374" i="8" s="1"/>
  <c r="L374" i="8" s="1"/>
  <c r="G367" i="8"/>
  <c r="K367" i="8" s="1"/>
  <c r="L367" i="8" s="1"/>
  <c r="G360" i="8"/>
  <c r="K360" i="8" s="1"/>
  <c r="L360" i="8" s="1"/>
  <c r="G353" i="8"/>
  <c r="K353" i="8" s="1"/>
  <c r="L353" i="8" s="1"/>
  <c r="G346" i="8"/>
  <c r="K346" i="8" s="1"/>
  <c r="L346" i="8" s="1"/>
  <c r="G339" i="8"/>
  <c r="K339" i="8" s="1"/>
  <c r="L339" i="8" s="1"/>
  <c r="G332" i="8"/>
  <c r="K332" i="8" s="1"/>
  <c r="L332" i="8" s="1"/>
  <c r="G325" i="8"/>
  <c r="K325" i="8" s="1"/>
  <c r="L325" i="8" s="1"/>
  <c r="G318" i="8"/>
  <c r="K318" i="8" s="1"/>
  <c r="L318" i="8" s="1"/>
  <c r="G311" i="8"/>
  <c r="K311" i="8" s="1"/>
  <c r="L311" i="8" s="1"/>
  <c r="G304" i="8"/>
  <c r="K304" i="8" s="1"/>
  <c r="L304" i="8" s="1"/>
  <c r="G297" i="8"/>
  <c r="K297" i="8" s="1"/>
  <c r="L297" i="8" s="1"/>
  <c r="G290" i="8"/>
  <c r="K290" i="8" s="1"/>
  <c r="L290" i="8" s="1"/>
  <c r="G283" i="8"/>
  <c r="K283" i="8" s="1"/>
  <c r="L283" i="8" s="1"/>
  <c r="G276" i="8"/>
  <c r="K276" i="8" s="1"/>
  <c r="L276" i="8" s="1"/>
  <c r="G269" i="8"/>
  <c r="K269" i="8" s="1"/>
  <c r="L269" i="8" s="1"/>
  <c r="G262" i="8"/>
  <c r="K262" i="8" s="1"/>
  <c r="L262" i="8" s="1"/>
  <c r="G255" i="8"/>
  <c r="K255" i="8" s="1"/>
  <c r="L255" i="8" s="1"/>
  <c r="G248" i="8"/>
  <c r="K248" i="8" s="1"/>
  <c r="L248" i="8" s="1"/>
  <c r="G241" i="8"/>
  <c r="K241" i="8" s="1"/>
  <c r="L241" i="8" s="1"/>
  <c r="G234" i="8"/>
  <c r="K234" i="8" s="1"/>
  <c r="L234" i="8" s="1"/>
  <c r="G227" i="8"/>
  <c r="K227" i="8" s="1"/>
  <c r="L227" i="8" s="1"/>
  <c r="G220" i="8"/>
  <c r="K220" i="8" s="1"/>
  <c r="L220" i="8" s="1"/>
  <c r="G213" i="8"/>
  <c r="K213" i="8" s="1"/>
  <c r="L213" i="8" s="1"/>
  <c r="G206" i="8"/>
  <c r="K206" i="8" s="1"/>
  <c r="L206" i="8" s="1"/>
  <c r="G199" i="8"/>
  <c r="K199" i="8" s="1"/>
  <c r="L199" i="8" s="1"/>
  <c r="G192" i="8"/>
  <c r="K192" i="8" s="1"/>
  <c r="L192" i="8" s="1"/>
  <c r="G185" i="8"/>
  <c r="K185" i="8" s="1"/>
  <c r="L185" i="8" s="1"/>
  <c r="G178" i="8"/>
  <c r="K178" i="8" s="1"/>
  <c r="L178" i="8" s="1"/>
  <c r="G171" i="8"/>
  <c r="K171" i="8" s="1"/>
  <c r="L171" i="8" s="1"/>
  <c r="G164" i="8"/>
  <c r="K164" i="8" s="1"/>
  <c r="L164" i="8" s="1"/>
  <c r="G157" i="8"/>
  <c r="K157" i="8" s="1"/>
  <c r="L157" i="8" s="1"/>
  <c r="G150" i="8"/>
  <c r="K150" i="8" s="1"/>
  <c r="L150" i="8" s="1"/>
  <c r="G143" i="8"/>
  <c r="K143" i="8" s="1"/>
  <c r="L143" i="8" s="1"/>
  <c r="G136" i="8"/>
  <c r="K136" i="8" s="1"/>
  <c r="L136" i="8" s="1"/>
  <c r="G129" i="8"/>
  <c r="K129" i="8" s="1"/>
  <c r="L129" i="8" s="1"/>
  <c r="G115" i="8"/>
  <c r="K115" i="8" s="1"/>
  <c r="L115" i="8" s="1"/>
  <c r="G108" i="8"/>
  <c r="K108" i="8" s="1"/>
  <c r="L108" i="8" s="1"/>
  <c r="G65" i="8"/>
  <c r="K65" i="8" s="1"/>
  <c r="L65" i="8" s="1"/>
  <c r="G66" i="8"/>
  <c r="K66" i="8" s="1"/>
  <c r="L66" i="8" s="1"/>
  <c r="G67" i="8"/>
  <c r="K67" i="8" s="1"/>
  <c r="L67" i="8" s="1"/>
  <c r="G68" i="8"/>
  <c r="K68" i="8" s="1"/>
  <c r="L68" i="8" s="1"/>
  <c r="G69" i="8"/>
  <c r="K69" i="8" s="1"/>
  <c r="L69" i="8" s="1"/>
  <c r="G70" i="8"/>
  <c r="K70" i="8" s="1"/>
  <c r="L70" i="8" s="1"/>
  <c r="G71" i="8"/>
  <c r="K71" i="8" s="1"/>
  <c r="L71" i="8" s="1"/>
  <c r="G72" i="8"/>
  <c r="K72" i="8" s="1"/>
  <c r="L72" i="8" s="1"/>
  <c r="G73" i="8"/>
  <c r="G74" i="8"/>
  <c r="G75" i="8"/>
  <c r="G77" i="8"/>
  <c r="K77" i="8" s="1"/>
  <c r="L77" i="8" s="1"/>
  <c r="G78" i="8"/>
  <c r="K78" i="8" s="1"/>
  <c r="L78" i="8" s="1"/>
  <c r="G79" i="8"/>
  <c r="K79" i="8" s="1"/>
  <c r="L79" i="8" s="1"/>
  <c r="G80" i="8"/>
  <c r="K80" i="8" s="1"/>
  <c r="L80" i="8" s="1"/>
  <c r="G81" i="8"/>
  <c r="K81" i="8" s="1"/>
  <c r="L81" i="8" s="1"/>
  <c r="G82" i="8"/>
  <c r="K82" i="8" s="1"/>
  <c r="L82" i="8" s="1"/>
  <c r="G83" i="8"/>
  <c r="K83" i="8" s="1"/>
  <c r="L83" i="8" s="1"/>
  <c r="G84" i="8"/>
  <c r="K84" i="8" s="1"/>
  <c r="L84" i="8" s="1"/>
  <c r="G85" i="8"/>
  <c r="G86" i="8"/>
  <c r="G87" i="8"/>
  <c r="K87" i="8" s="1"/>
  <c r="L87" i="8" s="1"/>
  <c r="G88" i="8"/>
  <c r="K88" i="8" s="1"/>
  <c r="L88" i="8" s="1"/>
  <c r="G89" i="8"/>
  <c r="K89" i="8" s="1"/>
  <c r="L89" i="8" s="1"/>
  <c r="G90" i="8"/>
  <c r="G91" i="8"/>
  <c r="K91" i="8" s="1"/>
  <c r="L91" i="8" s="1"/>
  <c r="G92" i="8"/>
  <c r="G93" i="8"/>
  <c r="K93" i="8" s="1"/>
  <c r="L93" i="8" s="1"/>
  <c r="G94" i="8"/>
  <c r="K94" i="8" s="1"/>
  <c r="L94" i="8" s="1"/>
  <c r="G95" i="8"/>
  <c r="K95" i="8" s="1"/>
  <c r="L95" i="8" s="1"/>
  <c r="G96" i="8"/>
  <c r="K96" i="8" s="1"/>
  <c r="L96" i="8" s="1"/>
  <c r="G97" i="8"/>
  <c r="K97" i="8" s="1"/>
  <c r="L97" i="8" s="1"/>
  <c r="G98" i="8"/>
  <c r="K98" i="8" s="1"/>
  <c r="L98" i="8" s="1"/>
  <c r="G99" i="8"/>
  <c r="K99" i="8" s="1"/>
  <c r="L99" i="8" s="1"/>
  <c r="G100" i="8"/>
  <c r="K44" i="8"/>
  <c r="L44" i="8" s="1"/>
  <c r="K45" i="8"/>
  <c r="L45" i="8" s="1"/>
  <c r="K46" i="8"/>
  <c r="L46" i="8" s="1"/>
  <c r="K47" i="8"/>
  <c r="L47" i="8" s="1"/>
  <c r="K49" i="8"/>
  <c r="L49" i="8" s="1"/>
  <c r="K50" i="8"/>
  <c r="L50" i="8" s="1"/>
  <c r="K52" i="8"/>
  <c r="L52" i="8" s="1"/>
  <c r="I11" i="8"/>
  <c r="I12" i="8"/>
  <c r="I13" i="8"/>
  <c r="I14" i="8"/>
  <c r="I10" i="8"/>
  <c r="D11" i="8"/>
  <c r="D12" i="8"/>
  <c r="D13" i="8"/>
  <c r="D14" i="8"/>
  <c r="D10" i="8"/>
  <c r="I15" i="8"/>
  <c r="D15" i="8"/>
  <c r="B14" i="8"/>
  <c r="B13" i="8"/>
  <c r="B12" i="8"/>
  <c r="B11" i="8"/>
  <c r="B10" i="8"/>
  <c r="G76" i="8"/>
  <c r="K76" i="8" s="1"/>
  <c r="L76" i="8" s="1"/>
  <c r="K104" i="8"/>
  <c r="G104" i="8"/>
  <c r="K61" i="8"/>
  <c r="K12" i="8" l="1"/>
  <c r="K11" i="8"/>
  <c r="K13" i="8"/>
  <c r="K14" i="8"/>
  <c r="K10" i="8"/>
  <c r="K73" i="8"/>
  <c r="L73" i="8" s="1"/>
  <c r="G21" i="8"/>
  <c r="F16" i="16" s="1"/>
  <c r="K85" i="8"/>
  <c r="L85" i="8" s="1"/>
  <c r="G19" i="8"/>
  <c r="F14" i="16" s="1"/>
  <c r="K25" i="8"/>
  <c r="L25" i="8" s="1"/>
  <c r="G10" i="8"/>
  <c r="K100" i="8"/>
  <c r="L100" i="8" s="1"/>
  <c r="K48" i="8"/>
  <c r="L48" i="8" s="1"/>
  <c r="K74" i="8"/>
  <c r="L74" i="8" s="1"/>
  <c r="K51" i="8"/>
  <c r="L51" i="8" s="1"/>
  <c r="K92" i="8"/>
  <c r="L92" i="8" s="1"/>
  <c r="K75" i="8"/>
  <c r="L75" i="8" s="1"/>
  <c r="K86" i="8"/>
  <c r="L86" i="8" s="1"/>
  <c r="K43" i="8"/>
  <c r="L43" i="8" s="1"/>
  <c r="K90" i="8"/>
  <c r="L90" i="8" s="1"/>
  <c r="G14" i="8"/>
  <c r="G13" i="8"/>
  <c r="G12" i="8"/>
  <c r="G11" i="8"/>
  <c r="K17" i="8"/>
  <c r="I27" i="8"/>
  <c r="G15" i="8"/>
  <c r="F10" i="16" s="1"/>
  <c r="G17" i="8"/>
  <c r="F12" i="16" s="1"/>
  <c r="G23" i="8"/>
  <c r="F18" i="16" s="1"/>
  <c r="D27" i="8"/>
  <c r="G59" i="8"/>
  <c r="F36" i="16" s="1"/>
  <c r="G102" i="8"/>
  <c r="F39" i="16" s="1"/>
  <c r="L61" i="8"/>
  <c r="L104" i="8"/>
  <c r="F20" i="16" l="1"/>
  <c r="K15" i="8"/>
  <c r="L15" i="8" s="1"/>
  <c r="K21" i="8"/>
  <c r="L21" i="8" s="1"/>
  <c r="G27" i="8"/>
  <c r="K19" i="8"/>
  <c r="L19" i="8" s="1"/>
  <c r="K23" i="8"/>
  <c r="L23" i="8" s="1"/>
  <c r="L59" i="8"/>
  <c r="L17" i="8"/>
  <c r="L12" i="8"/>
  <c r="L13" i="8"/>
  <c r="L11" i="8"/>
  <c r="L14" i="8"/>
  <c r="K59" i="8"/>
  <c r="K102" i="8"/>
  <c r="B6" i="8"/>
  <c r="F6" i="16" l="1"/>
  <c r="L102" i="8"/>
  <c r="G29" i="8"/>
  <c r="F22" i="16" s="1"/>
  <c r="G30" i="8"/>
  <c r="F23" i="16" s="1"/>
  <c r="K27" i="8"/>
  <c r="L10" i="8"/>
  <c r="G33" i="8" l="1"/>
  <c r="F26" i="16" s="1"/>
  <c r="G32" i="8"/>
  <c r="F25" i="16" s="1"/>
  <c r="L27" i="8"/>
  <c r="K35" i="8"/>
  <c r="F28" i="16" l="1"/>
  <c r="G377" i="8"/>
  <c r="K377" i="8"/>
  <c r="F29" i="16" l="1"/>
  <c r="F30" i="16" s="1"/>
  <c r="L377" i="8"/>
  <c r="F31" i="16" l="1"/>
  <c r="K111" i="8"/>
  <c r="G111" i="8"/>
  <c r="K216" i="8"/>
  <c r="G216" i="8"/>
  <c r="K272" i="8"/>
  <c r="G272" i="8"/>
  <c r="K265" i="8"/>
  <c r="G265" i="8"/>
  <c r="K258" i="8"/>
  <c r="G258" i="8"/>
  <c r="K251" i="8"/>
  <c r="G251" i="8"/>
  <c r="L258" i="8" l="1"/>
  <c r="L265" i="8"/>
  <c r="L111" i="8"/>
  <c r="L272" i="8"/>
  <c r="L216" i="8"/>
  <c r="L251" i="8"/>
  <c r="G109" i="8"/>
  <c r="F42" i="16" s="1"/>
  <c r="G249" i="8"/>
  <c r="F102" i="16" s="1"/>
  <c r="G256" i="8"/>
  <c r="F105" i="16" s="1"/>
  <c r="G270" i="8"/>
  <c r="F111" i="16" s="1"/>
  <c r="G214" i="8"/>
  <c r="F87" i="16" s="1"/>
  <c r="K214" i="8"/>
  <c r="G263" i="8"/>
  <c r="F108" i="16" s="1"/>
  <c r="K270" i="8" l="1"/>
  <c r="L270" i="8"/>
  <c r="K263" i="8"/>
  <c r="L263" i="8"/>
  <c r="K249" i="8"/>
  <c r="L249" i="8"/>
  <c r="K109" i="8"/>
  <c r="L214" i="8"/>
  <c r="L109" i="8"/>
  <c r="K256" i="8"/>
  <c r="L256" i="8"/>
  <c r="K370" i="8"/>
  <c r="G370" i="8"/>
  <c r="K363" i="8"/>
  <c r="G363" i="8"/>
  <c r="K356" i="8"/>
  <c r="G356" i="8"/>
  <c r="K349" i="8"/>
  <c r="G349" i="8"/>
  <c r="K342" i="8"/>
  <c r="G342" i="8"/>
  <c r="K335" i="8"/>
  <c r="G335" i="8"/>
  <c r="K328" i="8"/>
  <c r="G328" i="8"/>
  <c r="K321" i="8"/>
  <c r="G321" i="8"/>
  <c r="K314" i="8"/>
  <c r="G314" i="8"/>
  <c r="K307" i="8"/>
  <c r="G307" i="8"/>
  <c r="K300" i="8"/>
  <c r="G300" i="8"/>
  <c r="G298" i="8"/>
  <c r="F123" i="16" s="1"/>
  <c r="K293" i="8"/>
  <c r="G293" i="8"/>
  <c r="K286" i="8"/>
  <c r="G286" i="8"/>
  <c r="K279" i="8"/>
  <c r="G279" i="8"/>
  <c r="K244" i="8"/>
  <c r="G244" i="8"/>
  <c r="G242" i="8"/>
  <c r="F99" i="16" s="1"/>
  <c r="K237" i="8"/>
  <c r="G237" i="8"/>
  <c r="K230" i="8"/>
  <c r="G230" i="8"/>
  <c r="K223" i="8"/>
  <c r="G223" i="8"/>
  <c r="K209" i="8"/>
  <c r="G209" i="8"/>
  <c r="K202" i="8"/>
  <c r="G202" i="8"/>
  <c r="K195" i="8"/>
  <c r="G195" i="8"/>
  <c r="G193" i="8"/>
  <c r="F78" i="16" s="1"/>
  <c r="K188" i="8"/>
  <c r="G188" i="8"/>
  <c r="K181" i="8"/>
  <c r="G181" i="8"/>
  <c r="K174" i="8"/>
  <c r="G174" i="8"/>
  <c r="K167" i="8"/>
  <c r="G167" i="8"/>
  <c r="K160" i="8"/>
  <c r="G160" i="8"/>
  <c r="K153" i="8"/>
  <c r="G153" i="8"/>
  <c r="K146" i="8"/>
  <c r="G146" i="8"/>
  <c r="K139" i="8"/>
  <c r="G139" i="8"/>
  <c r="K132" i="8"/>
  <c r="G132" i="8"/>
  <c r="K125" i="8"/>
  <c r="G125" i="8"/>
  <c r="K118" i="8"/>
  <c r="G118" i="8"/>
  <c r="L132" i="8" l="1"/>
  <c r="L244" i="8"/>
  <c r="L160" i="8"/>
  <c r="L188" i="8"/>
  <c r="L223" i="8"/>
  <c r="L279" i="8"/>
  <c r="L307" i="8"/>
  <c r="L335" i="8"/>
  <c r="L363" i="8"/>
  <c r="L139" i="8"/>
  <c r="L195" i="8"/>
  <c r="L230" i="8"/>
  <c r="L314" i="8"/>
  <c r="L342" i="8"/>
  <c r="L370" i="8"/>
  <c r="L167" i="8"/>
  <c r="L286" i="8"/>
  <c r="L174" i="8"/>
  <c r="L237" i="8"/>
  <c r="L293" i="8"/>
  <c r="L321" i="8"/>
  <c r="L349" i="8"/>
  <c r="L118" i="8"/>
  <c r="L202" i="8"/>
  <c r="L146" i="8"/>
  <c r="L125" i="8"/>
  <c r="L181" i="8"/>
  <c r="L209" i="8"/>
  <c r="L300" i="8"/>
  <c r="L328" i="8"/>
  <c r="L356" i="8"/>
  <c r="L153" i="8"/>
  <c r="G284" i="8"/>
  <c r="F117" i="16" s="1"/>
  <c r="G319" i="8"/>
  <c r="F132" i="16" s="1"/>
  <c r="G340" i="8"/>
  <c r="F141" i="16" s="1"/>
  <c r="G361" i="8"/>
  <c r="F150" i="16" s="1"/>
  <c r="G221" i="8"/>
  <c r="F90" i="16" s="1"/>
  <c r="G347" i="8"/>
  <c r="F144" i="16" s="1"/>
  <c r="G333" i="8"/>
  <c r="F138" i="16" s="1"/>
  <c r="G235" i="8"/>
  <c r="F96" i="16" s="1"/>
  <c r="G291" i="8"/>
  <c r="F120" i="16" s="1"/>
  <c r="G354" i="8"/>
  <c r="F147" i="16" s="1"/>
  <c r="G375" i="8"/>
  <c r="F156" i="16" s="1"/>
  <c r="G368" i="8"/>
  <c r="F153" i="16" s="1"/>
  <c r="G277" i="8"/>
  <c r="F114" i="16" s="1"/>
  <c r="G305" i="8"/>
  <c r="F126" i="16" s="1"/>
  <c r="G326" i="8"/>
  <c r="F135" i="16" s="1"/>
  <c r="K312" i="8"/>
  <c r="G312" i="8"/>
  <c r="F129" i="16" s="1"/>
  <c r="G207" i="8"/>
  <c r="F84" i="16" s="1"/>
  <c r="G228" i="8"/>
  <c r="F93" i="16" s="1"/>
  <c r="G200" i="8"/>
  <c r="F81" i="16" s="1"/>
  <c r="G179" i="8"/>
  <c r="F72" i="16" s="1"/>
  <c r="G165" i="8"/>
  <c r="F66" i="16" s="1"/>
  <c r="G186" i="8"/>
  <c r="F75" i="16" s="1"/>
  <c r="G158" i="8"/>
  <c r="F63" i="16" s="1"/>
  <c r="G137" i="8"/>
  <c r="F54" i="16" s="1"/>
  <c r="G130" i="8"/>
  <c r="F51" i="16" s="1"/>
  <c r="G144" i="8"/>
  <c r="F57" i="16" s="1"/>
  <c r="G151" i="8"/>
  <c r="F60" i="16" s="1"/>
  <c r="G116" i="8"/>
  <c r="F45" i="16" s="1"/>
  <c r="G172" i="8"/>
  <c r="F69" i="16" s="1"/>
  <c r="K305" i="8" l="1"/>
  <c r="L305" i="8"/>
  <c r="K172" i="8"/>
  <c r="L172" i="8"/>
  <c r="K228" i="8"/>
  <c r="L228" i="8"/>
  <c r="K235" i="8"/>
  <c r="L235" i="8"/>
  <c r="K221" i="8"/>
  <c r="L221" i="8"/>
  <c r="K242" i="8"/>
  <c r="L242" i="8"/>
  <c r="K137" i="8"/>
  <c r="K186" i="8"/>
  <c r="L186" i="8"/>
  <c r="K277" i="8"/>
  <c r="L277" i="8"/>
  <c r="K165" i="8"/>
  <c r="L165" i="8"/>
  <c r="K179" i="8"/>
  <c r="L179" i="8"/>
  <c r="K193" i="8"/>
  <c r="L193" i="8"/>
  <c r="K284" i="8"/>
  <c r="L284" i="8"/>
  <c r="K144" i="8"/>
  <c r="L144" i="8"/>
  <c r="K151" i="8"/>
  <c r="L151" i="8"/>
  <c r="K200" i="8"/>
  <c r="L200" i="8"/>
  <c r="K291" i="8"/>
  <c r="L291" i="8"/>
  <c r="K130" i="8"/>
  <c r="L130" i="8"/>
  <c r="K158" i="8"/>
  <c r="L158" i="8"/>
  <c r="K207" i="8"/>
  <c r="L207" i="8"/>
  <c r="K298" i="8"/>
  <c r="L298" i="8"/>
  <c r="K116" i="8"/>
  <c r="L116" i="8"/>
  <c r="L30" i="8"/>
  <c r="K333" i="8"/>
  <c r="K319" i="8"/>
  <c r="K361" i="8"/>
  <c r="K326" i="8"/>
  <c r="K347" i="8"/>
  <c r="K368" i="8"/>
  <c r="K340" i="8"/>
  <c r="L354" i="8"/>
  <c r="L375" i="8"/>
  <c r="K375" i="8"/>
  <c r="L368" i="8"/>
  <c r="L361" i="8"/>
  <c r="K354" i="8"/>
  <c r="L347" i="8"/>
  <c r="L340" i="8"/>
  <c r="L333" i="8"/>
  <c r="L326" i="8"/>
  <c r="L319" i="8"/>
  <c r="L312" i="8"/>
  <c r="L137" i="8" l="1"/>
  <c r="L123" i="8"/>
  <c r="L29" i="8"/>
  <c r="G35" i="8" l="1"/>
  <c r="L35" i="8" l="1"/>
  <c r="L38" i="8" s="1"/>
  <c r="G36" i="8"/>
  <c r="G37" i="8" s="1"/>
  <c r="G38" i="8" l="1"/>
  <c r="J370" i="8"/>
  <c r="J356" i="8"/>
  <c r="J237" i="8"/>
  <c r="J111" i="8"/>
  <c r="J160" i="8"/>
  <c r="F174" i="8"/>
  <c r="J321" i="8"/>
  <c r="J61" i="8"/>
  <c r="J118" i="8"/>
  <c r="J195" i="8"/>
  <c r="F314" i="8"/>
  <c r="J125" i="8"/>
  <c r="F188" i="8"/>
  <c r="F293" i="8"/>
  <c r="F118" i="8"/>
  <c r="F363" i="8"/>
  <c r="F335" i="8"/>
  <c r="J181" i="8"/>
  <c r="J216" i="8"/>
  <c r="J153" i="8"/>
  <c r="J174" i="8"/>
  <c r="J286" i="8"/>
  <c r="J279" i="8"/>
  <c r="J104" i="8"/>
  <c r="J251" i="8"/>
  <c r="F216" i="8"/>
  <c r="J244" i="8"/>
  <c r="F356" i="8"/>
  <c r="F251" i="8"/>
  <c r="F321" i="8"/>
  <c r="F104" i="8"/>
  <c r="F328" i="8"/>
  <c r="F272" i="8"/>
  <c r="F111" i="8"/>
  <c r="F286" i="8"/>
  <c r="J139" i="8"/>
  <c r="F167" i="8"/>
  <c r="J146" i="8"/>
  <c r="F153" i="8"/>
  <c r="J223" i="8"/>
  <c r="F342" i="8"/>
  <c r="F139" i="8"/>
  <c r="F160" i="8"/>
  <c r="J349" i="8"/>
  <c r="J314" i="8"/>
  <c r="F146" i="8"/>
  <c r="J258" i="8"/>
  <c r="J265" i="8"/>
  <c r="J335" i="8"/>
  <c r="F265" i="8"/>
  <c r="J230" i="8"/>
  <c r="F300" i="8"/>
  <c r="J300" i="8"/>
  <c r="J328" i="8"/>
  <c r="F230" i="8"/>
  <c r="J272" i="8"/>
  <c r="J363" i="8"/>
  <c r="J188" i="8"/>
  <c r="J209" i="8"/>
  <c r="F237" i="8"/>
  <c r="F132" i="8"/>
  <c r="F349" i="8"/>
  <c r="F244" i="8"/>
  <c r="F370" i="8"/>
  <c r="F307" i="8"/>
  <c r="F377" i="8"/>
  <c r="F209" i="8"/>
  <c r="J342" i="8"/>
  <c r="J167" i="8"/>
  <c r="J377" i="8"/>
  <c r="F181" i="8"/>
  <c r="J202" i="8"/>
  <c r="F202" i="8"/>
  <c r="F195" i="8"/>
  <c r="F125" i="8"/>
  <c r="F223" i="8"/>
  <c r="F258" i="8"/>
  <c r="J293" i="8"/>
  <c r="F279" i="8"/>
  <c r="J307" i="8"/>
  <c r="J132" i="8"/>
</calcChain>
</file>

<file path=xl/sharedStrings.xml><?xml version="1.0" encoding="utf-8"?>
<sst xmlns="http://schemas.openxmlformats.org/spreadsheetml/2006/main" count="1027" uniqueCount="163">
  <si>
    <t>Description</t>
  </si>
  <si>
    <t>Projet :</t>
  </si>
  <si>
    <t>Adresse</t>
  </si>
  <si>
    <t>Ville, PR, CP</t>
  </si>
  <si>
    <t>0000-0000</t>
  </si>
  <si>
    <t>Quantité</t>
  </si>
  <si>
    <t>Coût estimé</t>
  </si>
  <si>
    <t>-</t>
  </si>
  <si>
    <t>MATÉRIAUX GÉNÉRAUX</t>
  </si>
  <si>
    <t>ÉBÉNISTERIE</t>
  </si>
  <si>
    <t>ACCESSOIRES</t>
  </si>
  <si>
    <t>CONTRÔLE</t>
  </si>
  <si>
    <t>SERVICE PÉTROLIER</t>
  </si>
  <si>
    <t>Projet #</t>
  </si>
  <si>
    <t>Heure</t>
  </si>
  <si>
    <t>ID</t>
  </si>
  <si>
    <t>CONDITIONS GÉNÉRALES</t>
  </si>
  <si>
    <t>Client #</t>
  </si>
  <si>
    <t>Matériaux</t>
  </si>
  <si>
    <t>Résultat</t>
  </si>
  <si>
    <t>S.-traitant</t>
  </si>
  <si>
    <t>Quantité R.</t>
  </si>
  <si>
    <t>Mesure</t>
  </si>
  <si>
    <t>M.-d'oeuvre</t>
  </si>
  <si>
    <t>Pi Li</t>
  </si>
  <si>
    <t>Unité</t>
  </si>
  <si>
    <t>Total | Budgétaire</t>
  </si>
  <si>
    <t>Forfait</t>
  </si>
  <si>
    <t>Addenda</t>
  </si>
  <si>
    <t>Total | Réel</t>
  </si>
  <si>
    <t>TRAVAUX DE DÉMOLITON</t>
  </si>
  <si>
    <t>COFFRAGE, ARMATURE &amp; BÉTON</t>
  </si>
  <si>
    <t>STRUCTURE D'ACIER &amp; MÉTAUX OUVRÉS</t>
  </si>
  <si>
    <t>BALCON &amp; TERRASSE</t>
  </si>
  <si>
    <t>TOITURE</t>
  </si>
  <si>
    <t>ISOLATION &amp; IMPERMÉABILISATION</t>
  </si>
  <si>
    <t>REVÊTEMENT EXTÉRIEUR &amp; GOUTTIÈRE</t>
  </si>
  <si>
    <t>SYSTÈMENT INTÉRIEUR</t>
  </si>
  <si>
    <t>PLANCHER SOUPLE &amp; ÉPOXY</t>
  </si>
  <si>
    <t>ESCALIER INTÉRIEUR</t>
  </si>
  <si>
    <t>VENTILATION &amp; BALANCEMENT</t>
  </si>
  <si>
    <t>PLOMBERIE &amp; GAZ</t>
  </si>
  <si>
    <t>VARIA</t>
  </si>
  <si>
    <t>Prénom &amp; nom</t>
  </si>
  <si>
    <t>Aidé par :</t>
  </si>
  <si>
    <t>BILAN</t>
  </si>
  <si>
    <t>Coût | Budgétaire</t>
  </si>
  <si>
    <t>Coût | Réel</t>
  </si>
  <si>
    <t>#</t>
  </si>
  <si>
    <t>Devis #</t>
  </si>
  <si>
    <t>DÉVELOPPEMENT DU PROJET</t>
  </si>
  <si>
    <t>Surintendant</t>
  </si>
  <si>
    <t>Contremaître</t>
  </si>
  <si>
    <t>Sous-traitance</t>
  </si>
  <si>
    <t>Sous-total</t>
  </si>
  <si>
    <t>Cautionnement</t>
  </si>
  <si>
    <t>Administration</t>
  </si>
  <si>
    <t>Profit</t>
  </si>
  <si>
    <t>Total (avant taxes)</t>
  </si>
  <si>
    <t>TVQ</t>
  </si>
  <si>
    <t>TPS</t>
  </si>
  <si>
    <t>Commissionnaire</t>
  </si>
  <si>
    <t>Transport</t>
  </si>
  <si>
    <t>Hébergement</t>
  </si>
  <si>
    <t>Repas</t>
  </si>
  <si>
    <t>Architecture</t>
  </si>
  <si>
    <t>Ingénieur mécanique</t>
  </si>
  <si>
    <t>Ingénieur structure</t>
  </si>
  <si>
    <t>Ingénieur civil</t>
  </si>
  <si>
    <t>Arpenteur</t>
  </si>
  <si>
    <t>Laboratoire</t>
  </si>
  <si>
    <t>Consultant</t>
  </si>
  <si>
    <t>Roulotte de chantier</t>
  </si>
  <si>
    <t>Toilette de chantier</t>
  </si>
  <si>
    <t>Temporaire de chantier</t>
  </si>
  <si>
    <t>Électricité temporaire</t>
  </si>
  <si>
    <t>Chauffage temporaire</t>
  </si>
  <si>
    <t>Réparation d'outils</t>
  </si>
  <si>
    <t>Location d'échafaudage</t>
  </si>
  <si>
    <t>Installation d'échafaudage</t>
  </si>
  <si>
    <t>Nacelle</t>
  </si>
  <si>
    <t>Plafolift</t>
  </si>
  <si>
    <t>Grue</t>
  </si>
  <si>
    <t>Garantie de construction résidentiel</t>
  </si>
  <si>
    <t>Contingence</t>
  </si>
  <si>
    <t>Frais de financement</t>
  </si>
  <si>
    <t>Permis de construction</t>
  </si>
  <si>
    <t>Ménage après construction</t>
  </si>
  <si>
    <t>Déneigement</t>
  </si>
  <si>
    <t>Chargé de projets</t>
  </si>
  <si>
    <t>Nombre de jours :</t>
  </si>
  <si>
    <t>Mise à jour :</t>
  </si>
  <si>
    <t>Créé le :</t>
  </si>
  <si>
    <t>Nombre de semaine :</t>
  </si>
  <si>
    <t>Autres professionnel</t>
  </si>
  <si>
    <t>Courtier</t>
  </si>
  <si>
    <t>Notaire</t>
  </si>
  <si>
    <t>Avocat</t>
  </si>
  <si>
    <t>Manœuvre</t>
  </si>
  <si>
    <t>Clôtures de chantier</t>
  </si>
  <si>
    <t>Conteneur d'entrepôsage</t>
  </si>
  <si>
    <t>Location de chauffage</t>
  </si>
  <si>
    <t>Skytrack</t>
  </si>
  <si>
    <t>Grue à tour</t>
  </si>
  <si>
    <t>Entretien des stationnements &amp; rue</t>
  </si>
  <si>
    <t>MAÇONNERIE &amp; CRÉPIS</t>
  </si>
  <si>
    <t>Terrain</t>
  </si>
  <si>
    <t>Frais divers</t>
  </si>
  <si>
    <t>STRUCTURE DE BÉTON</t>
  </si>
  <si>
    <t>STRUCTURE DE BOIS &amp; CHARPENTERIE</t>
  </si>
  <si>
    <t>RAMPE &amp; PLANCHER EXTÉRIEUR</t>
  </si>
  <si>
    <t>VITRIER &amp; MUR RIDEAU</t>
  </si>
  <si>
    <t>OUVRAGES SPÉCIAUX</t>
  </si>
  <si>
    <t>Frais de branchement</t>
  </si>
  <si>
    <t>Assurance de chantier</t>
  </si>
  <si>
    <t>Total (avec taxes)</t>
  </si>
  <si>
    <t>Nombre d'heure</t>
  </si>
  <si>
    <t>Assurance spéciale</t>
  </si>
  <si>
    <t>Cautionnement spécial</t>
  </si>
  <si>
    <t>Main-d'œuvre</t>
  </si>
  <si>
    <t>Location</t>
  </si>
  <si>
    <t>Catégorie</t>
  </si>
  <si>
    <t>Coût | Unitaire</t>
  </si>
  <si>
    <t>Coût | Unitaire R.</t>
  </si>
  <si>
    <t>NOTES PARTICULIÈRES &amp; EXCLUSIONS</t>
  </si>
  <si>
    <t>ÉLECTRICITÉ</t>
  </si>
  <si>
    <t>PEINTURE</t>
  </si>
  <si>
    <t>Équipement</t>
  </si>
  <si>
    <t>Entretien des zones vertes</t>
  </si>
  <si>
    <t>Frais de fin de parc</t>
  </si>
  <si>
    <t>Équipement &amp; machinerie</t>
  </si>
  <si>
    <t>aaaa-mm-jj</t>
  </si>
  <si>
    <t>Chute à débris</t>
  </si>
  <si>
    <t>Conteneur à débris</t>
  </si>
  <si>
    <t>Designer</t>
  </si>
  <si>
    <t>Rendu 3D</t>
  </si>
  <si>
    <t>Nom du projet</t>
  </si>
  <si>
    <t>Nombre de mois :</t>
  </si>
  <si>
    <t>BUDGÉTAIRE</t>
  </si>
  <si>
    <t>RÉEL</t>
  </si>
  <si>
    <t>RÉSULTAT</t>
  </si>
  <si>
    <t>PROTECTION INCENDIE</t>
  </si>
  <si>
    <t>Location roulotte, conteneur &amp; toilette</t>
  </si>
  <si>
    <t>Estimateur :</t>
  </si>
  <si>
    <t>REVÊTEMENT EN PLAQUE DE PLÂTRE</t>
  </si>
  <si>
    <t>ENDUIT DE PLÂTRE</t>
  </si>
  <si>
    <t>PLAFOND SUSPENDU &amp; ARCHITECTURAL</t>
  </si>
  <si>
    <t>PARQUETS EN LAMES &amp; PLANCHER DE BOIS</t>
  </si>
  <si>
    <t>CARRELAGE DE CÉRAMIQUE</t>
  </si>
  <si>
    <t>MÉCANIQUE SPÉCIALISÉE</t>
  </si>
  <si>
    <t>ACCÈS, RÉSEAU &amp; ALARME INCENDIE</t>
  </si>
  <si>
    <t>PAVAGE &amp; MARQUAGE</t>
  </si>
  <si>
    <t>EXCAVATION, CIVIL, BORDURE &amp; TROTTOIR</t>
  </si>
  <si>
    <t>CHAPE &amp; BÉTON PRÉFABRIQUÉ</t>
  </si>
  <si>
    <t>PORTES &amp; FENÊTRES  EXTÉRIEUR</t>
  </si>
  <si>
    <t>BOISERIE, PORTE &amp; QUINCAILLERIE INTÉRIEUR</t>
  </si>
  <si>
    <t>L'estimé est fait selon notre compréhension des plans.</t>
  </si>
  <si>
    <t>Tous ce qui n'est pas inscrit, demandé, comptabilisable ou quantifiable dans le présent documents est automatiquement exclus.</t>
  </si>
  <si>
    <t>Directive de changement (DC)</t>
  </si>
  <si>
    <t>Début travaux :</t>
  </si>
  <si>
    <t>Fin travaux :</t>
  </si>
  <si>
    <t>Gestion &amp; mains d'oeuvres</t>
  </si>
  <si>
    <t>VENTILATION DES POSTES SELON LE BILAN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</si>
</sst>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1">
    <numFmt numFmtId="44" formatCode="_ * #,##0.00_)\ &quot;$&quot;_ ;_ * \(#,##0.00\)\ &quot;$&quot;_ ;_ * &quot;-&quot;??_)\ &quot;$&quot;_ ;_ @_ "/>
    <numFmt numFmtId="164" formatCode="_(&quot;$&quot;* #,##0_);_(&quot;$&quot;* \(#,##0\);_(&quot;$&quot;* &quot;-&quot;_);_(@_)"/>
    <numFmt numFmtId="165" formatCode="_(* #,##0_);_(* \(#,##0\);_(* &quot;-&quot;_);_(@_)"/>
    <numFmt numFmtId="166" formatCode="_(&quot;$&quot;* #,##0.00_);_(&quot;$&quot;* \(#,##0.00\);_(&quot;$&quot;* &quot;-&quot;??_);_(@_)"/>
    <numFmt numFmtId="167" formatCode="_(* #,##0.00_);_(* \(#,##0.00\);_(* &quot;-&quot;??_);_(@_)"/>
    <numFmt numFmtId="168" formatCode="[$-F800]dddd\,\ mmmm\ dd\,\ yyyy"/>
    <numFmt numFmtId="169" formatCode="000&quot;.&quot;"/>
    <numFmt numFmtId="170" formatCode="0.000&quot; &quot;%"/>
    <numFmt numFmtId="171" formatCode="00000"/>
    <numFmt numFmtId="172" formatCode="00"/>
    <numFmt numFmtId="173" formatCode="0000"/>
  </numFmts>
  <fonts count="25" x14ac:knownFonts="1">
    <font>
      <sz val="9"/>
      <color theme="1"/>
      <name val="Arial"/>
      <family val="2"/>
    </font>
    <font>
      <sz val="9"/>
      <color theme="1"/>
      <name val="Arial"/>
      <family val="2"/>
    </font>
    <font>
      <b/>
      <sz val="11"/>
      <color theme="3"/>
      <name val="Arial"/>
      <family val="2"/>
    </font>
    <font>
      <sz val="9"/>
      <color rgb="FF006100"/>
      <name val="Arial"/>
      <family val="2"/>
    </font>
    <font>
      <sz val="9"/>
      <color rgb="FF9C0006"/>
      <name val="Arial"/>
      <family val="2"/>
    </font>
    <font>
      <sz val="9"/>
      <color rgb="FF9C5700"/>
      <name val="Arial"/>
      <family val="2"/>
    </font>
    <font>
      <sz val="9"/>
      <color rgb="FF3F3F76"/>
      <name val="Arial"/>
      <family val="2"/>
    </font>
    <font>
      <b/>
      <sz val="9"/>
      <color rgb="FF3F3F3F"/>
      <name val="Arial"/>
      <family val="2"/>
    </font>
    <font>
      <b/>
      <sz val="9"/>
      <color rgb="FFFA7D00"/>
      <name val="Arial"/>
      <family val="2"/>
    </font>
    <font>
      <sz val="9"/>
      <color rgb="FFFA7D00"/>
      <name val="Arial"/>
      <family val="2"/>
    </font>
    <font>
      <b/>
      <sz val="9"/>
      <color theme="0"/>
      <name val="Arial"/>
      <family val="2"/>
    </font>
    <font>
      <sz val="9"/>
      <color rgb="FFFF0000"/>
      <name val="Arial"/>
      <family val="2"/>
    </font>
    <font>
      <i/>
      <sz val="9"/>
      <color rgb="FF7F7F7F"/>
      <name val="Arial"/>
      <family val="2"/>
    </font>
    <font>
      <b/>
      <sz val="9"/>
      <color theme="1"/>
      <name val="Arial"/>
      <family val="2"/>
    </font>
    <font>
      <sz val="9"/>
      <color theme="0"/>
      <name val="Arial"/>
      <family val="2"/>
    </font>
    <font>
      <sz val="8"/>
      <name val="Arial"/>
      <family val="2"/>
    </font>
    <font>
      <sz val="14"/>
      <color theme="1"/>
      <name val="Arial"/>
      <family val="2"/>
    </font>
    <font>
      <sz val="12"/>
      <color theme="0"/>
      <name val="Arial"/>
      <family val="2"/>
    </font>
    <font>
      <b/>
      <sz val="10"/>
      <color theme="1"/>
      <name val="Arial"/>
      <family val="2"/>
    </font>
    <font>
      <b/>
      <sz val="10"/>
      <name val="Arial"/>
      <family val="2"/>
    </font>
    <font>
      <sz val="9"/>
      <name val="Arial"/>
      <family val="2"/>
    </font>
    <font>
      <b/>
      <sz val="11"/>
      <name val="Arial"/>
      <family val="2"/>
    </font>
    <font>
      <sz val="10"/>
      <color theme="1"/>
      <name val="Arial"/>
      <family val="2"/>
    </font>
    <font>
      <b/>
      <sz val="10"/>
      <color theme="0"/>
      <name val="Arial"/>
      <family val="2"/>
    </font>
    <font>
      <b/>
      <sz val="9"/>
      <name val="Arial"/>
      <family val="2"/>
    </font>
  </fonts>
  <fills count="36">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theme="6" tint="0.79998168889431442"/>
        <bgColor indexed="64"/>
      </patternFill>
    </fill>
    <fill>
      <patternFill patternType="solid">
        <fgColor theme="3" tint="-0.499984740745262"/>
        <bgColor indexed="64"/>
      </patternFill>
    </fill>
    <fill>
      <patternFill patternType="solid">
        <fgColor rgb="FFFFFFCC"/>
        <bgColor indexed="64"/>
      </patternFill>
    </fill>
  </fills>
  <borders count="16">
    <border>
      <left/>
      <right/>
      <top/>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thin">
        <color auto="1"/>
      </left>
      <right style="thin">
        <color auto="1"/>
      </right>
      <top style="thin">
        <color auto="1"/>
      </top>
      <bottom style="thin">
        <color auto="1"/>
      </bottom>
      <diagonal/>
    </border>
    <border>
      <left/>
      <right/>
      <top style="double">
        <color auto="1"/>
      </top>
      <bottom style="thin">
        <color auto="1"/>
      </bottom>
      <diagonal/>
    </border>
    <border>
      <left style="thin">
        <color auto="1"/>
      </left>
      <right style="thin">
        <color auto="1"/>
      </right>
      <top/>
      <bottom style="thin">
        <color auto="1"/>
      </bottom>
      <diagonal/>
    </border>
    <border>
      <left/>
      <right style="dotted">
        <color auto="1"/>
      </right>
      <top/>
      <bottom/>
      <diagonal/>
    </border>
    <border>
      <left/>
      <right style="dotted">
        <color auto="1"/>
      </right>
      <top/>
      <bottom style="double">
        <color auto="1"/>
      </bottom>
      <diagonal/>
    </border>
    <border>
      <left style="medium">
        <color theme="0"/>
      </left>
      <right/>
      <top/>
      <bottom/>
      <diagonal/>
    </border>
    <border>
      <left/>
      <right style="medium">
        <color theme="0"/>
      </right>
      <top/>
      <bottom/>
      <diagonal/>
    </border>
    <border>
      <left/>
      <right/>
      <top/>
      <bottom style="hair">
        <color auto="1"/>
      </bottom>
      <diagonal/>
    </border>
    <border>
      <left/>
      <right/>
      <top/>
      <bottom style="double">
        <color auto="1"/>
      </bottom>
      <diagonal/>
    </border>
  </borders>
  <cellStyleXfs count="74">
    <xf numFmtId="0" fontId="0" fillId="0" borderId="0">
      <alignment vertical="center"/>
    </xf>
    <xf numFmtId="167" fontId="1" fillId="0" borderId="0" applyFont="0" applyFill="0" applyBorder="0" applyAlignment="0" applyProtection="0"/>
    <xf numFmtId="165" fontId="1" fillId="0" borderId="0" applyFont="0" applyFill="0" applyBorder="0" applyAlignment="0" applyProtection="0"/>
    <xf numFmtId="166" fontId="1" fillId="0" borderId="0" applyFont="0" applyFill="0" applyBorder="0" applyAlignment="0" applyProtection="0"/>
    <xf numFmtId="164" fontId="1" fillId="0" borderId="0" applyFont="0" applyFill="0" applyBorder="0" applyAlignment="0" applyProtection="0"/>
    <xf numFmtId="9" fontId="1" fillId="0" borderId="0" applyFont="0" applyFill="0" applyBorder="0" applyAlignment="0" applyProtection="0"/>
    <xf numFmtId="0" fontId="16" fillId="0" borderId="0" applyNumberFormat="0" applyFill="0" applyProtection="0">
      <alignment vertical="center"/>
    </xf>
    <xf numFmtId="0" fontId="17" fillId="34" borderId="0" applyNumberFormat="0">
      <alignment horizontal="left" vertical="center"/>
    </xf>
    <xf numFmtId="0" fontId="21" fillId="0" borderId="0" applyNumberFormat="0" applyProtection="0">
      <alignment vertical="center"/>
    </xf>
    <xf numFmtId="0" fontId="19" fillId="0" borderId="0" applyNumberFormat="0" applyProtection="0">
      <alignment vertical="center"/>
    </xf>
    <xf numFmtId="0" fontId="2" fillId="0" borderId="0" applyNumberFormat="0" applyFill="0" applyBorder="0" applyAlignment="0" applyProtection="0"/>
    <xf numFmtId="0" fontId="3" fillId="2" borderId="0" applyNumberFormat="0" applyBorder="0" applyAlignment="0" applyProtection="0"/>
    <xf numFmtId="0" fontId="4" fillId="3" borderId="0" applyNumberFormat="0" applyBorder="0" applyAlignment="0" applyProtection="0"/>
    <xf numFmtId="0" fontId="5" fillId="4" borderId="0" applyNumberFormat="0" applyBorder="0" applyAlignment="0" applyProtection="0"/>
    <xf numFmtId="0" fontId="6" fillId="5" borderId="1" applyNumberFormat="0" applyAlignment="0" applyProtection="0"/>
    <xf numFmtId="0" fontId="7" fillId="6" borderId="2" applyNumberFormat="0" applyAlignment="0" applyProtection="0"/>
    <xf numFmtId="0" fontId="8" fillId="6" borderId="1" applyNumberFormat="0" applyAlignment="0" applyProtection="0"/>
    <xf numFmtId="0" fontId="9" fillId="0" borderId="3" applyNumberFormat="0" applyFill="0" applyAlignment="0" applyProtection="0"/>
    <xf numFmtId="0" fontId="10" fillId="7" borderId="4" applyNumberFormat="0" applyAlignment="0" applyProtection="0"/>
    <xf numFmtId="0" fontId="11" fillId="0" borderId="0" applyNumberFormat="0" applyFill="0" applyBorder="0" applyAlignment="0" applyProtection="0"/>
    <xf numFmtId="0" fontId="1" fillId="8" borderId="5" applyNumberFormat="0" applyFont="0" applyAlignment="0" applyProtection="0"/>
    <xf numFmtId="0" fontId="12" fillId="0" borderId="0" applyNumberFormat="0" applyFill="0" applyBorder="0" applyAlignment="0" applyProtection="0"/>
    <xf numFmtId="0" fontId="13" fillId="0" borderId="6" applyNumberFormat="0" applyFill="0" applyAlignment="0" applyProtection="0"/>
    <xf numFmtId="0" fontId="14"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 fillId="12" borderId="0" applyNumberFormat="0" applyBorder="0" applyAlignment="0" applyProtection="0"/>
    <xf numFmtId="0" fontId="14"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 fillId="16" borderId="0" applyNumberFormat="0" applyBorder="0" applyAlignment="0" applyProtection="0"/>
    <xf numFmtId="0" fontId="14"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 fillId="20" borderId="0" applyNumberFormat="0" applyBorder="0" applyAlignment="0" applyProtection="0"/>
    <xf numFmtId="0" fontId="14"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 fillId="24" borderId="0" applyNumberFormat="0" applyBorder="0" applyAlignment="0" applyProtection="0"/>
    <xf numFmtId="0" fontId="14"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 fillId="28" borderId="0" applyNumberFormat="0" applyBorder="0" applyAlignment="0" applyProtection="0"/>
    <xf numFmtId="0" fontId="14"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 fillId="32" borderId="0" applyNumberFormat="0" applyBorder="0" applyAlignment="0" applyProtection="0"/>
    <xf numFmtId="0" fontId="18" fillId="0" borderId="0">
      <alignment vertical="center"/>
    </xf>
    <xf numFmtId="0" fontId="1" fillId="0" borderId="0">
      <alignment horizontal="left" vertical="center"/>
    </xf>
    <xf numFmtId="39" fontId="1" fillId="0" borderId="0">
      <alignment horizontal="center" vertical="center"/>
    </xf>
    <xf numFmtId="0" fontId="19" fillId="33" borderId="7" applyProtection="0">
      <alignment horizontal="center" vertical="center"/>
    </xf>
    <xf numFmtId="49" fontId="1" fillId="0" borderId="0">
      <alignment horizontal="center" vertical="center"/>
      <protection locked="0"/>
    </xf>
    <xf numFmtId="44" fontId="1" fillId="0" borderId="0">
      <alignment horizontal="center" vertical="center"/>
      <protection locked="0"/>
    </xf>
    <xf numFmtId="44" fontId="20" fillId="0" borderId="0">
      <alignment horizontal="center" vertical="center"/>
      <protection locked="0"/>
    </xf>
    <xf numFmtId="44" fontId="18" fillId="0" borderId="0">
      <alignment horizontal="center" vertical="center"/>
    </xf>
    <xf numFmtId="44" fontId="18" fillId="0" borderId="8">
      <alignment horizontal="center" vertical="center"/>
    </xf>
    <xf numFmtId="170" fontId="1" fillId="0" borderId="0">
      <alignment horizontal="center" vertical="center"/>
      <protection locked="0"/>
    </xf>
    <xf numFmtId="168" fontId="1" fillId="0" borderId="0">
      <alignment horizontal="center" vertical="center"/>
      <protection locked="0"/>
    </xf>
    <xf numFmtId="39" fontId="20" fillId="0" borderId="0">
      <alignment horizontal="center" vertical="center"/>
      <protection locked="0"/>
    </xf>
    <xf numFmtId="0" fontId="20" fillId="0" borderId="0">
      <alignment horizontal="justify" vertical="center" wrapText="1"/>
      <protection locked="0"/>
    </xf>
    <xf numFmtId="173" fontId="1" fillId="0" borderId="0">
      <alignment horizontal="center" vertical="center"/>
      <protection locked="0"/>
    </xf>
    <xf numFmtId="39" fontId="18" fillId="0" borderId="8">
      <alignment horizontal="right" vertical="center"/>
    </xf>
    <xf numFmtId="173" fontId="20" fillId="0" borderId="0">
      <alignment horizontal="center" vertical="center"/>
      <protection locked="0"/>
    </xf>
    <xf numFmtId="44" fontId="24" fillId="0" borderId="10">
      <alignment horizontal="center" vertical="center"/>
    </xf>
    <xf numFmtId="0" fontId="14" fillId="0" borderId="0">
      <alignment vertical="center"/>
    </xf>
    <xf numFmtId="168" fontId="1" fillId="0" borderId="0">
      <alignment horizontal="center" vertical="center"/>
    </xf>
    <xf numFmtId="169" fontId="20" fillId="0" borderId="0">
      <alignment horizontal="center" vertical="center"/>
    </xf>
    <xf numFmtId="172" fontId="1" fillId="0" borderId="0">
      <alignment horizontal="center" vertical="center"/>
    </xf>
    <xf numFmtId="0" fontId="20" fillId="0" borderId="0">
      <alignment horizontal="center" vertical="center" wrapText="1"/>
      <protection locked="0"/>
    </xf>
    <xf numFmtId="0" fontId="20" fillId="0" borderId="0">
      <alignment horizontal="center" vertical="center" wrapText="1"/>
    </xf>
    <xf numFmtId="44" fontId="1" fillId="0" borderId="0">
      <alignment horizontal="center" vertical="center"/>
    </xf>
    <xf numFmtId="0" fontId="20" fillId="0" borderId="0" applyFill="0" applyBorder="0">
      <alignment horizontal="center" vertical="center"/>
      <protection locked="0"/>
    </xf>
    <xf numFmtId="0" fontId="23" fillId="34" borderId="0" applyProtection="0">
      <alignment horizontal="center" vertical="center"/>
    </xf>
    <xf numFmtId="170" fontId="1" fillId="0" borderId="0">
      <alignment horizontal="center" vertical="center"/>
    </xf>
  </cellStyleXfs>
  <cellXfs count="77">
    <xf numFmtId="0" fontId="0" fillId="0" borderId="0" xfId="0">
      <alignment vertical="center"/>
    </xf>
    <xf numFmtId="0" fontId="18" fillId="0" borderId="0" xfId="47">
      <alignment vertical="center"/>
    </xf>
    <xf numFmtId="0" fontId="19" fillId="0" borderId="0" xfId="9" applyProtection="1">
      <alignment vertical="center"/>
      <protection locked="0"/>
    </xf>
    <xf numFmtId="0" fontId="1" fillId="0" borderId="0" xfId="48">
      <alignment horizontal="left" vertical="center"/>
    </xf>
    <xf numFmtId="0" fontId="0" fillId="0" borderId="0" xfId="0">
      <alignment vertical="center"/>
    </xf>
    <xf numFmtId="0" fontId="19" fillId="0" borderId="0" xfId="9" applyAlignment="1" applyProtection="1">
      <alignment horizontal="right" vertical="center"/>
      <protection locked="0"/>
    </xf>
    <xf numFmtId="0" fontId="19" fillId="33" borderId="9" xfId="50" applyBorder="1">
      <alignment horizontal="center" vertical="center"/>
    </xf>
    <xf numFmtId="39" fontId="18" fillId="0" borderId="8" xfId="61">
      <alignment horizontal="right" vertical="center"/>
    </xf>
    <xf numFmtId="0" fontId="0" fillId="0" borderId="0" xfId="48" applyFont="1">
      <alignment horizontal="left" vertical="center"/>
    </xf>
    <xf numFmtId="173" fontId="20" fillId="0" borderId="0" xfId="62">
      <alignment horizontal="center" vertical="center"/>
      <protection locked="0"/>
    </xf>
    <xf numFmtId="44" fontId="24" fillId="0" borderId="10" xfId="63">
      <alignment horizontal="center" vertical="center"/>
    </xf>
    <xf numFmtId="166" fontId="18" fillId="0" borderId="8" xfId="0" applyNumberFormat="1" applyFont="1" applyFill="1" applyBorder="1" applyAlignment="1" applyProtection="1">
      <alignment horizontal="center" vertical="center"/>
    </xf>
    <xf numFmtId="0" fontId="20" fillId="0" borderId="0" xfId="59" applyFill="1">
      <alignment horizontal="justify" vertical="center" wrapText="1"/>
      <protection locked="0"/>
    </xf>
    <xf numFmtId="39" fontId="20" fillId="0" borderId="0" xfId="58" applyFill="1">
      <alignment horizontal="center" vertical="center"/>
      <protection locked="0"/>
    </xf>
    <xf numFmtId="44" fontId="20" fillId="0" borderId="0" xfId="53" applyFill="1">
      <alignment horizontal="center" vertical="center"/>
      <protection locked="0"/>
    </xf>
    <xf numFmtId="0" fontId="0" fillId="0" borderId="0" xfId="0">
      <alignment vertical="center"/>
    </xf>
    <xf numFmtId="0" fontId="14" fillId="0" borderId="0" xfId="64">
      <alignment vertical="center"/>
    </xf>
    <xf numFmtId="0" fontId="18" fillId="0" borderId="0" xfId="47" applyAlignment="1">
      <alignment horizontal="right" vertical="center"/>
    </xf>
    <xf numFmtId="169" fontId="20" fillId="0" borderId="0" xfId="66">
      <alignment horizontal="center" vertical="center"/>
    </xf>
    <xf numFmtId="39" fontId="18" fillId="0" borderId="8" xfId="0" applyNumberFormat="1" applyFont="1" applyFill="1" applyBorder="1" applyAlignment="1" applyProtection="1">
      <alignment horizontal="right" vertical="center"/>
    </xf>
    <xf numFmtId="0" fontId="18" fillId="0" borderId="0" xfId="47" applyAlignment="1">
      <alignment horizontal="center" vertical="center"/>
    </xf>
    <xf numFmtId="39" fontId="20" fillId="0" borderId="0" xfId="58">
      <alignment horizontal="center" vertical="center"/>
      <protection locked="0"/>
    </xf>
    <xf numFmtId="44" fontId="20" fillId="0" borderId="0" xfId="53">
      <alignment horizontal="center" vertical="center"/>
      <protection locked="0"/>
    </xf>
    <xf numFmtId="44" fontId="18" fillId="0" borderId="0" xfId="54">
      <alignment horizontal="center" vertical="center"/>
    </xf>
    <xf numFmtId="39" fontId="1" fillId="0" borderId="0" xfId="49">
      <alignment horizontal="center" vertical="center"/>
    </xf>
    <xf numFmtId="44" fontId="18" fillId="0" borderId="8" xfId="55">
      <alignment horizontal="center" vertical="center"/>
    </xf>
    <xf numFmtId="44" fontId="18" fillId="0" borderId="8" xfId="55" applyAlignment="1">
      <alignment horizontal="center" vertical="center"/>
    </xf>
    <xf numFmtId="44" fontId="18" fillId="0" borderId="8" xfId="55" applyAlignment="1">
      <alignment vertical="center"/>
    </xf>
    <xf numFmtId="0" fontId="0" fillId="0" borderId="0" xfId="48" applyFont="1" applyAlignment="1">
      <alignment vertical="center"/>
    </xf>
    <xf numFmtId="0" fontId="1" fillId="0" borderId="0" xfId="48" applyAlignment="1">
      <alignment vertical="center"/>
    </xf>
    <xf numFmtId="39" fontId="18" fillId="0" borderId="8" xfId="61" applyAlignment="1">
      <alignment horizontal="center" vertical="center"/>
    </xf>
    <xf numFmtId="44" fontId="18" fillId="0" borderId="0" xfId="54" applyAlignment="1">
      <alignment horizontal="center" vertical="center"/>
    </xf>
    <xf numFmtId="173" fontId="20" fillId="0" borderId="0" xfId="62" applyFill="1">
      <alignment horizontal="center" vertical="center"/>
      <protection locked="0"/>
    </xf>
    <xf numFmtId="0" fontId="19" fillId="33" borderId="7" xfId="50">
      <alignment horizontal="center" vertical="center"/>
    </xf>
    <xf numFmtId="171" fontId="1" fillId="0" borderId="0" xfId="48" applyNumberFormat="1" applyAlignment="1">
      <alignment vertical="center"/>
    </xf>
    <xf numFmtId="170" fontId="1" fillId="0" borderId="0" xfId="56" applyProtection="1">
      <alignment horizontal="center" vertical="center"/>
    </xf>
    <xf numFmtId="44" fontId="18" fillId="0" borderId="10" xfId="54" applyBorder="1">
      <alignment horizontal="center" vertical="center"/>
    </xf>
    <xf numFmtId="0" fontId="0" fillId="0" borderId="10" xfId="0" applyBorder="1">
      <alignment vertical="center"/>
    </xf>
    <xf numFmtId="44" fontId="22" fillId="0" borderId="10" xfId="54" applyFont="1" applyBorder="1">
      <alignment horizontal="center" vertical="center"/>
    </xf>
    <xf numFmtId="44" fontId="22" fillId="0" borderId="11" xfId="54" applyFont="1" applyBorder="1">
      <alignment horizontal="center" vertical="center"/>
    </xf>
    <xf numFmtId="0" fontId="0" fillId="0" borderId="0" xfId="0">
      <alignment vertical="center"/>
    </xf>
    <xf numFmtId="0" fontId="17" fillId="34" borderId="0" xfId="7">
      <alignment horizontal="left" vertical="center"/>
    </xf>
    <xf numFmtId="44" fontId="18" fillId="0" borderId="10" xfId="54" applyBorder="1" applyProtection="1">
      <alignment horizontal="center" vertical="center"/>
      <protection locked="0"/>
    </xf>
    <xf numFmtId="37" fontId="1" fillId="0" borderId="0" xfId="49" applyNumberFormat="1" applyAlignment="1">
      <alignment horizontal="left" vertical="center"/>
    </xf>
    <xf numFmtId="44" fontId="18" fillId="0" borderId="8" xfId="0" applyNumberFormat="1" applyFont="1" applyFill="1" applyBorder="1" applyAlignment="1" applyProtection="1">
      <alignment horizontal="center" vertical="center"/>
    </xf>
    <xf numFmtId="0" fontId="1" fillId="0" borderId="0" xfId="49" applyNumberFormat="1" applyAlignment="1">
      <alignment horizontal="left" vertical="center"/>
    </xf>
    <xf numFmtId="44" fontId="1" fillId="0" borderId="0" xfId="70">
      <alignment horizontal="center" vertical="center"/>
    </xf>
    <xf numFmtId="0" fontId="17" fillId="34" borderId="0" xfId="7" applyAlignment="1">
      <alignment horizontal="center" vertical="center"/>
    </xf>
    <xf numFmtId="44" fontId="20" fillId="35" borderId="0" xfId="53" applyFill="1">
      <alignment horizontal="center" vertical="center"/>
      <protection locked="0"/>
    </xf>
    <xf numFmtId="170" fontId="1" fillId="35" borderId="0" xfId="56" applyFill="1">
      <alignment horizontal="center" vertical="center"/>
      <protection locked="0"/>
    </xf>
    <xf numFmtId="168" fontId="0" fillId="0" borderId="0" xfId="57" applyFont="1" applyAlignment="1">
      <alignment horizontal="left" vertical="center"/>
      <protection locked="0"/>
    </xf>
    <xf numFmtId="168" fontId="1" fillId="0" borderId="0" xfId="65" applyAlignment="1">
      <alignment horizontal="left" vertical="center"/>
    </xf>
    <xf numFmtId="168" fontId="1" fillId="0" borderId="0" xfId="57" applyAlignment="1">
      <alignment horizontal="left" vertical="center"/>
      <protection locked="0"/>
    </xf>
    <xf numFmtId="0" fontId="19" fillId="33" borderId="7" xfId="50">
      <alignment horizontal="center" vertical="center"/>
    </xf>
    <xf numFmtId="0" fontId="18" fillId="0" borderId="14" xfId="47" applyBorder="1">
      <alignment vertical="center"/>
    </xf>
    <xf numFmtId="0" fontId="0" fillId="0" borderId="14" xfId="0" applyBorder="1">
      <alignment vertical="center"/>
    </xf>
    <xf numFmtId="44" fontId="18" fillId="0" borderId="14" xfId="54" applyBorder="1">
      <alignment horizontal="center" vertical="center"/>
    </xf>
    <xf numFmtId="0" fontId="17" fillId="34" borderId="0" xfId="7" applyBorder="1">
      <alignment horizontal="left" vertical="center"/>
    </xf>
    <xf numFmtId="0" fontId="18" fillId="0" borderId="0" xfId="47" applyBorder="1" applyAlignment="1">
      <alignment horizontal="center" vertical="center"/>
    </xf>
    <xf numFmtId="44" fontId="18" fillId="0" borderId="0" xfId="54" applyBorder="1">
      <alignment horizontal="center" vertical="center"/>
    </xf>
    <xf numFmtId="0" fontId="0" fillId="0" borderId="0" xfId="0" applyBorder="1">
      <alignment vertical="center"/>
    </xf>
    <xf numFmtId="44" fontId="18" fillId="0" borderId="8" xfId="55" applyBorder="1">
      <alignment horizontal="center" vertical="center"/>
    </xf>
    <xf numFmtId="44" fontId="22" fillId="0" borderId="0" xfId="54" applyFont="1" applyBorder="1">
      <alignment horizontal="center" vertical="center"/>
    </xf>
    <xf numFmtId="44" fontId="22" fillId="0" borderId="15" xfId="54" applyFont="1" applyBorder="1">
      <alignment horizontal="center" vertical="center"/>
    </xf>
    <xf numFmtId="168" fontId="1" fillId="0" borderId="0" xfId="65" applyAlignment="1">
      <alignment horizontal="right" vertical="center"/>
    </xf>
    <xf numFmtId="170" fontId="1" fillId="0" borderId="0" xfId="73">
      <alignment horizontal="center" vertical="center"/>
    </xf>
    <xf numFmtId="44" fontId="24" fillId="0" borderId="0" xfId="63" applyBorder="1">
      <alignment horizontal="center" vertical="center"/>
    </xf>
    <xf numFmtId="44" fontId="0" fillId="0" borderId="0" xfId="0" applyNumberFormat="1" applyBorder="1">
      <alignment vertical="center"/>
    </xf>
    <xf numFmtId="171" fontId="0" fillId="0" borderId="0" xfId="48" applyNumberFormat="1" applyFont="1" applyAlignment="1">
      <alignment vertical="center"/>
    </xf>
    <xf numFmtId="0" fontId="17" fillId="34" borderId="12" xfId="7" applyBorder="1" applyAlignment="1">
      <alignment horizontal="center" vertical="center"/>
    </xf>
    <xf numFmtId="0" fontId="17" fillId="34" borderId="0" xfId="7" applyBorder="1" applyAlignment="1">
      <alignment horizontal="center" vertical="center"/>
    </xf>
    <xf numFmtId="0" fontId="17" fillId="34" borderId="13" xfId="7" applyBorder="1" applyAlignment="1">
      <alignment horizontal="center" vertical="center"/>
    </xf>
    <xf numFmtId="0" fontId="20" fillId="0" borderId="0" xfId="59">
      <alignment horizontal="justify" vertical="center" wrapText="1"/>
      <protection locked="0"/>
    </xf>
    <xf numFmtId="0" fontId="19" fillId="33" borderId="7" xfId="50">
      <alignment horizontal="center" vertical="center"/>
    </xf>
    <xf numFmtId="0" fontId="19" fillId="33" borderId="7" xfId="50" applyAlignment="1">
      <alignment horizontal="left" vertical="center"/>
    </xf>
    <xf numFmtId="0" fontId="1" fillId="0" borderId="0" xfId="48" applyAlignment="1">
      <alignment horizontal="left" vertical="center" wrapText="1"/>
    </xf>
    <xf numFmtId="0" fontId="19" fillId="33" borderId="7" xfId="50" applyBorder="1">
      <alignment horizontal="center" vertical="center"/>
    </xf>
  </cellXfs>
  <cellStyles count="74">
    <cellStyle name="20 % - Accent1" xfId="24" builtinId="30" hidden="1"/>
    <cellStyle name="20 % - Accent2" xfId="28" builtinId="34" hidden="1"/>
    <cellStyle name="20 % - Accent3" xfId="32" builtinId="38" hidden="1"/>
    <cellStyle name="20 % - Accent4" xfId="36" builtinId="42" hidden="1"/>
    <cellStyle name="20 % - Accent5" xfId="40" builtinId="46" hidden="1"/>
    <cellStyle name="20 % - Accent6" xfId="44" builtinId="50" hidden="1"/>
    <cellStyle name="40 % - Accent1" xfId="25" builtinId="31" hidden="1"/>
    <cellStyle name="40 % - Accent2" xfId="29" builtinId="35" hidden="1"/>
    <cellStyle name="40 % - Accent3" xfId="33" builtinId="39" hidden="1"/>
    <cellStyle name="40 % - Accent4" xfId="37" builtinId="43" hidden="1"/>
    <cellStyle name="40 % - Accent5" xfId="41" builtinId="47" hidden="1"/>
    <cellStyle name="40 % - Accent6" xfId="45" builtinId="51" hidden="1"/>
    <cellStyle name="60 % - Accent1" xfId="26" builtinId="32" hidden="1"/>
    <cellStyle name="60 % - Accent2" xfId="30" builtinId="36" hidden="1"/>
    <cellStyle name="60 % - Accent3" xfId="34" builtinId="40" hidden="1"/>
    <cellStyle name="60 % - Accent4" xfId="38" builtinId="44" hidden="1"/>
    <cellStyle name="60 % - Accent5" xfId="42" builtinId="48" hidden="1"/>
    <cellStyle name="60 % - Accent6" xfId="46" builtinId="52" hidden="1"/>
    <cellStyle name="Accent1" xfId="23" builtinId="29" hidden="1"/>
    <cellStyle name="Accent2" xfId="27" builtinId="33" hidden="1"/>
    <cellStyle name="Accent3" xfId="31" builtinId="37" hidden="1"/>
    <cellStyle name="Accent4" xfId="35" builtinId="41" hidden="1"/>
    <cellStyle name="Accent5" xfId="39" builtinId="45" hidden="1"/>
    <cellStyle name="Accent6" xfId="43" builtinId="49" hidden="1"/>
    <cellStyle name="Avertissement" xfId="19" builtinId="11" hidden="1"/>
    <cellStyle name="Calcul" xfId="16" builtinId="22" hidden="1"/>
    <cellStyle name="Cellule liée" xfId="17" builtinId="24" hidden="1"/>
    <cellStyle name="Entrée" xfId="14" builtinId="20" hidden="1"/>
    <cellStyle name="Erreur" xfId="64" xr:uid="{667998A3-1DEB-418D-ACD8-FF64046A1628}"/>
    <cellStyle name="Insatisfaisant" xfId="12" builtinId="27" hidden="1"/>
    <cellStyle name="Lien hypertexte" xfId="71" builtinId="8" customBuiltin="1"/>
    <cellStyle name="Milliers" xfId="1" builtinId="3" hidden="1"/>
    <cellStyle name="Milliers [0]" xfId="2" builtinId="6" hidden="1"/>
    <cellStyle name="Monétaire" xfId="3" builtinId="4" hidden="1"/>
    <cellStyle name="Monétaire [0]" xfId="4" builtinId="7" hidden="1"/>
    <cellStyle name="Neutre" xfId="13" builtinId="28" hidden="1"/>
    <cellStyle name="Normal" xfId="0" builtinId="0" customBuiltin="1"/>
    <cellStyle name="Normal # TO V" xfId="66" xr:uid="{56FBBB4D-3585-4141-8798-3E24E93AD347}"/>
    <cellStyle name="Normal $" xfId="52" xr:uid="{6980C511-8460-4FF6-ADFE-39F84759285A}"/>
    <cellStyle name="Normal $ TO" xfId="53" xr:uid="{AD97FFC1-209D-4895-A726-ECB71E814C40}"/>
    <cellStyle name="Normal $ TO V" xfId="63" xr:uid="{C7CA4324-B30D-46AE-899B-6A382DD8FADE}"/>
    <cellStyle name="Normal $ V" xfId="70" xr:uid="{51C7E75A-8F3B-4633-B4FF-0F686CC50361}"/>
    <cellStyle name="Normal $T" xfId="54" xr:uid="{944134BB-8D4B-4292-9B48-7B4F9E65DA93}"/>
    <cellStyle name="Normal $T 2" xfId="55" xr:uid="{C8242C89-F4BC-42CF-927A-D8479CB027F7}"/>
    <cellStyle name="Normal % TO" xfId="56" xr:uid="{E2406288-58B4-475E-B1CD-A60FED8669E5}"/>
    <cellStyle name="Normal % TO V" xfId="73" xr:uid="{502EA220-8896-479D-8805-5948E440883D}"/>
    <cellStyle name="Normal Code T" xfId="60" xr:uid="{DA40B23E-A175-4B34-9211-82D67F26C3CE}"/>
    <cellStyle name="Normal CT TO" xfId="62" xr:uid="{235EC27F-D8E7-412F-89A6-B6280474BD9C}"/>
    <cellStyle name="Normal Date" xfId="57" xr:uid="{EA7DC1A2-9DEE-4819-A4C8-7DF2B7B7DB78}"/>
    <cellStyle name="Normal Date V" xfId="65" xr:uid="{485D1FA8-A459-4028-B6D6-5F59BFD77B6A}"/>
    <cellStyle name="Normal NB TO" xfId="58" xr:uid="{2BB72CAE-63A6-4023-953B-2BC025CBAF5D}"/>
    <cellStyle name="Normal NB TO V" xfId="49" xr:uid="{EF1BFFE4-A176-4802-A48B-4F079751EA04}"/>
    <cellStyle name="Normal NB V" xfId="67" xr:uid="{A9E2ED5C-12F3-4514-A15B-DE1E4468C609}"/>
    <cellStyle name="Normal NBT" xfId="61" xr:uid="{7C5CB650-6796-4F22-9B78-DE5A5D15AF65}"/>
    <cellStyle name="Normal TB" xfId="68" xr:uid="{97CB2ACC-7896-4A05-9DF1-77D7116581ED}"/>
    <cellStyle name="Normal TB TO" xfId="59" xr:uid="{EF9D3C27-9A0A-4E44-84BB-7DFDB9A54BF8}"/>
    <cellStyle name="Normal TB TO V" xfId="48" xr:uid="{8B166E4D-C816-4451-A443-D2492E5BAE18}"/>
    <cellStyle name="Normal TB V" xfId="69" xr:uid="{66572EF6-73E7-45D9-90F0-01E02FAEA1FC}"/>
    <cellStyle name="Normal TX" xfId="51" xr:uid="{E8360D71-B4C2-4FBD-82A9-B4EAA4F9824C}"/>
    <cellStyle name="Note" xfId="20" builtinId="10" hidden="1"/>
    <cellStyle name="Pourcentage" xfId="5" builtinId="5" hidden="1"/>
    <cellStyle name="Satisfaisant" xfId="11" builtinId="26" hidden="1"/>
    <cellStyle name="Sortie" xfId="15" builtinId="21" hidden="1"/>
    <cellStyle name="Texte explicatif" xfId="21" builtinId="53" hidden="1"/>
    <cellStyle name="Titre" xfId="6" builtinId="15" customBuiltin="1"/>
    <cellStyle name="Titre TB" xfId="50" xr:uid="{B1754443-4108-4711-95F7-09C1AB3F6FE8}"/>
    <cellStyle name="Titre TB 2" xfId="72" xr:uid="{D63DFF8C-D9FF-40E9-A63F-11B86EA8A744}"/>
    <cellStyle name="Titre 1" xfId="7" builtinId="16" customBuiltin="1"/>
    <cellStyle name="Titre 2" xfId="8" builtinId="17" customBuiltin="1"/>
    <cellStyle name="Titre 3" xfId="9" builtinId="18" customBuiltin="1"/>
    <cellStyle name="Titre 3 V" xfId="47" xr:uid="{F83EDD4E-F2F9-4779-8495-E6BFBF69AF2A}"/>
    <cellStyle name="Titre 4" xfId="10" builtinId="19" hidden="1"/>
    <cellStyle name="Total" xfId="22" builtinId="25" hidden="1"/>
    <cellStyle name="Vérification" xfId="18" builtinId="23" hidden="1"/>
  </cellStyles>
  <dxfs count="601">
    <dxf>
      <font>
        <b/>
        <i val="0"/>
        <strike val="0"/>
        <condense val="0"/>
        <extend val="0"/>
        <outline val="0"/>
        <shadow val="0"/>
        <u val="none"/>
        <vertAlign val="baseline"/>
        <sz val="10"/>
        <color theme="1"/>
        <name val="Arial"/>
        <family val="2"/>
        <scheme val="none"/>
      </font>
      <numFmt numFmtId="34" formatCode="_ * #,##0.00_)\ &quot;$&quot;_ ;_ * \(#,##0.00\)\ &quot;$&quot;_ ;_ * &quot;-&quot;??_)\ &quot;$&quot;_ ;_ @_ "/>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34" formatCode="_ * #,##0.00_)\ &quot;$&quot;_ ;_ * \(#,##0.00\)\ &quot;$&quot;_ ;_ * &quot;-&quot;??_)\ &quot;$&quot;_ ;_ @_ "/>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34" formatCode="_ * #,##0.00_)\ &quot;$&quot;_ ;_ * \(#,##0.00\)\ &quot;$&quot;_ ;_ * &quot;-&quot;??_)\ &quot;$&quot;_ ;_ @_ "/>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34" formatCode="_ * #,##0.00_)\ &quot;$&quot;_ ;_ * \(#,##0.00\)\ &quot;$&quot;_ ;_ * &quot;-&quot;??_)\ &quot;$&quot;_ ;_ @_ "/>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34" formatCode="_ * #,##0.00_)\ &quot;$&quot;_ ;_ * \(#,##0.00\)\ &quot;$&quot;_ ;_ * &quot;-&quot;??_)\ &quot;$&quot;_ ;_ @_ "/>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34" formatCode="_ * #,##0.00_)\ &quot;$&quot;_ ;_ * \(#,##0.00\)\ &quot;$&quot;_ ;_ * &quot;-&quot;??_)\ &quot;$&quot;_ ;_ @_ "/>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ill>
        <patternFill patternType="none">
          <fgColor indexed="64"/>
          <bgColor indexed="65"/>
        </patternFill>
      </fill>
    </dxf>
    <dxf>
      <border outline="0">
        <top style="thin">
          <color auto="1"/>
        </top>
      </border>
    </dxf>
    <dxf>
      <border outline="0">
        <bottom style="thin">
          <color auto="1"/>
        </bottom>
      </border>
    </dxf>
    <dxf>
      <border outline="0">
        <top style="thin">
          <color auto="1"/>
        </top>
      </border>
    </dxf>
    <dxf>
      <border outline="0">
        <bottom style="thin">
          <color auto="1"/>
        </bottom>
      </border>
    </dxf>
    <dxf>
      <border diagonalUp="0" diagonalDown="0" outline="0">
        <left style="thin">
          <color auto="1"/>
        </left>
        <right style="thin">
          <color auto="1"/>
        </right>
        <top/>
        <bottom/>
      </border>
    </dxf>
    <dxf>
      <border outline="0">
        <top style="thin">
          <color auto="1"/>
        </top>
      </border>
    </dxf>
    <dxf>
      <border outline="0">
        <bottom style="thin">
          <color auto="1"/>
        </bottom>
      </border>
    </dxf>
    <dxf>
      <border diagonalUp="0" diagonalDown="0" outline="0">
        <left style="thin">
          <color auto="1"/>
        </left>
        <right style="thin">
          <color auto="1"/>
        </right>
        <top/>
        <bottom/>
      </border>
    </dxf>
    <dxf>
      <font>
        <b/>
        <i val="0"/>
        <strike val="0"/>
        <condense val="0"/>
        <extend val="0"/>
        <outline val="0"/>
        <shadow val="0"/>
        <u val="none"/>
        <vertAlign val="baseline"/>
        <sz val="10"/>
        <color theme="1"/>
        <name val="Arial"/>
        <family val="2"/>
        <scheme val="none"/>
      </font>
      <numFmt numFmtId="34" formatCode="_ * #,##0.00_)\ &quot;$&quot;_ ;_ * \(#,##0.00\)\ &quot;$&quot;_ ;_ * &quot;-&quot;??_)\ &quot;$&quot;_ ;_ @_ "/>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34" formatCode="_ * #,##0.00_)\ &quot;$&quot;_ ;_ * \(#,##0.00\)\ &quot;$&quot;_ ;_ * &quot;-&quot;??_)\ &quot;$&quot;_ ;_ @_ "/>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34" formatCode="_ * #,##0.00_)\ &quot;$&quot;_ ;_ * \(#,##0.00\)\ &quot;$&quot;_ ;_ * &quot;-&quot;??_)\ &quot;$&quot;_ ;_ @_ "/>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border outline="0">
        <top style="thin">
          <color auto="1"/>
        </top>
      </border>
    </dxf>
    <dxf>
      <border outline="0">
        <bottom style="thin">
          <color auto="1"/>
        </bottom>
      </border>
    </dxf>
    <dxf>
      <border diagonalUp="0" diagonalDown="0" outline="0">
        <left style="thin">
          <color auto="1"/>
        </left>
        <right style="thin">
          <color auto="1"/>
        </right>
        <top/>
        <bottom/>
      </border>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border outline="0">
        <top style="thin">
          <color auto="1"/>
        </top>
      </border>
    </dxf>
    <dxf>
      <border outline="0">
        <bottom style="thin">
          <color auto="1"/>
        </bottom>
      </border>
    </dxf>
    <dxf>
      <border diagonalUp="0" diagonalDown="0" outline="0">
        <left style="thin">
          <color auto="1"/>
        </left>
        <right style="thin">
          <color auto="1"/>
        </right>
        <top/>
        <bottom/>
      </border>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border outline="0">
        <top style="thin">
          <color auto="1"/>
        </top>
      </border>
    </dxf>
    <dxf>
      <border outline="0">
        <bottom style="thin">
          <color auto="1"/>
        </bottom>
      </border>
    </dxf>
    <dxf>
      <border diagonalUp="0" diagonalDown="0" outline="0">
        <left style="thin">
          <color auto="1"/>
        </left>
        <right style="thin">
          <color auto="1"/>
        </right>
        <top/>
        <bottom/>
      </border>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border outline="0">
        <top style="thin">
          <color auto="1"/>
        </top>
      </border>
    </dxf>
    <dxf>
      <border outline="0">
        <bottom style="thin">
          <color auto="1"/>
        </bottom>
      </border>
    </dxf>
    <dxf>
      <border diagonalUp="0" diagonalDown="0" outline="0">
        <left style="thin">
          <color auto="1"/>
        </left>
        <right style="thin">
          <color auto="1"/>
        </right>
        <top/>
        <bottom/>
      </border>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border outline="0">
        <top style="thin">
          <color auto="1"/>
        </top>
      </border>
    </dxf>
    <dxf>
      <border outline="0">
        <bottom style="thin">
          <color auto="1"/>
        </bottom>
      </border>
    </dxf>
    <dxf>
      <border diagonalUp="0" diagonalDown="0" outline="0">
        <left style="thin">
          <color auto="1"/>
        </left>
        <right style="thin">
          <color auto="1"/>
        </right>
        <top/>
        <bottom/>
      </border>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border outline="0">
        <top style="thin">
          <color auto="1"/>
        </top>
      </border>
    </dxf>
    <dxf>
      <border outline="0">
        <bottom style="thin">
          <color auto="1"/>
        </bottom>
      </border>
    </dxf>
    <dxf>
      <border diagonalUp="0" diagonalDown="0" outline="0">
        <left style="thin">
          <color auto="1"/>
        </left>
        <right style="thin">
          <color auto="1"/>
        </right>
        <top/>
        <bottom/>
      </border>
    </dxf>
    <dxf>
      <font>
        <b/>
        <i val="0"/>
        <strike val="0"/>
        <condense val="0"/>
        <extend val="0"/>
        <outline val="0"/>
        <shadow val="0"/>
        <u val="none"/>
        <vertAlign val="baseline"/>
        <sz val="10"/>
        <color theme="1"/>
        <name val="Arial"/>
        <family val="2"/>
        <scheme val="none"/>
      </font>
      <numFmt numFmtId="34" formatCode="_ * #,##0.00_)\ &quot;$&quot;_ ;_ * \(#,##0.00\)\ &quot;$&quot;_ ;_ * &quot;-&quot;??_)\ &quot;$&quot;_ ;_ @_ "/>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34" formatCode="_ * #,##0.00_)\ &quot;$&quot;_ ;_ * \(#,##0.00\)\ &quot;$&quot;_ ;_ * &quot;-&quot;??_)\ &quot;$&quot;_ ;_ @_ "/>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34" formatCode="_ * #,##0.00_)\ &quot;$&quot;_ ;_ * \(#,##0.00\)\ &quot;$&quot;_ ;_ * &quot;-&quot;??_)\ &quot;$&quot;_ ;_ @_ "/>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border outline="0">
        <top style="thin">
          <color auto="1"/>
        </top>
      </border>
    </dxf>
    <dxf>
      <border outline="0">
        <bottom style="thin">
          <color auto="1"/>
        </bottom>
      </border>
    </dxf>
    <dxf>
      <border diagonalUp="0" diagonalDown="0" outline="0">
        <left style="thin">
          <color auto="1"/>
        </left>
        <right style="thin">
          <color auto="1"/>
        </right>
        <top/>
        <bottom/>
      </border>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border outline="0">
        <top style="thin">
          <color auto="1"/>
        </top>
      </border>
    </dxf>
    <dxf>
      <border outline="0">
        <bottom style="thin">
          <color auto="1"/>
        </bottom>
      </border>
    </dxf>
    <dxf>
      <border diagonalUp="0" diagonalDown="0" outline="0">
        <left style="thin">
          <color auto="1"/>
        </left>
        <right style="thin">
          <color auto="1"/>
        </right>
        <top/>
        <bottom/>
      </border>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border outline="0">
        <top style="thin">
          <color auto="1"/>
        </top>
      </border>
    </dxf>
    <dxf>
      <border outline="0">
        <bottom style="thin">
          <color auto="1"/>
        </bottom>
      </border>
    </dxf>
    <dxf>
      <border diagonalUp="0" diagonalDown="0" outline="0">
        <left style="thin">
          <color auto="1"/>
        </left>
        <right style="thin">
          <color auto="1"/>
        </right>
        <top/>
        <bottom/>
      </border>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border outline="0">
        <top style="thin">
          <color auto="1"/>
        </top>
      </border>
    </dxf>
    <dxf>
      <border outline="0">
        <bottom style="thin">
          <color auto="1"/>
        </bottom>
      </border>
    </dxf>
    <dxf>
      <border diagonalUp="0" diagonalDown="0" outline="0">
        <left style="thin">
          <color auto="1"/>
        </left>
        <right style="thin">
          <color auto="1"/>
        </right>
        <top/>
        <bottom/>
      </border>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border outline="0">
        <top style="thin">
          <color auto="1"/>
        </top>
      </border>
    </dxf>
    <dxf>
      <border outline="0">
        <bottom style="thin">
          <color auto="1"/>
        </bottom>
      </border>
    </dxf>
    <dxf>
      <border diagonalUp="0" diagonalDown="0" outline="0">
        <left style="thin">
          <color auto="1"/>
        </left>
        <right style="thin">
          <color auto="1"/>
        </right>
        <top/>
        <bottom/>
      </border>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border outline="0">
        <top style="thin">
          <color auto="1"/>
        </top>
      </border>
    </dxf>
    <dxf>
      <border outline="0">
        <bottom style="thin">
          <color auto="1"/>
        </bottom>
      </border>
    </dxf>
    <dxf>
      <border diagonalUp="0" diagonalDown="0" outline="0">
        <left style="thin">
          <color auto="1"/>
        </left>
        <right style="thin">
          <color auto="1"/>
        </right>
        <top/>
        <bottom/>
      </border>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border outline="0">
        <top style="thin">
          <color auto="1"/>
        </top>
      </border>
    </dxf>
    <dxf>
      <border outline="0">
        <bottom style="thin">
          <color auto="1"/>
        </bottom>
      </border>
    </dxf>
    <dxf>
      <border diagonalUp="0" diagonalDown="0" outline="0">
        <left style="thin">
          <color auto="1"/>
        </left>
        <right style="thin">
          <color auto="1"/>
        </right>
        <top/>
        <bottom/>
      </border>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border outline="0">
        <top style="thin">
          <color auto="1"/>
        </top>
      </border>
    </dxf>
    <dxf>
      <border outline="0">
        <bottom style="thin">
          <color auto="1"/>
        </bottom>
      </border>
    </dxf>
    <dxf>
      <border diagonalUp="0" diagonalDown="0" outline="0">
        <left style="thin">
          <color auto="1"/>
        </left>
        <right style="thin">
          <color auto="1"/>
        </right>
        <top/>
        <bottom/>
      </border>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border outline="0">
        <top style="thin">
          <color auto="1"/>
        </top>
      </border>
    </dxf>
    <dxf>
      <border outline="0">
        <bottom style="thin">
          <color auto="1"/>
        </bottom>
      </border>
    </dxf>
    <dxf>
      <border diagonalUp="0" diagonalDown="0" outline="0">
        <left style="thin">
          <color auto="1"/>
        </left>
        <right style="thin">
          <color auto="1"/>
        </right>
        <top/>
        <bottom/>
      </border>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border outline="0">
        <top style="thin">
          <color auto="1"/>
        </top>
      </border>
    </dxf>
    <dxf>
      <border outline="0">
        <bottom style="thin">
          <color auto="1"/>
        </bottom>
      </border>
    </dxf>
    <dxf>
      <border diagonalUp="0" diagonalDown="0" outline="0">
        <left style="thin">
          <color auto="1"/>
        </left>
        <right style="thin">
          <color auto="1"/>
        </right>
        <top/>
        <bottom/>
      </border>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border outline="0">
        <top style="thin">
          <color auto="1"/>
        </top>
      </border>
    </dxf>
    <dxf>
      <border outline="0">
        <bottom style="thin">
          <color auto="1"/>
        </bottom>
      </border>
    </dxf>
    <dxf>
      <border diagonalUp="0" diagonalDown="0" outline="0">
        <left style="thin">
          <color auto="1"/>
        </left>
        <right style="thin">
          <color auto="1"/>
        </right>
        <top/>
        <bottom/>
      </border>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border outline="0">
        <top style="thin">
          <color auto="1"/>
        </top>
      </border>
    </dxf>
    <dxf>
      <border outline="0">
        <bottom style="thin">
          <color auto="1"/>
        </bottom>
      </border>
    </dxf>
    <dxf>
      <border diagonalUp="0" diagonalDown="0" outline="0">
        <left style="thin">
          <color auto="1"/>
        </left>
        <right style="thin">
          <color auto="1"/>
        </right>
        <top/>
        <bottom/>
      </border>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border outline="0">
        <top style="thin">
          <color auto="1"/>
        </top>
      </border>
    </dxf>
    <dxf>
      <border outline="0">
        <bottom style="thin">
          <color auto="1"/>
        </bottom>
      </border>
    </dxf>
    <dxf>
      <border diagonalUp="0" diagonalDown="0" outline="0">
        <left style="thin">
          <color auto="1"/>
        </left>
        <right style="thin">
          <color auto="1"/>
        </right>
        <top/>
        <bottom/>
      </border>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border outline="0">
        <top style="thin">
          <color auto="1"/>
        </top>
      </border>
    </dxf>
    <dxf>
      <border outline="0">
        <bottom style="thin">
          <color auto="1"/>
        </bottom>
      </border>
    </dxf>
    <dxf>
      <border diagonalUp="0" diagonalDown="0" outline="0">
        <left style="thin">
          <color auto="1"/>
        </left>
        <right style="thin">
          <color auto="1"/>
        </right>
        <top/>
        <bottom/>
      </border>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border outline="0">
        <top style="thin">
          <color auto="1"/>
        </top>
      </border>
    </dxf>
    <dxf>
      <border outline="0">
        <bottom style="thin">
          <color auto="1"/>
        </bottom>
      </border>
    </dxf>
    <dxf>
      <border diagonalUp="0" diagonalDown="0" outline="0">
        <left style="thin">
          <color auto="1"/>
        </left>
        <right style="thin">
          <color auto="1"/>
        </right>
        <top/>
        <bottom/>
      </border>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border outline="0">
        <top style="thin">
          <color auto="1"/>
        </top>
      </border>
    </dxf>
    <dxf>
      <border outline="0">
        <bottom style="thin">
          <color auto="1"/>
        </bottom>
      </border>
    </dxf>
    <dxf>
      <border diagonalUp="0" diagonalDown="0" outline="0">
        <left style="thin">
          <color auto="1"/>
        </left>
        <right style="thin">
          <color auto="1"/>
        </right>
        <top/>
        <bottom/>
      </border>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border outline="0">
        <top style="thin">
          <color auto="1"/>
        </top>
      </border>
    </dxf>
    <dxf>
      <border outline="0">
        <bottom style="thin">
          <color auto="1"/>
        </bottom>
      </border>
    </dxf>
    <dxf>
      <border diagonalUp="0" diagonalDown="0" outline="0">
        <left style="thin">
          <color auto="1"/>
        </left>
        <right style="thin">
          <color auto="1"/>
        </right>
        <top/>
        <bottom/>
      </border>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border outline="0">
        <top style="thin">
          <color auto="1"/>
        </top>
      </border>
    </dxf>
    <dxf>
      <border outline="0">
        <bottom style="thin">
          <color auto="1"/>
        </bottom>
      </border>
    </dxf>
    <dxf>
      <border diagonalUp="0" diagonalDown="0" outline="0">
        <left style="thin">
          <color auto="1"/>
        </left>
        <right style="thin">
          <color auto="1"/>
        </right>
        <top/>
        <bottom/>
      </border>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border outline="0">
        <top style="thin">
          <color auto="1"/>
        </top>
      </border>
    </dxf>
    <dxf>
      <border outline="0">
        <bottom style="thin">
          <color auto="1"/>
        </bottom>
      </border>
    </dxf>
    <dxf>
      <border diagonalUp="0" diagonalDown="0" outline="0">
        <left style="thin">
          <color auto="1"/>
        </left>
        <right style="thin">
          <color auto="1"/>
        </right>
        <top/>
        <bottom/>
      </border>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border outline="0">
        <top style="thin">
          <color auto="1"/>
        </top>
      </border>
    </dxf>
    <dxf>
      <border outline="0">
        <bottom style="thin">
          <color auto="1"/>
        </bottom>
      </border>
    </dxf>
    <dxf>
      <border diagonalUp="0" diagonalDown="0" outline="0">
        <left style="thin">
          <color auto="1"/>
        </left>
        <right style="thin">
          <color auto="1"/>
        </right>
        <top/>
        <bottom/>
      </border>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border outline="0">
        <top style="thin">
          <color auto="1"/>
        </top>
      </border>
    </dxf>
    <dxf>
      <border outline="0">
        <bottom style="thin">
          <color auto="1"/>
        </bottom>
      </border>
    </dxf>
    <dxf>
      <border diagonalUp="0" diagonalDown="0" outline="0">
        <left style="thin">
          <color auto="1"/>
        </left>
        <right style="thin">
          <color auto="1"/>
        </right>
        <top/>
        <bottom/>
      </border>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border outline="0">
        <top style="thin">
          <color auto="1"/>
        </top>
      </border>
    </dxf>
    <dxf>
      <border outline="0">
        <bottom style="thin">
          <color auto="1"/>
        </bottom>
      </border>
    </dxf>
    <dxf>
      <border diagonalUp="0" diagonalDown="0" outline="0">
        <left style="thin">
          <color auto="1"/>
        </left>
        <right style="thin">
          <color auto="1"/>
        </right>
        <top/>
        <bottom/>
      </border>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border outline="0">
        <top style="thin">
          <color auto="1"/>
        </top>
      </border>
    </dxf>
    <dxf>
      <border outline="0">
        <bottom style="thin">
          <color auto="1"/>
        </bottom>
      </border>
    </dxf>
    <dxf>
      <border diagonalUp="0" diagonalDown="0" outline="0">
        <left style="thin">
          <color auto="1"/>
        </left>
        <right style="thin">
          <color auto="1"/>
        </right>
        <top/>
        <bottom/>
      </border>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border outline="0">
        <top style="thin">
          <color auto="1"/>
        </top>
      </border>
    </dxf>
    <dxf>
      <border outline="0">
        <bottom style="thin">
          <color auto="1"/>
        </bottom>
      </border>
    </dxf>
    <dxf>
      <border diagonalUp="0" diagonalDown="0" outline="0">
        <left style="thin">
          <color auto="1"/>
        </left>
        <right style="thin">
          <color auto="1"/>
        </right>
        <top/>
        <bottom/>
      </border>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border outline="0">
        <top style="thin">
          <color auto="1"/>
        </top>
      </border>
    </dxf>
    <dxf>
      <border outline="0">
        <bottom style="thin">
          <color auto="1"/>
        </bottom>
      </border>
    </dxf>
    <dxf>
      <border diagonalUp="0" diagonalDown="0" outline="0">
        <left style="thin">
          <color auto="1"/>
        </left>
        <right style="thin">
          <color auto="1"/>
        </right>
        <top/>
        <bottom/>
      </border>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border outline="0">
        <top style="thin">
          <color auto="1"/>
        </top>
      </border>
    </dxf>
    <dxf>
      <border outline="0">
        <bottom style="thin">
          <color auto="1"/>
        </bottom>
      </border>
    </dxf>
    <dxf>
      <border diagonalUp="0" diagonalDown="0" outline="0">
        <left style="thin">
          <color auto="1"/>
        </left>
        <right style="thin">
          <color auto="1"/>
        </right>
        <top/>
        <bottom/>
      </border>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border outline="0">
        <top style="thin">
          <color auto="1"/>
        </top>
      </border>
    </dxf>
    <dxf>
      <border outline="0">
        <bottom style="thin">
          <color auto="1"/>
        </bottom>
      </border>
    </dxf>
    <dxf>
      <border diagonalUp="0" diagonalDown="0" outline="0">
        <left style="thin">
          <color auto="1"/>
        </left>
        <right style="thin">
          <color auto="1"/>
        </right>
        <top/>
        <bottom/>
      </border>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border outline="0">
        <top style="thin">
          <color auto="1"/>
        </top>
      </border>
    </dxf>
    <dxf>
      <border outline="0">
        <bottom style="thin">
          <color auto="1"/>
        </bottom>
      </border>
    </dxf>
    <dxf>
      <border diagonalUp="0" diagonalDown="0" outline="0">
        <left style="thin">
          <color auto="1"/>
        </left>
        <right style="thin">
          <color auto="1"/>
        </right>
        <top/>
        <bottom/>
      </border>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border outline="0">
        <top style="thin">
          <color auto="1"/>
        </top>
      </border>
    </dxf>
    <dxf>
      <border outline="0">
        <bottom style="thin">
          <color auto="1"/>
        </bottom>
      </border>
    </dxf>
    <dxf>
      <border diagonalUp="0" diagonalDown="0" outline="0">
        <left style="thin">
          <color auto="1"/>
        </left>
        <right style="thin">
          <color auto="1"/>
        </right>
        <top/>
        <bottom/>
      </border>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border outline="0">
        <top style="thin">
          <color auto="1"/>
        </top>
      </border>
    </dxf>
    <dxf>
      <border outline="0">
        <bottom style="thin">
          <color auto="1"/>
        </bottom>
      </border>
    </dxf>
    <dxf>
      <border diagonalUp="0" diagonalDown="0" outline="0">
        <left style="thin">
          <color auto="1"/>
        </left>
        <right style="thin">
          <color auto="1"/>
        </right>
        <top/>
        <bottom/>
      </border>
    </dxf>
    <dxf>
      <font>
        <b/>
        <i val="0"/>
        <strike val="0"/>
        <condense val="0"/>
        <extend val="0"/>
        <outline val="0"/>
        <shadow val="0"/>
        <u val="none"/>
        <vertAlign val="baseline"/>
        <sz val="10"/>
        <color theme="1"/>
        <name val="Arial"/>
        <family val="2"/>
        <scheme val="none"/>
      </font>
      <numFmt numFmtId="34" formatCode="_ * #,##0.00_)\ &quot;$&quot;_ ;_ * \(#,##0.00\)\ &quot;$&quot;_ ;_ * &quot;-&quot;??_)\ &quot;$&quot;_ ;_ @_ "/>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34" formatCode="_ * #,##0.00_)\ &quot;$&quot;_ ;_ * \(#,##0.00\)\ &quot;$&quot;_ ;_ * &quot;-&quot;??_)\ &quot;$&quot;_ ;_ @_ "/>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34" formatCode="_ * #,##0.00_)\ &quot;$&quot;_ ;_ * \(#,##0.00\)\ &quot;$&quot;_ ;_ * &quot;-&quot;??_)\ &quot;$&quot;_ ;_ @_ "/>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border outline="0">
        <top style="thin">
          <color auto="1"/>
        </top>
      </border>
    </dxf>
    <dxf>
      <border outline="0">
        <bottom style="thin">
          <color auto="1"/>
        </bottom>
      </border>
    </dxf>
    <dxf>
      <border diagonalUp="0" diagonalDown="0" outline="0">
        <left style="thin">
          <color auto="1"/>
        </left>
        <right style="thin">
          <color auto="1"/>
        </right>
        <top/>
        <bottom/>
      </border>
    </dxf>
    <dxf>
      <font>
        <b/>
        <i val="0"/>
        <strike val="0"/>
        <condense val="0"/>
        <extend val="0"/>
        <outline val="0"/>
        <shadow val="0"/>
        <u val="none"/>
        <vertAlign val="baseline"/>
        <sz val="10"/>
        <color theme="1"/>
        <name val="Arial"/>
        <family val="2"/>
        <scheme val="none"/>
      </font>
      <numFmt numFmtId="34" formatCode="_ * #,##0.00_)\ &quot;$&quot;_ ;_ * \(#,##0.00\)\ &quot;$&quot;_ ;_ * &quot;-&quot;??_)\ &quot;$&quot;_ ;_ @_ "/>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34" formatCode="_ * #,##0.00_)\ &quot;$&quot;_ ;_ * \(#,##0.00\)\ &quot;$&quot;_ ;_ * &quot;-&quot;??_)\ &quot;$&quot;_ ;_ @_ "/>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34" formatCode="_ * #,##0.00_)\ &quot;$&quot;_ ;_ * \(#,##0.00\)\ &quot;$&quot;_ ;_ * &quot;-&quot;??_)\ &quot;$&quot;_ ;_ @_ "/>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border outline="0">
        <top style="double">
          <color auto="1"/>
        </top>
      </border>
    </dxf>
    <dxf>
      <border outline="0">
        <top style="thin">
          <color auto="1"/>
        </top>
      </border>
    </dxf>
    <dxf>
      <border outline="0">
        <bottom style="thin">
          <color auto="1"/>
        </bottom>
      </border>
    </dxf>
    <dxf>
      <border diagonalUp="0" diagonalDown="0" outline="0">
        <left style="thin">
          <color auto="1"/>
        </left>
        <right style="thin">
          <color auto="1"/>
        </right>
        <top/>
        <bottom/>
      </border>
    </dxf>
    <dxf>
      <font>
        <b/>
        <i val="0"/>
        <strike val="0"/>
        <condense val="0"/>
        <extend val="0"/>
        <outline val="0"/>
        <shadow val="0"/>
        <u val="none"/>
        <vertAlign val="baseline"/>
        <sz val="10"/>
        <color theme="1"/>
        <name val="Arial"/>
        <family val="2"/>
        <scheme val="none"/>
      </font>
      <numFmt numFmtId="34" formatCode="_ * #,##0.00_)\ &quot;$&quot;_ ;_ * \(#,##0.00\)\ &quot;$&quot;_ ;_ * &quot;-&quot;??_)\ &quot;$&quot;_ ;_ @_ "/>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34" formatCode="_ * #,##0.00_)\ &quot;$&quot;_ ;_ * \(#,##0.00\)\ &quot;$&quot;_ ;_ * &quot;-&quot;??_)\ &quot;$&quot;_ ;_ @_ "/>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34" formatCode="_ * #,##0.00_)\ &quot;$&quot;_ ;_ * \(#,##0.00\)\ &quot;$&quot;_ ;_ * &quot;-&quot;??_)\ &quot;$&quot;_ ;_ @_ "/>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7" formatCode="#,##0.00_);\(#,##0.00\)"/>
      <fill>
        <patternFill patternType="none">
          <fgColor indexed="64"/>
          <bgColor indexed="65"/>
        </patternFill>
      </fill>
      <alignment horizontal="right" vertical="center" textRotation="0" wrapText="0" indent="0" justifyLastLine="0" shrinkToFit="0" readingOrder="0"/>
      <border diagonalUp="0" diagonalDown="0" outline="0">
        <left/>
        <right/>
        <top style="double">
          <color auto="1"/>
        </top>
        <bottom style="thin">
          <color auto="1"/>
        </bottom>
      </border>
      <protection locked="1" hidden="0"/>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font>
        <b/>
        <i val="0"/>
        <strike val="0"/>
        <condense val="0"/>
        <extend val="0"/>
        <outline val="0"/>
        <shadow val="0"/>
        <u val="none"/>
        <vertAlign val="baseline"/>
        <sz val="10"/>
        <color theme="1"/>
        <name val="Arial"/>
        <family val="2"/>
        <scheme val="none"/>
      </font>
      <numFmt numFmtId="166" formatCode="_(&quot;$&quot;* #,##0.00_);_(&quot;$&quot;* \(#,##0.00\);_(&quot;$&quot;* &quot;-&quot;??_);_(@_)"/>
      <fill>
        <patternFill patternType="none">
          <fgColor indexed="64"/>
          <bgColor indexed="65"/>
        </patternFill>
      </fill>
      <alignment horizontal="center" vertical="center" textRotation="0" wrapText="0" indent="0" justifyLastLine="0" shrinkToFit="0" readingOrder="0"/>
      <border diagonalUp="0" diagonalDown="0" outline="0">
        <left/>
        <right/>
        <top style="double">
          <color auto="1"/>
        </top>
        <bottom style="thin">
          <color auto="1"/>
        </bottom>
      </border>
      <protection locked="1" hidden="0"/>
    </dxf>
    <dxf>
      <border outline="0">
        <top style="thin">
          <color auto="1"/>
        </top>
      </border>
    </dxf>
    <dxf>
      <border outline="0">
        <bottom style="thin">
          <color auto="1"/>
        </bottom>
      </border>
    </dxf>
    <dxf>
      <border diagonalUp="0" diagonalDown="0" outline="0">
        <left style="thin">
          <color auto="1"/>
        </left>
        <right style="thin">
          <color auto="1"/>
        </right>
        <top/>
        <bottom/>
      </border>
    </dxf>
    <dxf>
      <font>
        <color auto="1"/>
      </font>
      <fill>
        <patternFill patternType="solid">
          <bgColor rgb="FFFFFFCC"/>
        </patternFill>
      </fill>
    </dxf>
    <dxf>
      <font>
        <b/>
        <i val="0"/>
      </font>
      <fill>
        <patternFill>
          <bgColor theme="3" tint="0.79998168889431442"/>
        </patternFill>
      </fill>
    </dxf>
    <dxf>
      <font>
        <color theme="0"/>
      </font>
      <fill>
        <patternFill patternType="solid">
          <fgColor auto="1"/>
          <bgColor rgb="FFFF6464"/>
        </patternFill>
      </fill>
    </dxf>
  </dxfs>
  <tableStyles count="0" defaultTableStyle="TableStyleMedium2" defaultPivotStyle="PivotStyleLight16"/>
  <colors>
    <mruColors>
      <color rgb="FFFFFFCC"/>
      <color rgb="FFFF8C8C"/>
      <color rgb="FFFF6464"/>
      <color rgb="FF323E47"/>
      <color rgb="FFFFA0A0"/>
      <color rgb="FFFFFFB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2.svg"/><Relationship Id="rId1" Type="http://schemas.openxmlformats.org/officeDocument/2006/relationships/image" Target="../media/image1.png"/><Relationship Id="rId4" Type="http://schemas.openxmlformats.org/officeDocument/2006/relationships/image" Target="../media/image4.svg"/></Relationships>
</file>

<file path=xl/drawings/_rels/drawing2.xml.rels><?xml version="1.0" encoding="UTF-8" standalone="yes"?>
<Relationships xmlns="http://schemas.openxmlformats.org/package/2006/relationships"><Relationship Id="rId2" Type="http://schemas.openxmlformats.org/officeDocument/2006/relationships/image" Target="../media/image4.svg"/><Relationship Id="rId1" Type="http://schemas.openxmlformats.org/officeDocument/2006/relationships/image" Target="../media/image5.png"/></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59</xdr:row>
      <xdr:rowOff>81375</xdr:rowOff>
    </xdr:from>
    <xdr:to>
      <xdr:col>4</xdr:col>
      <xdr:colOff>253575</xdr:colOff>
      <xdr:row>61</xdr:row>
      <xdr:rowOff>0</xdr:rowOff>
    </xdr:to>
    <xdr:sp macro="[0]!Ajouter_01" textlink="">
      <xdr:nvSpPr>
        <xdr:cNvPr id="11" name="Rectangle : coins arrondis 10">
          <a:extLst>
            <a:ext uri="{FF2B5EF4-FFF2-40B4-BE49-F238E27FC236}">
              <a16:creationId xmlns:a16="http://schemas.microsoft.com/office/drawing/2014/main" id="{00000000-0008-0000-0000-00000B000000}"/>
            </a:ext>
          </a:extLst>
        </xdr:cNvPr>
        <xdr:cNvSpPr/>
      </xdr:nvSpPr>
      <xdr:spPr>
        <a:xfrm>
          <a:off x="3514725" y="9654000"/>
          <a:ext cx="1758525" cy="252000"/>
        </a:xfrm>
        <a:prstGeom prst="roundRect">
          <a:avLst>
            <a:gd name="adj" fmla="val 50000"/>
          </a:avLst>
        </a:prstGeom>
        <a:solidFill>
          <a:srgbClr val="00B050"/>
        </a:solidFill>
        <a:ln>
          <a:solidFill>
            <a:schemeClr val="bg1"/>
          </a:solidFill>
        </a:ln>
      </xdr:spPr>
      <xdr:style>
        <a:lnRef idx="0">
          <a:scrgbClr r="0" g="0" b="0"/>
        </a:lnRef>
        <a:fillRef idx="0">
          <a:scrgbClr r="0" g="0" b="0"/>
        </a:fillRef>
        <a:effectRef idx="0">
          <a:scrgbClr r="0" g="0" b="0"/>
        </a:effectRef>
        <a:fontRef idx="minor">
          <a:schemeClr val="lt1"/>
        </a:fontRef>
      </xdr:style>
      <xdr:txBody>
        <a:bodyPr vertOverflow="clip" horzOverflow="clip" rtlCol="0" anchor="ctr"/>
        <a:lstStyle/>
        <a:p>
          <a:pPr algn="l"/>
          <a:r>
            <a:rPr lang="en-CA" sz="1000" b="1">
              <a:latin typeface="Arial" panose="020B0604020202020204" pitchFamily="34" charset="0"/>
              <a:cs typeface="Arial" panose="020B0604020202020204" pitchFamily="34" charset="0"/>
            </a:rPr>
            <a:t>AJOUTER UN ITEM</a:t>
          </a:r>
        </a:p>
      </xdr:txBody>
    </xdr:sp>
    <xdr:clientData fPrintsWithSheet="0"/>
  </xdr:twoCellAnchor>
  <xdr:twoCellAnchor editAs="oneCell">
    <xdr:from>
      <xdr:col>4</xdr:col>
      <xdr:colOff>0</xdr:colOff>
      <xdr:row>59</xdr:row>
      <xdr:rowOff>80995</xdr:rowOff>
    </xdr:from>
    <xdr:to>
      <xdr:col>4</xdr:col>
      <xdr:colOff>253575</xdr:colOff>
      <xdr:row>61</xdr:row>
      <xdr:rowOff>1352</xdr:rowOff>
    </xdr:to>
    <xdr:sp macro="[0]!Ajouter_01" textlink="">
      <xdr:nvSpPr>
        <xdr:cNvPr id="10" name="Graphique 8" descr="Badge à suivre avec un remplissage uni">
          <a:extLst>
            <a:ext uri="{FF2B5EF4-FFF2-40B4-BE49-F238E27FC236}">
              <a16:creationId xmlns:a16="http://schemas.microsoft.com/office/drawing/2014/main" id="{00000000-0008-0000-0000-00000A000000}"/>
            </a:ext>
          </a:extLst>
        </xdr:cNvPr>
        <xdr:cNvSpPr>
          <a:spLocks noChangeAspect="1"/>
        </xdr:cNvSpPr>
      </xdr:nvSpPr>
      <xdr:spPr>
        <a:xfrm>
          <a:off x="5019675" y="9653620"/>
          <a:ext cx="253575" cy="253732"/>
        </a:xfrm>
        <a:custGeom>
          <a:avLst/>
          <a:gdLst>
            <a:gd name="connsiteX0" fmla="*/ 361750 w 723499"/>
            <a:gd name="connsiteY0" fmla="*/ 0 h 723500"/>
            <a:gd name="connsiteX1" fmla="*/ 0 w 723499"/>
            <a:gd name="connsiteY1" fmla="*/ 361750 h 723500"/>
            <a:gd name="connsiteX2" fmla="*/ 361750 w 723499"/>
            <a:gd name="connsiteY2" fmla="*/ 723500 h 723500"/>
            <a:gd name="connsiteX3" fmla="*/ 723500 w 723499"/>
            <a:gd name="connsiteY3" fmla="*/ 361750 h 723500"/>
            <a:gd name="connsiteX4" fmla="*/ 723500 w 723499"/>
            <a:gd name="connsiteY4" fmla="*/ 361712 h 723500"/>
            <a:gd name="connsiteX5" fmla="*/ 362036 w 723499"/>
            <a:gd name="connsiteY5" fmla="*/ 0 h 723500"/>
            <a:gd name="connsiteX6" fmla="*/ 361750 w 723499"/>
            <a:gd name="connsiteY6" fmla="*/ 0 h 723500"/>
            <a:gd name="connsiteX7" fmla="*/ 539096 w 723499"/>
            <a:gd name="connsiteY7" fmla="*/ 393954 h 723500"/>
            <a:gd name="connsiteX8" fmla="*/ 393954 w 723499"/>
            <a:gd name="connsiteY8" fmla="*/ 393954 h 723500"/>
            <a:gd name="connsiteX9" fmla="*/ 393954 w 723499"/>
            <a:gd name="connsiteY9" fmla="*/ 539058 h 723500"/>
            <a:gd name="connsiteX10" fmla="*/ 329546 w 723499"/>
            <a:gd name="connsiteY10" fmla="*/ 539058 h 723500"/>
            <a:gd name="connsiteX11" fmla="*/ 329546 w 723499"/>
            <a:gd name="connsiteY11" fmla="*/ 393916 h 723500"/>
            <a:gd name="connsiteX12" fmla="*/ 184404 w 723499"/>
            <a:gd name="connsiteY12" fmla="*/ 393916 h 723500"/>
            <a:gd name="connsiteX13" fmla="*/ 184404 w 723499"/>
            <a:gd name="connsiteY13" fmla="*/ 329508 h 723500"/>
            <a:gd name="connsiteX14" fmla="*/ 329546 w 723499"/>
            <a:gd name="connsiteY14" fmla="*/ 329508 h 723500"/>
            <a:gd name="connsiteX15" fmla="*/ 329546 w 723499"/>
            <a:gd name="connsiteY15" fmla="*/ 184366 h 723500"/>
            <a:gd name="connsiteX16" fmla="*/ 393954 w 723499"/>
            <a:gd name="connsiteY16" fmla="*/ 184366 h 723500"/>
            <a:gd name="connsiteX17" fmla="*/ 393954 w 723499"/>
            <a:gd name="connsiteY17" fmla="*/ 329508 h 723500"/>
            <a:gd name="connsiteX18" fmla="*/ 539096 w 723499"/>
            <a:gd name="connsiteY18" fmla="*/ 329508 h 7235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Lst>
          <a:rect l="l" t="t" r="r" b="b"/>
          <a:pathLst>
            <a:path w="723499" h="723500">
              <a:moveTo>
                <a:pt x="361750" y="0"/>
              </a:moveTo>
              <a:cubicBezTo>
                <a:pt x="161961" y="0"/>
                <a:pt x="0" y="161961"/>
                <a:pt x="0" y="361750"/>
              </a:cubicBezTo>
              <a:cubicBezTo>
                <a:pt x="0" y="561539"/>
                <a:pt x="161961" y="723500"/>
                <a:pt x="361750" y="723500"/>
              </a:cubicBezTo>
              <a:cubicBezTo>
                <a:pt x="561539" y="723500"/>
                <a:pt x="723500" y="561539"/>
                <a:pt x="723500" y="361750"/>
              </a:cubicBezTo>
              <a:cubicBezTo>
                <a:pt x="723500" y="361738"/>
                <a:pt x="723500" y="361724"/>
                <a:pt x="723500" y="361712"/>
              </a:cubicBezTo>
              <a:cubicBezTo>
                <a:pt x="723569" y="162013"/>
                <a:pt x="561735" y="69"/>
                <a:pt x="362036" y="0"/>
              </a:cubicBezTo>
              <a:cubicBezTo>
                <a:pt x="361940" y="0"/>
                <a:pt x="361845" y="0"/>
                <a:pt x="361750" y="0"/>
              </a:cubicBezTo>
              <a:close/>
              <a:moveTo>
                <a:pt x="539096" y="393954"/>
              </a:moveTo>
              <a:lnTo>
                <a:pt x="393954" y="393954"/>
              </a:lnTo>
              <a:lnTo>
                <a:pt x="393954" y="539058"/>
              </a:lnTo>
              <a:lnTo>
                <a:pt x="329546" y="539058"/>
              </a:lnTo>
              <a:lnTo>
                <a:pt x="329546" y="393916"/>
              </a:lnTo>
              <a:lnTo>
                <a:pt x="184404" y="393916"/>
              </a:lnTo>
              <a:lnTo>
                <a:pt x="184404" y="329508"/>
              </a:lnTo>
              <a:lnTo>
                <a:pt x="329546" y="329508"/>
              </a:lnTo>
              <a:lnTo>
                <a:pt x="329546" y="184366"/>
              </a:lnTo>
              <a:lnTo>
                <a:pt x="393954" y="184366"/>
              </a:lnTo>
              <a:lnTo>
                <a:pt x="393954" y="329508"/>
              </a:lnTo>
              <a:lnTo>
                <a:pt x="539096" y="329508"/>
              </a:lnTo>
              <a:close/>
            </a:path>
          </a:pathLst>
        </a:custGeom>
        <a:solidFill>
          <a:sysClr val="window" lastClr="FFFFFF"/>
        </a:solidFill>
        <a:ln w="9525" cap="flat">
          <a:solidFill>
            <a:srgbClr val="00B050"/>
          </a:solidFill>
          <a:prstDash val="solid"/>
          <a:miter/>
        </a:ln>
      </xdr:spPr>
      <xdr:txBody>
        <a:bodyPr rtlCol="0" anchor="ctr"/>
        <a:lstStyle/>
        <a:p>
          <a:endParaRPr lang="en-CA"/>
        </a:p>
      </xdr:txBody>
    </xdr:sp>
    <xdr:clientData fPrintsWithSheet="0"/>
  </xdr:twoCellAnchor>
  <xdr:twoCellAnchor editAs="absolute">
    <xdr:from>
      <xdr:col>11</xdr:col>
      <xdr:colOff>869080</xdr:colOff>
      <xdr:row>3</xdr:row>
      <xdr:rowOff>145257</xdr:rowOff>
    </xdr:from>
    <xdr:to>
      <xdr:col>12</xdr:col>
      <xdr:colOff>0</xdr:colOff>
      <xdr:row>5</xdr:row>
      <xdr:rowOff>154932</xdr:rowOff>
    </xdr:to>
    <xdr:pic macro="[0]!OuvreFormulaireTO">
      <xdr:nvPicPr>
        <xdr:cNvPr id="6" name="Graphique 5" descr="Icône de menu d'hamburger avec un remplissage uni">
          <a:extLst>
            <a:ext uri="{FF2B5EF4-FFF2-40B4-BE49-F238E27FC236}">
              <a16:creationId xmlns:a16="http://schemas.microsoft.com/office/drawing/2014/main" id="{00000000-0008-0000-0000-000006000000}"/>
            </a:ext>
          </a:extLst>
        </xdr:cNvPr>
        <xdr:cNvPicPr>
          <a:picLocks noChangeAspect="1"/>
        </xdr:cNvPicPr>
      </xdr:nvPicPr>
      <xdr:blipFill rotWithShape="1">
        <a:blip xmlns:r="http://schemas.openxmlformats.org/officeDocument/2006/relationships" r:embed="rId1" cstate="print">
          <a:extLst>
            <a:ext uri="{28A0092B-C50C-407E-A947-70E740481C1C}">
              <a14:useLocalDpi xmlns:a14="http://schemas.microsoft.com/office/drawing/2010/main" val="0"/>
            </a:ext>
            <a:ext uri="{96DAC541-7B7A-43D3-8B79-37D633B846F1}">
              <asvg:svgBlip xmlns:asvg="http://schemas.microsoft.com/office/drawing/2016/SVG/main" r:embed="rId2"/>
            </a:ext>
          </a:extLst>
        </a:blip>
        <a:srcRect l="11317" t="18720" r="10654" b="19410"/>
        <a:stretch/>
      </xdr:blipFill>
      <xdr:spPr>
        <a:xfrm>
          <a:off x="12546730" y="631032"/>
          <a:ext cx="321545" cy="324000"/>
        </a:xfrm>
        <a:prstGeom prst="rect">
          <a:avLst/>
        </a:prstGeom>
      </xdr:spPr>
    </xdr:pic>
    <xdr:clientData fPrintsWithSheet="0"/>
  </xdr:twoCellAnchor>
  <xdr:oneCellAnchor>
    <xdr:from>
      <xdr:col>2</xdr:col>
      <xdr:colOff>0</xdr:colOff>
      <xdr:row>102</xdr:row>
      <xdr:rowOff>81375</xdr:rowOff>
    </xdr:from>
    <xdr:ext cx="1758525" cy="252000"/>
    <xdr:sp macro="[0]!Ajouter_02" textlink="">
      <xdr:nvSpPr>
        <xdr:cNvPr id="93" name="Rectangle : coins arrondis 92">
          <a:extLst>
            <a:ext uri="{FF2B5EF4-FFF2-40B4-BE49-F238E27FC236}">
              <a16:creationId xmlns:a16="http://schemas.microsoft.com/office/drawing/2014/main" id="{00000000-0008-0000-0000-00005D000000}"/>
            </a:ext>
          </a:extLst>
        </xdr:cNvPr>
        <xdr:cNvSpPr/>
      </xdr:nvSpPr>
      <xdr:spPr>
        <a:xfrm>
          <a:off x="3514725" y="1900650"/>
          <a:ext cx="1758525" cy="252000"/>
        </a:xfrm>
        <a:prstGeom prst="roundRect">
          <a:avLst>
            <a:gd name="adj" fmla="val 50000"/>
          </a:avLst>
        </a:prstGeom>
        <a:solidFill>
          <a:srgbClr val="00B050"/>
        </a:solidFill>
        <a:ln>
          <a:solidFill>
            <a:schemeClr val="bg1"/>
          </a:solidFill>
        </a:ln>
      </xdr:spPr>
      <xdr:style>
        <a:lnRef idx="0">
          <a:scrgbClr r="0" g="0" b="0"/>
        </a:lnRef>
        <a:fillRef idx="0">
          <a:scrgbClr r="0" g="0" b="0"/>
        </a:fillRef>
        <a:effectRef idx="0">
          <a:scrgbClr r="0" g="0" b="0"/>
        </a:effectRef>
        <a:fontRef idx="minor">
          <a:schemeClr val="lt1"/>
        </a:fontRef>
      </xdr:style>
      <xdr:txBody>
        <a:bodyPr vertOverflow="clip" horzOverflow="clip" rtlCol="0" anchor="ctr"/>
        <a:lstStyle/>
        <a:p>
          <a:pPr algn="l"/>
          <a:r>
            <a:rPr lang="en-CA" sz="1000" b="1">
              <a:latin typeface="Arial" panose="020B0604020202020204" pitchFamily="34" charset="0"/>
              <a:cs typeface="Arial" panose="020B0604020202020204" pitchFamily="34" charset="0"/>
            </a:rPr>
            <a:t>AJOUTER UN ITEM</a:t>
          </a:r>
        </a:p>
      </xdr:txBody>
    </xdr:sp>
    <xdr:clientData fPrintsWithSheet="0"/>
  </xdr:oneCellAnchor>
  <xdr:oneCellAnchor>
    <xdr:from>
      <xdr:col>4</xdr:col>
      <xdr:colOff>0</xdr:colOff>
      <xdr:row>102</xdr:row>
      <xdr:rowOff>80995</xdr:rowOff>
    </xdr:from>
    <xdr:ext cx="253575" cy="253732"/>
    <xdr:sp macro="[0]!Ajouter_02" textlink="">
      <xdr:nvSpPr>
        <xdr:cNvPr id="94" name="Graphique 8" descr="Badge à suivre avec un remplissage uni">
          <a:extLst>
            <a:ext uri="{FF2B5EF4-FFF2-40B4-BE49-F238E27FC236}">
              <a16:creationId xmlns:a16="http://schemas.microsoft.com/office/drawing/2014/main" id="{00000000-0008-0000-0000-00005E000000}"/>
            </a:ext>
          </a:extLst>
        </xdr:cNvPr>
        <xdr:cNvSpPr>
          <a:spLocks noChangeAspect="1"/>
        </xdr:cNvSpPr>
      </xdr:nvSpPr>
      <xdr:spPr>
        <a:xfrm>
          <a:off x="5019675" y="1900270"/>
          <a:ext cx="253575" cy="253732"/>
        </a:xfrm>
        <a:custGeom>
          <a:avLst/>
          <a:gdLst>
            <a:gd name="connsiteX0" fmla="*/ 361750 w 723499"/>
            <a:gd name="connsiteY0" fmla="*/ 0 h 723500"/>
            <a:gd name="connsiteX1" fmla="*/ 0 w 723499"/>
            <a:gd name="connsiteY1" fmla="*/ 361750 h 723500"/>
            <a:gd name="connsiteX2" fmla="*/ 361750 w 723499"/>
            <a:gd name="connsiteY2" fmla="*/ 723500 h 723500"/>
            <a:gd name="connsiteX3" fmla="*/ 723500 w 723499"/>
            <a:gd name="connsiteY3" fmla="*/ 361750 h 723500"/>
            <a:gd name="connsiteX4" fmla="*/ 723500 w 723499"/>
            <a:gd name="connsiteY4" fmla="*/ 361712 h 723500"/>
            <a:gd name="connsiteX5" fmla="*/ 362036 w 723499"/>
            <a:gd name="connsiteY5" fmla="*/ 0 h 723500"/>
            <a:gd name="connsiteX6" fmla="*/ 361750 w 723499"/>
            <a:gd name="connsiteY6" fmla="*/ 0 h 723500"/>
            <a:gd name="connsiteX7" fmla="*/ 539096 w 723499"/>
            <a:gd name="connsiteY7" fmla="*/ 393954 h 723500"/>
            <a:gd name="connsiteX8" fmla="*/ 393954 w 723499"/>
            <a:gd name="connsiteY8" fmla="*/ 393954 h 723500"/>
            <a:gd name="connsiteX9" fmla="*/ 393954 w 723499"/>
            <a:gd name="connsiteY9" fmla="*/ 539058 h 723500"/>
            <a:gd name="connsiteX10" fmla="*/ 329546 w 723499"/>
            <a:gd name="connsiteY10" fmla="*/ 539058 h 723500"/>
            <a:gd name="connsiteX11" fmla="*/ 329546 w 723499"/>
            <a:gd name="connsiteY11" fmla="*/ 393916 h 723500"/>
            <a:gd name="connsiteX12" fmla="*/ 184404 w 723499"/>
            <a:gd name="connsiteY12" fmla="*/ 393916 h 723500"/>
            <a:gd name="connsiteX13" fmla="*/ 184404 w 723499"/>
            <a:gd name="connsiteY13" fmla="*/ 329508 h 723500"/>
            <a:gd name="connsiteX14" fmla="*/ 329546 w 723499"/>
            <a:gd name="connsiteY14" fmla="*/ 329508 h 723500"/>
            <a:gd name="connsiteX15" fmla="*/ 329546 w 723499"/>
            <a:gd name="connsiteY15" fmla="*/ 184366 h 723500"/>
            <a:gd name="connsiteX16" fmla="*/ 393954 w 723499"/>
            <a:gd name="connsiteY16" fmla="*/ 184366 h 723500"/>
            <a:gd name="connsiteX17" fmla="*/ 393954 w 723499"/>
            <a:gd name="connsiteY17" fmla="*/ 329508 h 723500"/>
            <a:gd name="connsiteX18" fmla="*/ 539096 w 723499"/>
            <a:gd name="connsiteY18" fmla="*/ 329508 h 7235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Lst>
          <a:rect l="l" t="t" r="r" b="b"/>
          <a:pathLst>
            <a:path w="723499" h="723500">
              <a:moveTo>
                <a:pt x="361750" y="0"/>
              </a:moveTo>
              <a:cubicBezTo>
                <a:pt x="161961" y="0"/>
                <a:pt x="0" y="161961"/>
                <a:pt x="0" y="361750"/>
              </a:cubicBezTo>
              <a:cubicBezTo>
                <a:pt x="0" y="561539"/>
                <a:pt x="161961" y="723500"/>
                <a:pt x="361750" y="723500"/>
              </a:cubicBezTo>
              <a:cubicBezTo>
                <a:pt x="561539" y="723500"/>
                <a:pt x="723500" y="561539"/>
                <a:pt x="723500" y="361750"/>
              </a:cubicBezTo>
              <a:cubicBezTo>
                <a:pt x="723500" y="361738"/>
                <a:pt x="723500" y="361724"/>
                <a:pt x="723500" y="361712"/>
              </a:cubicBezTo>
              <a:cubicBezTo>
                <a:pt x="723569" y="162013"/>
                <a:pt x="561735" y="69"/>
                <a:pt x="362036" y="0"/>
              </a:cubicBezTo>
              <a:cubicBezTo>
                <a:pt x="361940" y="0"/>
                <a:pt x="361845" y="0"/>
                <a:pt x="361750" y="0"/>
              </a:cubicBezTo>
              <a:close/>
              <a:moveTo>
                <a:pt x="539096" y="393954"/>
              </a:moveTo>
              <a:lnTo>
                <a:pt x="393954" y="393954"/>
              </a:lnTo>
              <a:lnTo>
                <a:pt x="393954" y="539058"/>
              </a:lnTo>
              <a:lnTo>
                <a:pt x="329546" y="539058"/>
              </a:lnTo>
              <a:lnTo>
                <a:pt x="329546" y="393916"/>
              </a:lnTo>
              <a:lnTo>
                <a:pt x="184404" y="393916"/>
              </a:lnTo>
              <a:lnTo>
                <a:pt x="184404" y="329508"/>
              </a:lnTo>
              <a:lnTo>
                <a:pt x="329546" y="329508"/>
              </a:lnTo>
              <a:lnTo>
                <a:pt x="329546" y="184366"/>
              </a:lnTo>
              <a:lnTo>
                <a:pt x="393954" y="184366"/>
              </a:lnTo>
              <a:lnTo>
                <a:pt x="393954" y="329508"/>
              </a:lnTo>
              <a:lnTo>
                <a:pt x="539096" y="329508"/>
              </a:lnTo>
              <a:close/>
            </a:path>
          </a:pathLst>
        </a:custGeom>
        <a:solidFill>
          <a:sysClr val="window" lastClr="FFFFFF"/>
        </a:solidFill>
        <a:ln w="9525" cap="flat">
          <a:solidFill>
            <a:srgbClr val="00B050"/>
          </a:solidFill>
          <a:prstDash val="solid"/>
          <a:miter/>
        </a:ln>
      </xdr:spPr>
      <xdr:txBody>
        <a:bodyPr rtlCol="0" anchor="ctr"/>
        <a:lstStyle/>
        <a:p>
          <a:endParaRPr lang="en-CA"/>
        </a:p>
      </xdr:txBody>
    </xdr:sp>
    <xdr:clientData fPrintsWithSheet="0"/>
  </xdr:oneCellAnchor>
  <xdr:oneCellAnchor>
    <xdr:from>
      <xdr:col>2</xdr:col>
      <xdr:colOff>0</xdr:colOff>
      <xdr:row>109</xdr:row>
      <xdr:rowOff>81375</xdr:rowOff>
    </xdr:from>
    <xdr:ext cx="1758525" cy="252000"/>
    <xdr:sp macro="[0]!Ajouter_03" textlink="">
      <xdr:nvSpPr>
        <xdr:cNvPr id="95" name="Rectangle : coins arrondis 94">
          <a:extLst>
            <a:ext uri="{FF2B5EF4-FFF2-40B4-BE49-F238E27FC236}">
              <a16:creationId xmlns:a16="http://schemas.microsoft.com/office/drawing/2014/main" id="{00000000-0008-0000-0000-00005F000000}"/>
            </a:ext>
          </a:extLst>
        </xdr:cNvPr>
        <xdr:cNvSpPr/>
      </xdr:nvSpPr>
      <xdr:spPr>
        <a:xfrm>
          <a:off x="3514725" y="1900650"/>
          <a:ext cx="1758525" cy="252000"/>
        </a:xfrm>
        <a:prstGeom prst="roundRect">
          <a:avLst>
            <a:gd name="adj" fmla="val 50000"/>
          </a:avLst>
        </a:prstGeom>
        <a:solidFill>
          <a:srgbClr val="00B050"/>
        </a:solidFill>
        <a:ln>
          <a:solidFill>
            <a:schemeClr val="bg1"/>
          </a:solidFill>
        </a:ln>
      </xdr:spPr>
      <xdr:style>
        <a:lnRef idx="0">
          <a:scrgbClr r="0" g="0" b="0"/>
        </a:lnRef>
        <a:fillRef idx="0">
          <a:scrgbClr r="0" g="0" b="0"/>
        </a:fillRef>
        <a:effectRef idx="0">
          <a:scrgbClr r="0" g="0" b="0"/>
        </a:effectRef>
        <a:fontRef idx="minor">
          <a:schemeClr val="lt1"/>
        </a:fontRef>
      </xdr:style>
      <xdr:txBody>
        <a:bodyPr vertOverflow="clip" horzOverflow="clip" rtlCol="0" anchor="ctr"/>
        <a:lstStyle/>
        <a:p>
          <a:pPr algn="l"/>
          <a:r>
            <a:rPr lang="en-CA" sz="1000" b="1">
              <a:latin typeface="Arial" panose="020B0604020202020204" pitchFamily="34" charset="0"/>
              <a:cs typeface="Arial" panose="020B0604020202020204" pitchFamily="34" charset="0"/>
            </a:rPr>
            <a:t>AJOUTER UN ITEM</a:t>
          </a:r>
        </a:p>
      </xdr:txBody>
    </xdr:sp>
    <xdr:clientData fPrintsWithSheet="0"/>
  </xdr:oneCellAnchor>
  <xdr:oneCellAnchor>
    <xdr:from>
      <xdr:col>4</xdr:col>
      <xdr:colOff>0</xdr:colOff>
      <xdr:row>109</xdr:row>
      <xdr:rowOff>80995</xdr:rowOff>
    </xdr:from>
    <xdr:ext cx="253575" cy="253732"/>
    <xdr:sp macro="[0]!Ajouter_03" textlink="">
      <xdr:nvSpPr>
        <xdr:cNvPr id="96" name="Graphique 8" descr="Badge à suivre avec un remplissage uni">
          <a:extLst>
            <a:ext uri="{FF2B5EF4-FFF2-40B4-BE49-F238E27FC236}">
              <a16:creationId xmlns:a16="http://schemas.microsoft.com/office/drawing/2014/main" id="{00000000-0008-0000-0000-000060000000}"/>
            </a:ext>
          </a:extLst>
        </xdr:cNvPr>
        <xdr:cNvSpPr>
          <a:spLocks noChangeAspect="1"/>
        </xdr:cNvSpPr>
      </xdr:nvSpPr>
      <xdr:spPr>
        <a:xfrm>
          <a:off x="5019675" y="1900270"/>
          <a:ext cx="253575" cy="253732"/>
        </a:xfrm>
        <a:custGeom>
          <a:avLst/>
          <a:gdLst>
            <a:gd name="connsiteX0" fmla="*/ 361750 w 723499"/>
            <a:gd name="connsiteY0" fmla="*/ 0 h 723500"/>
            <a:gd name="connsiteX1" fmla="*/ 0 w 723499"/>
            <a:gd name="connsiteY1" fmla="*/ 361750 h 723500"/>
            <a:gd name="connsiteX2" fmla="*/ 361750 w 723499"/>
            <a:gd name="connsiteY2" fmla="*/ 723500 h 723500"/>
            <a:gd name="connsiteX3" fmla="*/ 723500 w 723499"/>
            <a:gd name="connsiteY3" fmla="*/ 361750 h 723500"/>
            <a:gd name="connsiteX4" fmla="*/ 723500 w 723499"/>
            <a:gd name="connsiteY4" fmla="*/ 361712 h 723500"/>
            <a:gd name="connsiteX5" fmla="*/ 362036 w 723499"/>
            <a:gd name="connsiteY5" fmla="*/ 0 h 723500"/>
            <a:gd name="connsiteX6" fmla="*/ 361750 w 723499"/>
            <a:gd name="connsiteY6" fmla="*/ 0 h 723500"/>
            <a:gd name="connsiteX7" fmla="*/ 539096 w 723499"/>
            <a:gd name="connsiteY7" fmla="*/ 393954 h 723500"/>
            <a:gd name="connsiteX8" fmla="*/ 393954 w 723499"/>
            <a:gd name="connsiteY8" fmla="*/ 393954 h 723500"/>
            <a:gd name="connsiteX9" fmla="*/ 393954 w 723499"/>
            <a:gd name="connsiteY9" fmla="*/ 539058 h 723500"/>
            <a:gd name="connsiteX10" fmla="*/ 329546 w 723499"/>
            <a:gd name="connsiteY10" fmla="*/ 539058 h 723500"/>
            <a:gd name="connsiteX11" fmla="*/ 329546 w 723499"/>
            <a:gd name="connsiteY11" fmla="*/ 393916 h 723500"/>
            <a:gd name="connsiteX12" fmla="*/ 184404 w 723499"/>
            <a:gd name="connsiteY12" fmla="*/ 393916 h 723500"/>
            <a:gd name="connsiteX13" fmla="*/ 184404 w 723499"/>
            <a:gd name="connsiteY13" fmla="*/ 329508 h 723500"/>
            <a:gd name="connsiteX14" fmla="*/ 329546 w 723499"/>
            <a:gd name="connsiteY14" fmla="*/ 329508 h 723500"/>
            <a:gd name="connsiteX15" fmla="*/ 329546 w 723499"/>
            <a:gd name="connsiteY15" fmla="*/ 184366 h 723500"/>
            <a:gd name="connsiteX16" fmla="*/ 393954 w 723499"/>
            <a:gd name="connsiteY16" fmla="*/ 184366 h 723500"/>
            <a:gd name="connsiteX17" fmla="*/ 393954 w 723499"/>
            <a:gd name="connsiteY17" fmla="*/ 329508 h 723500"/>
            <a:gd name="connsiteX18" fmla="*/ 539096 w 723499"/>
            <a:gd name="connsiteY18" fmla="*/ 329508 h 7235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Lst>
          <a:rect l="l" t="t" r="r" b="b"/>
          <a:pathLst>
            <a:path w="723499" h="723500">
              <a:moveTo>
                <a:pt x="361750" y="0"/>
              </a:moveTo>
              <a:cubicBezTo>
                <a:pt x="161961" y="0"/>
                <a:pt x="0" y="161961"/>
                <a:pt x="0" y="361750"/>
              </a:cubicBezTo>
              <a:cubicBezTo>
                <a:pt x="0" y="561539"/>
                <a:pt x="161961" y="723500"/>
                <a:pt x="361750" y="723500"/>
              </a:cubicBezTo>
              <a:cubicBezTo>
                <a:pt x="561539" y="723500"/>
                <a:pt x="723500" y="561539"/>
                <a:pt x="723500" y="361750"/>
              </a:cubicBezTo>
              <a:cubicBezTo>
                <a:pt x="723500" y="361738"/>
                <a:pt x="723500" y="361724"/>
                <a:pt x="723500" y="361712"/>
              </a:cubicBezTo>
              <a:cubicBezTo>
                <a:pt x="723569" y="162013"/>
                <a:pt x="561735" y="69"/>
                <a:pt x="362036" y="0"/>
              </a:cubicBezTo>
              <a:cubicBezTo>
                <a:pt x="361940" y="0"/>
                <a:pt x="361845" y="0"/>
                <a:pt x="361750" y="0"/>
              </a:cubicBezTo>
              <a:close/>
              <a:moveTo>
                <a:pt x="539096" y="393954"/>
              </a:moveTo>
              <a:lnTo>
                <a:pt x="393954" y="393954"/>
              </a:lnTo>
              <a:lnTo>
                <a:pt x="393954" y="539058"/>
              </a:lnTo>
              <a:lnTo>
                <a:pt x="329546" y="539058"/>
              </a:lnTo>
              <a:lnTo>
                <a:pt x="329546" y="393916"/>
              </a:lnTo>
              <a:lnTo>
                <a:pt x="184404" y="393916"/>
              </a:lnTo>
              <a:lnTo>
                <a:pt x="184404" y="329508"/>
              </a:lnTo>
              <a:lnTo>
                <a:pt x="329546" y="329508"/>
              </a:lnTo>
              <a:lnTo>
                <a:pt x="329546" y="184366"/>
              </a:lnTo>
              <a:lnTo>
                <a:pt x="393954" y="184366"/>
              </a:lnTo>
              <a:lnTo>
                <a:pt x="393954" y="329508"/>
              </a:lnTo>
              <a:lnTo>
                <a:pt x="539096" y="329508"/>
              </a:lnTo>
              <a:close/>
            </a:path>
          </a:pathLst>
        </a:custGeom>
        <a:solidFill>
          <a:sysClr val="window" lastClr="FFFFFF"/>
        </a:solidFill>
        <a:ln w="9525" cap="flat">
          <a:solidFill>
            <a:srgbClr val="00B050"/>
          </a:solidFill>
          <a:prstDash val="solid"/>
          <a:miter/>
        </a:ln>
      </xdr:spPr>
      <xdr:txBody>
        <a:bodyPr rtlCol="0" anchor="ctr"/>
        <a:lstStyle/>
        <a:p>
          <a:endParaRPr lang="en-CA"/>
        </a:p>
      </xdr:txBody>
    </xdr:sp>
    <xdr:clientData fPrintsWithSheet="0"/>
  </xdr:oneCellAnchor>
  <xdr:oneCellAnchor>
    <xdr:from>
      <xdr:col>2</xdr:col>
      <xdr:colOff>0</xdr:colOff>
      <xdr:row>116</xdr:row>
      <xdr:rowOff>81375</xdr:rowOff>
    </xdr:from>
    <xdr:ext cx="1758525" cy="252000"/>
    <xdr:sp macro="[0]!Ajouter_04" textlink="">
      <xdr:nvSpPr>
        <xdr:cNvPr id="97" name="Rectangle : coins arrondis 96">
          <a:extLst>
            <a:ext uri="{FF2B5EF4-FFF2-40B4-BE49-F238E27FC236}">
              <a16:creationId xmlns:a16="http://schemas.microsoft.com/office/drawing/2014/main" id="{00000000-0008-0000-0000-000061000000}"/>
            </a:ext>
          </a:extLst>
        </xdr:cNvPr>
        <xdr:cNvSpPr/>
      </xdr:nvSpPr>
      <xdr:spPr>
        <a:xfrm>
          <a:off x="3514725" y="1900650"/>
          <a:ext cx="1758525" cy="252000"/>
        </a:xfrm>
        <a:prstGeom prst="roundRect">
          <a:avLst>
            <a:gd name="adj" fmla="val 50000"/>
          </a:avLst>
        </a:prstGeom>
        <a:solidFill>
          <a:srgbClr val="00B050"/>
        </a:solidFill>
        <a:ln>
          <a:solidFill>
            <a:schemeClr val="bg1"/>
          </a:solidFill>
        </a:ln>
      </xdr:spPr>
      <xdr:style>
        <a:lnRef idx="0">
          <a:scrgbClr r="0" g="0" b="0"/>
        </a:lnRef>
        <a:fillRef idx="0">
          <a:scrgbClr r="0" g="0" b="0"/>
        </a:fillRef>
        <a:effectRef idx="0">
          <a:scrgbClr r="0" g="0" b="0"/>
        </a:effectRef>
        <a:fontRef idx="minor">
          <a:schemeClr val="lt1"/>
        </a:fontRef>
      </xdr:style>
      <xdr:txBody>
        <a:bodyPr vertOverflow="clip" horzOverflow="clip" rtlCol="0" anchor="ctr"/>
        <a:lstStyle/>
        <a:p>
          <a:pPr algn="l"/>
          <a:r>
            <a:rPr lang="en-CA" sz="1000" b="1">
              <a:latin typeface="Arial" panose="020B0604020202020204" pitchFamily="34" charset="0"/>
              <a:cs typeface="Arial" panose="020B0604020202020204" pitchFamily="34" charset="0"/>
            </a:rPr>
            <a:t>AJOUTER UN ITEM</a:t>
          </a:r>
        </a:p>
      </xdr:txBody>
    </xdr:sp>
    <xdr:clientData fPrintsWithSheet="0"/>
  </xdr:oneCellAnchor>
  <xdr:oneCellAnchor>
    <xdr:from>
      <xdr:col>4</xdr:col>
      <xdr:colOff>0</xdr:colOff>
      <xdr:row>116</xdr:row>
      <xdr:rowOff>80995</xdr:rowOff>
    </xdr:from>
    <xdr:ext cx="253575" cy="253732"/>
    <xdr:sp macro="[0]!Ajouter_04" textlink="">
      <xdr:nvSpPr>
        <xdr:cNvPr id="98" name="Graphique 8" descr="Badge à suivre avec un remplissage uni">
          <a:extLst>
            <a:ext uri="{FF2B5EF4-FFF2-40B4-BE49-F238E27FC236}">
              <a16:creationId xmlns:a16="http://schemas.microsoft.com/office/drawing/2014/main" id="{00000000-0008-0000-0000-000062000000}"/>
            </a:ext>
          </a:extLst>
        </xdr:cNvPr>
        <xdr:cNvSpPr>
          <a:spLocks noChangeAspect="1"/>
        </xdr:cNvSpPr>
      </xdr:nvSpPr>
      <xdr:spPr>
        <a:xfrm>
          <a:off x="5019675" y="1900270"/>
          <a:ext cx="253575" cy="253732"/>
        </a:xfrm>
        <a:custGeom>
          <a:avLst/>
          <a:gdLst>
            <a:gd name="connsiteX0" fmla="*/ 361750 w 723499"/>
            <a:gd name="connsiteY0" fmla="*/ 0 h 723500"/>
            <a:gd name="connsiteX1" fmla="*/ 0 w 723499"/>
            <a:gd name="connsiteY1" fmla="*/ 361750 h 723500"/>
            <a:gd name="connsiteX2" fmla="*/ 361750 w 723499"/>
            <a:gd name="connsiteY2" fmla="*/ 723500 h 723500"/>
            <a:gd name="connsiteX3" fmla="*/ 723500 w 723499"/>
            <a:gd name="connsiteY3" fmla="*/ 361750 h 723500"/>
            <a:gd name="connsiteX4" fmla="*/ 723500 w 723499"/>
            <a:gd name="connsiteY4" fmla="*/ 361712 h 723500"/>
            <a:gd name="connsiteX5" fmla="*/ 362036 w 723499"/>
            <a:gd name="connsiteY5" fmla="*/ 0 h 723500"/>
            <a:gd name="connsiteX6" fmla="*/ 361750 w 723499"/>
            <a:gd name="connsiteY6" fmla="*/ 0 h 723500"/>
            <a:gd name="connsiteX7" fmla="*/ 539096 w 723499"/>
            <a:gd name="connsiteY7" fmla="*/ 393954 h 723500"/>
            <a:gd name="connsiteX8" fmla="*/ 393954 w 723499"/>
            <a:gd name="connsiteY8" fmla="*/ 393954 h 723500"/>
            <a:gd name="connsiteX9" fmla="*/ 393954 w 723499"/>
            <a:gd name="connsiteY9" fmla="*/ 539058 h 723500"/>
            <a:gd name="connsiteX10" fmla="*/ 329546 w 723499"/>
            <a:gd name="connsiteY10" fmla="*/ 539058 h 723500"/>
            <a:gd name="connsiteX11" fmla="*/ 329546 w 723499"/>
            <a:gd name="connsiteY11" fmla="*/ 393916 h 723500"/>
            <a:gd name="connsiteX12" fmla="*/ 184404 w 723499"/>
            <a:gd name="connsiteY12" fmla="*/ 393916 h 723500"/>
            <a:gd name="connsiteX13" fmla="*/ 184404 w 723499"/>
            <a:gd name="connsiteY13" fmla="*/ 329508 h 723500"/>
            <a:gd name="connsiteX14" fmla="*/ 329546 w 723499"/>
            <a:gd name="connsiteY14" fmla="*/ 329508 h 723500"/>
            <a:gd name="connsiteX15" fmla="*/ 329546 w 723499"/>
            <a:gd name="connsiteY15" fmla="*/ 184366 h 723500"/>
            <a:gd name="connsiteX16" fmla="*/ 393954 w 723499"/>
            <a:gd name="connsiteY16" fmla="*/ 184366 h 723500"/>
            <a:gd name="connsiteX17" fmla="*/ 393954 w 723499"/>
            <a:gd name="connsiteY17" fmla="*/ 329508 h 723500"/>
            <a:gd name="connsiteX18" fmla="*/ 539096 w 723499"/>
            <a:gd name="connsiteY18" fmla="*/ 329508 h 7235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Lst>
          <a:rect l="l" t="t" r="r" b="b"/>
          <a:pathLst>
            <a:path w="723499" h="723500">
              <a:moveTo>
                <a:pt x="361750" y="0"/>
              </a:moveTo>
              <a:cubicBezTo>
                <a:pt x="161961" y="0"/>
                <a:pt x="0" y="161961"/>
                <a:pt x="0" y="361750"/>
              </a:cubicBezTo>
              <a:cubicBezTo>
                <a:pt x="0" y="561539"/>
                <a:pt x="161961" y="723500"/>
                <a:pt x="361750" y="723500"/>
              </a:cubicBezTo>
              <a:cubicBezTo>
                <a:pt x="561539" y="723500"/>
                <a:pt x="723500" y="561539"/>
                <a:pt x="723500" y="361750"/>
              </a:cubicBezTo>
              <a:cubicBezTo>
                <a:pt x="723500" y="361738"/>
                <a:pt x="723500" y="361724"/>
                <a:pt x="723500" y="361712"/>
              </a:cubicBezTo>
              <a:cubicBezTo>
                <a:pt x="723569" y="162013"/>
                <a:pt x="561735" y="69"/>
                <a:pt x="362036" y="0"/>
              </a:cubicBezTo>
              <a:cubicBezTo>
                <a:pt x="361940" y="0"/>
                <a:pt x="361845" y="0"/>
                <a:pt x="361750" y="0"/>
              </a:cubicBezTo>
              <a:close/>
              <a:moveTo>
                <a:pt x="539096" y="393954"/>
              </a:moveTo>
              <a:lnTo>
                <a:pt x="393954" y="393954"/>
              </a:lnTo>
              <a:lnTo>
                <a:pt x="393954" y="539058"/>
              </a:lnTo>
              <a:lnTo>
                <a:pt x="329546" y="539058"/>
              </a:lnTo>
              <a:lnTo>
                <a:pt x="329546" y="393916"/>
              </a:lnTo>
              <a:lnTo>
                <a:pt x="184404" y="393916"/>
              </a:lnTo>
              <a:lnTo>
                <a:pt x="184404" y="329508"/>
              </a:lnTo>
              <a:lnTo>
                <a:pt x="329546" y="329508"/>
              </a:lnTo>
              <a:lnTo>
                <a:pt x="329546" y="184366"/>
              </a:lnTo>
              <a:lnTo>
                <a:pt x="393954" y="184366"/>
              </a:lnTo>
              <a:lnTo>
                <a:pt x="393954" y="329508"/>
              </a:lnTo>
              <a:lnTo>
                <a:pt x="539096" y="329508"/>
              </a:lnTo>
              <a:close/>
            </a:path>
          </a:pathLst>
        </a:custGeom>
        <a:solidFill>
          <a:sysClr val="window" lastClr="FFFFFF"/>
        </a:solidFill>
        <a:ln w="9525" cap="flat">
          <a:solidFill>
            <a:srgbClr val="00B050"/>
          </a:solidFill>
          <a:prstDash val="solid"/>
          <a:miter/>
        </a:ln>
      </xdr:spPr>
      <xdr:txBody>
        <a:bodyPr rtlCol="0" anchor="ctr"/>
        <a:lstStyle/>
        <a:p>
          <a:endParaRPr lang="en-CA"/>
        </a:p>
      </xdr:txBody>
    </xdr:sp>
    <xdr:clientData fPrintsWithSheet="0"/>
  </xdr:oneCellAnchor>
  <xdr:oneCellAnchor>
    <xdr:from>
      <xdr:col>2</xdr:col>
      <xdr:colOff>0</xdr:colOff>
      <xdr:row>123</xdr:row>
      <xdr:rowOff>81375</xdr:rowOff>
    </xdr:from>
    <xdr:ext cx="1758525" cy="252000"/>
    <xdr:sp macro="[0]!Ajouter_05" textlink="">
      <xdr:nvSpPr>
        <xdr:cNvPr id="99" name="Rectangle : coins arrondis 98">
          <a:extLst>
            <a:ext uri="{FF2B5EF4-FFF2-40B4-BE49-F238E27FC236}">
              <a16:creationId xmlns:a16="http://schemas.microsoft.com/office/drawing/2014/main" id="{00000000-0008-0000-0000-000063000000}"/>
            </a:ext>
          </a:extLst>
        </xdr:cNvPr>
        <xdr:cNvSpPr/>
      </xdr:nvSpPr>
      <xdr:spPr>
        <a:xfrm>
          <a:off x="3514725" y="1900650"/>
          <a:ext cx="1758525" cy="252000"/>
        </a:xfrm>
        <a:prstGeom prst="roundRect">
          <a:avLst>
            <a:gd name="adj" fmla="val 50000"/>
          </a:avLst>
        </a:prstGeom>
        <a:solidFill>
          <a:srgbClr val="00B050"/>
        </a:solidFill>
        <a:ln>
          <a:solidFill>
            <a:schemeClr val="bg1"/>
          </a:solidFill>
        </a:ln>
      </xdr:spPr>
      <xdr:style>
        <a:lnRef idx="0">
          <a:scrgbClr r="0" g="0" b="0"/>
        </a:lnRef>
        <a:fillRef idx="0">
          <a:scrgbClr r="0" g="0" b="0"/>
        </a:fillRef>
        <a:effectRef idx="0">
          <a:scrgbClr r="0" g="0" b="0"/>
        </a:effectRef>
        <a:fontRef idx="minor">
          <a:schemeClr val="lt1"/>
        </a:fontRef>
      </xdr:style>
      <xdr:txBody>
        <a:bodyPr vertOverflow="clip" horzOverflow="clip" rtlCol="0" anchor="ctr"/>
        <a:lstStyle/>
        <a:p>
          <a:pPr algn="l"/>
          <a:r>
            <a:rPr lang="en-CA" sz="1000" b="1">
              <a:latin typeface="Arial" panose="020B0604020202020204" pitchFamily="34" charset="0"/>
              <a:cs typeface="Arial" panose="020B0604020202020204" pitchFamily="34" charset="0"/>
            </a:rPr>
            <a:t>AJOUTER UN ITEM</a:t>
          </a:r>
        </a:p>
      </xdr:txBody>
    </xdr:sp>
    <xdr:clientData fPrintsWithSheet="0"/>
  </xdr:oneCellAnchor>
  <xdr:oneCellAnchor>
    <xdr:from>
      <xdr:col>4</xdr:col>
      <xdr:colOff>0</xdr:colOff>
      <xdr:row>123</xdr:row>
      <xdr:rowOff>80995</xdr:rowOff>
    </xdr:from>
    <xdr:ext cx="253575" cy="253732"/>
    <xdr:sp macro="[0]!Ajouter_05" textlink="">
      <xdr:nvSpPr>
        <xdr:cNvPr id="100" name="Graphique 8" descr="Badge à suivre avec un remplissage uni">
          <a:extLst>
            <a:ext uri="{FF2B5EF4-FFF2-40B4-BE49-F238E27FC236}">
              <a16:creationId xmlns:a16="http://schemas.microsoft.com/office/drawing/2014/main" id="{00000000-0008-0000-0000-000064000000}"/>
            </a:ext>
          </a:extLst>
        </xdr:cNvPr>
        <xdr:cNvSpPr>
          <a:spLocks noChangeAspect="1"/>
        </xdr:cNvSpPr>
      </xdr:nvSpPr>
      <xdr:spPr>
        <a:xfrm>
          <a:off x="5019675" y="1900270"/>
          <a:ext cx="253575" cy="253732"/>
        </a:xfrm>
        <a:custGeom>
          <a:avLst/>
          <a:gdLst>
            <a:gd name="connsiteX0" fmla="*/ 361750 w 723499"/>
            <a:gd name="connsiteY0" fmla="*/ 0 h 723500"/>
            <a:gd name="connsiteX1" fmla="*/ 0 w 723499"/>
            <a:gd name="connsiteY1" fmla="*/ 361750 h 723500"/>
            <a:gd name="connsiteX2" fmla="*/ 361750 w 723499"/>
            <a:gd name="connsiteY2" fmla="*/ 723500 h 723500"/>
            <a:gd name="connsiteX3" fmla="*/ 723500 w 723499"/>
            <a:gd name="connsiteY3" fmla="*/ 361750 h 723500"/>
            <a:gd name="connsiteX4" fmla="*/ 723500 w 723499"/>
            <a:gd name="connsiteY4" fmla="*/ 361712 h 723500"/>
            <a:gd name="connsiteX5" fmla="*/ 362036 w 723499"/>
            <a:gd name="connsiteY5" fmla="*/ 0 h 723500"/>
            <a:gd name="connsiteX6" fmla="*/ 361750 w 723499"/>
            <a:gd name="connsiteY6" fmla="*/ 0 h 723500"/>
            <a:gd name="connsiteX7" fmla="*/ 539096 w 723499"/>
            <a:gd name="connsiteY7" fmla="*/ 393954 h 723500"/>
            <a:gd name="connsiteX8" fmla="*/ 393954 w 723499"/>
            <a:gd name="connsiteY8" fmla="*/ 393954 h 723500"/>
            <a:gd name="connsiteX9" fmla="*/ 393954 w 723499"/>
            <a:gd name="connsiteY9" fmla="*/ 539058 h 723500"/>
            <a:gd name="connsiteX10" fmla="*/ 329546 w 723499"/>
            <a:gd name="connsiteY10" fmla="*/ 539058 h 723500"/>
            <a:gd name="connsiteX11" fmla="*/ 329546 w 723499"/>
            <a:gd name="connsiteY11" fmla="*/ 393916 h 723500"/>
            <a:gd name="connsiteX12" fmla="*/ 184404 w 723499"/>
            <a:gd name="connsiteY12" fmla="*/ 393916 h 723500"/>
            <a:gd name="connsiteX13" fmla="*/ 184404 w 723499"/>
            <a:gd name="connsiteY13" fmla="*/ 329508 h 723500"/>
            <a:gd name="connsiteX14" fmla="*/ 329546 w 723499"/>
            <a:gd name="connsiteY14" fmla="*/ 329508 h 723500"/>
            <a:gd name="connsiteX15" fmla="*/ 329546 w 723499"/>
            <a:gd name="connsiteY15" fmla="*/ 184366 h 723500"/>
            <a:gd name="connsiteX16" fmla="*/ 393954 w 723499"/>
            <a:gd name="connsiteY16" fmla="*/ 184366 h 723500"/>
            <a:gd name="connsiteX17" fmla="*/ 393954 w 723499"/>
            <a:gd name="connsiteY17" fmla="*/ 329508 h 723500"/>
            <a:gd name="connsiteX18" fmla="*/ 539096 w 723499"/>
            <a:gd name="connsiteY18" fmla="*/ 329508 h 7235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Lst>
          <a:rect l="l" t="t" r="r" b="b"/>
          <a:pathLst>
            <a:path w="723499" h="723500">
              <a:moveTo>
                <a:pt x="361750" y="0"/>
              </a:moveTo>
              <a:cubicBezTo>
                <a:pt x="161961" y="0"/>
                <a:pt x="0" y="161961"/>
                <a:pt x="0" y="361750"/>
              </a:cubicBezTo>
              <a:cubicBezTo>
                <a:pt x="0" y="561539"/>
                <a:pt x="161961" y="723500"/>
                <a:pt x="361750" y="723500"/>
              </a:cubicBezTo>
              <a:cubicBezTo>
                <a:pt x="561539" y="723500"/>
                <a:pt x="723500" y="561539"/>
                <a:pt x="723500" y="361750"/>
              </a:cubicBezTo>
              <a:cubicBezTo>
                <a:pt x="723500" y="361738"/>
                <a:pt x="723500" y="361724"/>
                <a:pt x="723500" y="361712"/>
              </a:cubicBezTo>
              <a:cubicBezTo>
                <a:pt x="723569" y="162013"/>
                <a:pt x="561735" y="69"/>
                <a:pt x="362036" y="0"/>
              </a:cubicBezTo>
              <a:cubicBezTo>
                <a:pt x="361940" y="0"/>
                <a:pt x="361845" y="0"/>
                <a:pt x="361750" y="0"/>
              </a:cubicBezTo>
              <a:close/>
              <a:moveTo>
                <a:pt x="539096" y="393954"/>
              </a:moveTo>
              <a:lnTo>
                <a:pt x="393954" y="393954"/>
              </a:lnTo>
              <a:lnTo>
                <a:pt x="393954" y="539058"/>
              </a:lnTo>
              <a:lnTo>
                <a:pt x="329546" y="539058"/>
              </a:lnTo>
              <a:lnTo>
                <a:pt x="329546" y="393916"/>
              </a:lnTo>
              <a:lnTo>
                <a:pt x="184404" y="393916"/>
              </a:lnTo>
              <a:lnTo>
                <a:pt x="184404" y="329508"/>
              </a:lnTo>
              <a:lnTo>
                <a:pt x="329546" y="329508"/>
              </a:lnTo>
              <a:lnTo>
                <a:pt x="329546" y="184366"/>
              </a:lnTo>
              <a:lnTo>
                <a:pt x="393954" y="184366"/>
              </a:lnTo>
              <a:lnTo>
                <a:pt x="393954" y="329508"/>
              </a:lnTo>
              <a:lnTo>
                <a:pt x="539096" y="329508"/>
              </a:lnTo>
              <a:close/>
            </a:path>
          </a:pathLst>
        </a:custGeom>
        <a:solidFill>
          <a:sysClr val="window" lastClr="FFFFFF"/>
        </a:solidFill>
        <a:ln w="9525" cap="flat">
          <a:solidFill>
            <a:srgbClr val="00B050"/>
          </a:solidFill>
          <a:prstDash val="solid"/>
          <a:miter/>
        </a:ln>
      </xdr:spPr>
      <xdr:txBody>
        <a:bodyPr rtlCol="0" anchor="ctr"/>
        <a:lstStyle/>
        <a:p>
          <a:endParaRPr lang="en-CA"/>
        </a:p>
      </xdr:txBody>
    </xdr:sp>
    <xdr:clientData fPrintsWithSheet="0"/>
  </xdr:oneCellAnchor>
  <xdr:oneCellAnchor>
    <xdr:from>
      <xdr:col>2</xdr:col>
      <xdr:colOff>0</xdr:colOff>
      <xdr:row>130</xdr:row>
      <xdr:rowOff>81375</xdr:rowOff>
    </xdr:from>
    <xdr:ext cx="1758525" cy="252000"/>
    <xdr:sp macro="[0]!Ajouter_06" textlink="">
      <xdr:nvSpPr>
        <xdr:cNvPr id="101" name="Rectangle : coins arrondis 100">
          <a:extLst>
            <a:ext uri="{FF2B5EF4-FFF2-40B4-BE49-F238E27FC236}">
              <a16:creationId xmlns:a16="http://schemas.microsoft.com/office/drawing/2014/main" id="{00000000-0008-0000-0000-000065000000}"/>
            </a:ext>
          </a:extLst>
        </xdr:cNvPr>
        <xdr:cNvSpPr/>
      </xdr:nvSpPr>
      <xdr:spPr>
        <a:xfrm>
          <a:off x="3514725" y="6625050"/>
          <a:ext cx="1758525" cy="252000"/>
        </a:xfrm>
        <a:prstGeom prst="roundRect">
          <a:avLst>
            <a:gd name="adj" fmla="val 50000"/>
          </a:avLst>
        </a:prstGeom>
        <a:solidFill>
          <a:srgbClr val="00B050"/>
        </a:solidFill>
        <a:ln>
          <a:solidFill>
            <a:schemeClr val="bg1"/>
          </a:solidFill>
        </a:ln>
      </xdr:spPr>
      <xdr:style>
        <a:lnRef idx="0">
          <a:scrgbClr r="0" g="0" b="0"/>
        </a:lnRef>
        <a:fillRef idx="0">
          <a:scrgbClr r="0" g="0" b="0"/>
        </a:fillRef>
        <a:effectRef idx="0">
          <a:scrgbClr r="0" g="0" b="0"/>
        </a:effectRef>
        <a:fontRef idx="minor">
          <a:schemeClr val="lt1"/>
        </a:fontRef>
      </xdr:style>
      <xdr:txBody>
        <a:bodyPr vertOverflow="clip" horzOverflow="clip" rtlCol="0" anchor="ctr"/>
        <a:lstStyle/>
        <a:p>
          <a:pPr algn="l"/>
          <a:r>
            <a:rPr lang="en-CA" sz="1000" b="1">
              <a:latin typeface="Arial" panose="020B0604020202020204" pitchFamily="34" charset="0"/>
              <a:cs typeface="Arial" panose="020B0604020202020204" pitchFamily="34" charset="0"/>
            </a:rPr>
            <a:t>AJOUTER UN ITEM</a:t>
          </a:r>
        </a:p>
      </xdr:txBody>
    </xdr:sp>
    <xdr:clientData fPrintsWithSheet="0"/>
  </xdr:oneCellAnchor>
  <xdr:oneCellAnchor>
    <xdr:from>
      <xdr:col>4</xdr:col>
      <xdr:colOff>0</xdr:colOff>
      <xdr:row>130</xdr:row>
      <xdr:rowOff>80995</xdr:rowOff>
    </xdr:from>
    <xdr:ext cx="253575" cy="253732"/>
    <xdr:sp macro="[0]!Ajouter_06" textlink="">
      <xdr:nvSpPr>
        <xdr:cNvPr id="102" name="Graphique 8" descr="Badge à suivre avec un remplissage uni">
          <a:extLst>
            <a:ext uri="{FF2B5EF4-FFF2-40B4-BE49-F238E27FC236}">
              <a16:creationId xmlns:a16="http://schemas.microsoft.com/office/drawing/2014/main" id="{00000000-0008-0000-0000-000066000000}"/>
            </a:ext>
          </a:extLst>
        </xdr:cNvPr>
        <xdr:cNvSpPr>
          <a:spLocks noChangeAspect="1"/>
        </xdr:cNvSpPr>
      </xdr:nvSpPr>
      <xdr:spPr>
        <a:xfrm>
          <a:off x="5019675" y="6624670"/>
          <a:ext cx="253575" cy="253732"/>
        </a:xfrm>
        <a:custGeom>
          <a:avLst/>
          <a:gdLst>
            <a:gd name="connsiteX0" fmla="*/ 361750 w 723499"/>
            <a:gd name="connsiteY0" fmla="*/ 0 h 723500"/>
            <a:gd name="connsiteX1" fmla="*/ 0 w 723499"/>
            <a:gd name="connsiteY1" fmla="*/ 361750 h 723500"/>
            <a:gd name="connsiteX2" fmla="*/ 361750 w 723499"/>
            <a:gd name="connsiteY2" fmla="*/ 723500 h 723500"/>
            <a:gd name="connsiteX3" fmla="*/ 723500 w 723499"/>
            <a:gd name="connsiteY3" fmla="*/ 361750 h 723500"/>
            <a:gd name="connsiteX4" fmla="*/ 723500 w 723499"/>
            <a:gd name="connsiteY4" fmla="*/ 361712 h 723500"/>
            <a:gd name="connsiteX5" fmla="*/ 362036 w 723499"/>
            <a:gd name="connsiteY5" fmla="*/ 0 h 723500"/>
            <a:gd name="connsiteX6" fmla="*/ 361750 w 723499"/>
            <a:gd name="connsiteY6" fmla="*/ 0 h 723500"/>
            <a:gd name="connsiteX7" fmla="*/ 539096 w 723499"/>
            <a:gd name="connsiteY7" fmla="*/ 393954 h 723500"/>
            <a:gd name="connsiteX8" fmla="*/ 393954 w 723499"/>
            <a:gd name="connsiteY8" fmla="*/ 393954 h 723500"/>
            <a:gd name="connsiteX9" fmla="*/ 393954 w 723499"/>
            <a:gd name="connsiteY9" fmla="*/ 539058 h 723500"/>
            <a:gd name="connsiteX10" fmla="*/ 329546 w 723499"/>
            <a:gd name="connsiteY10" fmla="*/ 539058 h 723500"/>
            <a:gd name="connsiteX11" fmla="*/ 329546 w 723499"/>
            <a:gd name="connsiteY11" fmla="*/ 393916 h 723500"/>
            <a:gd name="connsiteX12" fmla="*/ 184404 w 723499"/>
            <a:gd name="connsiteY12" fmla="*/ 393916 h 723500"/>
            <a:gd name="connsiteX13" fmla="*/ 184404 w 723499"/>
            <a:gd name="connsiteY13" fmla="*/ 329508 h 723500"/>
            <a:gd name="connsiteX14" fmla="*/ 329546 w 723499"/>
            <a:gd name="connsiteY14" fmla="*/ 329508 h 723500"/>
            <a:gd name="connsiteX15" fmla="*/ 329546 w 723499"/>
            <a:gd name="connsiteY15" fmla="*/ 184366 h 723500"/>
            <a:gd name="connsiteX16" fmla="*/ 393954 w 723499"/>
            <a:gd name="connsiteY16" fmla="*/ 184366 h 723500"/>
            <a:gd name="connsiteX17" fmla="*/ 393954 w 723499"/>
            <a:gd name="connsiteY17" fmla="*/ 329508 h 723500"/>
            <a:gd name="connsiteX18" fmla="*/ 539096 w 723499"/>
            <a:gd name="connsiteY18" fmla="*/ 329508 h 7235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Lst>
          <a:rect l="l" t="t" r="r" b="b"/>
          <a:pathLst>
            <a:path w="723499" h="723500">
              <a:moveTo>
                <a:pt x="361750" y="0"/>
              </a:moveTo>
              <a:cubicBezTo>
                <a:pt x="161961" y="0"/>
                <a:pt x="0" y="161961"/>
                <a:pt x="0" y="361750"/>
              </a:cubicBezTo>
              <a:cubicBezTo>
                <a:pt x="0" y="561539"/>
                <a:pt x="161961" y="723500"/>
                <a:pt x="361750" y="723500"/>
              </a:cubicBezTo>
              <a:cubicBezTo>
                <a:pt x="561539" y="723500"/>
                <a:pt x="723500" y="561539"/>
                <a:pt x="723500" y="361750"/>
              </a:cubicBezTo>
              <a:cubicBezTo>
                <a:pt x="723500" y="361738"/>
                <a:pt x="723500" y="361724"/>
                <a:pt x="723500" y="361712"/>
              </a:cubicBezTo>
              <a:cubicBezTo>
                <a:pt x="723569" y="162013"/>
                <a:pt x="561735" y="69"/>
                <a:pt x="362036" y="0"/>
              </a:cubicBezTo>
              <a:cubicBezTo>
                <a:pt x="361940" y="0"/>
                <a:pt x="361845" y="0"/>
                <a:pt x="361750" y="0"/>
              </a:cubicBezTo>
              <a:close/>
              <a:moveTo>
                <a:pt x="539096" y="393954"/>
              </a:moveTo>
              <a:lnTo>
                <a:pt x="393954" y="393954"/>
              </a:lnTo>
              <a:lnTo>
                <a:pt x="393954" y="539058"/>
              </a:lnTo>
              <a:lnTo>
                <a:pt x="329546" y="539058"/>
              </a:lnTo>
              <a:lnTo>
                <a:pt x="329546" y="393916"/>
              </a:lnTo>
              <a:lnTo>
                <a:pt x="184404" y="393916"/>
              </a:lnTo>
              <a:lnTo>
                <a:pt x="184404" y="329508"/>
              </a:lnTo>
              <a:lnTo>
                <a:pt x="329546" y="329508"/>
              </a:lnTo>
              <a:lnTo>
                <a:pt x="329546" y="184366"/>
              </a:lnTo>
              <a:lnTo>
                <a:pt x="393954" y="184366"/>
              </a:lnTo>
              <a:lnTo>
                <a:pt x="393954" y="329508"/>
              </a:lnTo>
              <a:lnTo>
                <a:pt x="539096" y="329508"/>
              </a:lnTo>
              <a:close/>
            </a:path>
          </a:pathLst>
        </a:custGeom>
        <a:solidFill>
          <a:sysClr val="window" lastClr="FFFFFF"/>
        </a:solidFill>
        <a:ln w="9525" cap="flat">
          <a:solidFill>
            <a:srgbClr val="00B050"/>
          </a:solidFill>
          <a:prstDash val="solid"/>
          <a:miter/>
        </a:ln>
      </xdr:spPr>
      <xdr:txBody>
        <a:bodyPr rtlCol="0" anchor="ctr"/>
        <a:lstStyle/>
        <a:p>
          <a:endParaRPr lang="en-CA"/>
        </a:p>
      </xdr:txBody>
    </xdr:sp>
    <xdr:clientData fPrintsWithSheet="0"/>
  </xdr:oneCellAnchor>
  <xdr:oneCellAnchor>
    <xdr:from>
      <xdr:col>2</xdr:col>
      <xdr:colOff>0</xdr:colOff>
      <xdr:row>137</xdr:row>
      <xdr:rowOff>81375</xdr:rowOff>
    </xdr:from>
    <xdr:ext cx="1758525" cy="252000"/>
    <xdr:sp macro="[0]!Ajouter_07" textlink="">
      <xdr:nvSpPr>
        <xdr:cNvPr id="103" name="Rectangle : coins arrondis 102">
          <a:extLst>
            <a:ext uri="{FF2B5EF4-FFF2-40B4-BE49-F238E27FC236}">
              <a16:creationId xmlns:a16="http://schemas.microsoft.com/office/drawing/2014/main" id="{00000000-0008-0000-0000-000067000000}"/>
            </a:ext>
          </a:extLst>
        </xdr:cNvPr>
        <xdr:cNvSpPr/>
      </xdr:nvSpPr>
      <xdr:spPr>
        <a:xfrm>
          <a:off x="3514725" y="6625050"/>
          <a:ext cx="1758525" cy="252000"/>
        </a:xfrm>
        <a:prstGeom prst="roundRect">
          <a:avLst>
            <a:gd name="adj" fmla="val 50000"/>
          </a:avLst>
        </a:prstGeom>
        <a:solidFill>
          <a:srgbClr val="00B050"/>
        </a:solidFill>
        <a:ln>
          <a:solidFill>
            <a:schemeClr val="bg1"/>
          </a:solidFill>
        </a:ln>
      </xdr:spPr>
      <xdr:style>
        <a:lnRef idx="0">
          <a:scrgbClr r="0" g="0" b="0"/>
        </a:lnRef>
        <a:fillRef idx="0">
          <a:scrgbClr r="0" g="0" b="0"/>
        </a:fillRef>
        <a:effectRef idx="0">
          <a:scrgbClr r="0" g="0" b="0"/>
        </a:effectRef>
        <a:fontRef idx="minor">
          <a:schemeClr val="lt1"/>
        </a:fontRef>
      </xdr:style>
      <xdr:txBody>
        <a:bodyPr vertOverflow="clip" horzOverflow="clip" rtlCol="0" anchor="ctr"/>
        <a:lstStyle/>
        <a:p>
          <a:pPr algn="l"/>
          <a:r>
            <a:rPr lang="en-CA" sz="1000" b="1">
              <a:latin typeface="Arial" panose="020B0604020202020204" pitchFamily="34" charset="0"/>
              <a:cs typeface="Arial" panose="020B0604020202020204" pitchFamily="34" charset="0"/>
            </a:rPr>
            <a:t>AJOUTER UN ITEM</a:t>
          </a:r>
        </a:p>
      </xdr:txBody>
    </xdr:sp>
    <xdr:clientData fPrintsWithSheet="0"/>
  </xdr:oneCellAnchor>
  <xdr:oneCellAnchor>
    <xdr:from>
      <xdr:col>4</xdr:col>
      <xdr:colOff>0</xdr:colOff>
      <xdr:row>137</xdr:row>
      <xdr:rowOff>80995</xdr:rowOff>
    </xdr:from>
    <xdr:ext cx="253575" cy="253732"/>
    <xdr:sp macro="[0]!Ajouter_07" textlink="">
      <xdr:nvSpPr>
        <xdr:cNvPr id="105" name="Graphique 8" descr="Badge à suivre avec un remplissage uni">
          <a:extLst>
            <a:ext uri="{FF2B5EF4-FFF2-40B4-BE49-F238E27FC236}">
              <a16:creationId xmlns:a16="http://schemas.microsoft.com/office/drawing/2014/main" id="{00000000-0008-0000-0000-000069000000}"/>
            </a:ext>
          </a:extLst>
        </xdr:cNvPr>
        <xdr:cNvSpPr>
          <a:spLocks noChangeAspect="1"/>
        </xdr:cNvSpPr>
      </xdr:nvSpPr>
      <xdr:spPr>
        <a:xfrm>
          <a:off x="5019675" y="6624670"/>
          <a:ext cx="253575" cy="253732"/>
        </a:xfrm>
        <a:custGeom>
          <a:avLst/>
          <a:gdLst>
            <a:gd name="connsiteX0" fmla="*/ 361750 w 723499"/>
            <a:gd name="connsiteY0" fmla="*/ 0 h 723500"/>
            <a:gd name="connsiteX1" fmla="*/ 0 w 723499"/>
            <a:gd name="connsiteY1" fmla="*/ 361750 h 723500"/>
            <a:gd name="connsiteX2" fmla="*/ 361750 w 723499"/>
            <a:gd name="connsiteY2" fmla="*/ 723500 h 723500"/>
            <a:gd name="connsiteX3" fmla="*/ 723500 w 723499"/>
            <a:gd name="connsiteY3" fmla="*/ 361750 h 723500"/>
            <a:gd name="connsiteX4" fmla="*/ 723500 w 723499"/>
            <a:gd name="connsiteY4" fmla="*/ 361712 h 723500"/>
            <a:gd name="connsiteX5" fmla="*/ 362036 w 723499"/>
            <a:gd name="connsiteY5" fmla="*/ 0 h 723500"/>
            <a:gd name="connsiteX6" fmla="*/ 361750 w 723499"/>
            <a:gd name="connsiteY6" fmla="*/ 0 h 723500"/>
            <a:gd name="connsiteX7" fmla="*/ 539096 w 723499"/>
            <a:gd name="connsiteY7" fmla="*/ 393954 h 723500"/>
            <a:gd name="connsiteX8" fmla="*/ 393954 w 723499"/>
            <a:gd name="connsiteY8" fmla="*/ 393954 h 723500"/>
            <a:gd name="connsiteX9" fmla="*/ 393954 w 723499"/>
            <a:gd name="connsiteY9" fmla="*/ 539058 h 723500"/>
            <a:gd name="connsiteX10" fmla="*/ 329546 w 723499"/>
            <a:gd name="connsiteY10" fmla="*/ 539058 h 723500"/>
            <a:gd name="connsiteX11" fmla="*/ 329546 w 723499"/>
            <a:gd name="connsiteY11" fmla="*/ 393916 h 723500"/>
            <a:gd name="connsiteX12" fmla="*/ 184404 w 723499"/>
            <a:gd name="connsiteY12" fmla="*/ 393916 h 723500"/>
            <a:gd name="connsiteX13" fmla="*/ 184404 w 723499"/>
            <a:gd name="connsiteY13" fmla="*/ 329508 h 723500"/>
            <a:gd name="connsiteX14" fmla="*/ 329546 w 723499"/>
            <a:gd name="connsiteY14" fmla="*/ 329508 h 723500"/>
            <a:gd name="connsiteX15" fmla="*/ 329546 w 723499"/>
            <a:gd name="connsiteY15" fmla="*/ 184366 h 723500"/>
            <a:gd name="connsiteX16" fmla="*/ 393954 w 723499"/>
            <a:gd name="connsiteY16" fmla="*/ 184366 h 723500"/>
            <a:gd name="connsiteX17" fmla="*/ 393954 w 723499"/>
            <a:gd name="connsiteY17" fmla="*/ 329508 h 723500"/>
            <a:gd name="connsiteX18" fmla="*/ 539096 w 723499"/>
            <a:gd name="connsiteY18" fmla="*/ 329508 h 7235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Lst>
          <a:rect l="l" t="t" r="r" b="b"/>
          <a:pathLst>
            <a:path w="723499" h="723500">
              <a:moveTo>
                <a:pt x="361750" y="0"/>
              </a:moveTo>
              <a:cubicBezTo>
                <a:pt x="161961" y="0"/>
                <a:pt x="0" y="161961"/>
                <a:pt x="0" y="361750"/>
              </a:cubicBezTo>
              <a:cubicBezTo>
                <a:pt x="0" y="561539"/>
                <a:pt x="161961" y="723500"/>
                <a:pt x="361750" y="723500"/>
              </a:cubicBezTo>
              <a:cubicBezTo>
                <a:pt x="561539" y="723500"/>
                <a:pt x="723500" y="561539"/>
                <a:pt x="723500" y="361750"/>
              </a:cubicBezTo>
              <a:cubicBezTo>
                <a:pt x="723500" y="361738"/>
                <a:pt x="723500" y="361724"/>
                <a:pt x="723500" y="361712"/>
              </a:cubicBezTo>
              <a:cubicBezTo>
                <a:pt x="723569" y="162013"/>
                <a:pt x="561735" y="69"/>
                <a:pt x="362036" y="0"/>
              </a:cubicBezTo>
              <a:cubicBezTo>
                <a:pt x="361940" y="0"/>
                <a:pt x="361845" y="0"/>
                <a:pt x="361750" y="0"/>
              </a:cubicBezTo>
              <a:close/>
              <a:moveTo>
                <a:pt x="539096" y="393954"/>
              </a:moveTo>
              <a:lnTo>
                <a:pt x="393954" y="393954"/>
              </a:lnTo>
              <a:lnTo>
                <a:pt x="393954" y="539058"/>
              </a:lnTo>
              <a:lnTo>
                <a:pt x="329546" y="539058"/>
              </a:lnTo>
              <a:lnTo>
                <a:pt x="329546" y="393916"/>
              </a:lnTo>
              <a:lnTo>
                <a:pt x="184404" y="393916"/>
              </a:lnTo>
              <a:lnTo>
                <a:pt x="184404" y="329508"/>
              </a:lnTo>
              <a:lnTo>
                <a:pt x="329546" y="329508"/>
              </a:lnTo>
              <a:lnTo>
                <a:pt x="329546" y="184366"/>
              </a:lnTo>
              <a:lnTo>
                <a:pt x="393954" y="184366"/>
              </a:lnTo>
              <a:lnTo>
                <a:pt x="393954" y="329508"/>
              </a:lnTo>
              <a:lnTo>
                <a:pt x="539096" y="329508"/>
              </a:lnTo>
              <a:close/>
            </a:path>
          </a:pathLst>
        </a:custGeom>
        <a:solidFill>
          <a:sysClr val="window" lastClr="FFFFFF"/>
        </a:solidFill>
        <a:ln w="9525" cap="flat">
          <a:solidFill>
            <a:srgbClr val="00B050"/>
          </a:solidFill>
          <a:prstDash val="solid"/>
          <a:miter/>
        </a:ln>
      </xdr:spPr>
      <xdr:txBody>
        <a:bodyPr rtlCol="0" anchor="ctr"/>
        <a:lstStyle/>
        <a:p>
          <a:endParaRPr lang="en-CA"/>
        </a:p>
      </xdr:txBody>
    </xdr:sp>
    <xdr:clientData fPrintsWithSheet="0"/>
  </xdr:oneCellAnchor>
  <xdr:oneCellAnchor>
    <xdr:from>
      <xdr:col>2</xdr:col>
      <xdr:colOff>0</xdr:colOff>
      <xdr:row>144</xdr:row>
      <xdr:rowOff>81375</xdr:rowOff>
    </xdr:from>
    <xdr:ext cx="1758525" cy="252000"/>
    <xdr:sp macro="[0]!Ajouter_08" textlink="">
      <xdr:nvSpPr>
        <xdr:cNvPr id="106" name="Rectangle : coins arrondis 105">
          <a:extLst>
            <a:ext uri="{FF2B5EF4-FFF2-40B4-BE49-F238E27FC236}">
              <a16:creationId xmlns:a16="http://schemas.microsoft.com/office/drawing/2014/main" id="{00000000-0008-0000-0000-00006A000000}"/>
            </a:ext>
          </a:extLst>
        </xdr:cNvPr>
        <xdr:cNvSpPr/>
      </xdr:nvSpPr>
      <xdr:spPr>
        <a:xfrm>
          <a:off x="3514725" y="6625050"/>
          <a:ext cx="1758525" cy="252000"/>
        </a:xfrm>
        <a:prstGeom prst="roundRect">
          <a:avLst>
            <a:gd name="adj" fmla="val 50000"/>
          </a:avLst>
        </a:prstGeom>
        <a:solidFill>
          <a:srgbClr val="00B050"/>
        </a:solidFill>
        <a:ln>
          <a:solidFill>
            <a:schemeClr val="bg1"/>
          </a:solidFill>
        </a:ln>
      </xdr:spPr>
      <xdr:style>
        <a:lnRef idx="0">
          <a:scrgbClr r="0" g="0" b="0"/>
        </a:lnRef>
        <a:fillRef idx="0">
          <a:scrgbClr r="0" g="0" b="0"/>
        </a:fillRef>
        <a:effectRef idx="0">
          <a:scrgbClr r="0" g="0" b="0"/>
        </a:effectRef>
        <a:fontRef idx="minor">
          <a:schemeClr val="lt1"/>
        </a:fontRef>
      </xdr:style>
      <xdr:txBody>
        <a:bodyPr vertOverflow="clip" horzOverflow="clip" rtlCol="0" anchor="ctr"/>
        <a:lstStyle/>
        <a:p>
          <a:pPr algn="l"/>
          <a:r>
            <a:rPr lang="en-CA" sz="1000" b="1">
              <a:latin typeface="Arial" panose="020B0604020202020204" pitchFamily="34" charset="0"/>
              <a:cs typeface="Arial" panose="020B0604020202020204" pitchFamily="34" charset="0"/>
            </a:rPr>
            <a:t>AJOUTER UN ITEM</a:t>
          </a:r>
        </a:p>
      </xdr:txBody>
    </xdr:sp>
    <xdr:clientData fPrintsWithSheet="0"/>
  </xdr:oneCellAnchor>
  <xdr:oneCellAnchor>
    <xdr:from>
      <xdr:col>4</xdr:col>
      <xdr:colOff>0</xdr:colOff>
      <xdr:row>144</xdr:row>
      <xdr:rowOff>80995</xdr:rowOff>
    </xdr:from>
    <xdr:ext cx="253575" cy="253732"/>
    <xdr:sp macro="[0]!Ajouter_08" textlink="">
      <xdr:nvSpPr>
        <xdr:cNvPr id="107" name="Graphique 8" descr="Badge à suivre avec un remplissage uni">
          <a:extLst>
            <a:ext uri="{FF2B5EF4-FFF2-40B4-BE49-F238E27FC236}">
              <a16:creationId xmlns:a16="http://schemas.microsoft.com/office/drawing/2014/main" id="{00000000-0008-0000-0000-00006B000000}"/>
            </a:ext>
          </a:extLst>
        </xdr:cNvPr>
        <xdr:cNvSpPr>
          <a:spLocks noChangeAspect="1"/>
        </xdr:cNvSpPr>
      </xdr:nvSpPr>
      <xdr:spPr>
        <a:xfrm>
          <a:off x="5019675" y="6624670"/>
          <a:ext cx="253575" cy="253732"/>
        </a:xfrm>
        <a:custGeom>
          <a:avLst/>
          <a:gdLst>
            <a:gd name="connsiteX0" fmla="*/ 361750 w 723499"/>
            <a:gd name="connsiteY0" fmla="*/ 0 h 723500"/>
            <a:gd name="connsiteX1" fmla="*/ 0 w 723499"/>
            <a:gd name="connsiteY1" fmla="*/ 361750 h 723500"/>
            <a:gd name="connsiteX2" fmla="*/ 361750 w 723499"/>
            <a:gd name="connsiteY2" fmla="*/ 723500 h 723500"/>
            <a:gd name="connsiteX3" fmla="*/ 723500 w 723499"/>
            <a:gd name="connsiteY3" fmla="*/ 361750 h 723500"/>
            <a:gd name="connsiteX4" fmla="*/ 723500 w 723499"/>
            <a:gd name="connsiteY4" fmla="*/ 361712 h 723500"/>
            <a:gd name="connsiteX5" fmla="*/ 362036 w 723499"/>
            <a:gd name="connsiteY5" fmla="*/ 0 h 723500"/>
            <a:gd name="connsiteX6" fmla="*/ 361750 w 723499"/>
            <a:gd name="connsiteY6" fmla="*/ 0 h 723500"/>
            <a:gd name="connsiteX7" fmla="*/ 539096 w 723499"/>
            <a:gd name="connsiteY7" fmla="*/ 393954 h 723500"/>
            <a:gd name="connsiteX8" fmla="*/ 393954 w 723499"/>
            <a:gd name="connsiteY8" fmla="*/ 393954 h 723500"/>
            <a:gd name="connsiteX9" fmla="*/ 393954 w 723499"/>
            <a:gd name="connsiteY9" fmla="*/ 539058 h 723500"/>
            <a:gd name="connsiteX10" fmla="*/ 329546 w 723499"/>
            <a:gd name="connsiteY10" fmla="*/ 539058 h 723500"/>
            <a:gd name="connsiteX11" fmla="*/ 329546 w 723499"/>
            <a:gd name="connsiteY11" fmla="*/ 393916 h 723500"/>
            <a:gd name="connsiteX12" fmla="*/ 184404 w 723499"/>
            <a:gd name="connsiteY12" fmla="*/ 393916 h 723500"/>
            <a:gd name="connsiteX13" fmla="*/ 184404 w 723499"/>
            <a:gd name="connsiteY13" fmla="*/ 329508 h 723500"/>
            <a:gd name="connsiteX14" fmla="*/ 329546 w 723499"/>
            <a:gd name="connsiteY14" fmla="*/ 329508 h 723500"/>
            <a:gd name="connsiteX15" fmla="*/ 329546 w 723499"/>
            <a:gd name="connsiteY15" fmla="*/ 184366 h 723500"/>
            <a:gd name="connsiteX16" fmla="*/ 393954 w 723499"/>
            <a:gd name="connsiteY16" fmla="*/ 184366 h 723500"/>
            <a:gd name="connsiteX17" fmla="*/ 393954 w 723499"/>
            <a:gd name="connsiteY17" fmla="*/ 329508 h 723500"/>
            <a:gd name="connsiteX18" fmla="*/ 539096 w 723499"/>
            <a:gd name="connsiteY18" fmla="*/ 329508 h 7235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Lst>
          <a:rect l="l" t="t" r="r" b="b"/>
          <a:pathLst>
            <a:path w="723499" h="723500">
              <a:moveTo>
                <a:pt x="361750" y="0"/>
              </a:moveTo>
              <a:cubicBezTo>
                <a:pt x="161961" y="0"/>
                <a:pt x="0" y="161961"/>
                <a:pt x="0" y="361750"/>
              </a:cubicBezTo>
              <a:cubicBezTo>
                <a:pt x="0" y="561539"/>
                <a:pt x="161961" y="723500"/>
                <a:pt x="361750" y="723500"/>
              </a:cubicBezTo>
              <a:cubicBezTo>
                <a:pt x="561539" y="723500"/>
                <a:pt x="723500" y="561539"/>
                <a:pt x="723500" y="361750"/>
              </a:cubicBezTo>
              <a:cubicBezTo>
                <a:pt x="723500" y="361738"/>
                <a:pt x="723500" y="361724"/>
                <a:pt x="723500" y="361712"/>
              </a:cubicBezTo>
              <a:cubicBezTo>
                <a:pt x="723569" y="162013"/>
                <a:pt x="561735" y="69"/>
                <a:pt x="362036" y="0"/>
              </a:cubicBezTo>
              <a:cubicBezTo>
                <a:pt x="361940" y="0"/>
                <a:pt x="361845" y="0"/>
                <a:pt x="361750" y="0"/>
              </a:cubicBezTo>
              <a:close/>
              <a:moveTo>
                <a:pt x="539096" y="393954"/>
              </a:moveTo>
              <a:lnTo>
                <a:pt x="393954" y="393954"/>
              </a:lnTo>
              <a:lnTo>
                <a:pt x="393954" y="539058"/>
              </a:lnTo>
              <a:lnTo>
                <a:pt x="329546" y="539058"/>
              </a:lnTo>
              <a:lnTo>
                <a:pt x="329546" y="393916"/>
              </a:lnTo>
              <a:lnTo>
                <a:pt x="184404" y="393916"/>
              </a:lnTo>
              <a:lnTo>
                <a:pt x="184404" y="329508"/>
              </a:lnTo>
              <a:lnTo>
                <a:pt x="329546" y="329508"/>
              </a:lnTo>
              <a:lnTo>
                <a:pt x="329546" y="184366"/>
              </a:lnTo>
              <a:lnTo>
                <a:pt x="393954" y="184366"/>
              </a:lnTo>
              <a:lnTo>
                <a:pt x="393954" y="329508"/>
              </a:lnTo>
              <a:lnTo>
                <a:pt x="539096" y="329508"/>
              </a:lnTo>
              <a:close/>
            </a:path>
          </a:pathLst>
        </a:custGeom>
        <a:solidFill>
          <a:sysClr val="window" lastClr="FFFFFF"/>
        </a:solidFill>
        <a:ln w="9525" cap="flat">
          <a:solidFill>
            <a:srgbClr val="00B050"/>
          </a:solidFill>
          <a:prstDash val="solid"/>
          <a:miter/>
        </a:ln>
      </xdr:spPr>
      <xdr:txBody>
        <a:bodyPr rtlCol="0" anchor="ctr"/>
        <a:lstStyle/>
        <a:p>
          <a:endParaRPr lang="en-CA"/>
        </a:p>
      </xdr:txBody>
    </xdr:sp>
    <xdr:clientData fPrintsWithSheet="0"/>
  </xdr:oneCellAnchor>
  <xdr:oneCellAnchor>
    <xdr:from>
      <xdr:col>2</xdr:col>
      <xdr:colOff>0</xdr:colOff>
      <xdr:row>151</xdr:row>
      <xdr:rowOff>81375</xdr:rowOff>
    </xdr:from>
    <xdr:ext cx="1758525" cy="252000"/>
    <xdr:sp macro="[0]!Ajouter_09" textlink="">
      <xdr:nvSpPr>
        <xdr:cNvPr id="108" name="Rectangle : coins arrondis 107">
          <a:extLst>
            <a:ext uri="{FF2B5EF4-FFF2-40B4-BE49-F238E27FC236}">
              <a16:creationId xmlns:a16="http://schemas.microsoft.com/office/drawing/2014/main" id="{00000000-0008-0000-0000-00006C000000}"/>
            </a:ext>
          </a:extLst>
        </xdr:cNvPr>
        <xdr:cNvSpPr/>
      </xdr:nvSpPr>
      <xdr:spPr>
        <a:xfrm>
          <a:off x="3514725" y="6625050"/>
          <a:ext cx="1758525" cy="252000"/>
        </a:xfrm>
        <a:prstGeom prst="roundRect">
          <a:avLst>
            <a:gd name="adj" fmla="val 50000"/>
          </a:avLst>
        </a:prstGeom>
        <a:solidFill>
          <a:srgbClr val="00B050"/>
        </a:solidFill>
        <a:ln>
          <a:solidFill>
            <a:schemeClr val="bg1"/>
          </a:solidFill>
        </a:ln>
      </xdr:spPr>
      <xdr:style>
        <a:lnRef idx="0">
          <a:scrgbClr r="0" g="0" b="0"/>
        </a:lnRef>
        <a:fillRef idx="0">
          <a:scrgbClr r="0" g="0" b="0"/>
        </a:fillRef>
        <a:effectRef idx="0">
          <a:scrgbClr r="0" g="0" b="0"/>
        </a:effectRef>
        <a:fontRef idx="minor">
          <a:schemeClr val="lt1"/>
        </a:fontRef>
      </xdr:style>
      <xdr:txBody>
        <a:bodyPr vertOverflow="clip" horzOverflow="clip" rtlCol="0" anchor="ctr"/>
        <a:lstStyle/>
        <a:p>
          <a:pPr algn="l"/>
          <a:r>
            <a:rPr lang="en-CA" sz="1000" b="1">
              <a:latin typeface="Arial" panose="020B0604020202020204" pitchFamily="34" charset="0"/>
              <a:cs typeface="Arial" panose="020B0604020202020204" pitchFamily="34" charset="0"/>
            </a:rPr>
            <a:t>AJOUTER UN ITEM</a:t>
          </a:r>
        </a:p>
      </xdr:txBody>
    </xdr:sp>
    <xdr:clientData fPrintsWithSheet="0"/>
  </xdr:oneCellAnchor>
  <xdr:oneCellAnchor>
    <xdr:from>
      <xdr:col>4</xdr:col>
      <xdr:colOff>0</xdr:colOff>
      <xdr:row>151</xdr:row>
      <xdr:rowOff>80995</xdr:rowOff>
    </xdr:from>
    <xdr:ext cx="253575" cy="253732"/>
    <xdr:sp macro="[0]!Ajouter_09" textlink="">
      <xdr:nvSpPr>
        <xdr:cNvPr id="109" name="Graphique 8" descr="Badge à suivre avec un remplissage uni">
          <a:extLst>
            <a:ext uri="{FF2B5EF4-FFF2-40B4-BE49-F238E27FC236}">
              <a16:creationId xmlns:a16="http://schemas.microsoft.com/office/drawing/2014/main" id="{00000000-0008-0000-0000-00006D000000}"/>
            </a:ext>
          </a:extLst>
        </xdr:cNvPr>
        <xdr:cNvSpPr>
          <a:spLocks noChangeAspect="1"/>
        </xdr:cNvSpPr>
      </xdr:nvSpPr>
      <xdr:spPr>
        <a:xfrm>
          <a:off x="5019675" y="6624670"/>
          <a:ext cx="253575" cy="253732"/>
        </a:xfrm>
        <a:custGeom>
          <a:avLst/>
          <a:gdLst>
            <a:gd name="connsiteX0" fmla="*/ 361750 w 723499"/>
            <a:gd name="connsiteY0" fmla="*/ 0 h 723500"/>
            <a:gd name="connsiteX1" fmla="*/ 0 w 723499"/>
            <a:gd name="connsiteY1" fmla="*/ 361750 h 723500"/>
            <a:gd name="connsiteX2" fmla="*/ 361750 w 723499"/>
            <a:gd name="connsiteY2" fmla="*/ 723500 h 723500"/>
            <a:gd name="connsiteX3" fmla="*/ 723500 w 723499"/>
            <a:gd name="connsiteY3" fmla="*/ 361750 h 723500"/>
            <a:gd name="connsiteX4" fmla="*/ 723500 w 723499"/>
            <a:gd name="connsiteY4" fmla="*/ 361712 h 723500"/>
            <a:gd name="connsiteX5" fmla="*/ 362036 w 723499"/>
            <a:gd name="connsiteY5" fmla="*/ 0 h 723500"/>
            <a:gd name="connsiteX6" fmla="*/ 361750 w 723499"/>
            <a:gd name="connsiteY6" fmla="*/ 0 h 723500"/>
            <a:gd name="connsiteX7" fmla="*/ 539096 w 723499"/>
            <a:gd name="connsiteY7" fmla="*/ 393954 h 723500"/>
            <a:gd name="connsiteX8" fmla="*/ 393954 w 723499"/>
            <a:gd name="connsiteY8" fmla="*/ 393954 h 723500"/>
            <a:gd name="connsiteX9" fmla="*/ 393954 w 723499"/>
            <a:gd name="connsiteY9" fmla="*/ 539058 h 723500"/>
            <a:gd name="connsiteX10" fmla="*/ 329546 w 723499"/>
            <a:gd name="connsiteY10" fmla="*/ 539058 h 723500"/>
            <a:gd name="connsiteX11" fmla="*/ 329546 w 723499"/>
            <a:gd name="connsiteY11" fmla="*/ 393916 h 723500"/>
            <a:gd name="connsiteX12" fmla="*/ 184404 w 723499"/>
            <a:gd name="connsiteY12" fmla="*/ 393916 h 723500"/>
            <a:gd name="connsiteX13" fmla="*/ 184404 w 723499"/>
            <a:gd name="connsiteY13" fmla="*/ 329508 h 723500"/>
            <a:gd name="connsiteX14" fmla="*/ 329546 w 723499"/>
            <a:gd name="connsiteY14" fmla="*/ 329508 h 723500"/>
            <a:gd name="connsiteX15" fmla="*/ 329546 w 723499"/>
            <a:gd name="connsiteY15" fmla="*/ 184366 h 723500"/>
            <a:gd name="connsiteX16" fmla="*/ 393954 w 723499"/>
            <a:gd name="connsiteY16" fmla="*/ 184366 h 723500"/>
            <a:gd name="connsiteX17" fmla="*/ 393954 w 723499"/>
            <a:gd name="connsiteY17" fmla="*/ 329508 h 723500"/>
            <a:gd name="connsiteX18" fmla="*/ 539096 w 723499"/>
            <a:gd name="connsiteY18" fmla="*/ 329508 h 7235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Lst>
          <a:rect l="l" t="t" r="r" b="b"/>
          <a:pathLst>
            <a:path w="723499" h="723500">
              <a:moveTo>
                <a:pt x="361750" y="0"/>
              </a:moveTo>
              <a:cubicBezTo>
                <a:pt x="161961" y="0"/>
                <a:pt x="0" y="161961"/>
                <a:pt x="0" y="361750"/>
              </a:cubicBezTo>
              <a:cubicBezTo>
                <a:pt x="0" y="561539"/>
                <a:pt x="161961" y="723500"/>
                <a:pt x="361750" y="723500"/>
              </a:cubicBezTo>
              <a:cubicBezTo>
                <a:pt x="561539" y="723500"/>
                <a:pt x="723500" y="561539"/>
                <a:pt x="723500" y="361750"/>
              </a:cubicBezTo>
              <a:cubicBezTo>
                <a:pt x="723500" y="361738"/>
                <a:pt x="723500" y="361724"/>
                <a:pt x="723500" y="361712"/>
              </a:cubicBezTo>
              <a:cubicBezTo>
                <a:pt x="723569" y="162013"/>
                <a:pt x="561735" y="69"/>
                <a:pt x="362036" y="0"/>
              </a:cubicBezTo>
              <a:cubicBezTo>
                <a:pt x="361940" y="0"/>
                <a:pt x="361845" y="0"/>
                <a:pt x="361750" y="0"/>
              </a:cubicBezTo>
              <a:close/>
              <a:moveTo>
                <a:pt x="539096" y="393954"/>
              </a:moveTo>
              <a:lnTo>
                <a:pt x="393954" y="393954"/>
              </a:lnTo>
              <a:lnTo>
                <a:pt x="393954" y="539058"/>
              </a:lnTo>
              <a:lnTo>
                <a:pt x="329546" y="539058"/>
              </a:lnTo>
              <a:lnTo>
                <a:pt x="329546" y="393916"/>
              </a:lnTo>
              <a:lnTo>
                <a:pt x="184404" y="393916"/>
              </a:lnTo>
              <a:lnTo>
                <a:pt x="184404" y="329508"/>
              </a:lnTo>
              <a:lnTo>
                <a:pt x="329546" y="329508"/>
              </a:lnTo>
              <a:lnTo>
                <a:pt x="329546" y="184366"/>
              </a:lnTo>
              <a:lnTo>
                <a:pt x="393954" y="184366"/>
              </a:lnTo>
              <a:lnTo>
                <a:pt x="393954" y="329508"/>
              </a:lnTo>
              <a:lnTo>
                <a:pt x="539096" y="329508"/>
              </a:lnTo>
              <a:close/>
            </a:path>
          </a:pathLst>
        </a:custGeom>
        <a:solidFill>
          <a:sysClr val="window" lastClr="FFFFFF"/>
        </a:solidFill>
        <a:ln w="9525" cap="flat">
          <a:solidFill>
            <a:srgbClr val="00B050"/>
          </a:solidFill>
          <a:prstDash val="solid"/>
          <a:miter/>
        </a:ln>
      </xdr:spPr>
      <xdr:txBody>
        <a:bodyPr rtlCol="0" anchor="ctr"/>
        <a:lstStyle/>
        <a:p>
          <a:endParaRPr lang="en-CA"/>
        </a:p>
      </xdr:txBody>
    </xdr:sp>
    <xdr:clientData fPrintsWithSheet="0"/>
  </xdr:oneCellAnchor>
  <xdr:oneCellAnchor>
    <xdr:from>
      <xdr:col>2</xdr:col>
      <xdr:colOff>0</xdr:colOff>
      <xdr:row>158</xdr:row>
      <xdr:rowOff>81375</xdr:rowOff>
    </xdr:from>
    <xdr:ext cx="1758525" cy="252000"/>
    <xdr:sp macro="[0]!Ajouter_10" textlink="">
      <xdr:nvSpPr>
        <xdr:cNvPr id="110" name="Rectangle : coins arrondis 109">
          <a:extLst>
            <a:ext uri="{FF2B5EF4-FFF2-40B4-BE49-F238E27FC236}">
              <a16:creationId xmlns:a16="http://schemas.microsoft.com/office/drawing/2014/main" id="{00000000-0008-0000-0000-00006E000000}"/>
            </a:ext>
          </a:extLst>
        </xdr:cNvPr>
        <xdr:cNvSpPr/>
      </xdr:nvSpPr>
      <xdr:spPr>
        <a:xfrm>
          <a:off x="3514725" y="6625050"/>
          <a:ext cx="1758525" cy="252000"/>
        </a:xfrm>
        <a:prstGeom prst="roundRect">
          <a:avLst>
            <a:gd name="adj" fmla="val 50000"/>
          </a:avLst>
        </a:prstGeom>
        <a:solidFill>
          <a:srgbClr val="00B050"/>
        </a:solidFill>
        <a:ln>
          <a:solidFill>
            <a:schemeClr val="bg1"/>
          </a:solidFill>
        </a:ln>
      </xdr:spPr>
      <xdr:style>
        <a:lnRef idx="0">
          <a:scrgbClr r="0" g="0" b="0"/>
        </a:lnRef>
        <a:fillRef idx="0">
          <a:scrgbClr r="0" g="0" b="0"/>
        </a:fillRef>
        <a:effectRef idx="0">
          <a:scrgbClr r="0" g="0" b="0"/>
        </a:effectRef>
        <a:fontRef idx="minor">
          <a:schemeClr val="lt1"/>
        </a:fontRef>
      </xdr:style>
      <xdr:txBody>
        <a:bodyPr vertOverflow="clip" horzOverflow="clip" rtlCol="0" anchor="ctr"/>
        <a:lstStyle/>
        <a:p>
          <a:pPr algn="l"/>
          <a:r>
            <a:rPr lang="en-CA" sz="1000" b="1">
              <a:latin typeface="Arial" panose="020B0604020202020204" pitchFamily="34" charset="0"/>
              <a:cs typeface="Arial" panose="020B0604020202020204" pitchFamily="34" charset="0"/>
            </a:rPr>
            <a:t>AJOUTER UN ITEM</a:t>
          </a:r>
        </a:p>
      </xdr:txBody>
    </xdr:sp>
    <xdr:clientData fPrintsWithSheet="0"/>
  </xdr:oneCellAnchor>
  <xdr:oneCellAnchor>
    <xdr:from>
      <xdr:col>4</xdr:col>
      <xdr:colOff>0</xdr:colOff>
      <xdr:row>158</xdr:row>
      <xdr:rowOff>80995</xdr:rowOff>
    </xdr:from>
    <xdr:ext cx="253575" cy="253732"/>
    <xdr:sp macro="[0]!Ajouter_10" textlink="">
      <xdr:nvSpPr>
        <xdr:cNvPr id="111" name="Graphique 8" descr="Badge à suivre avec un remplissage uni">
          <a:extLst>
            <a:ext uri="{FF2B5EF4-FFF2-40B4-BE49-F238E27FC236}">
              <a16:creationId xmlns:a16="http://schemas.microsoft.com/office/drawing/2014/main" id="{00000000-0008-0000-0000-00006F000000}"/>
            </a:ext>
          </a:extLst>
        </xdr:cNvPr>
        <xdr:cNvSpPr>
          <a:spLocks noChangeAspect="1"/>
        </xdr:cNvSpPr>
      </xdr:nvSpPr>
      <xdr:spPr>
        <a:xfrm>
          <a:off x="5019675" y="6624670"/>
          <a:ext cx="253575" cy="253732"/>
        </a:xfrm>
        <a:custGeom>
          <a:avLst/>
          <a:gdLst>
            <a:gd name="connsiteX0" fmla="*/ 361750 w 723499"/>
            <a:gd name="connsiteY0" fmla="*/ 0 h 723500"/>
            <a:gd name="connsiteX1" fmla="*/ 0 w 723499"/>
            <a:gd name="connsiteY1" fmla="*/ 361750 h 723500"/>
            <a:gd name="connsiteX2" fmla="*/ 361750 w 723499"/>
            <a:gd name="connsiteY2" fmla="*/ 723500 h 723500"/>
            <a:gd name="connsiteX3" fmla="*/ 723500 w 723499"/>
            <a:gd name="connsiteY3" fmla="*/ 361750 h 723500"/>
            <a:gd name="connsiteX4" fmla="*/ 723500 w 723499"/>
            <a:gd name="connsiteY4" fmla="*/ 361712 h 723500"/>
            <a:gd name="connsiteX5" fmla="*/ 362036 w 723499"/>
            <a:gd name="connsiteY5" fmla="*/ 0 h 723500"/>
            <a:gd name="connsiteX6" fmla="*/ 361750 w 723499"/>
            <a:gd name="connsiteY6" fmla="*/ 0 h 723500"/>
            <a:gd name="connsiteX7" fmla="*/ 539096 w 723499"/>
            <a:gd name="connsiteY7" fmla="*/ 393954 h 723500"/>
            <a:gd name="connsiteX8" fmla="*/ 393954 w 723499"/>
            <a:gd name="connsiteY8" fmla="*/ 393954 h 723500"/>
            <a:gd name="connsiteX9" fmla="*/ 393954 w 723499"/>
            <a:gd name="connsiteY9" fmla="*/ 539058 h 723500"/>
            <a:gd name="connsiteX10" fmla="*/ 329546 w 723499"/>
            <a:gd name="connsiteY10" fmla="*/ 539058 h 723500"/>
            <a:gd name="connsiteX11" fmla="*/ 329546 w 723499"/>
            <a:gd name="connsiteY11" fmla="*/ 393916 h 723500"/>
            <a:gd name="connsiteX12" fmla="*/ 184404 w 723499"/>
            <a:gd name="connsiteY12" fmla="*/ 393916 h 723500"/>
            <a:gd name="connsiteX13" fmla="*/ 184404 w 723499"/>
            <a:gd name="connsiteY13" fmla="*/ 329508 h 723500"/>
            <a:gd name="connsiteX14" fmla="*/ 329546 w 723499"/>
            <a:gd name="connsiteY14" fmla="*/ 329508 h 723500"/>
            <a:gd name="connsiteX15" fmla="*/ 329546 w 723499"/>
            <a:gd name="connsiteY15" fmla="*/ 184366 h 723500"/>
            <a:gd name="connsiteX16" fmla="*/ 393954 w 723499"/>
            <a:gd name="connsiteY16" fmla="*/ 184366 h 723500"/>
            <a:gd name="connsiteX17" fmla="*/ 393954 w 723499"/>
            <a:gd name="connsiteY17" fmla="*/ 329508 h 723500"/>
            <a:gd name="connsiteX18" fmla="*/ 539096 w 723499"/>
            <a:gd name="connsiteY18" fmla="*/ 329508 h 7235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Lst>
          <a:rect l="l" t="t" r="r" b="b"/>
          <a:pathLst>
            <a:path w="723499" h="723500">
              <a:moveTo>
                <a:pt x="361750" y="0"/>
              </a:moveTo>
              <a:cubicBezTo>
                <a:pt x="161961" y="0"/>
                <a:pt x="0" y="161961"/>
                <a:pt x="0" y="361750"/>
              </a:cubicBezTo>
              <a:cubicBezTo>
                <a:pt x="0" y="561539"/>
                <a:pt x="161961" y="723500"/>
                <a:pt x="361750" y="723500"/>
              </a:cubicBezTo>
              <a:cubicBezTo>
                <a:pt x="561539" y="723500"/>
                <a:pt x="723500" y="561539"/>
                <a:pt x="723500" y="361750"/>
              </a:cubicBezTo>
              <a:cubicBezTo>
                <a:pt x="723500" y="361738"/>
                <a:pt x="723500" y="361724"/>
                <a:pt x="723500" y="361712"/>
              </a:cubicBezTo>
              <a:cubicBezTo>
                <a:pt x="723569" y="162013"/>
                <a:pt x="561735" y="69"/>
                <a:pt x="362036" y="0"/>
              </a:cubicBezTo>
              <a:cubicBezTo>
                <a:pt x="361940" y="0"/>
                <a:pt x="361845" y="0"/>
                <a:pt x="361750" y="0"/>
              </a:cubicBezTo>
              <a:close/>
              <a:moveTo>
                <a:pt x="539096" y="393954"/>
              </a:moveTo>
              <a:lnTo>
                <a:pt x="393954" y="393954"/>
              </a:lnTo>
              <a:lnTo>
                <a:pt x="393954" y="539058"/>
              </a:lnTo>
              <a:lnTo>
                <a:pt x="329546" y="539058"/>
              </a:lnTo>
              <a:lnTo>
                <a:pt x="329546" y="393916"/>
              </a:lnTo>
              <a:lnTo>
                <a:pt x="184404" y="393916"/>
              </a:lnTo>
              <a:lnTo>
                <a:pt x="184404" y="329508"/>
              </a:lnTo>
              <a:lnTo>
                <a:pt x="329546" y="329508"/>
              </a:lnTo>
              <a:lnTo>
                <a:pt x="329546" y="184366"/>
              </a:lnTo>
              <a:lnTo>
                <a:pt x="393954" y="184366"/>
              </a:lnTo>
              <a:lnTo>
                <a:pt x="393954" y="329508"/>
              </a:lnTo>
              <a:lnTo>
                <a:pt x="539096" y="329508"/>
              </a:lnTo>
              <a:close/>
            </a:path>
          </a:pathLst>
        </a:custGeom>
        <a:solidFill>
          <a:sysClr val="window" lastClr="FFFFFF"/>
        </a:solidFill>
        <a:ln w="9525" cap="flat">
          <a:solidFill>
            <a:srgbClr val="00B050"/>
          </a:solidFill>
          <a:prstDash val="solid"/>
          <a:miter/>
        </a:ln>
      </xdr:spPr>
      <xdr:txBody>
        <a:bodyPr rtlCol="0" anchor="ctr"/>
        <a:lstStyle/>
        <a:p>
          <a:endParaRPr lang="en-CA"/>
        </a:p>
      </xdr:txBody>
    </xdr:sp>
    <xdr:clientData fPrintsWithSheet="0"/>
  </xdr:oneCellAnchor>
  <xdr:oneCellAnchor>
    <xdr:from>
      <xdr:col>2</xdr:col>
      <xdr:colOff>0</xdr:colOff>
      <xdr:row>165</xdr:row>
      <xdr:rowOff>81375</xdr:rowOff>
    </xdr:from>
    <xdr:ext cx="1758525" cy="252000"/>
    <xdr:sp macro="[0]!Ajouter_11" textlink="">
      <xdr:nvSpPr>
        <xdr:cNvPr id="112" name="Rectangle : coins arrondis 111">
          <a:extLst>
            <a:ext uri="{FF2B5EF4-FFF2-40B4-BE49-F238E27FC236}">
              <a16:creationId xmlns:a16="http://schemas.microsoft.com/office/drawing/2014/main" id="{00000000-0008-0000-0000-000070000000}"/>
            </a:ext>
          </a:extLst>
        </xdr:cNvPr>
        <xdr:cNvSpPr/>
      </xdr:nvSpPr>
      <xdr:spPr>
        <a:xfrm>
          <a:off x="3514725" y="6625050"/>
          <a:ext cx="1758525" cy="252000"/>
        </a:xfrm>
        <a:prstGeom prst="roundRect">
          <a:avLst>
            <a:gd name="adj" fmla="val 50000"/>
          </a:avLst>
        </a:prstGeom>
        <a:solidFill>
          <a:srgbClr val="00B050"/>
        </a:solidFill>
        <a:ln>
          <a:solidFill>
            <a:schemeClr val="bg1"/>
          </a:solidFill>
        </a:ln>
      </xdr:spPr>
      <xdr:style>
        <a:lnRef idx="0">
          <a:scrgbClr r="0" g="0" b="0"/>
        </a:lnRef>
        <a:fillRef idx="0">
          <a:scrgbClr r="0" g="0" b="0"/>
        </a:fillRef>
        <a:effectRef idx="0">
          <a:scrgbClr r="0" g="0" b="0"/>
        </a:effectRef>
        <a:fontRef idx="minor">
          <a:schemeClr val="lt1"/>
        </a:fontRef>
      </xdr:style>
      <xdr:txBody>
        <a:bodyPr vertOverflow="clip" horzOverflow="clip" rtlCol="0" anchor="ctr"/>
        <a:lstStyle/>
        <a:p>
          <a:pPr algn="l"/>
          <a:r>
            <a:rPr lang="en-CA" sz="1000" b="1">
              <a:latin typeface="Arial" panose="020B0604020202020204" pitchFamily="34" charset="0"/>
              <a:cs typeface="Arial" panose="020B0604020202020204" pitchFamily="34" charset="0"/>
            </a:rPr>
            <a:t>AJOUTER UN ITEM</a:t>
          </a:r>
        </a:p>
      </xdr:txBody>
    </xdr:sp>
    <xdr:clientData fPrintsWithSheet="0"/>
  </xdr:oneCellAnchor>
  <xdr:oneCellAnchor>
    <xdr:from>
      <xdr:col>4</xdr:col>
      <xdr:colOff>0</xdr:colOff>
      <xdr:row>165</xdr:row>
      <xdr:rowOff>80995</xdr:rowOff>
    </xdr:from>
    <xdr:ext cx="253575" cy="253732"/>
    <xdr:sp macro="[0]!Ajouter_11" textlink="">
      <xdr:nvSpPr>
        <xdr:cNvPr id="113" name="Graphique 8" descr="Badge à suivre avec un remplissage uni">
          <a:extLst>
            <a:ext uri="{FF2B5EF4-FFF2-40B4-BE49-F238E27FC236}">
              <a16:creationId xmlns:a16="http://schemas.microsoft.com/office/drawing/2014/main" id="{00000000-0008-0000-0000-000071000000}"/>
            </a:ext>
          </a:extLst>
        </xdr:cNvPr>
        <xdr:cNvSpPr>
          <a:spLocks noChangeAspect="1"/>
        </xdr:cNvSpPr>
      </xdr:nvSpPr>
      <xdr:spPr>
        <a:xfrm>
          <a:off x="5019675" y="6624670"/>
          <a:ext cx="253575" cy="253732"/>
        </a:xfrm>
        <a:custGeom>
          <a:avLst/>
          <a:gdLst>
            <a:gd name="connsiteX0" fmla="*/ 361750 w 723499"/>
            <a:gd name="connsiteY0" fmla="*/ 0 h 723500"/>
            <a:gd name="connsiteX1" fmla="*/ 0 w 723499"/>
            <a:gd name="connsiteY1" fmla="*/ 361750 h 723500"/>
            <a:gd name="connsiteX2" fmla="*/ 361750 w 723499"/>
            <a:gd name="connsiteY2" fmla="*/ 723500 h 723500"/>
            <a:gd name="connsiteX3" fmla="*/ 723500 w 723499"/>
            <a:gd name="connsiteY3" fmla="*/ 361750 h 723500"/>
            <a:gd name="connsiteX4" fmla="*/ 723500 w 723499"/>
            <a:gd name="connsiteY4" fmla="*/ 361712 h 723500"/>
            <a:gd name="connsiteX5" fmla="*/ 362036 w 723499"/>
            <a:gd name="connsiteY5" fmla="*/ 0 h 723500"/>
            <a:gd name="connsiteX6" fmla="*/ 361750 w 723499"/>
            <a:gd name="connsiteY6" fmla="*/ 0 h 723500"/>
            <a:gd name="connsiteX7" fmla="*/ 539096 w 723499"/>
            <a:gd name="connsiteY7" fmla="*/ 393954 h 723500"/>
            <a:gd name="connsiteX8" fmla="*/ 393954 w 723499"/>
            <a:gd name="connsiteY8" fmla="*/ 393954 h 723500"/>
            <a:gd name="connsiteX9" fmla="*/ 393954 w 723499"/>
            <a:gd name="connsiteY9" fmla="*/ 539058 h 723500"/>
            <a:gd name="connsiteX10" fmla="*/ 329546 w 723499"/>
            <a:gd name="connsiteY10" fmla="*/ 539058 h 723500"/>
            <a:gd name="connsiteX11" fmla="*/ 329546 w 723499"/>
            <a:gd name="connsiteY11" fmla="*/ 393916 h 723500"/>
            <a:gd name="connsiteX12" fmla="*/ 184404 w 723499"/>
            <a:gd name="connsiteY12" fmla="*/ 393916 h 723500"/>
            <a:gd name="connsiteX13" fmla="*/ 184404 w 723499"/>
            <a:gd name="connsiteY13" fmla="*/ 329508 h 723500"/>
            <a:gd name="connsiteX14" fmla="*/ 329546 w 723499"/>
            <a:gd name="connsiteY14" fmla="*/ 329508 h 723500"/>
            <a:gd name="connsiteX15" fmla="*/ 329546 w 723499"/>
            <a:gd name="connsiteY15" fmla="*/ 184366 h 723500"/>
            <a:gd name="connsiteX16" fmla="*/ 393954 w 723499"/>
            <a:gd name="connsiteY16" fmla="*/ 184366 h 723500"/>
            <a:gd name="connsiteX17" fmla="*/ 393954 w 723499"/>
            <a:gd name="connsiteY17" fmla="*/ 329508 h 723500"/>
            <a:gd name="connsiteX18" fmla="*/ 539096 w 723499"/>
            <a:gd name="connsiteY18" fmla="*/ 329508 h 7235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Lst>
          <a:rect l="l" t="t" r="r" b="b"/>
          <a:pathLst>
            <a:path w="723499" h="723500">
              <a:moveTo>
                <a:pt x="361750" y="0"/>
              </a:moveTo>
              <a:cubicBezTo>
                <a:pt x="161961" y="0"/>
                <a:pt x="0" y="161961"/>
                <a:pt x="0" y="361750"/>
              </a:cubicBezTo>
              <a:cubicBezTo>
                <a:pt x="0" y="561539"/>
                <a:pt x="161961" y="723500"/>
                <a:pt x="361750" y="723500"/>
              </a:cubicBezTo>
              <a:cubicBezTo>
                <a:pt x="561539" y="723500"/>
                <a:pt x="723500" y="561539"/>
                <a:pt x="723500" y="361750"/>
              </a:cubicBezTo>
              <a:cubicBezTo>
                <a:pt x="723500" y="361738"/>
                <a:pt x="723500" y="361724"/>
                <a:pt x="723500" y="361712"/>
              </a:cubicBezTo>
              <a:cubicBezTo>
                <a:pt x="723569" y="162013"/>
                <a:pt x="561735" y="69"/>
                <a:pt x="362036" y="0"/>
              </a:cubicBezTo>
              <a:cubicBezTo>
                <a:pt x="361940" y="0"/>
                <a:pt x="361845" y="0"/>
                <a:pt x="361750" y="0"/>
              </a:cubicBezTo>
              <a:close/>
              <a:moveTo>
                <a:pt x="539096" y="393954"/>
              </a:moveTo>
              <a:lnTo>
                <a:pt x="393954" y="393954"/>
              </a:lnTo>
              <a:lnTo>
                <a:pt x="393954" y="539058"/>
              </a:lnTo>
              <a:lnTo>
                <a:pt x="329546" y="539058"/>
              </a:lnTo>
              <a:lnTo>
                <a:pt x="329546" y="393916"/>
              </a:lnTo>
              <a:lnTo>
                <a:pt x="184404" y="393916"/>
              </a:lnTo>
              <a:lnTo>
                <a:pt x="184404" y="329508"/>
              </a:lnTo>
              <a:lnTo>
                <a:pt x="329546" y="329508"/>
              </a:lnTo>
              <a:lnTo>
                <a:pt x="329546" y="184366"/>
              </a:lnTo>
              <a:lnTo>
                <a:pt x="393954" y="184366"/>
              </a:lnTo>
              <a:lnTo>
                <a:pt x="393954" y="329508"/>
              </a:lnTo>
              <a:lnTo>
                <a:pt x="539096" y="329508"/>
              </a:lnTo>
              <a:close/>
            </a:path>
          </a:pathLst>
        </a:custGeom>
        <a:solidFill>
          <a:sysClr val="window" lastClr="FFFFFF"/>
        </a:solidFill>
        <a:ln w="9525" cap="flat">
          <a:solidFill>
            <a:srgbClr val="00B050"/>
          </a:solidFill>
          <a:prstDash val="solid"/>
          <a:miter/>
        </a:ln>
      </xdr:spPr>
      <xdr:txBody>
        <a:bodyPr rtlCol="0" anchor="ctr"/>
        <a:lstStyle/>
        <a:p>
          <a:endParaRPr lang="en-CA"/>
        </a:p>
      </xdr:txBody>
    </xdr:sp>
    <xdr:clientData fPrintsWithSheet="0"/>
  </xdr:oneCellAnchor>
  <xdr:oneCellAnchor>
    <xdr:from>
      <xdr:col>2</xdr:col>
      <xdr:colOff>0</xdr:colOff>
      <xdr:row>172</xdr:row>
      <xdr:rowOff>81375</xdr:rowOff>
    </xdr:from>
    <xdr:ext cx="1758525" cy="252000"/>
    <xdr:sp macro="[0]!Ajouter_12" textlink="">
      <xdr:nvSpPr>
        <xdr:cNvPr id="114" name="Rectangle : coins arrondis 113">
          <a:extLst>
            <a:ext uri="{FF2B5EF4-FFF2-40B4-BE49-F238E27FC236}">
              <a16:creationId xmlns:a16="http://schemas.microsoft.com/office/drawing/2014/main" id="{00000000-0008-0000-0000-000072000000}"/>
            </a:ext>
          </a:extLst>
        </xdr:cNvPr>
        <xdr:cNvSpPr/>
      </xdr:nvSpPr>
      <xdr:spPr>
        <a:xfrm>
          <a:off x="3514725" y="6625050"/>
          <a:ext cx="1758525" cy="252000"/>
        </a:xfrm>
        <a:prstGeom prst="roundRect">
          <a:avLst>
            <a:gd name="adj" fmla="val 50000"/>
          </a:avLst>
        </a:prstGeom>
        <a:solidFill>
          <a:srgbClr val="00B050"/>
        </a:solidFill>
        <a:ln>
          <a:solidFill>
            <a:schemeClr val="bg1"/>
          </a:solidFill>
        </a:ln>
      </xdr:spPr>
      <xdr:style>
        <a:lnRef idx="0">
          <a:scrgbClr r="0" g="0" b="0"/>
        </a:lnRef>
        <a:fillRef idx="0">
          <a:scrgbClr r="0" g="0" b="0"/>
        </a:fillRef>
        <a:effectRef idx="0">
          <a:scrgbClr r="0" g="0" b="0"/>
        </a:effectRef>
        <a:fontRef idx="minor">
          <a:schemeClr val="lt1"/>
        </a:fontRef>
      </xdr:style>
      <xdr:txBody>
        <a:bodyPr vertOverflow="clip" horzOverflow="clip" rtlCol="0" anchor="ctr"/>
        <a:lstStyle/>
        <a:p>
          <a:pPr algn="l"/>
          <a:r>
            <a:rPr lang="en-CA" sz="1000" b="1">
              <a:latin typeface="Arial" panose="020B0604020202020204" pitchFamily="34" charset="0"/>
              <a:cs typeface="Arial" panose="020B0604020202020204" pitchFamily="34" charset="0"/>
            </a:rPr>
            <a:t>AJOUTER UN ITEM</a:t>
          </a:r>
        </a:p>
      </xdr:txBody>
    </xdr:sp>
    <xdr:clientData fPrintsWithSheet="0"/>
  </xdr:oneCellAnchor>
  <xdr:oneCellAnchor>
    <xdr:from>
      <xdr:col>4</xdr:col>
      <xdr:colOff>0</xdr:colOff>
      <xdr:row>172</xdr:row>
      <xdr:rowOff>80995</xdr:rowOff>
    </xdr:from>
    <xdr:ext cx="253575" cy="253732"/>
    <xdr:sp macro="[0]!Ajouter_12" textlink="">
      <xdr:nvSpPr>
        <xdr:cNvPr id="115" name="Graphique 8" descr="Badge à suivre avec un remplissage uni">
          <a:extLst>
            <a:ext uri="{FF2B5EF4-FFF2-40B4-BE49-F238E27FC236}">
              <a16:creationId xmlns:a16="http://schemas.microsoft.com/office/drawing/2014/main" id="{00000000-0008-0000-0000-000073000000}"/>
            </a:ext>
          </a:extLst>
        </xdr:cNvPr>
        <xdr:cNvSpPr>
          <a:spLocks noChangeAspect="1"/>
        </xdr:cNvSpPr>
      </xdr:nvSpPr>
      <xdr:spPr>
        <a:xfrm>
          <a:off x="5019675" y="6624670"/>
          <a:ext cx="253575" cy="253732"/>
        </a:xfrm>
        <a:custGeom>
          <a:avLst/>
          <a:gdLst>
            <a:gd name="connsiteX0" fmla="*/ 361750 w 723499"/>
            <a:gd name="connsiteY0" fmla="*/ 0 h 723500"/>
            <a:gd name="connsiteX1" fmla="*/ 0 w 723499"/>
            <a:gd name="connsiteY1" fmla="*/ 361750 h 723500"/>
            <a:gd name="connsiteX2" fmla="*/ 361750 w 723499"/>
            <a:gd name="connsiteY2" fmla="*/ 723500 h 723500"/>
            <a:gd name="connsiteX3" fmla="*/ 723500 w 723499"/>
            <a:gd name="connsiteY3" fmla="*/ 361750 h 723500"/>
            <a:gd name="connsiteX4" fmla="*/ 723500 w 723499"/>
            <a:gd name="connsiteY4" fmla="*/ 361712 h 723500"/>
            <a:gd name="connsiteX5" fmla="*/ 362036 w 723499"/>
            <a:gd name="connsiteY5" fmla="*/ 0 h 723500"/>
            <a:gd name="connsiteX6" fmla="*/ 361750 w 723499"/>
            <a:gd name="connsiteY6" fmla="*/ 0 h 723500"/>
            <a:gd name="connsiteX7" fmla="*/ 539096 w 723499"/>
            <a:gd name="connsiteY7" fmla="*/ 393954 h 723500"/>
            <a:gd name="connsiteX8" fmla="*/ 393954 w 723499"/>
            <a:gd name="connsiteY8" fmla="*/ 393954 h 723500"/>
            <a:gd name="connsiteX9" fmla="*/ 393954 w 723499"/>
            <a:gd name="connsiteY9" fmla="*/ 539058 h 723500"/>
            <a:gd name="connsiteX10" fmla="*/ 329546 w 723499"/>
            <a:gd name="connsiteY10" fmla="*/ 539058 h 723500"/>
            <a:gd name="connsiteX11" fmla="*/ 329546 w 723499"/>
            <a:gd name="connsiteY11" fmla="*/ 393916 h 723500"/>
            <a:gd name="connsiteX12" fmla="*/ 184404 w 723499"/>
            <a:gd name="connsiteY12" fmla="*/ 393916 h 723500"/>
            <a:gd name="connsiteX13" fmla="*/ 184404 w 723499"/>
            <a:gd name="connsiteY13" fmla="*/ 329508 h 723500"/>
            <a:gd name="connsiteX14" fmla="*/ 329546 w 723499"/>
            <a:gd name="connsiteY14" fmla="*/ 329508 h 723500"/>
            <a:gd name="connsiteX15" fmla="*/ 329546 w 723499"/>
            <a:gd name="connsiteY15" fmla="*/ 184366 h 723500"/>
            <a:gd name="connsiteX16" fmla="*/ 393954 w 723499"/>
            <a:gd name="connsiteY16" fmla="*/ 184366 h 723500"/>
            <a:gd name="connsiteX17" fmla="*/ 393954 w 723499"/>
            <a:gd name="connsiteY17" fmla="*/ 329508 h 723500"/>
            <a:gd name="connsiteX18" fmla="*/ 539096 w 723499"/>
            <a:gd name="connsiteY18" fmla="*/ 329508 h 7235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Lst>
          <a:rect l="l" t="t" r="r" b="b"/>
          <a:pathLst>
            <a:path w="723499" h="723500">
              <a:moveTo>
                <a:pt x="361750" y="0"/>
              </a:moveTo>
              <a:cubicBezTo>
                <a:pt x="161961" y="0"/>
                <a:pt x="0" y="161961"/>
                <a:pt x="0" y="361750"/>
              </a:cubicBezTo>
              <a:cubicBezTo>
                <a:pt x="0" y="561539"/>
                <a:pt x="161961" y="723500"/>
                <a:pt x="361750" y="723500"/>
              </a:cubicBezTo>
              <a:cubicBezTo>
                <a:pt x="561539" y="723500"/>
                <a:pt x="723500" y="561539"/>
                <a:pt x="723500" y="361750"/>
              </a:cubicBezTo>
              <a:cubicBezTo>
                <a:pt x="723500" y="361738"/>
                <a:pt x="723500" y="361724"/>
                <a:pt x="723500" y="361712"/>
              </a:cubicBezTo>
              <a:cubicBezTo>
                <a:pt x="723569" y="162013"/>
                <a:pt x="561735" y="69"/>
                <a:pt x="362036" y="0"/>
              </a:cubicBezTo>
              <a:cubicBezTo>
                <a:pt x="361940" y="0"/>
                <a:pt x="361845" y="0"/>
                <a:pt x="361750" y="0"/>
              </a:cubicBezTo>
              <a:close/>
              <a:moveTo>
                <a:pt x="539096" y="393954"/>
              </a:moveTo>
              <a:lnTo>
                <a:pt x="393954" y="393954"/>
              </a:lnTo>
              <a:lnTo>
                <a:pt x="393954" y="539058"/>
              </a:lnTo>
              <a:lnTo>
                <a:pt x="329546" y="539058"/>
              </a:lnTo>
              <a:lnTo>
                <a:pt x="329546" y="393916"/>
              </a:lnTo>
              <a:lnTo>
                <a:pt x="184404" y="393916"/>
              </a:lnTo>
              <a:lnTo>
                <a:pt x="184404" y="329508"/>
              </a:lnTo>
              <a:lnTo>
                <a:pt x="329546" y="329508"/>
              </a:lnTo>
              <a:lnTo>
                <a:pt x="329546" y="184366"/>
              </a:lnTo>
              <a:lnTo>
                <a:pt x="393954" y="184366"/>
              </a:lnTo>
              <a:lnTo>
                <a:pt x="393954" y="329508"/>
              </a:lnTo>
              <a:lnTo>
                <a:pt x="539096" y="329508"/>
              </a:lnTo>
              <a:close/>
            </a:path>
          </a:pathLst>
        </a:custGeom>
        <a:solidFill>
          <a:sysClr val="window" lastClr="FFFFFF"/>
        </a:solidFill>
        <a:ln w="9525" cap="flat">
          <a:solidFill>
            <a:srgbClr val="00B050"/>
          </a:solidFill>
          <a:prstDash val="solid"/>
          <a:miter/>
        </a:ln>
      </xdr:spPr>
      <xdr:txBody>
        <a:bodyPr rtlCol="0" anchor="ctr"/>
        <a:lstStyle/>
        <a:p>
          <a:endParaRPr lang="en-CA"/>
        </a:p>
      </xdr:txBody>
    </xdr:sp>
    <xdr:clientData fPrintsWithSheet="0"/>
  </xdr:oneCellAnchor>
  <xdr:oneCellAnchor>
    <xdr:from>
      <xdr:col>2</xdr:col>
      <xdr:colOff>0</xdr:colOff>
      <xdr:row>179</xdr:row>
      <xdr:rowOff>81375</xdr:rowOff>
    </xdr:from>
    <xdr:ext cx="1758525" cy="252000"/>
    <xdr:sp macro="[0]!Ajouter_13" textlink="">
      <xdr:nvSpPr>
        <xdr:cNvPr id="116" name="Rectangle : coins arrondis 115">
          <a:extLst>
            <a:ext uri="{FF2B5EF4-FFF2-40B4-BE49-F238E27FC236}">
              <a16:creationId xmlns:a16="http://schemas.microsoft.com/office/drawing/2014/main" id="{00000000-0008-0000-0000-000074000000}"/>
            </a:ext>
          </a:extLst>
        </xdr:cNvPr>
        <xdr:cNvSpPr/>
      </xdr:nvSpPr>
      <xdr:spPr>
        <a:xfrm>
          <a:off x="3514725" y="6625050"/>
          <a:ext cx="1758525" cy="252000"/>
        </a:xfrm>
        <a:prstGeom prst="roundRect">
          <a:avLst>
            <a:gd name="adj" fmla="val 50000"/>
          </a:avLst>
        </a:prstGeom>
        <a:solidFill>
          <a:srgbClr val="00B050"/>
        </a:solidFill>
        <a:ln>
          <a:solidFill>
            <a:schemeClr val="bg1"/>
          </a:solidFill>
        </a:ln>
      </xdr:spPr>
      <xdr:style>
        <a:lnRef idx="0">
          <a:scrgbClr r="0" g="0" b="0"/>
        </a:lnRef>
        <a:fillRef idx="0">
          <a:scrgbClr r="0" g="0" b="0"/>
        </a:fillRef>
        <a:effectRef idx="0">
          <a:scrgbClr r="0" g="0" b="0"/>
        </a:effectRef>
        <a:fontRef idx="minor">
          <a:schemeClr val="lt1"/>
        </a:fontRef>
      </xdr:style>
      <xdr:txBody>
        <a:bodyPr vertOverflow="clip" horzOverflow="clip" rtlCol="0" anchor="ctr"/>
        <a:lstStyle/>
        <a:p>
          <a:pPr algn="l"/>
          <a:r>
            <a:rPr lang="en-CA" sz="1000" b="1">
              <a:latin typeface="Arial" panose="020B0604020202020204" pitchFamily="34" charset="0"/>
              <a:cs typeface="Arial" panose="020B0604020202020204" pitchFamily="34" charset="0"/>
            </a:rPr>
            <a:t>AJOUTER UN ITEM</a:t>
          </a:r>
        </a:p>
      </xdr:txBody>
    </xdr:sp>
    <xdr:clientData fPrintsWithSheet="0"/>
  </xdr:oneCellAnchor>
  <xdr:oneCellAnchor>
    <xdr:from>
      <xdr:col>4</xdr:col>
      <xdr:colOff>0</xdr:colOff>
      <xdr:row>179</xdr:row>
      <xdr:rowOff>80995</xdr:rowOff>
    </xdr:from>
    <xdr:ext cx="253575" cy="253732"/>
    <xdr:sp macro="[0]!Ajouter_13" textlink="">
      <xdr:nvSpPr>
        <xdr:cNvPr id="117" name="Graphique 8" descr="Badge à suivre avec un remplissage uni">
          <a:extLst>
            <a:ext uri="{FF2B5EF4-FFF2-40B4-BE49-F238E27FC236}">
              <a16:creationId xmlns:a16="http://schemas.microsoft.com/office/drawing/2014/main" id="{00000000-0008-0000-0000-000075000000}"/>
            </a:ext>
          </a:extLst>
        </xdr:cNvPr>
        <xdr:cNvSpPr>
          <a:spLocks noChangeAspect="1"/>
        </xdr:cNvSpPr>
      </xdr:nvSpPr>
      <xdr:spPr>
        <a:xfrm>
          <a:off x="5019675" y="6624670"/>
          <a:ext cx="253575" cy="253732"/>
        </a:xfrm>
        <a:custGeom>
          <a:avLst/>
          <a:gdLst>
            <a:gd name="connsiteX0" fmla="*/ 361750 w 723499"/>
            <a:gd name="connsiteY0" fmla="*/ 0 h 723500"/>
            <a:gd name="connsiteX1" fmla="*/ 0 w 723499"/>
            <a:gd name="connsiteY1" fmla="*/ 361750 h 723500"/>
            <a:gd name="connsiteX2" fmla="*/ 361750 w 723499"/>
            <a:gd name="connsiteY2" fmla="*/ 723500 h 723500"/>
            <a:gd name="connsiteX3" fmla="*/ 723500 w 723499"/>
            <a:gd name="connsiteY3" fmla="*/ 361750 h 723500"/>
            <a:gd name="connsiteX4" fmla="*/ 723500 w 723499"/>
            <a:gd name="connsiteY4" fmla="*/ 361712 h 723500"/>
            <a:gd name="connsiteX5" fmla="*/ 362036 w 723499"/>
            <a:gd name="connsiteY5" fmla="*/ 0 h 723500"/>
            <a:gd name="connsiteX6" fmla="*/ 361750 w 723499"/>
            <a:gd name="connsiteY6" fmla="*/ 0 h 723500"/>
            <a:gd name="connsiteX7" fmla="*/ 539096 w 723499"/>
            <a:gd name="connsiteY7" fmla="*/ 393954 h 723500"/>
            <a:gd name="connsiteX8" fmla="*/ 393954 w 723499"/>
            <a:gd name="connsiteY8" fmla="*/ 393954 h 723500"/>
            <a:gd name="connsiteX9" fmla="*/ 393954 w 723499"/>
            <a:gd name="connsiteY9" fmla="*/ 539058 h 723500"/>
            <a:gd name="connsiteX10" fmla="*/ 329546 w 723499"/>
            <a:gd name="connsiteY10" fmla="*/ 539058 h 723500"/>
            <a:gd name="connsiteX11" fmla="*/ 329546 w 723499"/>
            <a:gd name="connsiteY11" fmla="*/ 393916 h 723500"/>
            <a:gd name="connsiteX12" fmla="*/ 184404 w 723499"/>
            <a:gd name="connsiteY12" fmla="*/ 393916 h 723500"/>
            <a:gd name="connsiteX13" fmla="*/ 184404 w 723499"/>
            <a:gd name="connsiteY13" fmla="*/ 329508 h 723500"/>
            <a:gd name="connsiteX14" fmla="*/ 329546 w 723499"/>
            <a:gd name="connsiteY14" fmla="*/ 329508 h 723500"/>
            <a:gd name="connsiteX15" fmla="*/ 329546 w 723499"/>
            <a:gd name="connsiteY15" fmla="*/ 184366 h 723500"/>
            <a:gd name="connsiteX16" fmla="*/ 393954 w 723499"/>
            <a:gd name="connsiteY16" fmla="*/ 184366 h 723500"/>
            <a:gd name="connsiteX17" fmla="*/ 393954 w 723499"/>
            <a:gd name="connsiteY17" fmla="*/ 329508 h 723500"/>
            <a:gd name="connsiteX18" fmla="*/ 539096 w 723499"/>
            <a:gd name="connsiteY18" fmla="*/ 329508 h 7235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Lst>
          <a:rect l="l" t="t" r="r" b="b"/>
          <a:pathLst>
            <a:path w="723499" h="723500">
              <a:moveTo>
                <a:pt x="361750" y="0"/>
              </a:moveTo>
              <a:cubicBezTo>
                <a:pt x="161961" y="0"/>
                <a:pt x="0" y="161961"/>
                <a:pt x="0" y="361750"/>
              </a:cubicBezTo>
              <a:cubicBezTo>
                <a:pt x="0" y="561539"/>
                <a:pt x="161961" y="723500"/>
                <a:pt x="361750" y="723500"/>
              </a:cubicBezTo>
              <a:cubicBezTo>
                <a:pt x="561539" y="723500"/>
                <a:pt x="723500" y="561539"/>
                <a:pt x="723500" y="361750"/>
              </a:cubicBezTo>
              <a:cubicBezTo>
                <a:pt x="723500" y="361738"/>
                <a:pt x="723500" y="361724"/>
                <a:pt x="723500" y="361712"/>
              </a:cubicBezTo>
              <a:cubicBezTo>
                <a:pt x="723569" y="162013"/>
                <a:pt x="561735" y="69"/>
                <a:pt x="362036" y="0"/>
              </a:cubicBezTo>
              <a:cubicBezTo>
                <a:pt x="361940" y="0"/>
                <a:pt x="361845" y="0"/>
                <a:pt x="361750" y="0"/>
              </a:cubicBezTo>
              <a:close/>
              <a:moveTo>
                <a:pt x="539096" y="393954"/>
              </a:moveTo>
              <a:lnTo>
                <a:pt x="393954" y="393954"/>
              </a:lnTo>
              <a:lnTo>
                <a:pt x="393954" y="539058"/>
              </a:lnTo>
              <a:lnTo>
                <a:pt x="329546" y="539058"/>
              </a:lnTo>
              <a:lnTo>
                <a:pt x="329546" y="393916"/>
              </a:lnTo>
              <a:lnTo>
                <a:pt x="184404" y="393916"/>
              </a:lnTo>
              <a:lnTo>
                <a:pt x="184404" y="329508"/>
              </a:lnTo>
              <a:lnTo>
                <a:pt x="329546" y="329508"/>
              </a:lnTo>
              <a:lnTo>
                <a:pt x="329546" y="184366"/>
              </a:lnTo>
              <a:lnTo>
                <a:pt x="393954" y="184366"/>
              </a:lnTo>
              <a:lnTo>
                <a:pt x="393954" y="329508"/>
              </a:lnTo>
              <a:lnTo>
                <a:pt x="539096" y="329508"/>
              </a:lnTo>
              <a:close/>
            </a:path>
          </a:pathLst>
        </a:custGeom>
        <a:solidFill>
          <a:sysClr val="window" lastClr="FFFFFF"/>
        </a:solidFill>
        <a:ln w="9525" cap="flat">
          <a:solidFill>
            <a:srgbClr val="00B050"/>
          </a:solidFill>
          <a:prstDash val="solid"/>
          <a:miter/>
        </a:ln>
      </xdr:spPr>
      <xdr:txBody>
        <a:bodyPr rtlCol="0" anchor="ctr"/>
        <a:lstStyle/>
        <a:p>
          <a:endParaRPr lang="en-CA"/>
        </a:p>
      </xdr:txBody>
    </xdr:sp>
    <xdr:clientData fPrintsWithSheet="0"/>
  </xdr:oneCellAnchor>
  <xdr:oneCellAnchor>
    <xdr:from>
      <xdr:col>2</xdr:col>
      <xdr:colOff>0</xdr:colOff>
      <xdr:row>186</xdr:row>
      <xdr:rowOff>81375</xdr:rowOff>
    </xdr:from>
    <xdr:ext cx="1758525" cy="252000"/>
    <xdr:sp macro="[0]!Ajouter_14" textlink="">
      <xdr:nvSpPr>
        <xdr:cNvPr id="118" name="Rectangle : coins arrondis 117">
          <a:extLst>
            <a:ext uri="{FF2B5EF4-FFF2-40B4-BE49-F238E27FC236}">
              <a16:creationId xmlns:a16="http://schemas.microsoft.com/office/drawing/2014/main" id="{00000000-0008-0000-0000-000076000000}"/>
            </a:ext>
          </a:extLst>
        </xdr:cNvPr>
        <xdr:cNvSpPr/>
      </xdr:nvSpPr>
      <xdr:spPr>
        <a:xfrm>
          <a:off x="3514725" y="6625050"/>
          <a:ext cx="1758525" cy="252000"/>
        </a:xfrm>
        <a:prstGeom prst="roundRect">
          <a:avLst>
            <a:gd name="adj" fmla="val 50000"/>
          </a:avLst>
        </a:prstGeom>
        <a:solidFill>
          <a:srgbClr val="00B050"/>
        </a:solidFill>
        <a:ln>
          <a:solidFill>
            <a:schemeClr val="bg1"/>
          </a:solidFill>
        </a:ln>
      </xdr:spPr>
      <xdr:style>
        <a:lnRef idx="0">
          <a:scrgbClr r="0" g="0" b="0"/>
        </a:lnRef>
        <a:fillRef idx="0">
          <a:scrgbClr r="0" g="0" b="0"/>
        </a:fillRef>
        <a:effectRef idx="0">
          <a:scrgbClr r="0" g="0" b="0"/>
        </a:effectRef>
        <a:fontRef idx="minor">
          <a:schemeClr val="lt1"/>
        </a:fontRef>
      </xdr:style>
      <xdr:txBody>
        <a:bodyPr vertOverflow="clip" horzOverflow="clip" rtlCol="0" anchor="ctr"/>
        <a:lstStyle/>
        <a:p>
          <a:pPr algn="l"/>
          <a:r>
            <a:rPr lang="en-CA" sz="1000" b="1">
              <a:latin typeface="Arial" panose="020B0604020202020204" pitchFamily="34" charset="0"/>
              <a:cs typeface="Arial" panose="020B0604020202020204" pitchFamily="34" charset="0"/>
            </a:rPr>
            <a:t>AJOUTER UN ITEM</a:t>
          </a:r>
        </a:p>
      </xdr:txBody>
    </xdr:sp>
    <xdr:clientData fPrintsWithSheet="0"/>
  </xdr:oneCellAnchor>
  <xdr:oneCellAnchor>
    <xdr:from>
      <xdr:col>4</xdr:col>
      <xdr:colOff>0</xdr:colOff>
      <xdr:row>186</xdr:row>
      <xdr:rowOff>80995</xdr:rowOff>
    </xdr:from>
    <xdr:ext cx="253575" cy="253732"/>
    <xdr:sp macro="[0]!Ajouter_14" textlink="">
      <xdr:nvSpPr>
        <xdr:cNvPr id="119" name="Graphique 8" descr="Badge à suivre avec un remplissage uni">
          <a:extLst>
            <a:ext uri="{FF2B5EF4-FFF2-40B4-BE49-F238E27FC236}">
              <a16:creationId xmlns:a16="http://schemas.microsoft.com/office/drawing/2014/main" id="{00000000-0008-0000-0000-000077000000}"/>
            </a:ext>
          </a:extLst>
        </xdr:cNvPr>
        <xdr:cNvSpPr>
          <a:spLocks noChangeAspect="1"/>
        </xdr:cNvSpPr>
      </xdr:nvSpPr>
      <xdr:spPr>
        <a:xfrm>
          <a:off x="5019675" y="6624670"/>
          <a:ext cx="253575" cy="253732"/>
        </a:xfrm>
        <a:custGeom>
          <a:avLst/>
          <a:gdLst>
            <a:gd name="connsiteX0" fmla="*/ 361750 w 723499"/>
            <a:gd name="connsiteY0" fmla="*/ 0 h 723500"/>
            <a:gd name="connsiteX1" fmla="*/ 0 w 723499"/>
            <a:gd name="connsiteY1" fmla="*/ 361750 h 723500"/>
            <a:gd name="connsiteX2" fmla="*/ 361750 w 723499"/>
            <a:gd name="connsiteY2" fmla="*/ 723500 h 723500"/>
            <a:gd name="connsiteX3" fmla="*/ 723500 w 723499"/>
            <a:gd name="connsiteY3" fmla="*/ 361750 h 723500"/>
            <a:gd name="connsiteX4" fmla="*/ 723500 w 723499"/>
            <a:gd name="connsiteY4" fmla="*/ 361712 h 723500"/>
            <a:gd name="connsiteX5" fmla="*/ 362036 w 723499"/>
            <a:gd name="connsiteY5" fmla="*/ 0 h 723500"/>
            <a:gd name="connsiteX6" fmla="*/ 361750 w 723499"/>
            <a:gd name="connsiteY6" fmla="*/ 0 h 723500"/>
            <a:gd name="connsiteX7" fmla="*/ 539096 w 723499"/>
            <a:gd name="connsiteY7" fmla="*/ 393954 h 723500"/>
            <a:gd name="connsiteX8" fmla="*/ 393954 w 723499"/>
            <a:gd name="connsiteY8" fmla="*/ 393954 h 723500"/>
            <a:gd name="connsiteX9" fmla="*/ 393954 w 723499"/>
            <a:gd name="connsiteY9" fmla="*/ 539058 h 723500"/>
            <a:gd name="connsiteX10" fmla="*/ 329546 w 723499"/>
            <a:gd name="connsiteY10" fmla="*/ 539058 h 723500"/>
            <a:gd name="connsiteX11" fmla="*/ 329546 w 723499"/>
            <a:gd name="connsiteY11" fmla="*/ 393916 h 723500"/>
            <a:gd name="connsiteX12" fmla="*/ 184404 w 723499"/>
            <a:gd name="connsiteY12" fmla="*/ 393916 h 723500"/>
            <a:gd name="connsiteX13" fmla="*/ 184404 w 723499"/>
            <a:gd name="connsiteY13" fmla="*/ 329508 h 723500"/>
            <a:gd name="connsiteX14" fmla="*/ 329546 w 723499"/>
            <a:gd name="connsiteY14" fmla="*/ 329508 h 723500"/>
            <a:gd name="connsiteX15" fmla="*/ 329546 w 723499"/>
            <a:gd name="connsiteY15" fmla="*/ 184366 h 723500"/>
            <a:gd name="connsiteX16" fmla="*/ 393954 w 723499"/>
            <a:gd name="connsiteY16" fmla="*/ 184366 h 723500"/>
            <a:gd name="connsiteX17" fmla="*/ 393954 w 723499"/>
            <a:gd name="connsiteY17" fmla="*/ 329508 h 723500"/>
            <a:gd name="connsiteX18" fmla="*/ 539096 w 723499"/>
            <a:gd name="connsiteY18" fmla="*/ 329508 h 7235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Lst>
          <a:rect l="l" t="t" r="r" b="b"/>
          <a:pathLst>
            <a:path w="723499" h="723500">
              <a:moveTo>
                <a:pt x="361750" y="0"/>
              </a:moveTo>
              <a:cubicBezTo>
                <a:pt x="161961" y="0"/>
                <a:pt x="0" y="161961"/>
                <a:pt x="0" y="361750"/>
              </a:cubicBezTo>
              <a:cubicBezTo>
                <a:pt x="0" y="561539"/>
                <a:pt x="161961" y="723500"/>
                <a:pt x="361750" y="723500"/>
              </a:cubicBezTo>
              <a:cubicBezTo>
                <a:pt x="561539" y="723500"/>
                <a:pt x="723500" y="561539"/>
                <a:pt x="723500" y="361750"/>
              </a:cubicBezTo>
              <a:cubicBezTo>
                <a:pt x="723500" y="361738"/>
                <a:pt x="723500" y="361724"/>
                <a:pt x="723500" y="361712"/>
              </a:cubicBezTo>
              <a:cubicBezTo>
                <a:pt x="723569" y="162013"/>
                <a:pt x="561735" y="69"/>
                <a:pt x="362036" y="0"/>
              </a:cubicBezTo>
              <a:cubicBezTo>
                <a:pt x="361940" y="0"/>
                <a:pt x="361845" y="0"/>
                <a:pt x="361750" y="0"/>
              </a:cubicBezTo>
              <a:close/>
              <a:moveTo>
                <a:pt x="539096" y="393954"/>
              </a:moveTo>
              <a:lnTo>
                <a:pt x="393954" y="393954"/>
              </a:lnTo>
              <a:lnTo>
                <a:pt x="393954" y="539058"/>
              </a:lnTo>
              <a:lnTo>
                <a:pt x="329546" y="539058"/>
              </a:lnTo>
              <a:lnTo>
                <a:pt x="329546" y="393916"/>
              </a:lnTo>
              <a:lnTo>
                <a:pt x="184404" y="393916"/>
              </a:lnTo>
              <a:lnTo>
                <a:pt x="184404" y="329508"/>
              </a:lnTo>
              <a:lnTo>
                <a:pt x="329546" y="329508"/>
              </a:lnTo>
              <a:lnTo>
                <a:pt x="329546" y="184366"/>
              </a:lnTo>
              <a:lnTo>
                <a:pt x="393954" y="184366"/>
              </a:lnTo>
              <a:lnTo>
                <a:pt x="393954" y="329508"/>
              </a:lnTo>
              <a:lnTo>
                <a:pt x="539096" y="329508"/>
              </a:lnTo>
              <a:close/>
            </a:path>
          </a:pathLst>
        </a:custGeom>
        <a:solidFill>
          <a:sysClr val="window" lastClr="FFFFFF"/>
        </a:solidFill>
        <a:ln w="9525" cap="flat">
          <a:solidFill>
            <a:srgbClr val="00B050"/>
          </a:solidFill>
          <a:prstDash val="solid"/>
          <a:miter/>
        </a:ln>
      </xdr:spPr>
      <xdr:txBody>
        <a:bodyPr rtlCol="0" anchor="ctr"/>
        <a:lstStyle/>
        <a:p>
          <a:endParaRPr lang="en-CA"/>
        </a:p>
      </xdr:txBody>
    </xdr:sp>
    <xdr:clientData fPrintsWithSheet="0"/>
  </xdr:oneCellAnchor>
  <xdr:oneCellAnchor>
    <xdr:from>
      <xdr:col>2</xdr:col>
      <xdr:colOff>0</xdr:colOff>
      <xdr:row>193</xdr:row>
      <xdr:rowOff>81375</xdr:rowOff>
    </xdr:from>
    <xdr:ext cx="1758525" cy="252000"/>
    <xdr:sp macro="[0]!Ajouter_15" textlink="">
      <xdr:nvSpPr>
        <xdr:cNvPr id="120" name="Rectangle : coins arrondis 119">
          <a:extLst>
            <a:ext uri="{FF2B5EF4-FFF2-40B4-BE49-F238E27FC236}">
              <a16:creationId xmlns:a16="http://schemas.microsoft.com/office/drawing/2014/main" id="{00000000-0008-0000-0000-000078000000}"/>
            </a:ext>
          </a:extLst>
        </xdr:cNvPr>
        <xdr:cNvSpPr/>
      </xdr:nvSpPr>
      <xdr:spPr>
        <a:xfrm>
          <a:off x="3514725" y="6625050"/>
          <a:ext cx="1758525" cy="252000"/>
        </a:xfrm>
        <a:prstGeom prst="roundRect">
          <a:avLst>
            <a:gd name="adj" fmla="val 50000"/>
          </a:avLst>
        </a:prstGeom>
        <a:solidFill>
          <a:srgbClr val="00B050"/>
        </a:solidFill>
        <a:ln>
          <a:solidFill>
            <a:schemeClr val="bg1"/>
          </a:solidFill>
        </a:ln>
      </xdr:spPr>
      <xdr:style>
        <a:lnRef idx="0">
          <a:scrgbClr r="0" g="0" b="0"/>
        </a:lnRef>
        <a:fillRef idx="0">
          <a:scrgbClr r="0" g="0" b="0"/>
        </a:fillRef>
        <a:effectRef idx="0">
          <a:scrgbClr r="0" g="0" b="0"/>
        </a:effectRef>
        <a:fontRef idx="minor">
          <a:schemeClr val="lt1"/>
        </a:fontRef>
      </xdr:style>
      <xdr:txBody>
        <a:bodyPr vertOverflow="clip" horzOverflow="clip" rtlCol="0" anchor="ctr"/>
        <a:lstStyle/>
        <a:p>
          <a:pPr algn="l"/>
          <a:r>
            <a:rPr lang="en-CA" sz="1000" b="1">
              <a:latin typeface="Arial" panose="020B0604020202020204" pitchFamily="34" charset="0"/>
              <a:cs typeface="Arial" panose="020B0604020202020204" pitchFamily="34" charset="0"/>
            </a:rPr>
            <a:t>AJOUTER UN ITEM</a:t>
          </a:r>
        </a:p>
      </xdr:txBody>
    </xdr:sp>
    <xdr:clientData fPrintsWithSheet="0"/>
  </xdr:oneCellAnchor>
  <xdr:oneCellAnchor>
    <xdr:from>
      <xdr:col>4</xdr:col>
      <xdr:colOff>0</xdr:colOff>
      <xdr:row>193</xdr:row>
      <xdr:rowOff>80995</xdr:rowOff>
    </xdr:from>
    <xdr:ext cx="253575" cy="253732"/>
    <xdr:sp macro="[0]!Ajouter_15" textlink="">
      <xdr:nvSpPr>
        <xdr:cNvPr id="121" name="Graphique 8" descr="Badge à suivre avec un remplissage uni">
          <a:extLst>
            <a:ext uri="{FF2B5EF4-FFF2-40B4-BE49-F238E27FC236}">
              <a16:creationId xmlns:a16="http://schemas.microsoft.com/office/drawing/2014/main" id="{00000000-0008-0000-0000-000079000000}"/>
            </a:ext>
          </a:extLst>
        </xdr:cNvPr>
        <xdr:cNvSpPr>
          <a:spLocks noChangeAspect="1"/>
        </xdr:cNvSpPr>
      </xdr:nvSpPr>
      <xdr:spPr>
        <a:xfrm>
          <a:off x="5019675" y="6624670"/>
          <a:ext cx="253575" cy="253732"/>
        </a:xfrm>
        <a:custGeom>
          <a:avLst/>
          <a:gdLst>
            <a:gd name="connsiteX0" fmla="*/ 361750 w 723499"/>
            <a:gd name="connsiteY0" fmla="*/ 0 h 723500"/>
            <a:gd name="connsiteX1" fmla="*/ 0 w 723499"/>
            <a:gd name="connsiteY1" fmla="*/ 361750 h 723500"/>
            <a:gd name="connsiteX2" fmla="*/ 361750 w 723499"/>
            <a:gd name="connsiteY2" fmla="*/ 723500 h 723500"/>
            <a:gd name="connsiteX3" fmla="*/ 723500 w 723499"/>
            <a:gd name="connsiteY3" fmla="*/ 361750 h 723500"/>
            <a:gd name="connsiteX4" fmla="*/ 723500 w 723499"/>
            <a:gd name="connsiteY4" fmla="*/ 361712 h 723500"/>
            <a:gd name="connsiteX5" fmla="*/ 362036 w 723499"/>
            <a:gd name="connsiteY5" fmla="*/ 0 h 723500"/>
            <a:gd name="connsiteX6" fmla="*/ 361750 w 723499"/>
            <a:gd name="connsiteY6" fmla="*/ 0 h 723500"/>
            <a:gd name="connsiteX7" fmla="*/ 539096 w 723499"/>
            <a:gd name="connsiteY7" fmla="*/ 393954 h 723500"/>
            <a:gd name="connsiteX8" fmla="*/ 393954 w 723499"/>
            <a:gd name="connsiteY8" fmla="*/ 393954 h 723500"/>
            <a:gd name="connsiteX9" fmla="*/ 393954 w 723499"/>
            <a:gd name="connsiteY9" fmla="*/ 539058 h 723500"/>
            <a:gd name="connsiteX10" fmla="*/ 329546 w 723499"/>
            <a:gd name="connsiteY10" fmla="*/ 539058 h 723500"/>
            <a:gd name="connsiteX11" fmla="*/ 329546 w 723499"/>
            <a:gd name="connsiteY11" fmla="*/ 393916 h 723500"/>
            <a:gd name="connsiteX12" fmla="*/ 184404 w 723499"/>
            <a:gd name="connsiteY12" fmla="*/ 393916 h 723500"/>
            <a:gd name="connsiteX13" fmla="*/ 184404 w 723499"/>
            <a:gd name="connsiteY13" fmla="*/ 329508 h 723500"/>
            <a:gd name="connsiteX14" fmla="*/ 329546 w 723499"/>
            <a:gd name="connsiteY14" fmla="*/ 329508 h 723500"/>
            <a:gd name="connsiteX15" fmla="*/ 329546 w 723499"/>
            <a:gd name="connsiteY15" fmla="*/ 184366 h 723500"/>
            <a:gd name="connsiteX16" fmla="*/ 393954 w 723499"/>
            <a:gd name="connsiteY16" fmla="*/ 184366 h 723500"/>
            <a:gd name="connsiteX17" fmla="*/ 393954 w 723499"/>
            <a:gd name="connsiteY17" fmla="*/ 329508 h 723500"/>
            <a:gd name="connsiteX18" fmla="*/ 539096 w 723499"/>
            <a:gd name="connsiteY18" fmla="*/ 329508 h 7235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Lst>
          <a:rect l="l" t="t" r="r" b="b"/>
          <a:pathLst>
            <a:path w="723499" h="723500">
              <a:moveTo>
                <a:pt x="361750" y="0"/>
              </a:moveTo>
              <a:cubicBezTo>
                <a:pt x="161961" y="0"/>
                <a:pt x="0" y="161961"/>
                <a:pt x="0" y="361750"/>
              </a:cubicBezTo>
              <a:cubicBezTo>
                <a:pt x="0" y="561539"/>
                <a:pt x="161961" y="723500"/>
                <a:pt x="361750" y="723500"/>
              </a:cubicBezTo>
              <a:cubicBezTo>
                <a:pt x="561539" y="723500"/>
                <a:pt x="723500" y="561539"/>
                <a:pt x="723500" y="361750"/>
              </a:cubicBezTo>
              <a:cubicBezTo>
                <a:pt x="723500" y="361738"/>
                <a:pt x="723500" y="361724"/>
                <a:pt x="723500" y="361712"/>
              </a:cubicBezTo>
              <a:cubicBezTo>
                <a:pt x="723569" y="162013"/>
                <a:pt x="561735" y="69"/>
                <a:pt x="362036" y="0"/>
              </a:cubicBezTo>
              <a:cubicBezTo>
                <a:pt x="361940" y="0"/>
                <a:pt x="361845" y="0"/>
                <a:pt x="361750" y="0"/>
              </a:cubicBezTo>
              <a:close/>
              <a:moveTo>
                <a:pt x="539096" y="393954"/>
              </a:moveTo>
              <a:lnTo>
                <a:pt x="393954" y="393954"/>
              </a:lnTo>
              <a:lnTo>
                <a:pt x="393954" y="539058"/>
              </a:lnTo>
              <a:lnTo>
                <a:pt x="329546" y="539058"/>
              </a:lnTo>
              <a:lnTo>
                <a:pt x="329546" y="393916"/>
              </a:lnTo>
              <a:lnTo>
                <a:pt x="184404" y="393916"/>
              </a:lnTo>
              <a:lnTo>
                <a:pt x="184404" y="329508"/>
              </a:lnTo>
              <a:lnTo>
                <a:pt x="329546" y="329508"/>
              </a:lnTo>
              <a:lnTo>
                <a:pt x="329546" y="184366"/>
              </a:lnTo>
              <a:lnTo>
                <a:pt x="393954" y="184366"/>
              </a:lnTo>
              <a:lnTo>
                <a:pt x="393954" y="329508"/>
              </a:lnTo>
              <a:lnTo>
                <a:pt x="539096" y="329508"/>
              </a:lnTo>
              <a:close/>
            </a:path>
          </a:pathLst>
        </a:custGeom>
        <a:solidFill>
          <a:sysClr val="window" lastClr="FFFFFF"/>
        </a:solidFill>
        <a:ln w="9525" cap="flat">
          <a:solidFill>
            <a:srgbClr val="00B050"/>
          </a:solidFill>
          <a:prstDash val="solid"/>
          <a:miter/>
        </a:ln>
      </xdr:spPr>
      <xdr:txBody>
        <a:bodyPr rtlCol="0" anchor="ctr"/>
        <a:lstStyle/>
        <a:p>
          <a:endParaRPr lang="en-CA"/>
        </a:p>
      </xdr:txBody>
    </xdr:sp>
    <xdr:clientData fPrintsWithSheet="0"/>
  </xdr:oneCellAnchor>
  <xdr:oneCellAnchor>
    <xdr:from>
      <xdr:col>2</xdr:col>
      <xdr:colOff>0</xdr:colOff>
      <xdr:row>200</xdr:row>
      <xdr:rowOff>81375</xdr:rowOff>
    </xdr:from>
    <xdr:ext cx="1758525" cy="252000"/>
    <xdr:sp macro="[0]!Ajouter_16" textlink="">
      <xdr:nvSpPr>
        <xdr:cNvPr id="122" name="Rectangle : coins arrondis 121">
          <a:extLst>
            <a:ext uri="{FF2B5EF4-FFF2-40B4-BE49-F238E27FC236}">
              <a16:creationId xmlns:a16="http://schemas.microsoft.com/office/drawing/2014/main" id="{00000000-0008-0000-0000-00007A000000}"/>
            </a:ext>
          </a:extLst>
        </xdr:cNvPr>
        <xdr:cNvSpPr/>
      </xdr:nvSpPr>
      <xdr:spPr>
        <a:xfrm>
          <a:off x="3514725" y="6625050"/>
          <a:ext cx="1758525" cy="252000"/>
        </a:xfrm>
        <a:prstGeom prst="roundRect">
          <a:avLst>
            <a:gd name="adj" fmla="val 50000"/>
          </a:avLst>
        </a:prstGeom>
        <a:solidFill>
          <a:srgbClr val="00B050"/>
        </a:solidFill>
        <a:ln>
          <a:solidFill>
            <a:schemeClr val="bg1"/>
          </a:solidFill>
        </a:ln>
      </xdr:spPr>
      <xdr:style>
        <a:lnRef idx="0">
          <a:scrgbClr r="0" g="0" b="0"/>
        </a:lnRef>
        <a:fillRef idx="0">
          <a:scrgbClr r="0" g="0" b="0"/>
        </a:fillRef>
        <a:effectRef idx="0">
          <a:scrgbClr r="0" g="0" b="0"/>
        </a:effectRef>
        <a:fontRef idx="minor">
          <a:schemeClr val="lt1"/>
        </a:fontRef>
      </xdr:style>
      <xdr:txBody>
        <a:bodyPr vertOverflow="clip" horzOverflow="clip" rtlCol="0" anchor="ctr"/>
        <a:lstStyle/>
        <a:p>
          <a:pPr algn="l"/>
          <a:r>
            <a:rPr lang="en-CA" sz="1000" b="1">
              <a:latin typeface="Arial" panose="020B0604020202020204" pitchFamily="34" charset="0"/>
              <a:cs typeface="Arial" panose="020B0604020202020204" pitchFamily="34" charset="0"/>
            </a:rPr>
            <a:t>AJOUTER UN ITEM</a:t>
          </a:r>
        </a:p>
      </xdr:txBody>
    </xdr:sp>
    <xdr:clientData fPrintsWithSheet="0"/>
  </xdr:oneCellAnchor>
  <xdr:oneCellAnchor>
    <xdr:from>
      <xdr:col>4</xdr:col>
      <xdr:colOff>0</xdr:colOff>
      <xdr:row>200</xdr:row>
      <xdr:rowOff>80995</xdr:rowOff>
    </xdr:from>
    <xdr:ext cx="253575" cy="253732"/>
    <xdr:sp macro="[0]!Ajouter_16" textlink="">
      <xdr:nvSpPr>
        <xdr:cNvPr id="123" name="Graphique 8" descr="Badge à suivre avec un remplissage uni">
          <a:extLst>
            <a:ext uri="{FF2B5EF4-FFF2-40B4-BE49-F238E27FC236}">
              <a16:creationId xmlns:a16="http://schemas.microsoft.com/office/drawing/2014/main" id="{00000000-0008-0000-0000-00007B000000}"/>
            </a:ext>
          </a:extLst>
        </xdr:cNvPr>
        <xdr:cNvSpPr>
          <a:spLocks noChangeAspect="1"/>
        </xdr:cNvSpPr>
      </xdr:nvSpPr>
      <xdr:spPr>
        <a:xfrm>
          <a:off x="5019675" y="6624670"/>
          <a:ext cx="253575" cy="253732"/>
        </a:xfrm>
        <a:custGeom>
          <a:avLst/>
          <a:gdLst>
            <a:gd name="connsiteX0" fmla="*/ 361750 w 723499"/>
            <a:gd name="connsiteY0" fmla="*/ 0 h 723500"/>
            <a:gd name="connsiteX1" fmla="*/ 0 w 723499"/>
            <a:gd name="connsiteY1" fmla="*/ 361750 h 723500"/>
            <a:gd name="connsiteX2" fmla="*/ 361750 w 723499"/>
            <a:gd name="connsiteY2" fmla="*/ 723500 h 723500"/>
            <a:gd name="connsiteX3" fmla="*/ 723500 w 723499"/>
            <a:gd name="connsiteY3" fmla="*/ 361750 h 723500"/>
            <a:gd name="connsiteX4" fmla="*/ 723500 w 723499"/>
            <a:gd name="connsiteY4" fmla="*/ 361712 h 723500"/>
            <a:gd name="connsiteX5" fmla="*/ 362036 w 723499"/>
            <a:gd name="connsiteY5" fmla="*/ 0 h 723500"/>
            <a:gd name="connsiteX6" fmla="*/ 361750 w 723499"/>
            <a:gd name="connsiteY6" fmla="*/ 0 h 723500"/>
            <a:gd name="connsiteX7" fmla="*/ 539096 w 723499"/>
            <a:gd name="connsiteY7" fmla="*/ 393954 h 723500"/>
            <a:gd name="connsiteX8" fmla="*/ 393954 w 723499"/>
            <a:gd name="connsiteY8" fmla="*/ 393954 h 723500"/>
            <a:gd name="connsiteX9" fmla="*/ 393954 w 723499"/>
            <a:gd name="connsiteY9" fmla="*/ 539058 h 723500"/>
            <a:gd name="connsiteX10" fmla="*/ 329546 w 723499"/>
            <a:gd name="connsiteY10" fmla="*/ 539058 h 723500"/>
            <a:gd name="connsiteX11" fmla="*/ 329546 w 723499"/>
            <a:gd name="connsiteY11" fmla="*/ 393916 h 723500"/>
            <a:gd name="connsiteX12" fmla="*/ 184404 w 723499"/>
            <a:gd name="connsiteY12" fmla="*/ 393916 h 723500"/>
            <a:gd name="connsiteX13" fmla="*/ 184404 w 723499"/>
            <a:gd name="connsiteY13" fmla="*/ 329508 h 723500"/>
            <a:gd name="connsiteX14" fmla="*/ 329546 w 723499"/>
            <a:gd name="connsiteY14" fmla="*/ 329508 h 723500"/>
            <a:gd name="connsiteX15" fmla="*/ 329546 w 723499"/>
            <a:gd name="connsiteY15" fmla="*/ 184366 h 723500"/>
            <a:gd name="connsiteX16" fmla="*/ 393954 w 723499"/>
            <a:gd name="connsiteY16" fmla="*/ 184366 h 723500"/>
            <a:gd name="connsiteX17" fmla="*/ 393954 w 723499"/>
            <a:gd name="connsiteY17" fmla="*/ 329508 h 723500"/>
            <a:gd name="connsiteX18" fmla="*/ 539096 w 723499"/>
            <a:gd name="connsiteY18" fmla="*/ 329508 h 7235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Lst>
          <a:rect l="l" t="t" r="r" b="b"/>
          <a:pathLst>
            <a:path w="723499" h="723500">
              <a:moveTo>
                <a:pt x="361750" y="0"/>
              </a:moveTo>
              <a:cubicBezTo>
                <a:pt x="161961" y="0"/>
                <a:pt x="0" y="161961"/>
                <a:pt x="0" y="361750"/>
              </a:cubicBezTo>
              <a:cubicBezTo>
                <a:pt x="0" y="561539"/>
                <a:pt x="161961" y="723500"/>
                <a:pt x="361750" y="723500"/>
              </a:cubicBezTo>
              <a:cubicBezTo>
                <a:pt x="561539" y="723500"/>
                <a:pt x="723500" y="561539"/>
                <a:pt x="723500" y="361750"/>
              </a:cubicBezTo>
              <a:cubicBezTo>
                <a:pt x="723500" y="361738"/>
                <a:pt x="723500" y="361724"/>
                <a:pt x="723500" y="361712"/>
              </a:cubicBezTo>
              <a:cubicBezTo>
                <a:pt x="723569" y="162013"/>
                <a:pt x="561735" y="69"/>
                <a:pt x="362036" y="0"/>
              </a:cubicBezTo>
              <a:cubicBezTo>
                <a:pt x="361940" y="0"/>
                <a:pt x="361845" y="0"/>
                <a:pt x="361750" y="0"/>
              </a:cubicBezTo>
              <a:close/>
              <a:moveTo>
                <a:pt x="539096" y="393954"/>
              </a:moveTo>
              <a:lnTo>
                <a:pt x="393954" y="393954"/>
              </a:lnTo>
              <a:lnTo>
                <a:pt x="393954" y="539058"/>
              </a:lnTo>
              <a:lnTo>
                <a:pt x="329546" y="539058"/>
              </a:lnTo>
              <a:lnTo>
                <a:pt x="329546" y="393916"/>
              </a:lnTo>
              <a:lnTo>
                <a:pt x="184404" y="393916"/>
              </a:lnTo>
              <a:lnTo>
                <a:pt x="184404" y="329508"/>
              </a:lnTo>
              <a:lnTo>
                <a:pt x="329546" y="329508"/>
              </a:lnTo>
              <a:lnTo>
                <a:pt x="329546" y="184366"/>
              </a:lnTo>
              <a:lnTo>
                <a:pt x="393954" y="184366"/>
              </a:lnTo>
              <a:lnTo>
                <a:pt x="393954" y="329508"/>
              </a:lnTo>
              <a:lnTo>
                <a:pt x="539096" y="329508"/>
              </a:lnTo>
              <a:close/>
            </a:path>
          </a:pathLst>
        </a:custGeom>
        <a:solidFill>
          <a:sysClr val="window" lastClr="FFFFFF"/>
        </a:solidFill>
        <a:ln w="9525" cap="flat">
          <a:solidFill>
            <a:srgbClr val="00B050"/>
          </a:solidFill>
          <a:prstDash val="solid"/>
          <a:miter/>
        </a:ln>
      </xdr:spPr>
      <xdr:txBody>
        <a:bodyPr rtlCol="0" anchor="ctr"/>
        <a:lstStyle/>
        <a:p>
          <a:endParaRPr lang="en-CA"/>
        </a:p>
      </xdr:txBody>
    </xdr:sp>
    <xdr:clientData fPrintsWithSheet="0"/>
  </xdr:oneCellAnchor>
  <xdr:oneCellAnchor>
    <xdr:from>
      <xdr:col>2</xdr:col>
      <xdr:colOff>0</xdr:colOff>
      <xdr:row>207</xdr:row>
      <xdr:rowOff>81375</xdr:rowOff>
    </xdr:from>
    <xdr:ext cx="1758525" cy="252000"/>
    <xdr:sp macro="[0]!Ajouter_17" textlink="">
      <xdr:nvSpPr>
        <xdr:cNvPr id="124" name="Rectangle : coins arrondis 123">
          <a:extLst>
            <a:ext uri="{FF2B5EF4-FFF2-40B4-BE49-F238E27FC236}">
              <a16:creationId xmlns:a16="http://schemas.microsoft.com/office/drawing/2014/main" id="{00000000-0008-0000-0000-00007C000000}"/>
            </a:ext>
          </a:extLst>
        </xdr:cNvPr>
        <xdr:cNvSpPr/>
      </xdr:nvSpPr>
      <xdr:spPr>
        <a:xfrm>
          <a:off x="3514725" y="6625050"/>
          <a:ext cx="1758525" cy="252000"/>
        </a:xfrm>
        <a:prstGeom prst="roundRect">
          <a:avLst>
            <a:gd name="adj" fmla="val 50000"/>
          </a:avLst>
        </a:prstGeom>
        <a:solidFill>
          <a:srgbClr val="00B050"/>
        </a:solidFill>
        <a:ln>
          <a:solidFill>
            <a:schemeClr val="bg1"/>
          </a:solidFill>
        </a:ln>
      </xdr:spPr>
      <xdr:style>
        <a:lnRef idx="0">
          <a:scrgbClr r="0" g="0" b="0"/>
        </a:lnRef>
        <a:fillRef idx="0">
          <a:scrgbClr r="0" g="0" b="0"/>
        </a:fillRef>
        <a:effectRef idx="0">
          <a:scrgbClr r="0" g="0" b="0"/>
        </a:effectRef>
        <a:fontRef idx="minor">
          <a:schemeClr val="lt1"/>
        </a:fontRef>
      </xdr:style>
      <xdr:txBody>
        <a:bodyPr vertOverflow="clip" horzOverflow="clip" rtlCol="0" anchor="ctr"/>
        <a:lstStyle/>
        <a:p>
          <a:pPr algn="l"/>
          <a:r>
            <a:rPr lang="en-CA" sz="1000" b="1">
              <a:latin typeface="Arial" panose="020B0604020202020204" pitchFamily="34" charset="0"/>
              <a:cs typeface="Arial" panose="020B0604020202020204" pitchFamily="34" charset="0"/>
            </a:rPr>
            <a:t>AJOUTER UN ITEM</a:t>
          </a:r>
        </a:p>
      </xdr:txBody>
    </xdr:sp>
    <xdr:clientData fPrintsWithSheet="0"/>
  </xdr:oneCellAnchor>
  <xdr:oneCellAnchor>
    <xdr:from>
      <xdr:col>4</xdr:col>
      <xdr:colOff>0</xdr:colOff>
      <xdr:row>207</xdr:row>
      <xdr:rowOff>80995</xdr:rowOff>
    </xdr:from>
    <xdr:ext cx="253575" cy="253732"/>
    <xdr:sp macro="[0]!Ajouter_17" textlink="">
      <xdr:nvSpPr>
        <xdr:cNvPr id="125" name="Graphique 8" descr="Badge à suivre avec un remplissage uni">
          <a:extLst>
            <a:ext uri="{FF2B5EF4-FFF2-40B4-BE49-F238E27FC236}">
              <a16:creationId xmlns:a16="http://schemas.microsoft.com/office/drawing/2014/main" id="{00000000-0008-0000-0000-00007D000000}"/>
            </a:ext>
          </a:extLst>
        </xdr:cNvPr>
        <xdr:cNvSpPr>
          <a:spLocks noChangeAspect="1"/>
        </xdr:cNvSpPr>
      </xdr:nvSpPr>
      <xdr:spPr>
        <a:xfrm>
          <a:off x="5019675" y="6624670"/>
          <a:ext cx="253575" cy="253732"/>
        </a:xfrm>
        <a:custGeom>
          <a:avLst/>
          <a:gdLst>
            <a:gd name="connsiteX0" fmla="*/ 361750 w 723499"/>
            <a:gd name="connsiteY0" fmla="*/ 0 h 723500"/>
            <a:gd name="connsiteX1" fmla="*/ 0 w 723499"/>
            <a:gd name="connsiteY1" fmla="*/ 361750 h 723500"/>
            <a:gd name="connsiteX2" fmla="*/ 361750 w 723499"/>
            <a:gd name="connsiteY2" fmla="*/ 723500 h 723500"/>
            <a:gd name="connsiteX3" fmla="*/ 723500 w 723499"/>
            <a:gd name="connsiteY3" fmla="*/ 361750 h 723500"/>
            <a:gd name="connsiteX4" fmla="*/ 723500 w 723499"/>
            <a:gd name="connsiteY4" fmla="*/ 361712 h 723500"/>
            <a:gd name="connsiteX5" fmla="*/ 362036 w 723499"/>
            <a:gd name="connsiteY5" fmla="*/ 0 h 723500"/>
            <a:gd name="connsiteX6" fmla="*/ 361750 w 723499"/>
            <a:gd name="connsiteY6" fmla="*/ 0 h 723500"/>
            <a:gd name="connsiteX7" fmla="*/ 539096 w 723499"/>
            <a:gd name="connsiteY7" fmla="*/ 393954 h 723500"/>
            <a:gd name="connsiteX8" fmla="*/ 393954 w 723499"/>
            <a:gd name="connsiteY8" fmla="*/ 393954 h 723500"/>
            <a:gd name="connsiteX9" fmla="*/ 393954 w 723499"/>
            <a:gd name="connsiteY9" fmla="*/ 539058 h 723500"/>
            <a:gd name="connsiteX10" fmla="*/ 329546 w 723499"/>
            <a:gd name="connsiteY10" fmla="*/ 539058 h 723500"/>
            <a:gd name="connsiteX11" fmla="*/ 329546 w 723499"/>
            <a:gd name="connsiteY11" fmla="*/ 393916 h 723500"/>
            <a:gd name="connsiteX12" fmla="*/ 184404 w 723499"/>
            <a:gd name="connsiteY12" fmla="*/ 393916 h 723500"/>
            <a:gd name="connsiteX13" fmla="*/ 184404 w 723499"/>
            <a:gd name="connsiteY13" fmla="*/ 329508 h 723500"/>
            <a:gd name="connsiteX14" fmla="*/ 329546 w 723499"/>
            <a:gd name="connsiteY14" fmla="*/ 329508 h 723500"/>
            <a:gd name="connsiteX15" fmla="*/ 329546 w 723499"/>
            <a:gd name="connsiteY15" fmla="*/ 184366 h 723500"/>
            <a:gd name="connsiteX16" fmla="*/ 393954 w 723499"/>
            <a:gd name="connsiteY16" fmla="*/ 184366 h 723500"/>
            <a:gd name="connsiteX17" fmla="*/ 393954 w 723499"/>
            <a:gd name="connsiteY17" fmla="*/ 329508 h 723500"/>
            <a:gd name="connsiteX18" fmla="*/ 539096 w 723499"/>
            <a:gd name="connsiteY18" fmla="*/ 329508 h 7235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Lst>
          <a:rect l="l" t="t" r="r" b="b"/>
          <a:pathLst>
            <a:path w="723499" h="723500">
              <a:moveTo>
                <a:pt x="361750" y="0"/>
              </a:moveTo>
              <a:cubicBezTo>
                <a:pt x="161961" y="0"/>
                <a:pt x="0" y="161961"/>
                <a:pt x="0" y="361750"/>
              </a:cubicBezTo>
              <a:cubicBezTo>
                <a:pt x="0" y="561539"/>
                <a:pt x="161961" y="723500"/>
                <a:pt x="361750" y="723500"/>
              </a:cubicBezTo>
              <a:cubicBezTo>
                <a:pt x="561539" y="723500"/>
                <a:pt x="723500" y="561539"/>
                <a:pt x="723500" y="361750"/>
              </a:cubicBezTo>
              <a:cubicBezTo>
                <a:pt x="723500" y="361738"/>
                <a:pt x="723500" y="361724"/>
                <a:pt x="723500" y="361712"/>
              </a:cubicBezTo>
              <a:cubicBezTo>
                <a:pt x="723569" y="162013"/>
                <a:pt x="561735" y="69"/>
                <a:pt x="362036" y="0"/>
              </a:cubicBezTo>
              <a:cubicBezTo>
                <a:pt x="361940" y="0"/>
                <a:pt x="361845" y="0"/>
                <a:pt x="361750" y="0"/>
              </a:cubicBezTo>
              <a:close/>
              <a:moveTo>
                <a:pt x="539096" y="393954"/>
              </a:moveTo>
              <a:lnTo>
                <a:pt x="393954" y="393954"/>
              </a:lnTo>
              <a:lnTo>
                <a:pt x="393954" y="539058"/>
              </a:lnTo>
              <a:lnTo>
                <a:pt x="329546" y="539058"/>
              </a:lnTo>
              <a:lnTo>
                <a:pt x="329546" y="393916"/>
              </a:lnTo>
              <a:lnTo>
                <a:pt x="184404" y="393916"/>
              </a:lnTo>
              <a:lnTo>
                <a:pt x="184404" y="329508"/>
              </a:lnTo>
              <a:lnTo>
                <a:pt x="329546" y="329508"/>
              </a:lnTo>
              <a:lnTo>
                <a:pt x="329546" y="184366"/>
              </a:lnTo>
              <a:lnTo>
                <a:pt x="393954" y="184366"/>
              </a:lnTo>
              <a:lnTo>
                <a:pt x="393954" y="329508"/>
              </a:lnTo>
              <a:lnTo>
                <a:pt x="539096" y="329508"/>
              </a:lnTo>
              <a:close/>
            </a:path>
          </a:pathLst>
        </a:custGeom>
        <a:solidFill>
          <a:sysClr val="window" lastClr="FFFFFF"/>
        </a:solidFill>
        <a:ln w="9525" cap="flat">
          <a:solidFill>
            <a:srgbClr val="00B050"/>
          </a:solidFill>
          <a:prstDash val="solid"/>
          <a:miter/>
        </a:ln>
      </xdr:spPr>
      <xdr:txBody>
        <a:bodyPr rtlCol="0" anchor="ctr"/>
        <a:lstStyle/>
        <a:p>
          <a:endParaRPr lang="en-CA"/>
        </a:p>
      </xdr:txBody>
    </xdr:sp>
    <xdr:clientData fPrintsWithSheet="0"/>
  </xdr:oneCellAnchor>
  <xdr:oneCellAnchor>
    <xdr:from>
      <xdr:col>2</xdr:col>
      <xdr:colOff>0</xdr:colOff>
      <xdr:row>214</xdr:row>
      <xdr:rowOff>81375</xdr:rowOff>
    </xdr:from>
    <xdr:ext cx="1758525" cy="252000"/>
    <xdr:sp macro="[0]!Ajouter_18" textlink="">
      <xdr:nvSpPr>
        <xdr:cNvPr id="126" name="Rectangle : coins arrondis 125">
          <a:extLst>
            <a:ext uri="{FF2B5EF4-FFF2-40B4-BE49-F238E27FC236}">
              <a16:creationId xmlns:a16="http://schemas.microsoft.com/office/drawing/2014/main" id="{00000000-0008-0000-0000-00007E000000}"/>
            </a:ext>
          </a:extLst>
        </xdr:cNvPr>
        <xdr:cNvSpPr/>
      </xdr:nvSpPr>
      <xdr:spPr>
        <a:xfrm>
          <a:off x="3514725" y="6625050"/>
          <a:ext cx="1758525" cy="252000"/>
        </a:xfrm>
        <a:prstGeom prst="roundRect">
          <a:avLst>
            <a:gd name="adj" fmla="val 50000"/>
          </a:avLst>
        </a:prstGeom>
        <a:solidFill>
          <a:srgbClr val="00B050"/>
        </a:solidFill>
        <a:ln>
          <a:solidFill>
            <a:schemeClr val="bg1"/>
          </a:solidFill>
        </a:ln>
      </xdr:spPr>
      <xdr:style>
        <a:lnRef idx="0">
          <a:scrgbClr r="0" g="0" b="0"/>
        </a:lnRef>
        <a:fillRef idx="0">
          <a:scrgbClr r="0" g="0" b="0"/>
        </a:fillRef>
        <a:effectRef idx="0">
          <a:scrgbClr r="0" g="0" b="0"/>
        </a:effectRef>
        <a:fontRef idx="minor">
          <a:schemeClr val="lt1"/>
        </a:fontRef>
      </xdr:style>
      <xdr:txBody>
        <a:bodyPr vertOverflow="clip" horzOverflow="clip" rtlCol="0" anchor="ctr"/>
        <a:lstStyle/>
        <a:p>
          <a:pPr algn="l"/>
          <a:r>
            <a:rPr lang="en-CA" sz="1000" b="1">
              <a:latin typeface="Arial" panose="020B0604020202020204" pitchFamily="34" charset="0"/>
              <a:cs typeface="Arial" panose="020B0604020202020204" pitchFamily="34" charset="0"/>
            </a:rPr>
            <a:t>AJOUTER UN ITEM</a:t>
          </a:r>
        </a:p>
      </xdr:txBody>
    </xdr:sp>
    <xdr:clientData fPrintsWithSheet="0"/>
  </xdr:oneCellAnchor>
  <xdr:oneCellAnchor>
    <xdr:from>
      <xdr:col>4</xdr:col>
      <xdr:colOff>0</xdr:colOff>
      <xdr:row>214</xdr:row>
      <xdr:rowOff>80995</xdr:rowOff>
    </xdr:from>
    <xdr:ext cx="253575" cy="253732"/>
    <xdr:sp macro="[0]!Ajouter_18" textlink="">
      <xdr:nvSpPr>
        <xdr:cNvPr id="127" name="Graphique 8" descr="Badge à suivre avec un remplissage uni">
          <a:extLst>
            <a:ext uri="{FF2B5EF4-FFF2-40B4-BE49-F238E27FC236}">
              <a16:creationId xmlns:a16="http://schemas.microsoft.com/office/drawing/2014/main" id="{00000000-0008-0000-0000-00007F000000}"/>
            </a:ext>
          </a:extLst>
        </xdr:cNvPr>
        <xdr:cNvSpPr>
          <a:spLocks noChangeAspect="1"/>
        </xdr:cNvSpPr>
      </xdr:nvSpPr>
      <xdr:spPr>
        <a:xfrm>
          <a:off x="5019675" y="6624670"/>
          <a:ext cx="253575" cy="253732"/>
        </a:xfrm>
        <a:custGeom>
          <a:avLst/>
          <a:gdLst>
            <a:gd name="connsiteX0" fmla="*/ 361750 w 723499"/>
            <a:gd name="connsiteY0" fmla="*/ 0 h 723500"/>
            <a:gd name="connsiteX1" fmla="*/ 0 w 723499"/>
            <a:gd name="connsiteY1" fmla="*/ 361750 h 723500"/>
            <a:gd name="connsiteX2" fmla="*/ 361750 w 723499"/>
            <a:gd name="connsiteY2" fmla="*/ 723500 h 723500"/>
            <a:gd name="connsiteX3" fmla="*/ 723500 w 723499"/>
            <a:gd name="connsiteY3" fmla="*/ 361750 h 723500"/>
            <a:gd name="connsiteX4" fmla="*/ 723500 w 723499"/>
            <a:gd name="connsiteY4" fmla="*/ 361712 h 723500"/>
            <a:gd name="connsiteX5" fmla="*/ 362036 w 723499"/>
            <a:gd name="connsiteY5" fmla="*/ 0 h 723500"/>
            <a:gd name="connsiteX6" fmla="*/ 361750 w 723499"/>
            <a:gd name="connsiteY6" fmla="*/ 0 h 723500"/>
            <a:gd name="connsiteX7" fmla="*/ 539096 w 723499"/>
            <a:gd name="connsiteY7" fmla="*/ 393954 h 723500"/>
            <a:gd name="connsiteX8" fmla="*/ 393954 w 723499"/>
            <a:gd name="connsiteY8" fmla="*/ 393954 h 723500"/>
            <a:gd name="connsiteX9" fmla="*/ 393954 w 723499"/>
            <a:gd name="connsiteY9" fmla="*/ 539058 h 723500"/>
            <a:gd name="connsiteX10" fmla="*/ 329546 w 723499"/>
            <a:gd name="connsiteY10" fmla="*/ 539058 h 723500"/>
            <a:gd name="connsiteX11" fmla="*/ 329546 w 723499"/>
            <a:gd name="connsiteY11" fmla="*/ 393916 h 723500"/>
            <a:gd name="connsiteX12" fmla="*/ 184404 w 723499"/>
            <a:gd name="connsiteY12" fmla="*/ 393916 h 723500"/>
            <a:gd name="connsiteX13" fmla="*/ 184404 w 723499"/>
            <a:gd name="connsiteY13" fmla="*/ 329508 h 723500"/>
            <a:gd name="connsiteX14" fmla="*/ 329546 w 723499"/>
            <a:gd name="connsiteY14" fmla="*/ 329508 h 723500"/>
            <a:gd name="connsiteX15" fmla="*/ 329546 w 723499"/>
            <a:gd name="connsiteY15" fmla="*/ 184366 h 723500"/>
            <a:gd name="connsiteX16" fmla="*/ 393954 w 723499"/>
            <a:gd name="connsiteY16" fmla="*/ 184366 h 723500"/>
            <a:gd name="connsiteX17" fmla="*/ 393954 w 723499"/>
            <a:gd name="connsiteY17" fmla="*/ 329508 h 723500"/>
            <a:gd name="connsiteX18" fmla="*/ 539096 w 723499"/>
            <a:gd name="connsiteY18" fmla="*/ 329508 h 7235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Lst>
          <a:rect l="l" t="t" r="r" b="b"/>
          <a:pathLst>
            <a:path w="723499" h="723500">
              <a:moveTo>
                <a:pt x="361750" y="0"/>
              </a:moveTo>
              <a:cubicBezTo>
                <a:pt x="161961" y="0"/>
                <a:pt x="0" y="161961"/>
                <a:pt x="0" y="361750"/>
              </a:cubicBezTo>
              <a:cubicBezTo>
                <a:pt x="0" y="561539"/>
                <a:pt x="161961" y="723500"/>
                <a:pt x="361750" y="723500"/>
              </a:cubicBezTo>
              <a:cubicBezTo>
                <a:pt x="561539" y="723500"/>
                <a:pt x="723500" y="561539"/>
                <a:pt x="723500" y="361750"/>
              </a:cubicBezTo>
              <a:cubicBezTo>
                <a:pt x="723500" y="361738"/>
                <a:pt x="723500" y="361724"/>
                <a:pt x="723500" y="361712"/>
              </a:cubicBezTo>
              <a:cubicBezTo>
                <a:pt x="723569" y="162013"/>
                <a:pt x="561735" y="69"/>
                <a:pt x="362036" y="0"/>
              </a:cubicBezTo>
              <a:cubicBezTo>
                <a:pt x="361940" y="0"/>
                <a:pt x="361845" y="0"/>
                <a:pt x="361750" y="0"/>
              </a:cubicBezTo>
              <a:close/>
              <a:moveTo>
                <a:pt x="539096" y="393954"/>
              </a:moveTo>
              <a:lnTo>
                <a:pt x="393954" y="393954"/>
              </a:lnTo>
              <a:lnTo>
                <a:pt x="393954" y="539058"/>
              </a:lnTo>
              <a:lnTo>
                <a:pt x="329546" y="539058"/>
              </a:lnTo>
              <a:lnTo>
                <a:pt x="329546" y="393916"/>
              </a:lnTo>
              <a:lnTo>
                <a:pt x="184404" y="393916"/>
              </a:lnTo>
              <a:lnTo>
                <a:pt x="184404" y="329508"/>
              </a:lnTo>
              <a:lnTo>
                <a:pt x="329546" y="329508"/>
              </a:lnTo>
              <a:lnTo>
                <a:pt x="329546" y="184366"/>
              </a:lnTo>
              <a:lnTo>
                <a:pt x="393954" y="184366"/>
              </a:lnTo>
              <a:lnTo>
                <a:pt x="393954" y="329508"/>
              </a:lnTo>
              <a:lnTo>
                <a:pt x="539096" y="329508"/>
              </a:lnTo>
              <a:close/>
            </a:path>
          </a:pathLst>
        </a:custGeom>
        <a:solidFill>
          <a:sysClr val="window" lastClr="FFFFFF"/>
        </a:solidFill>
        <a:ln w="9525" cap="flat">
          <a:solidFill>
            <a:srgbClr val="00B050"/>
          </a:solidFill>
          <a:prstDash val="solid"/>
          <a:miter/>
        </a:ln>
      </xdr:spPr>
      <xdr:txBody>
        <a:bodyPr rtlCol="0" anchor="ctr"/>
        <a:lstStyle/>
        <a:p>
          <a:endParaRPr lang="en-CA"/>
        </a:p>
      </xdr:txBody>
    </xdr:sp>
    <xdr:clientData fPrintsWithSheet="0"/>
  </xdr:oneCellAnchor>
  <xdr:oneCellAnchor>
    <xdr:from>
      <xdr:col>2</xdr:col>
      <xdr:colOff>0</xdr:colOff>
      <xdr:row>221</xdr:row>
      <xdr:rowOff>81375</xdr:rowOff>
    </xdr:from>
    <xdr:ext cx="1758525" cy="252000"/>
    <xdr:sp macro="[0]!Ajouter_19" textlink="">
      <xdr:nvSpPr>
        <xdr:cNvPr id="128" name="Rectangle : coins arrondis 127">
          <a:extLst>
            <a:ext uri="{FF2B5EF4-FFF2-40B4-BE49-F238E27FC236}">
              <a16:creationId xmlns:a16="http://schemas.microsoft.com/office/drawing/2014/main" id="{00000000-0008-0000-0000-000080000000}"/>
            </a:ext>
          </a:extLst>
        </xdr:cNvPr>
        <xdr:cNvSpPr/>
      </xdr:nvSpPr>
      <xdr:spPr>
        <a:xfrm>
          <a:off x="3514725" y="6625050"/>
          <a:ext cx="1758525" cy="252000"/>
        </a:xfrm>
        <a:prstGeom prst="roundRect">
          <a:avLst>
            <a:gd name="adj" fmla="val 50000"/>
          </a:avLst>
        </a:prstGeom>
        <a:solidFill>
          <a:srgbClr val="00B050"/>
        </a:solidFill>
        <a:ln>
          <a:solidFill>
            <a:schemeClr val="bg1"/>
          </a:solidFill>
        </a:ln>
      </xdr:spPr>
      <xdr:style>
        <a:lnRef idx="0">
          <a:scrgbClr r="0" g="0" b="0"/>
        </a:lnRef>
        <a:fillRef idx="0">
          <a:scrgbClr r="0" g="0" b="0"/>
        </a:fillRef>
        <a:effectRef idx="0">
          <a:scrgbClr r="0" g="0" b="0"/>
        </a:effectRef>
        <a:fontRef idx="minor">
          <a:schemeClr val="lt1"/>
        </a:fontRef>
      </xdr:style>
      <xdr:txBody>
        <a:bodyPr vertOverflow="clip" horzOverflow="clip" rtlCol="0" anchor="ctr"/>
        <a:lstStyle/>
        <a:p>
          <a:pPr algn="l"/>
          <a:r>
            <a:rPr lang="en-CA" sz="1000" b="1">
              <a:latin typeface="Arial" panose="020B0604020202020204" pitchFamily="34" charset="0"/>
              <a:cs typeface="Arial" panose="020B0604020202020204" pitchFamily="34" charset="0"/>
            </a:rPr>
            <a:t>AJOUTER UN ITEM</a:t>
          </a:r>
        </a:p>
      </xdr:txBody>
    </xdr:sp>
    <xdr:clientData fPrintsWithSheet="0"/>
  </xdr:oneCellAnchor>
  <xdr:oneCellAnchor>
    <xdr:from>
      <xdr:col>4</xdr:col>
      <xdr:colOff>0</xdr:colOff>
      <xdr:row>221</xdr:row>
      <xdr:rowOff>80995</xdr:rowOff>
    </xdr:from>
    <xdr:ext cx="253575" cy="253732"/>
    <xdr:sp macro="[0]!Ajouter_19" textlink="">
      <xdr:nvSpPr>
        <xdr:cNvPr id="129" name="Graphique 8" descr="Badge à suivre avec un remplissage uni">
          <a:extLst>
            <a:ext uri="{FF2B5EF4-FFF2-40B4-BE49-F238E27FC236}">
              <a16:creationId xmlns:a16="http://schemas.microsoft.com/office/drawing/2014/main" id="{00000000-0008-0000-0000-000081000000}"/>
            </a:ext>
          </a:extLst>
        </xdr:cNvPr>
        <xdr:cNvSpPr>
          <a:spLocks noChangeAspect="1"/>
        </xdr:cNvSpPr>
      </xdr:nvSpPr>
      <xdr:spPr>
        <a:xfrm>
          <a:off x="5019675" y="6624670"/>
          <a:ext cx="253575" cy="253732"/>
        </a:xfrm>
        <a:custGeom>
          <a:avLst/>
          <a:gdLst>
            <a:gd name="connsiteX0" fmla="*/ 361750 w 723499"/>
            <a:gd name="connsiteY0" fmla="*/ 0 h 723500"/>
            <a:gd name="connsiteX1" fmla="*/ 0 w 723499"/>
            <a:gd name="connsiteY1" fmla="*/ 361750 h 723500"/>
            <a:gd name="connsiteX2" fmla="*/ 361750 w 723499"/>
            <a:gd name="connsiteY2" fmla="*/ 723500 h 723500"/>
            <a:gd name="connsiteX3" fmla="*/ 723500 w 723499"/>
            <a:gd name="connsiteY3" fmla="*/ 361750 h 723500"/>
            <a:gd name="connsiteX4" fmla="*/ 723500 w 723499"/>
            <a:gd name="connsiteY4" fmla="*/ 361712 h 723500"/>
            <a:gd name="connsiteX5" fmla="*/ 362036 w 723499"/>
            <a:gd name="connsiteY5" fmla="*/ 0 h 723500"/>
            <a:gd name="connsiteX6" fmla="*/ 361750 w 723499"/>
            <a:gd name="connsiteY6" fmla="*/ 0 h 723500"/>
            <a:gd name="connsiteX7" fmla="*/ 539096 w 723499"/>
            <a:gd name="connsiteY7" fmla="*/ 393954 h 723500"/>
            <a:gd name="connsiteX8" fmla="*/ 393954 w 723499"/>
            <a:gd name="connsiteY8" fmla="*/ 393954 h 723500"/>
            <a:gd name="connsiteX9" fmla="*/ 393954 w 723499"/>
            <a:gd name="connsiteY9" fmla="*/ 539058 h 723500"/>
            <a:gd name="connsiteX10" fmla="*/ 329546 w 723499"/>
            <a:gd name="connsiteY10" fmla="*/ 539058 h 723500"/>
            <a:gd name="connsiteX11" fmla="*/ 329546 w 723499"/>
            <a:gd name="connsiteY11" fmla="*/ 393916 h 723500"/>
            <a:gd name="connsiteX12" fmla="*/ 184404 w 723499"/>
            <a:gd name="connsiteY12" fmla="*/ 393916 h 723500"/>
            <a:gd name="connsiteX13" fmla="*/ 184404 w 723499"/>
            <a:gd name="connsiteY13" fmla="*/ 329508 h 723500"/>
            <a:gd name="connsiteX14" fmla="*/ 329546 w 723499"/>
            <a:gd name="connsiteY14" fmla="*/ 329508 h 723500"/>
            <a:gd name="connsiteX15" fmla="*/ 329546 w 723499"/>
            <a:gd name="connsiteY15" fmla="*/ 184366 h 723500"/>
            <a:gd name="connsiteX16" fmla="*/ 393954 w 723499"/>
            <a:gd name="connsiteY16" fmla="*/ 184366 h 723500"/>
            <a:gd name="connsiteX17" fmla="*/ 393954 w 723499"/>
            <a:gd name="connsiteY17" fmla="*/ 329508 h 723500"/>
            <a:gd name="connsiteX18" fmla="*/ 539096 w 723499"/>
            <a:gd name="connsiteY18" fmla="*/ 329508 h 7235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Lst>
          <a:rect l="l" t="t" r="r" b="b"/>
          <a:pathLst>
            <a:path w="723499" h="723500">
              <a:moveTo>
                <a:pt x="361750" y="0"/>
              </a:moveTo>
              <a:cubicBezTo>
                <a:pt x="161961" y="0"/>
                <a:pt x="0" y="161961"/>
                <a:pt x="0" y="361750"/>
              </a:cubicBezTo>
              <a:cubicBezTo>
                <a:pt x="0" y="561539"/>
                <a:pt x="161961" y="723500"/>
                <a:pt x="361750" y="723500"/>
              </a:cubicBezTo>
              <a:cubicBezTo>
                <a:pt x="561539" y="723500"/>
                <a:pt x="723500" y="561539"/>
                <a:pt x="723500" y="361750"/>
              </a:cubicBezTo>
              <a:cubicBezTo>
                <a:pt x="723500" y="361738"/>
                <a:pt x="723500" y="361724"/>
                <a:pt x="723500" y="361712"/>
              </a:cubicBezTo>
              <a:cubicBezTo>
                <a:pt x="723569" y="162013"/>
                <a:pt x="561735" y="69"/>
                <a:pt x="362036" y="0"/>
              </a:cubicBezTo>
              <a:cubicBezTo>
                <a:pt x="361940" y="0"/>
                <a:pt x="361845" y="0"/>
                <a:pt x="361750" y="0"/>
              </a:cubicBezTo>
              <a:close/>
              <a:moveTo>
                <a:pt x="539096" y="393954"/>
              </a:moveTo>
              <a:lnTo>
                <a:pt x="393954" y="393954"/>
              </a:lnTo>
              <a:lnTo>
                <a:pt x="393954" y="539058"/>
              </a:lnTo>
              <a:lnTo>
                <a:pt x="329546" y="539058"/>
              </a:lnTo>
              <a:lnTo>
                <a:pt x="329546" y="393916"/>
              </a:lnTo>
              <a:lnTo>
                <a:pt x="184404" y="393916"/>
              </a:lnTo>
              <a:lnTo>
                <a:pt x="184404" y="329508"/>
              </a:lnTo>
              <a:lnTo>
                <a:pt x="329546" y="329508"/>
              </a:lnTo>
              <a:lnTo>
                <a:pt x="329546" y="184366"/>
              </a:lnTo>
              <a:lnTo>
                <a:pt x="393954" y="184366"/>
              </a:lnTo>
              <a:lnTo>
                <a:pt x="393954" y="329508"/>
              </a:lnTo>
              <a:lnTo>
                <a:pt x="539096" y="329508"/>
              </a:lnTo>
              <a:close/>
            </a:path>
          </a:pathLst>
        </a:custGeom>
        <a:solidFill>
          <a:sysClr val="window" lastClr="FFFFFF"/>
        </a:solidFill>
        <a:ln w="9525" cap="flat">
          <a:solidFill>
            <a:srgbClr val="00B050"/>
          </a:solidFill>
          <a:prstDash val="solid"/>
          <a:miter/>
        </a:ln>
      </xdr:spPr>
      <xdr:txBody>
        <a:bodyPr rtlCol="0" anchor="ctr"/>
        <a:lstStyle/>
        <a:p>
          <a:endParaRPr lang="en-CA"/>
        </a:p>
      </xdr:txBody>
    </xdr:sp>
    <xdr:clientData fPrintsWithSheet="0"/>
  </xdr:oneCellAnchor>
  <xdr:oneCellAnchor>
    <xdr:from>
      <xdr:col>2</xdr:col>
      <xdr:colOff>0</xdr:colOff>
      <xdr:row>228</xdr:row>
      <xdr:rowOff>81375</xdr:rowOff>
    </xdr:from>
    <xdr:ext cx="1758525" cy="252000"/>
    <xdr:sp macro="[0]!Ajouter_20" textlink="">
      <xdr:nvSpPr>
        <xdr:cNvPr id="130" name="Rectangle : coins arrondis 129">
          <a:extLst>
            <a:ext uri="{FF2B5EF4-FFF2-40B4-BE49-F238E27FC236}">
              <a16:creationId xmlns:a16="http://schemas.microsoft.com/office/drawing/2014/main" id="{00000000-0008-0000-0000-000082000000}"/>
            </a:ext>
          </a:extLst>
        </xdr:cNvPr>
        <xdr:cNvSpPr/>
      </xdr:nvSpPr>
      <xdr:spPr>
        <a:xfrm>
          <a:off x="3514725" y="6625050"/>
          <a:ext cx="1758525" cy="252000"/>
        </a:xfrm>
        <a:prstGeom prst="roundRect">
          <a:avLst>
            <a:gd name="adj" fmla="val 50000"/>
          </a:avLst>
        </a:prstGeom>
        <a:solidFill>
          <a:srgbClr val="00B050"/>
        </a:solidFill>
        <a:ln>
          <a:solidFill>
            <a:schemeClr val="bg1"/>
          </a:solidFill>
        </a:ln>
      </xdr:spPr>
      <xdr:style>
        <a:lnRef idx="0">
          <a:scrgbClr r="0" g="0" b="0"/>
        </a:lnRef>
        <a:fillRef idx="0">
          <a:scrgbClr r="0" g="0" b="0"/>
        </a:fillRef>
        <a:effectRef idx="0">
          <a:scrgbClr r="0" g="0" b="0"/>
        </a:effectRef>
        <a:fontRef idx="minor">
          <a:schemeClr val="lt1"/>
        </a:fontRef>
      </xdr:style>
      <xdr:txBody>
        <a:bodyPr vertOverflow="clip" horzOverflow="clip" rtlCol="0" anchor="ctr"/>
        <a:lstStyle/>
        <a:p>
          <a:pPr algn="l"/>
          <a:r>
            <a:rPr lang="en-CA" sz="1000" b="1">
              <a:latin typeface="Arial" panose="020B0604020202020204" pitchFamily="34" charset="0"/>
              <a:cs typeface="Arial" panose="020B0604020202020204" pitchFamily="34" charset="0"/>
            </a:rPr>
            <a:t>AJOUTER UN ITEM</a:t>
          </a:r>
        </a:p>
      </xdr:txBody>
    </xdr:sp>
    <xdr:clientData fPrintsWithSheet="0"/>
  </xdr:oneCellAnchor>
  <xdr:oneCellAnchor>
    <xdr:from>
      <xdr:col>4</xdr:col>
      <xdr:colOff>0</xdr:colOff>
      <xdr:row>228</xdr:row>
      <xdr:rowOff>80995</xdr:rowOff>
    </xdr:from>
    <xdr:ext cx="253575" cy="253732"/>
    <xdr:sp macro="[0]!Ajouter_20" textlink="">
      <xdr:nvSpPr>
        <xdr:cNvPr id="131" name="Graphique 8" descr="Badge à suivre avec un remplissage uni">
          <a:extLst>
            <a:ext uri="{FF2B5EF4-FFF2-40B4-BE49-F238E27FC236}">
              <a16:creationId xmlns:a16="http://schemas.microsoft.com/office/drawing/2014/main" id="{00000000-0008-0000-0000-000083000000}"/>
            </a:ext>
          </a:extLst>
        </xdr:cNvPr>
        <xdr:cNvSpPr>
          <a:spLocks noChangeAspect="1"/>
        </xdr:cNvSpPr>
      </xdr:nvSpPr>
      <xdr:spPr>
        <a:xfrm>
          <a:off x="5019675" y="6624670"/>
          <a:ext cx="253575" cy="253732"/>
        </a:xfrm>
        <a:custGeom>
          <a:avLst/>
          <a:gdLst>
            <a:gd name="connsiteX0" fmla="*/ 361750 w 723499"/>
            <a:gd name="connsiteY0" fmla="*/ 0 h 723500"/>
            <a:gd name="connsiteX1" fmla="*/ 0 w 723499"/>
            <a:gd name="connsiteY1" fmla="*/ 361750 h 723500"/>
            <a:gd name="connsiteX2" fmla="*/ 361750 w 723499"/>
            <a:gd name="connsiteY2" fmla="*/ 723500 h 723500"/>
            <a:gd name="connsiteX3" fmla="*/ 723500 w 723499"/>
            <a:gd name="connsiteY3" fmla="*/ 361750 h 723500"/>
            <a:gd name="connsiteX4" fmla="*/ 723500 w 723499"/>
            <a:gd name="connsiteY4" fmla="*/ 361712 h 723500"/>
            <a:gd name="connsiteX5" fmla="*/ 362036 w 723499"/>
            <a:gd name="connsiteY5" fmla="*/ 0 h 723500"/>
            <a:gd name="connsiteX6" fmla="*/ 361750 w 723499"/>
            <a:gd name="connsiteY6" fmla="*/ 0 h 723500"/>
            <a:gd name="connsiteX7" fmla="*/ 539096 w 723499"/>
            <a:gd name="connsiteY7" fmla="*/ 393954 h 723500"/>
            <a:gd name="connsiteX8" fmla="*/ 393954 w 723499"/>
            <a:gd name="connsiteY8" fmla="*/ 393954 h 723500"/>
            <a:gd name="connsiteX9" fmla="*/ 393954 w 723499"/>
            <a:gd name="connsiteY9" fmla="*/ 539058 h 723500"/>
            <a:gd name="connsiteX10" fmla="*/ 329546 w 723499"/>
            <a:gd name="connsiteY10" fmla="*/ 539058 h 723500"/>
            <a:gd name="connsiteX11" fmla="*/ 329546 w 723499"/>
            <a:gd name="connsiteY11" fmla="*/ 393916 h 723500"/>
            <a:gd name="connsiteX12" fmla="*/ 184404 w 723499"/>
            <a:gd name="connsiteY12" fmla="*/ 393916 h 723500"/>
            <a:gd name="connsiteX13" fmla="*/ 184404 w 723499"/>
            <a:gd name="connsiteY13" fmla="*/ 329508 h 723500"/>
            <a:gd name="connsiteX14" fmla="*/ 329546 w 723499"/>
            <a:gd name="connsiteY14" fmla="*/ 329508 h 723500"/>
            <a:gd name="connsiteX15" fmla="*/ 329546 w 723499"/>
            <a:gd name="connsiteY15" fmla="*/ 184366 h 723500"/>
            <a:gd name="connsiteX16" fmla="*/ 393954 w 723499"/>
            <a:gd name="connsiteY16" fmla="*/ 184366 h 723500"/>
            <a:gd name="connsiteX17" fmla="*/ 393954 w 723499"/>
            <a:gd name="connsiteY17" fmla="*/ 329508 h 723500"/>
            <a:gd name="connsiteX18" fmla="*/ 539096 w 723499"/>
            <a:gd name="connsiteY18" fmla="*/ 329508 h 7235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Lst>
          <a:rect l="l" t="t" r="r" b="b"/>
          <a:pathLst>
            <a:path w="723499" h="723500">
              <a:moveTo>
                <a:pt x="361750" y="0"/>
              </a:moveTo>
              <a:cubicBezTo>
                <a:pt x="161961" y="0"/>
                <a:pt x="0" y="161961"/>
                <a:pt x="0" y="361750"/>
              </a:cubicBezTo>
              <a:cubicBezTo>
                <a:pt x="0" y="561539"/>
                <a:pt x="161961" y="723500"/>
                <a:pt x="361750" y="723500"/>
              </a:cubicBezTo>
              <a:cubicBezTo>
                <a:pt x="561539" y="723500"/>
                <a:pt x="723500" y="561539"/>
                <a:pt x="723500" y="361750"/>
              </a:cubicBezTo>
              <a:cubicBezTo>
                <a:pt x="723500" y="361738"/>
                <a:pt x="723500" y="361724"/>
                <a:pt x="723500" y="361712"/>
              </a:cubicBezTo>
              <a:cubicBezTo>
                <a:pt x="723569" y="162013"/>
                <a:pt x="561735" y="69"/>
                <a:pt x="362036" y="0"/>
              </a:cubicBezTo>
              <a:cubicBezTo>
                <a:pt x="361940" y="0"/>
                <a:pt x="361845" y="0"/>
                <a:pt x="361750" y="0"/>
              </a:cubicBezTo>
              <a:close/>
              <a:moveTo>
                <a:pt x="539096" y="393954"/>
              </a:moveTo>
              <a:lnTo>
                <a:pt x="393954" y="393954"/>
              </a:lnTo>
              <a:lnTo>
                <a:pt x="393954" y="539058"/>
              </a:lnTo>
              <a:lnTo>
                <a:pt x="329546" y="539058"/>
              </a:lnTo>
              <a:lnTo>
                <a:pt x="329546" y="393916"/>
              </a:lnTo>
              <a:lnTo>
                <a:pt x="184404" y="393916"/>
              </a:lnTo>
              <a:lnTo>
                <a:pt x="184404" y="329508"/>
              </a:lnTo>
              <a:lnTo>
                <a:pt x="329546" y="329508"/>
              </a:lnTo>
              <a:lnTo>
                <a:pt x="329546" y="184366"/>
              </a:lnTo>
              <a:lnTo>
                <a:pt x="393954" y="184366"/>
              </a:lnTo>
              <a:lnTo>
                <a:pt x="393954" y="329508"/>
              </a:lnTo>
              <a:lnTo>
                <a:pt x="539096" y="329508"/>
              </a:lnTo>
              <a:close/>
            </a:path>
          </a:pathLst>
        </a:custGeom>
        <a:solidFill>
          <a:sysClr val="window" lastClr="FFFFFF"/>
        </a:solidFill>
        <a:ln w="9525" cap="flat">
          <a:solidFill>
            <a:srgbClr val="00B050"/>
          </a:solidFill>
          <a:prstDash val="solid"/>
          <a:miter/>
        </a:ln>
      </xdr:spPr>
      <xdr:txBody>
        <a:bodyPr rtlCol="0" anchor="ctr"/>
        <a:lstStyle/>
        <a:p>
          <a:endParaRPr lang="en-CA"/>
        </a:p>
      </xdr:txBody>
    </xdr:sp>
    <xdr:clientData fPrintsWithSheet="0"/>
  </xdr:oneCellAnchor>
  <xdr:oneCellAnchor>
    <xdr:from>
      <xdr:col>2</xdr:col>
      <xdr:colOff>0</xdr:colOff>
      <xdr:row>235</xdr:row>
      <xdr:rowOff>81375</xdr:rowOff>
    </xdr:from>
    <xdr:ext cx="1758525" cy="252000"/>
    <xdr:sp macro="[0]!Ajouter_21" textlink="">
      <xdr:nvSpPr>
        <xdr:cNvPr id="132" name="Rectangle : coins arrondis 131">
          <a:extLst>
            <a:ext uri="{FF2B5EF4-FFF2-40B4-BE49-F238E27FC236}">
              <a16:creationId xmlns:a16="http://schemas.microsoft.com/office/drawing/2014/main" id="{00000000-0008-0000-0000-000084000000}"/>
            </a:ext>
          </a:extLst>
        </xdr:cNvPr>
        <xdr:cNvSpPr/>
      </xdr:nvSpPr>
      <xdr:spPr>
        <a:xfrm>
          <a:off x="3514725" y="6625050"/>
          <a:ext cx="1758525" cy="252000"/>
        </a:xfrm>
        <a:prstGeom prst="roundRect">
          <a:avLst>
            <a:gd name="adj" fmla="val 50000"/>
          </a:avLst>
        </a:prstGeom>
        <a:solidFill>
          <a:srgbClr val="00B050"/>
        </a:solidFill>
        <a:ln>
          <a:solidFill>
            <a:schemeClr val="bg1"/>
          </a:solidFill>
        </a:ln>
      </xdr:spPr>
      <xdr:style>
        <a:lnRef idx="0">
          <a:scrgbClr r="0" g="0" b="0"/>
        </a:lnRef>
        <a:fillRef idx="0">
          <a:scrgbClr r="0" g="0" b="0"/>
        </a:fillRef>
        <a:effectRef idx="0">
          <a:scrgbClr r="0" g="0" b="0"/>
        </a:effectRef>
        <a:fontRef idx="minor">
          <a:schemeClr val="lt1"/>
        </a:fontRef>
      </xdr:style>
      <xdr:txBody>
        <a:bodyPr vertOverflow="clip" horzOverflow="clip" rtlCol="0" anchor="ctr"/>
        <a:lstStyle/>
        <a:p>
          <a:pPr algn="l"/>
          <a:r>
            <a:rPr lang="en-CA" sz="1000" b="1">
              <a:latin typeface="Arial" panose="020B0604020202020204" pitchFamily="34" charset="0"/>
              <a:cs typeface="Arial" panose="020B0604020202020204" pitchFamily="34" charset="0"/>
            </a:rPr>
            <a:t>AJOUTER UN ITEM</a:t>
          </a:r>
        </a:p>
      </xdr:txBody>
    </xdr:sp>
    <xdr:clientData fPrintsWithSheet="0"/>
  </xdr:oneCellAnchor>
  <xdr:oneCellAnchor>
    <xdr:from>
      <xdr:col>4</xdr:col>
      <xdr:colOff>0</xdr:colOff>
      <xdr:row>235</xdr:row>
      <xdr:rowOff>80995</xdr:rowOff>
    </xdr:from>
    <xdr:ext cx="253575" cy="253732"/>
    <xdr:sp macro="[0]!Ajouter_21" textlink="">
      <xdr:nvSpPr>
        <xdr:cNvPr id="133" name="Graphique 8" descr="Badge à suivre avec un remplissage uni">
          <a:extLst>
            <a:ext uri="{FF2B5EF4-FFF2-40B4-BE49-F238E27FC236}">
              <a16:creationId xmlns:a16="http://schemas.microsoft.com/office/drawing/2014/main" id="{00000000-0008-0000-0000-000085000000}"/>
            </a:ext>
          </a:extLst>
        </xdr:cNvPr>
        <xdr:cNvSpPr>
          <a:spLocks noChangeAspect="1"/>
        </xdr:cNvSpPr>
      </xdr:nvSpPr>
      <xdr:spPr>
        <a:xfrm>
          <a:off x="5019675" y="6624670"/>
          <a:ext cx="253575" cy="253732"/>
        </a:xfrm>
        <a:custGeom>
          <a:avLst/>
          <a:gdLst>
            <a:gd name="connsiteX0" fmla="*/ 361750 w 723499"/>
            <a:gd name="connsiteY0" fmla="*/ 0 h 723500"/>
            <a:gd name="connsiteX1" fmla="*/ 0 w 723499"/>
            <a:gd name="connsiteY1" fmla="*/ 361750 h 723500"/>
            <a:gd name="connsiteX2" fmla="*/ 361750 w 723499"/>
            <a:gd name="connsiteY2" fmla="*/ 723500 h 723500"/>
            <a:gd name="connsiteX3" fmla="*/ 723500 w 723499"/>
            <a:gd name="connsiteY3" fmla="*/ 361750 h 723500"/>
            <a:gd name="connsiteX4" fmla="*/ 723500 w 723499"/>
            <a:gd name="connsiteY4" fmla="*/ 361712 h 723500"/>
            <a:gd name="connsiteX5" fmla="*/ 362036 w 723499"/>
            <a:gd name="connsiteY5" fmla="*/ 0 h 723500"/>
            <a:gd name="connsiteX6" fmla="*/ 361750 w 723499"/>
            <a:gd name="connsiteY6" fmla="*/ 0 h 723500"/>
            <a:gd name="connsiteX7" fmla="*/ 539096 w 723499"/>
            <a:gd name="connsiteY7" fmla="*/ 393954 h 723500"/>
            <a:gd name="connsiteX8" fmla="*/ 393954 w 723499"/>
            <a:gd name="connsiteY8" fmla="*/ 393954 h 723500"/>
            <a:gd name="connsiteX9" fmla="*/ 393954 w 723499"/>
            <a:gd name="connsiteY9" fmla="*/ 539058 h 723500"/>
            <a:gd name="connsiteX10" fmla="*/ 329546 w 723499"/>
            <a:gd name="connsiteY10" fmla="*/ 539058 h 723500"/>
            <a:gd name="connsiteX11" fmla="*/ 329546 w 723499"/>
            <a:gd name="connsiteY11" fmla="*/ 393916 h 723500"/>
            <a:gd name="connsiteX12" fmla="*/ 184404 w 723499"/>
            <a:gd name="connsiteY12" fmla="*/ 393916 h 723500"/>
            <a:gd name="connsiteX13" fmla="*/ 184404 w 723499"/>
            <a:gd name="connsiteY13" fmla="*/ 329508 h 723500"/>
            <a:gd name="connsiteX14" fmla="*/ 329546 w 723499"/>
            <a:gd name="connsiteY14" fmla="*/ 329508 h 723500"/>
            <a:gd name="connsiteX15" fmla="*/ 329546 w 723499"/>
            <a:gd name="connsiteY15" fmla="*/ 184366 h 723500"/>
            <a:gd name="connsiteX16" fmla="*/ 393954 w 723499"/>
            <a:gd name="connsiteY16" fmla="*/ 184366 h 723500"/>
            <a:gd name="connsiteX17" fmla="*/ 393954 w 723499"/>
            <a:gd name="connsiteY17" fmla="*/ 329508 h 723500"/>
            <a:gd name="connsiteX18" fmla="*/ 539096 w 723499"/>
            <a:gd name="connsiteY18" fmla="*/ 329508 h 7235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Lst>
          <a:rect l="l" t="t" r="r" b="b"/>
          <a:pathLst>
            <a:path w="723499" h="723500">
              <a:moveTo>
                <a:pt x="361750" y="0"/>
              </a:moveTo>
              <a:cubicBezTo>
                <a:pt x="161961" y="0"/>
                <a:pt x="0" y="161961"/>
                <a:pt x="0" y="361750"/>
              </a:cubicBezTo>
              <a:cubicBezTo>
                <a:pt x="0" y="561539"/>
                <a:pt x="161961" y="723500"/>
                <a:pt x="361750" y="723500"/>
              </a:cubicBezTo>
              <a:cubicBezTo>
                <a:pt x="561539" y="723500"/>
                <a:pt x="723500" y="561539"/>
                <a:pt x="723500" y="361750"/>
              </a:cubicBezTo>
              <a:cubicBezTo>
                <a:pt x="723500" y="361738"/>
                <a:pt x="723500" y="361724"/>
                <a:pt x="723500" y="361712"/>
              </a:cubicBezTo>
              <a:cubicBezTo>
                <a:pt x="723569" y="162013"/>
                <a:pt x="561735" y="69"/>
                <a:pt x="362036" y="0"/>
              </a:cubicBezTo>
              <a:cubicBezTo>
                <a:pt x="361940" y="0"/>
                <a:pt x="361845" y="0"/>
                <a:pt x="361750" y="0"/>
              </a:cubicBezTo>
              <a:close/>
              <a:moveTo>
                <a:pt x="539096" y="393954"/>
              </a:moveTo>
              <a:lnTo>
                <a:pt x="393954" y="393954"/>
              </a:lnTo>
              <a:lnTo>
                <a:pt x="393954" y="539058"/>
              </a:lnTo>
              <a:lnTo>
                <a:pt x="329546" y="539058"/>
              </a:lnTo>
              <a:lnTo>
                <a:pt x="329546" y="393916"/>
              </a:lnTo>
              <a:lnTo>
                <a:pt x="184404" y="393916"/>
              </a:lnTo>
              <a:lnTo>
                <a:pt x="184404" y="329508"/>
              </a:lnTo>
              <a:lnTo>
                <a:pt x="329546" y="329508"/>
              </a:lnTo>
              <a:lnTo>
                <a:pt x="329546" y="184366"/>
              </a:lnTo>
              <a:lnTo>
                <a:pt x="393954" y="184366"/>
              </a:lnTo>
              <a:lnTo>
                <a:pt x="393954" y="329508"/>
              </a:lnTo>
              <a:lnTo>
                <a:pt x="539096" y="329508"/>
              </a:lnTo>
              <a:close/>
            </a:path>
          </a:pathLst>
        </a:custGeom>
        <a:solidFill>
          <a:sysClr val="window" lastClr="FFFFFF"/>
        </a:solidFill>
        <a:ln w="9525" cap="flat">
          <a:solidFill>
            <a:srgbClr val="00B050"/>
          </a:solidFill>
          <a:prstDash val="solid"/>
          <a:miter/>
        </a:ln>
      </xdr:spPr>
      <xdr:txBody>
        <a:bodyPr rtlCol="0" anchor="ctr"/>
        <a:lstStyle/>
        <a:p>
          <a:endParaRPr lang="en-CA"/>
        </a:p>
      </xdr:txBody>
    </xdr:sp>
    <xdr:clientData fPrintsWithSheet="0"/>
  </xdr:oneCellAnchor>
  <xdr:oneCellAnchor>
    <xdr:from>
      <xdr:col>2</xdr:col>
      <xdr:colOff>0</xdr:colOff>
      <xdr:row>242</xdr:row>
      <xdr:rowOff>81375</xdr:rowOff>
    </xdr:from>
    <xdr:ext cx="1758525" cy="252000"/>
    <xdr:sp macro="[0]!Ajouter_22" textlink="">
      <xdr:nvSpPr>
        <xdr:cNvPr id="134" name="Rectangle : coins arrondis 133">
          <a:extLst>
            <a:ext uri="{FF2B5EF4-FFF2-40B4-BE49-F238E27FC236}">
              <a16:creationId xmlns:a16="http://schemas.microsoft.com/office/drawing/2014/main" id="{00000000-0008-0000-0000-000086000000}"/>
            </a:ext>
          </a:extLst>
        </xdr:cNvPr>
        <xdr:cNvSpPr/>
      </xdr:nvSpPr>
      <xdr:spPr>
        <a:xfrm>
          <a:off x="3514725" y="6625050"/>
          <a:ext cx="1758525" cy="252000"/>
        </a:xfrm>
        <a:prstGeom prst="roundRect">
          <a:avLst>
            <a:gd name="adj" fmla="val 50000"/>
          </a:avLst>
        </a:prstGeom>
        <a:solidFill>
          <a:srgbClr val="00B050"/>
        </a:solidFill>
        <a:ln>
          <a:solidFill>
            <a:schemeClr val="bg1"/>
          </a:solidFill>
        </a:ln>
      </xdr:spPr>
      <xdr:style>
        <a:lnRef idx="0">
          <a:scrgbClr r="0" g="0" b="0"/>
        </a:lnRef>
        <a:fillRef idx="0">
          <a:scrgbClr r="0" g="0" b="0"/>
        </a:fillRef>
        <a:effectRef idx="0">
          <a:scrgbClr r="0" g="0" b="0"/>
        </a:effectRef>
        <a:fontRef idx="minor">
          <a:schemeClr val="lt1"/>
        </a:fontRef>
      </xdr:style>
      <xdr:txBody>
        <a:bodyPr vertOverflow="clip" horzOverflow="clip" rtlCol="0" anchor="ctr"/>
        <a:lstStyle/>
        <a:p>
          <a:pPr algn="l"/>
          <a:r>
            <a:rPr lang="en-CA" sz="1000" b="1">
              <a:latin typeface="Arial" panose="020B0604020202020204" pitchFamily="34" charset="0"/>
              <a:cs typeface="Arial" panose="020B0604020202020204" pitchFamily="34" charset="0"/>
            </a:rPr>
            <a:t>AJOUTER UN ITEM</a:t>
          </a:r>
        </a:p>
      </xdr:txBody>
    </xdr:sp>
    <xdr:clientData fPrintsWithSheet="0"/>
  </xdr:oneCellAnchor>
  <xdr:oneCellAnchor>
    <xdr:from>
      <xdr:col>4</xdr:col>
      <xdr:colOff>0</xdr:colOff>
      <xdr:row>242</xdr:row>
      <xdr:rowOff>80995</xdr:rowOff>
    </xdr:from>
    <xdr:ext cx="253575" cy="253732"/>
    <xdr:sp macro="[0]!Ajouter_22" textlink="">
      <xdr:nvSpPr>
        <xdr:cNvPr id="135" name="Graphique 8" descr="Badge à suivre avec un remplissage uni">
          <a:extLst>
            <a:ext uri="{FF2B5EF4-FFF2-40B4-BE49-F238E27FC236}">
              <a16:creationId xmlns:a16="http://schemas.microsoft.com/office/drawing/2014/main" id="{00000000-0008-0000-0000-000087000000}"/>
            </a:ext>
          </a:extLst>
        </xdr:cNvPr>
        <xdr:cNvSpPr>
          <a:spLocks noChangeAspect="1"/>
        </xdr:cNvSpPr>
      </xdr:nvSpPr>
      <xdr:spPr>
        <a:xfrm>
          <a:off x="5019675" y="6624670"/>
          <a:ext cx="253575" cy="253732"/>
        </a:xfrm>
        <a:custGeom>
          <a:avLst/>
          <a:gdLst>
            <a:gd name="connsiteX0" fmla="*/ 361750 w 723499"/>
            <a:gd name="connsiteY0" fmla="*/ 0 h 723500"/>
            <a:gd name="connsiteX1" fmla="*/ 0 w 723499"/>
            <a:gd name="connsiteY1" fmla="*/ 361750 h 723500"/>
            <a:gd name="connsiteX2" fmla="*/ 361750 w 723499"/>
            <a:gd name="connsiteY2" fmla="*/ 723500 h 723500"/>
            <a:gd name="connsiteX3" fmla="*/ 723500 w 723499"/>
            <a:gd name="connsiteY3" fmla="*/ 361750 h 723500"/>
            <a:gd name="connsiteX4" fmla="*/ 723500 w 723499"/>
            <a:gd name="connsiteY4" fmla="*/ 361712 h 723500"/>
            <a:gd name="connsiteX5" fmla="*/ 362036 w 723499"/>
            <a:gd name="connsiteY5" fmla="*/ 0 h 723500"/>
            <a:gd name="connsiteX6" fmla="*/ 361750 w 723499"/>
            <a:gd name="connsiteY6" fmla="*/ 0 h 723500"/>
            <a:gd name="connsiteX7" fmla="*/ 539096 w 723499"/>
            <a:gd name="connsiteY7" fmla="*/ 393954 h 723500"/>
            <a:gd name="connsiteX8" fmla="*/ 393954 w 723499"/>
            <a:gd name="connsiteY8" fmla="*/ 393954 h 723500"/>
            <a:gd name="connsiteX9" fmla="*/ 393954 w 723499"/>
            <a:gd name="connsiteY9" fmla="*/ 539058 h 723500"/>
            <a:gd name="connsiteX10" fmla="*/ 329546 w 723499"/>
            <a:gd name="connsiteY10" fmla="*/ 539058 h 723500"/>
            <a:gd name="connsiteX11" fmla="*/ 329546 w 723499"/>
            <a:gd name="connsiteY11" fmla="*/ 393916 h 723500"/>
            <a:gd name="connsiteX12" fmla="*/ 184404 w 723499"/>
            <a:gd name="connsiteY12" fmla="*/ 393916 h 723500"/>
            <a:gd name="connsiteX13" fmla="*/ 184404 w 723499"/>
            <a:gd name="connsiteY13" fmla="*/ 329508 h 723500"/>
            <a:gd name="connsiteX14" fmla="*/ 329546 w 723499"/>
            <a:gd name="connsiteY14" fmla="*/ 329508 h 723500"/>
            <a:gd name="connsiteX15" fmla="*/ 329546 w 723499"/>
            <a:gd name="connsiteY15" fmla="*/ 184366 h 723500"/>
            <a:gd name="connsiteX16" fmla="*/ 393954 w 723499"/>
            <a:gd name="connsiteY16" fmla="*/ 184366 h 723500"/>
            <a:gd name="connsiteX17" fmla="*/ 393954 w 723499"/>
            <a:gd name="connsiteY17" fmla="*/ 329508 h 723500"/>
            <a:gd name="connsiteX18" fmla="*/ 539096 w 723499"/>
            <a:gd name="connsiteY18" fmla="*/ 329508 h 7235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Lst>
          <a:rect l="l" t="t" r="r" b="b"/>
          <a:pathLst>
            <a:path w="723499" h="723500">
              <a:moveTo>
                <a:pt x="361750" y="0"/>
              </a:moveTo>
              <a:cubicBezTo>
                <a:pt x="161961" y="0"/>
                <a:pt x="0" y="161961"/>
                <a:pt x="0" y="361750"/>
              </a:cubicBezTo>
              <a:cubicBezTo>
                <a:pt x="0" y="561539"/>
                <a:pt x="161961" y="723500"/>
                <a:pt x="361750" y="723500"/>
              </a:cubicBezTo>
              <a:cubicBezTo>
                <a:pt x="561539" y="723500"/>
                <a:pt x="723500" y="561539"/>
                <a:pt x="723500" y="361750"/>
              </a:cubicBezTo>
              <a:cubicBezTo>
                <a:pt x="723500" y="361738"/>
                <a:pt x="723500" y="361724"/>
                <a:pt x="723500" y="361712"/>
              </a:cubicBezTo>
              <a:cubicBezTo>
                <a:pt x="723569" y="162013"/>
                <a:pt x="561735" y="69"/>
                <a:pt x="362036" y="0"/>
              </a:cubicBezTo>
              <a:cubicBezTo>
                <a:pt x="361940" y="0"/>
                <a:pt x="361845" y="0"/>
                <a:pt x="361750" y="0"/>
              </a:cubicBezTo>
              <a:close/>
              <a:moveTo>
                <a:pt x="539096" y="393954"/>
              </a:moveTo>
              <a:lnTo>
                <a:pt x="393954" y="393954"/>
              </a:lnTo>
              <a:lnTo>
                <a:pt x="393954" y="539058"/>
              </a:lnTo>
              <a:lnTo>
                <a:pt x="329546" y="539058"/>
              </a:lnTo>
              <a:lnTo>
                <a:pt x="329546" y="393916"/>
              </a:lnTo>
              <a:lnTo>
                <a:pt x="184404" y="393916"/>
              </a:lnTo>
              <a:lnTo>
                <a:pt x="184404" y="329508"/>
              </a:lnTo>
              <a:lnTo>
                <a:pt x="329546" y="329508"/>
              </a:lnTo>
              <a:lnTo>
                <a:pt x="329546" y="184366"/>
              </a:lnTo>
              <a:lnTo>
                <a:pt x="393954" y="184366"/>
              </a:lnTo>
              <a:lnTo>
                <a:pt x="393954" y="329508"/>
              </a:lnTo>
              <a:lnTo>
                <a:pt x="539096" y="329508"/>
              </a:lnTo>
              <a:close/>
            </a:path>
          </a:pathLst>
        </a:custGeom>
        <a:solidFill>
          <a:sysClr val="window" lastClr="FFFFFF"/>
        </a:solidFill>
        <a:ln w="9525" cap="flat">
          <a:solidFill>
            <a:srgbClr val="00B050"/>
          </a:solidFill>
          <a:prstDash val="solid"/>
          <a:miter/>
        </a:ln>
      </xdr:spPr>
      <xdr:txBody>
        <a:bodyPr rtlCol="0" anchor="ctr"/>
        <a:lstStyle/>
        <a:p>
          <a:endParaRPr lang="en-CA"/>
        </a:p>
      </xdr:txBody>
    </xdr:sp>
    <xdr:clientData fPrintsWithSheet="0"/>
  </xdr:oneCellAnchor>
  <xdr:oneCellAnchor>
    <xdr:from>
      <xdr:col>2</xdr:col>
      <xdr:colOff>0</xdr:colOff>
      <xdr:row>249</xdr:row>
      <xdr:rowOff>81375</xdr:rowOff>
    </xdr:from>
    <xdr:ext cx="1758525" cy="252000"/>
    <xdr:sp macro="[0]!Ajouter_23" textlink="">
      <xdr:nvSpPr>
        <xdr:cNvPr id="136" name="Rectangle : coins arrondis 135">
          <a:extLst>
            <a:ext uri="{FF2B5EF4-FFF2-40B4-BE49-F238E27FC236}">
              <a16:creationId xmlns:a16="http://schemas.microsoft.com/office/drawing/2014/main" id="{00000000-0008-0000-0000-000088000000}"/>
            </a:ext>
          </a:extLst>
        </xdr:cNvPr>
        <xdr:cNvSpPr/>
      </xdr:nvSpPr>
      <xdr:spPr>
        <a:xfrm>
          <a:off x="3514725" y="6625050"/>
          <a:ext cx="1758525" cy="252000"/>
        </a:xfrm>
        <a:prstGeom prst="roundRect">
          <a:avLst>
            <a:gd name="adj" fmla="val 50000"/>
          </a:avLst>
        </a:prstGeom>
        <a:solidFill>
          <a:srgbClr val="00B050"/>
        </a:solidFill>
        <a:ln>
          <a:solidFill>
            <a:schemeClr val="bg1"/>
          </a:solidFill>
        </a:ln>
      </xdr:spPr>
      <xdr:style>
        <a:lnRef idx="0">
          <a:scrgbClr r="0" g="0" b="0"/>
        </a:lnRef>
        <a:fillRef idx="0">
          <a:scrgbClr r="0" g="0" b="0"/>
        </a:fillRef>
        <a:effectRef idx="0">
          <a:scrgbClr r="0" g="0" b="0"/>
        </a:effectRef>
        <a:fontRef idx="minor">
          <a:schemeClr val="lt1"/>
        </a:fontRef>
      </xdr:style>
      <xdr:txBody>
        <a:bodyPr vertOverflow="clip" horzOverflow="clip" rtlCol="0" anchor="ctr"/>
        <a:lstStyle/>
        <a:p>
          <a:pPr algn="l"/>
          <a:r>
            <a:rPr lang="en-CA" sz="1000" b="1">
              <a:latin typeface="Arial" panose="020B0604020202020204" pitchFamily="34" charset="0"/>
              <a:cs typeface="Arial" panose="020B0604020202020204" pitchFamily="34" charset="0"/>
            </a:rPr>
            <a:t>AJOUTER UN ITEM</a:t>
          </a:r>
        </a:p>
      </xdr:txBody>
    </xdr:sp>
    <xdr:clientData fPrintsWithSheet="0"/>
  </xdr:oneCellAnchor>
  <xdr:oneCellAnchor>
    <xdr:from>
      <xdr:col>4</xdr:col>
      <xdr:colOff>0</xdr:colOff>
      <xdr:row>249</xdr:row>
      <xdr:rowOff>80995</xdr:rowOff>
    </xdr:from>
    <xdr:ext cx="253575" cy="253732"/>
    <xdr:sp macro="[0]!Ajouter_23" textlink="">
      <xdr:nvSpPr>
        <xdr:cNvPr id="137" name="Graphique 8" descr="Badge à suivre avec un remplissage uni">
          <a:extLst>
            <a:ext uri="{FF2B5EF4-FFF2-40B4-BE49-F238E27FC236}">
              <a16:creationId xmlns:a16="http://schemas.microsoft.com/office/drawing/2014/main" id="{00000000-0008-0000-0000-000089000000}"/>
            </a:ext>
          </a:extLst>
        </xdr:cNvPr>
        <xdr:cNvSpPr>
          <a:spLocks noChangeAspect="1"/>
        </xdr:cNvSpPr>
      </xdr:nvSpPr>
      <xdr:spPr>
        <a:xfrm>
          <a:off x="5019675" y="6624670"/>
          <a:ext cx="253575" cy="253732"/>
        </a:xfrm>
        <a:custGeom>
          <a:avLst/>
          <a:gdLst>
            <a:gd name="connsiteX0" fmla="*/ 361750 w 723499"/>
            <a:gd name="connsiteY0" fmla="*/ 0 h 723500"/>
            <a:gd name="connsiteX1" fmla="*/ 0 w 723499"/>
            <a:gd name="connsiteY1" fmla="*/ 361750 h 723500"/>
            <a:gd name="connsiteX2" fmla="*/ 361750 w 723499"/>
            <a:gd name="connsiteY2" fmla="*/ 723500 h 723500"/>
            <a:gd name="connsiteX3" fmla="*/ 723500 w 723499"/>
            <a:gd name="connsiteY3" fmla="*/ 361750 h 723500"/>
            <a:gd name="connsiteX4" fmla="*/ 723500 w 723499"/>
            <a:gd name="connsiteY4" fmla="*/ 361712 h 723500"/>
            <a:gd name="connsiteX5" fmla="*/ 362036 w 723499"/>
            <a:gd name="connsiteY5" fmla="*/ 0 h 723500"/>
            <a:gd name="connsiteX6" fmla="*/ 361750 w 723499"/>
            <a:gd name="connsiteY6" fmla="*/ 0 h 723500"/>
            <a:gd name="connsiteX7" fmla="*/ 539096 w 723499"/>
            <a:gd name="connsiteY7" fmla="*/ 393954 h 723500"/>
            <a:gd name="connsiteX8" fmla="*/ 393954 w 723499"/>
            <a:gd name="connsiteY8" fmla="*/ 393954 h 723500"/>
            <a:gd name="connsiteX9" fmla="*/ 393954 w 723499"/>
            <a:gd name="connsiteY9" fmla="*/ 539058 h 723500"/>
            <a:gd name="connsiteX10" fmla="*/ 329546 w 723499"/>
            <a:gd name="connsiteY10" fmla="*/ 539058 h 723500"/>
            <a:gd name="connsiteX11" fmla="*/ 329546 w 723499"/>
            <a:gd name="connsiteY11" fmla="*/ 393916 h 723500"/>
            <a:gd name="connsiteX12" fmla="*/ 184404 w 723499"/>
            <a:gd name="connsiteY12" fmla="*/ 393916 h 723500"/>
            <a:gd name="connsiteX13" fmla="*/ 184404 w 723499"/>
            <a:gd name="connsiteY13" fmla="*/ 329508 h 723500"/>
            <a:gd name="connsiteX14" fmla="*/ 329546 w 723499"/>
            <a:gd name="connsiteY14" fmla="*/ 329508 h 723500"/>
            <a:gd name="connsiteX15" fmla="*/ 329546 w 723499"/>
            <a:gd name="connsiteY15" fmla="*/ 184366 h 723500"/>
            <a:gd name="connsiteX16" fmla="*/ 393954 w 723499"/>
            <a:gd name="connsiteY16" fmla="*/ 184366 h 723500"/>
            <a:gd name="connsiteX17" fmla="*/ 393954 w 723499"/>
            <a:gd name="connsiteY17" fmla="*/ 329508 h 723500"/>
            <a:gd name="connsiteX18" fmla="*/ 539096 w 723499"/>
            <a:gd name="connsiteY18" fmla="*/ 329508 h 7235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Lst>
          <a:rect l="l" t="t" r="r" b="b"/>
          <a:pathLst>
            <a:path w="723499" h="723500">
              <a:moveTo>
                <a:pt x="361750" y="0"/>
              </a:moveTo>
              <a:cubicBezTo>
                <a:pt x="161961" y="0"/>
                <a:pt x="0" y="161961"/>
                <a:pt x="0" y="361750"/>
              </a:cubicBezTo>
              <a:cubicBezTo>
                <a:pt x="0" y="561539"/>
                <a:pt x="161961" y="723500"/>
                <a:pt x="361750" y="723500"/>
              </a:cubicBezTo>
              <a:cubicBezTo>
                <a:pt x="561539" y="723500"/>
                <a:pt x="723500" y="561539"/>
                <a:pt x="723500" y="361750"/>
              </a:cubicBezTo>
              <a:cubicBezTo>
                <a:pt x="723500" y="361738"/>
                <a:pt x="723500" y="361724"/>
                <a:pt x="723500" y="361712"/>
              </a:cubicBezTo>
              <a:cubicBezTo>
                <a:pt x="723569" y="162013"/>
                <a:pt x="561735" y="69"/>
                <a:pt x="362036" y="0"/>
              </a:cubicBezTo>
              <a:cubicBezTo>
                <a:pt x="361940" y="0"/>
                <a:pt x="361845" y="0"/>
                <a:pt x="361750" y="0"/>
              </a:cubicBezTo>
              <a:close/>
              <a:moveTo>
                <a:pt x="539096" y="393954"/>
              </a:moveTo>
              <a:lnTo>
                <a:pt x="393954" y="393954"/>
              </a:lnTo>
              <a:lnTo>
                <a:pt x="393954" y="539058"/>
              </a:lnTo>
              <a:lnTo>
                <a:pt x="329546" y="539058"/>
              </a:lnTo>
              <a:lnTo>
                <a:pt x="329546" y="393916"/>
              </a:lnTo>
              <a:lnTo>
                <a:pt x="184404" y="393916"/>
              </a:lnTo>
              <a:lnTo>
                <a:pt x="184404" y="329508"/>
              </a:lnTo>
              <a:lnTo>
                <a:pt x="329546" y="329508"/>
              </a:lnTo>
              <a:lnTo>
                <a:pt x="329546" y="184366"/>
              </a:lnTo>
              <a:lnTo>
                <a:pt x="393954" y="184366"/>
              </a:lnTo>
              <a:lnTo>
                <a:pt x="393954" y="329508"/>
              </a:lnTo>
              <a:lnTo>
                <a:pt x="539096" y="329508"/>
              </a:lnTo>
              <a:close/>
            </a:path>
          </a:pathLst>
        </a:custGeom>
        <a:solidFill>
          <a:sysClr val="window" lastClr="FFFFFF"/>
        </a:solidFill>
        <a:ln w="9525" cap="flat">
          <a:solidFill>
            <a:srgbClr val="00B050"/>
          </a:solidFill>
          <a:prstDash val="solid"/>
          <a:miter/>
        </a:ln>
      </xdr:spPr>
      <xdr:txBody>
        <a:bodyPr rtlCol="0" anchor="ctr"/>
        <a:lstStyle/>
        <a:p>
          <a:endParaRPr lang="en-CA"/>
        </a:p>
      </xdr:txBody>
    </xdr:sp>
    <xdr:clientData fPrintsWithSheet="0"/>
  </xdr:oneCellAnchor>
  <xdr:oneCellAnchor>
    <xdr:from>
      <xdr:col>2</xdr:col>
      <xdr:colOff>0</xdr:colOff>
      <xdr:row>256</xdr:row>
      <xdr:rowOff>81375</xdr:rowOff>
    </xdr:from>
    <xdr:ext cx="1758525" cy="252000"/>
    <xdr:sp macro="[0]!Ajouter_24" textlink="">
      <xdr:nvSpPr>
        <xdr:cNvPr id="138" name="Rectangle : coins arrondis 137">
          <a:extLst>
            <a:ext uri="{FF2B5EF4-FFF2-40B4-BE49-F238E27FC236}">
              <a16:creationId xmlns:a16="http://schemas.microsoft.com/office/drawing/2014/main" id="{00000000-0008-0000-0000-00008A000000}"/>
            </a:ext>
          </a:extLst>
        </xdr:cNvPr>
        <xdr:cNvSpPr/>
      </xdr:nvSpPr>
      <xdr:spPr>
        <a:xfrm>
          <a:off x="3514725" y="6625050"/>
          <a:ext cx="1758525" cy="252000"/>
        </a:xfrm>
        <a:prstGeom prst="roundRect">
          <a:avLst>
            <a:gd name="adj" fmla="val 50000"/>
          </a:avLst>
        </a:prstGeom>
        <a:solidFill>
          <a:srgbClr val="00B050"/>
        </a:solidFill>
        <a:ln>
          <a:solidFill>
            <a:schemeClr val="bg1"/>
          </a:solidFill>
        </a:ln>
      </xdr:spPr>
      <xdr:style>
        <a:lnRef idx="0">
          <a:scrgbClr r="0" g="0" b="0"/>
        </a:lnRef>
        <a:fillRef idx="0">
          <a:scrgbClr r="0" g="0" b="0"/>
        </a:fillRef>
        <a:effectRef idx="0">
          <a:scrgbClr r="0" g="0" b="0"/>
        </a:effectRef>
        <a:fontRef idx="minor">
          <a:schemeClr val="lt1"/>
        </a:fontRef>
      </xdr:style>
      <xdr:txBody>
        <a:bodyPr vertOverflow="clip" horzOverflow="clip" rtlCol="0" anchor="ctr"/>
        <a:lstStyle/>
        <a:p>
          <a:pPr algn="l"/>
          <a:r>
            <a:rPr lang="en-CA" sz="1000" b="1">
              <a:latin typeface="Arial" panose="020B0604020202020204" pitchFamily="34" charset="0"/>
              <a:cs typeface="Arial" panose="020B0604020202020204" pitchFamily="34" charset="0"/>
            </a:rPr>
            <a:t>AJOUTER UN ITEM</a:t>
          </a:r>
        </a:p>
      </xdr:txBody>
    </xdr:sp>
    <xdr:clientData fPrintsWithSheet="0"/>
  </xdr:oneCellAnchor>
  <xdr:oneCellAnchor>
    <xdr:from>
      <xdr:col>4</xdr:col>
      <xdr:colOff>0</xdr:colOff>
      <xdr:row>256</xdr:row>
      <xdr:rowOff>80995</xdr:rowOff>
    </xdr:from>
    <xdr:ext cx="253575" cy="253732"/>
    <xdr:sp macro="[0]!Ajouter_24" textlink="">
      <xdr:nvSpPr>
        <xdr:cNvPr id="139" name="Graphique 8" descr="Badge à suivre avec un remplissage uni">
          <a:extLst>
            <a:ext uri="{FF2B5EF4-FFF2-40B4-BE49-F238E27FC236}">
              <a16:creationId xmlns:a16="http://schemas.microsoft.com/office/drawing/2014/main" id="{00000000-0008-0000-0000-00008B000000}"/>
            </a:ext>
          </a:extLst>
        </xdr:cNvPr>
        <xdr:cNvSpPr>
          <a:spLocks noChangeAspect="1"/>
        </xdr:cNvSpPr>
      </xdr:nvSpPr>
      <xdr:spPr>
        <a:xfrm>
          <a:off x="5019675" y="6624670"/>
          <a:ext cx="253575" cy="253732"/>
        </a:xfrm>
        <a:custGeom>
          <a:avLst/>
          <a:gdLst>
            <a:gd name="connsiteX0" fmla="*/ 361750 w 723499"/>
            <a:gd name="connsiteY0" fmla="*/ 0 h 723500"/>
            <a:gd name="connsiteX1" fmla="*/ 0 w 723499"/>
            <a:gd name="connsiteY1" fmla="*/ 361750 h 723500"/>
            <a:gd name="connsiteX2" fmla="*/ 361750 w 723499"/>
            <a:gd name="connsiteY2" fmla="*/ 723500 h 723500"/>
            <a:gd name="connsiteX3" fmla="*/ 723500 w 723499"/>
            <a:gd name="connsiteY3" fmla="*/ 361750 h 723500"/>
            <a:gd name="connsiteX4" fmla="*/ 723500 w 723499"/>
            <a:gd name="connsiteY4" fmla="*/ 361712 h 723500"/>
            <a:gd name="connsiteX5" fmla="*/ 362036 w 723499"/>
            <a:gd name="connsiteY5" fmla="*/ 0 h 723500"/>
            <a:gd name="connsiteX6" fmla="*/ 361750 w 723499"/>
            <a:gd name="connsiteY6" fmla="*/ 0 h 723500"/>
            <a:gd name="connsiteX7" fmla="*/ 539096 w 723499"/>
            <a:gd name="connsiteY7" fmla="*/ 393954 h 723500"/>
            <a:gd name="connsiteX8" fmla="*/ 393954 w 723499"/>
            <a:gd name="connsiteY8" fmla="*/ 393954 h 723500"/>
            <a:gd name="connsiteX9" fmla="*/ 393954 w 723499"/>
            <a:gd name="connsiteY9" fmla="*/ 539058 h 723500"/>
            <a:gd name="connsiteX10" fmla="*/ 329546 w 723499"/>
            <a:gd name="connsiteY10" fmla="*/ 539058 h 723500"/>
            <a:gd name="connsiteX11" fmla="*/ 329546 w 723499"/>
            <a:gd name="connsiteY11" fmla="*/ 393916 h 723500"/>
            <a:gd name="connsiteX12" fmla="*/ 184404 w 723499"/>
            <a:gd name="connsiteY12" fmla="*/ 393916 h 723500"/>
            <a:gd name="connsiteX13" fmla="*/ 184404 w 723499"/>
            <a:gd name="connsiteY13" fmla="*/ 329508 h 723500"/>
            <a:gd name="connsiteX14" fmla="*/ 329546 w 723499"/>
            <a:gd name="connsiteY14" fmla="*/ 329508 h 723500"/>
            <a:gd name="connsiteX15" fmla="*/ 329546 w 723499"/>
            <a:gd name="connsiteY15" fmla="*/ 184366 h 723500"/>
            <a:gd name="connsiteX16" fmla="*/ 393954 w 723499"/>
            <a:gd name="connsiteY16" fmla="*/ 184366 h 723500"/>
            <a:gd name="connsiteX17" fmla="*/ 393954 w 723499"/>
            <a:gd name="connsiteY17" fmla="*/ 329508 h 723500"/>
            <a:gd name="connsiteX18" fmla="*/ 539096 w 723499"/>
            <a:gd name="connsiteY18" fmla="*/ 329508 h 7235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Lst>
          <a:rect l="l" t="t" r="r" b="b"/>
          <a:pathLst>
            <a:path w="723499" h="723500">
              <a:moveTo>
                <a:pt x="361750" y="0"/>
              </a:moveTo>
              <a:cubicBezTo>
                <a:pt x="161961" y="0"/>
                <a:pt x="0" y="161961"/>
                <a:pt x="0" y="361750"/>
              </a:cubicBezTo>
              <a:cubicBezTo>
                <a:pt x="0" y="561539"/>
                <a:pt x="161961" y="723500"/>
                <a:pt x="361750" y="723500"/>
              </a:cubicBezTo>
              <a:cubicBezTo>
                <a:pt x="561539" y="723500"/>
                <a:pt x="723500" y="561539"/>
                <a:pt x="723500" y="361750"/>
              </a:cubicBezTo>
              <a:cubicBezTo>
                <a:pt x="723500" y="361738"/>
                <a:pt x="723500" y="361724"/>
                <a:pt x="723500" y="361712"/>
              </a:cubicBezTo>
              <a:cubicBezTo>
                <a:pt x="723569" y="162013"/>
                <a:pt x="561735" y="69"/>
                <a:pt x="362036" y="0"/>
              </a:cubicBezTo>
              <a:cubicBezTo>
                <a:pt x="361940" y="0"/>
                <a:pt x="361845" y="0"/>
                <a:pt x="361750" y="0"/>
              </a:cubicBezTo>
              <a:close/>
              <a:moveTo>
                <a:pt x="539096" y="393954"/>
              </a:moveTo>
              <a:lnTo>
                <a:pt x="393954" y="393954"/>
              </a:lnTo>
              <a:lnTo>
                <a:pt x="393954" y="539058"/>
              </a:lnTo>
              <a:lnTo>
                <a:pt x="329546" y="539058"/>
              </a:lnTo>
              <a:lnTo>
                <a:pt x="329546" y="393916"/>
              </a:lnTo>
              <a:lnTo>
                <a:pt x="184404" y="393916"/>
              </a:lnTo>
              <a:lnTo>
                <a:pt x="184404" y="329508"/>
              </a:lnTo>
              <a:lnTo>
                <a:pt x="329546" y="329508"/>
              </a:lnTo>
              <a:lnTo>
                <a:pt x="329546" y="184366"/>
              </a:lnTo>
              <a:lnTo>
                <a:pt x="393954" y="184366"/>
              </a:lnTo>
              <a:lnTo>
                <a:pt x="393954" y="329508"/>
              </a:lnTo>
              <a:lnTo>
                <a:pt x="539096" y="329508"/>
              </a:lnTo>
              <a:close/>
            </a:path>
          </a:pathLst>
        </a:custGeom>
        <a:solidFill>
          <a:sysClr val="window" lastClr="FFFFFF"/>
        </a:solidFill>
        <a:ln w="9525" cap="flat">
          <a:solidFill>
            <a:srgbClr val="00B050"/>
          </a:solidFill>
          <a:prstDash val="solid"/>
          <a:miter/>
        </a:ln>
      </xdr:spPr>
      <xdr:txBody>
        <a:bodyPr rtlCol="0" anchor="ctr"/>
        <a:lstStyle/>
        <a:p>
          <a:endParaRPr lang="en-CA"/>
        </a:p>
      </xdr:txBody>
    </xdr:sp>
    <xdr:clientData fPrintsWithSheet="0"/>
  </xdr:oneCellAnchor>
  <xdr:oneCellAnchor>
    <xdr:from>
      <xdr:col>2</xdr:col>
      <xdr:colOff>0</xdr:colOff>
      <xdr:row>263</xdr:row>
      <xdr:rowOff>81375</xdr:rowOff>
    </xdr:from>
    <xdr:ext cx="1758525" cy="252000"/>
    <xdr:sp macro="[0]!Ajouter_25" textlink="">
      <xdr:nvSpPr>
        <xdr:cNvPr id="140" name="Rectangle : coins arrondis 139">
          <a:extLst>
            <a:ext uri="{FF2B5EF4-FFF2-40B4-BE49-F238E27FC236}">
              <a16:creationId xmlns:a16="http://schemas.microsoft.com/office/drawing/2014/main" id="{00000000-0008-0000-0000-00008C000000}"/>
            </a:ext>
          </a:extLst>
        </xdr:cNvPr>
        <xdr:cNvSpPr/>
      </xdr:nvSpPr>
      <xdr:spPr>
        <a:xfrm>
          <a:off x="3514725" y="6625050"/>
          <a:ext cx="1758525" cy="252000"/>
        </a:xfrm>
        <a:prstGeom prst="roundRect">
          <a:avLst>
            <a:gd name="adj" fmla="val 50000"/>
          </a:avLst>
        </a:prstGeom>
        <a:solidFill>
          <a:srgbClr val="00B050"/>
        </a:solidFill>
        <a:ln>
          <a:solidFill>
            <a:schemeClr val="bg1"/>
          </a:solidFill>
        </a:ln>
      </xdr:spPr>
      <xdr:style>
        <a:lnRef idx="0">
          <a:scrgbClr r="0" g="0" b="0"/>
        </a:lnRef>
        <a:fillRef idx="0">
          <a:scrgbClr r="0" g="0" b="0"/>
        </a:fillRef>
        <a:effectRef idx="0">
          <a:scrgbClr r="0" g="0" b="0"/>
        </a:effectRef>
        <a:fontRef idx="minor">
          <a:schemeClr val="lt1"/>
        </a:fontRef>
      </xdr:style>
      <xdr:txBody>
        <a:bodyPr vertOverflow="clip" horzOverflow="clip" rtlCol="0" anchor="ctr"/>
        <a:lstStyle/>
        <a:p>
          <a:pPr algn="l"/>
          <a:r>
            <a:rPr lang="en-CA" sz="1000" b="1">
              <a:latin typeface="Arial" panose="020B0604020202020204" pitchFamily="34" charset="0"/>
              <a:cs typeface="Arial" panose="020B0604020202020204" pitchFamily="34" charset="0"/>
            </a:rPr>
            <a:t>AJOUTER UN ITEM</a:t>
          </a:r>
        </a:p>
      </xdr:txBody>
    </xdr:sp>
    <xdr:clientData fPrintsWithSheet="0"/>
  </xdr:oneCellAnchor>
  <xdr:oneCellAnchor>
    <xdr:from>
      <xdr:col>4</xdr:col>
      <xdr:colOff>0</xdr:colOff>
      <xdr:row>263</xdr:row>
      <xdr:rowOff>80995</xdr:rowOff>
    </xdr:from>
    <xdr:ext cx="253575" cy="253732"/>
    <xdr:sp macro="[0]!Ajouter_25" textlink="">
      <xdr:nvSpPr>
        <xdr:cNvPr id="141" name="Graphique 8" descr="Badge à suivre avec un remplissage uni">
          <a:extLst>
            <a:ext uri="{FF2B5EF4-FFF2-40B4-BE49-F238E27FC236}">
              <a16:creationId xmlns:a16="http://schemas.microsoft.com/office/drawing/2014/main" id="{00000000-0008-0000-0000-00008D000000}"/>
            </a:ext>
          </a:extLst>
        </xdr:cNvPr>
        <xdr:cNvSpPr>
          <a:spLocks noChangeAspect="1"/>
        </xdr:cNvSpPr>
      </xdr:nvSpPr>
      <xdr:spPr>
        <a:xfrm>
          <a:off x="5019675" y="6624670"/>
          <a:ext cx="253575" cy="253732"/>
        </a:xfrm>
        <a:custGeom>
          <a:avLst/>
          <a:gdLst>
            <a:gd name="connsiteX0" fmla="*/ 361750 w 723499"/>
            <a:gd name="connsiteY0" fmla="*/ 0 h 723500"/>
            <a:gd name="connsiteX1" fmla="*/ 0 w 723499"/>
            <a:gd name="connsiteY1" fmla="*/ 361750 h 723500"/>
            <a:gd name="connsiteX2" fmla="*/ 361750 w 723499"/>
            <a:gd name="connsiteY2" fmla="*/ 723500 h 723500"/>
            <a:gd name="connsiteX3" fmla="*/ 723500 w 723499"/>
            <a:gd name="connsiteY3" fmla="*/ 361750 h 723500"/>
            <a:gd name="connsiteX4" fmla="*/ 723500 w 723499"/>
            <a:gd name="connsiteY4" fmla="*/ 361712 h 723500"/>
            <a:gd name="connsiteX5" fmla="*/ 362036 w 723499"/>
            <a:gd name="connsiteY5" fmla="*/ 0 h 723500"/>
            <a:gd name="connsiteX6" fmla="*/ 361750 w 723499"/>
            <a:gd name="connsiteY6" fmla="*/ 0 h 723500"/>
            <a:gd name="connsiteX7" fmla="*/ 539096 w 723499"/>
            <a:gd name="connsiteY7" fmla="*/ 393954 h 723500"/>
            <a:gd name="connsiteX8" fmla="*/ 393954 w 723499"/>
            <a:gd name="connsiteY8" fmla="*/ 393954 h 723500"/>
            <a:gd name="connsiteX9" fmla="*/ 393954 w 723499"/>
            <a:gd name="connsiteY9" fmla="*/ 539058 h 723500"/>
            <a:gd name="connsiteX10" fmla="*/ 329546 w 723499"/>
            <a:gd name="connsiteY10" fmla="*/ 539058 h 723500"/>
            <a:gd name="connsiteX11" fmla="*/ 329546 w 723499"/>
            <a:gd name="connsiteY11" fmla="*/ 393916 h 723500"/>
            <a:gd name="connsiteX12" fmla="*/ 184404 w 723499"/>
            <a:gd name="connsiteY12" fmla="*/ 393916 h 723500"/>
            <a:gd name="connsiteX13" fmla="*/ 184404 w 723499"/>
            <a:gd name="connsiteY13" fmla="*/ 329508 h 723500"/>
            <a:gd name="connsiteX14" fmla="*/ 329546 w 723499"/>
            <a:gd name="connsiteY14" fmla="*/ 329508 h 723500"/>
            <a:gd name="connsiteX15" fmla="*/ 329546 w 723499"/>
            <a:gd name="connsiteY15" fmla="*/ 184366 h 723500"/>
            <a:gd name="connsiteX16" fmla="*/ 393954 w 723499"/>
            <a:gd name="connsiteY16" fmla="*/ 184366 h 723500"/>
            <a:gd name="connsiteX17" fmla="*/ 393954 w 723499"/>
            <a:gd name="connsiteY17" fmla="*/ 329508 h 723500"/>
            <a:gd name="connsiteX18" fmla="*/ 539096 w 723499"/>
            <a:gd name="connsiteY18" fmla="*/ 329508 h 7235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Lst>
          <a:rect l="l" t="t" r="r" b="b"/>
          <a:pathLst>
            <a:path w="723499" h="723500">
              <a:moveTo>
                <a:pt x="361750" y="0"/>
              </a:moveTo>
              <a:cubicBezTo>
                <a:pt x="161961" y="0"/>
                <a:pt x="0" y="161961"/>
                <a:pt x="0" y="361750"/>
              </a:cubicBezTo>
              <a:cubicBezTo>
                <a:pt x="0" y="561539"/>
                <a:pt x="161961" y="723500"/>
                <a:pt x="361750" y="723500"/>
              </a:cubicBezTo>
              <a:cubicBezTo>
                <a:pt x="561539" y="723500"/>
                <a:pt x="723500" y="561539"/>
                <a:pt x="723500" y="361750"/>
              </a:cubicBezTo>
              <a:cubicBezTo>
                <a:pt x="723500" y="361738"/>
                <a:pt x="723500" y="361724"/>
                <a:pt x="723500" y="361712"/>
              </a:cubicBezTo>
              <a:cubicBezTo>
                <a:pt x="723569" y="162013"/>
                <a:pt x="561735" y="69"/>
                <a:pt x="362036" y="0"/>
              </a:cubicBezTo>
              <a:cubicBezTo>
                <a:pt x="361940" y="0"/>
                <a:pt x="361845" y="0"/>
                <a:pt x="361750" y="0"/>
              </a:cubicBezTo>
              <a:close/>
              <a:moveTo>
                <a:pt x="539096" y="393954"/>
              </a:moveTo>
              <a:lnTo>
                <a:pt x="393954" y="393954"/>
              </a:lnTo>
              <a:lnTo>
                <a:pt x="393954" y="539058"/>
              </a:lnTo>
              <a:lnTo>
                <a:pt x="329546" y="539058"/>
              </a:lnTo>
              <a:lnTo>
                <a:pt x="329546" y="393916"/>
              </a:lnTo>
              <a:lnTo>
                <a:pt x="184404" y="393916"/>
              </a:lnTo>
              <a:lnTo>
                <a:pt x="184404" y="329508"/>
              </a:lnTo>
              <a:lnTo>
                <a:pt x="329546" y="329508"/>
              </a:lnTo>
              <a:lnTo>
                <a:pt x="329546" y="184366"/>
              </a:lnTo>
              <a:lnTo>
                <a:pt x="393954" y="184366"/>
              </a:lnTo>
              <a:lnTo>
                <a:pt x="393954" y="329508"/>
              </a:lnTo>
              <a:lnTo>
                <a:pt x="539096" y="329508"/>
              </a:lnTo>
              <a:close/>
            </a:path>
          </a:pathLst>
        </a:custGeom>
        <a:solidFill>
          <a:sysClr val="window" lastClr="FFFFFF"/>
        </a:solidFill>
        <a:ln w="9525" cap="flat">
          <a:solidFill>
            <a:srgbClr val="00B050"/>
          </a:solidFill>
          <a:prstDash val="solid"/>
          <a:miter/>
        </a:ln>
      </xdr:spPr>
      <xdr:txBody>
        <a:bodyPr rtlCol="0" anchor="ctr"/>
        <a:lstStyle/>
        <a:p>
          <a:endParaRPr lang="en-CA"/>
        </a:p>
      </xdr:txBody>
    </xdr:sp>
    <xdr:clientData fPrintsWithSheet="0"/>
  </xdr:oneCellAnchor>
  <xdr:oneCellAnchor>
    <xdr:from>
      <xdr:col>2</xdr:col>
      <xdr:colOff>0</xdr:colOff>
      <xdr:row>270</xdr:row>
      <xdr:rowOff>81375</xdr:rowOff>
    </xdr:from>
    <xdr:ext cx="1758525" cy="252000"/>
    <xdr:sp macro="[0]!Ajouter_26" textlink="">
      <xdr:nvSpPr>
        <xdr:cNvPr id="142" name="Rectangle : coins arrondis 141">
          <a:extLst>
            <a:ext uri="{FF2B5EF4-FFF2-40B4-BE49-F238E27FC236}">
              <a16:creationId xmlns:a16="http://schemas.microsoft.com/office/drawing/2014/main" id="{00000000-0008-0000-0000-00008E000000}"/>
            </a:ext>
          </a:extLst>
        </xdr:cNvPr>
        <xdr:cNvSpPr/>
      </xdr:nvSpPr>
      <xdr:spPr>
        <a:xfrm>
          <a:off x="3514725" y="6625050"/>
          <a:ext cx="1758525" cy="252000"/>
        </a:xfrm>
        <a:prstGeom prst="roundRect">
          <a:avLst>
            <a:gd name="adj" fmla="val 50000"/>
          </a:avLst>
        </a:prstGeom>
        <a:solidFill>
          <a:srgbClr val="00B050"/>
        </a:solidFill>
        <a:ln>
          <a:solidFill>
            <a:schemeClr val="bg1"/>
          </a:solidFill>
        </a:ln>
      </xdr:spPr>
      <xdr:style>
        <a:lnRef idx="0">
          <a:scrgbClr r="0" g="0" b="0"/>
        </a:lnRef>
        <a:fillRef idx="0">
          <a:scrgbClr r="0" g="0" b="0"/>
        </a:fillRef>
        <a:effectRef idx="0">
          <a:scrgbClr r="0" g="0" b="0"/>
        </a:effectRef>
        <a:fontRef idx="minor">
          <a:schemeClr val="lt1"/>
        </a:fontRef>
      </xdr:style>
      <xdr:txBody>
        <a:bodyPr vertOverflow="clip" horzOverflow="clip" rtlCol="0" anchor="ctr"/>
        <a:lstStyle/>
        <a:p>
          <a:pPr algn="l"/>
          <a:r>
            <a:rPr lang="en-CA" sz="1000" b="1">
              <a:latin typeface="Arial" panose="020B0604020202020204" pitchFamily="34" charset="0"/>
              <a:cs typeface="Arial" panose="020B0604020202020204" pitchFamily="34" charset="0"/>
            </a:rPr>
            <a:t>AJOUTER UN ITEM</a:t>
          </a:r>
        </a:p>
      </xdr:txBody>
    </xdr:sp>
    <xdr:clientData fPrintsWithSheet="0"/>
  </xdr:oneCellAnchor>
  <xdr:oneCellAnchor>
    <xdr:from>
      <xdr:col>4</xdr:col>
      <xdr:colOff>0</xdr:colOff>
      <xdr:row>270</xdr:row>
      <xdr:rowOff>80995</xdr:rowOff>
    </xdr:from>
    <xdr:ext cx="253575" cy="253732"/>
    <xdr:sp macro="[0]!Ajouter_26" textlink="">
      <xdr:nvSpPr>
        <xdr:cNvPr id="143" name="Graphique 8" descr="Badge à suivre avec un remplissage uni">
          <a:extLst>
            <a:ext uri="{FF2B5EF4-FFF2-40B4-BE49-F238E27FC236}">
              <a16:creationId xmlns:a16="http://schemas.microsoft.com/office/drawing/2014/main" id="{00000000-0008-0000-0000-00008F000000}"/>
            </a:ext>
          </a:extLst>
        </xdr:cNvPr>
        <xdr:cNvSpPr>
          <a:spLocks noChangeAspect="1"/>
        </xdr:cNvSpPr>
      </xdr:nvSpPr>
      <xdr:spPr>
        <a:xfrm>
          <a:off x="5019675" y="6624670"/>
          <a:ext cx="253575" cy="253732"/>
        </a:xfrm>
        <a:custGeom>
          <a:avLst/>
          <a:gdLst>
            <a:gd name="connsiteX0" fmla="*/ 361750 w 723499"/>
            <a:gd name="connsiteY0" fmla="*/ 0 h 723500"/>
            <a:gd name="connsiteX1" fmla="*/ 0 w 723499"/>
            <a:gd name="connsiteY1" fmla="*/ 361750 h 723500"/>
            <a:gd name="connsiteX2" fmla="*/ 361750 w 723499"/>
            <a:gd name="connsiteY2" fmla="*/ 723500 h 723500"/>
            <a:gd name="connsiteX3" fmla="*/ 723500 w 723499"/>
            <a:gd name="connsiteY3" fmla="*/ 361750 h 723500"/>
            <a:gd name="connsiteX4" fmla="*/ 723500 w 723499"/>
            <a:gd name="connsiteY4" fmla="*/ 361712 h 723500"/>
            <a:gd name="connsiteX5" fmla="*/ 362036 w 723499"/>
            <a:gd name="connsiteY5" fmla="*/ 0 h 723500"/>
            <a:gd name="connsiteX6" fmla="*/ 361750 w 723499"/>
            <a:gd name="connsiteY6" fmla="*/ 0 h 723500"/>
            <a:gd name="connsiteX7" fmla="*/ 539096 w 723499"/>
            <a:gd name="connsiteY7" fmla="*/ 393954 h 723500"/>
            <a:gd name="connsiteX8" fmla="*/ 393954 w 723499"/>
            <a:gd name="connsiteY8" fmla="*/ 393954 h 723500"/>
            <a:gd name="connsiteX9" fmla="*/ 393954 w 723499"/>
            <a:gd name="connsiteY9" fmla="*/ 539058 h 723500"/>
            <a:gd name="connsiteX10" fmla="*/ 329546 w 723499"/>
            <a:gd name="connsiteY10" fmla="*/ 539058 h 723500"/>
            <a:gd name="connsiteX11" fmla="*/ 329546 w 723499"/>
            <a:gd name="connsiteY11" fmla="*/ 393916 h 723500"/>
            <a:gd name="connsiteX12" fmla="*/ 184404 w 723499"/>
            <a:gd name="connsiteY12" fmla="*/ 393916 h 723500"/>
            <a:gd name="connsiteX13" fmla="*/ 184404 w 723499"/>
            <a:gd name="connsiteY13" fmla="*/ 329508 h 723500"/>
            <a:gd name="connsiteX14" fmla="*/ 329546 w 723499"/>
            <a:gd name="connsiteY14" fmla="*/ 329508 h 723500"/>
            <a:gd name="connsiteX15" fmla="*/ 329546 w 723499"/>
            <a:gd name="connsiteY15" fmla="*/ 184366 h 723500"/>
            <a:gd name="connsiteX16" fmla="*/ 393954 w 723499"/>
            <a:gd name="connsiteY16" fmla="*/ 184366 h 723500"/>
            <a:gd name="connsiteX17" fmla="*/ 393954 w 723499"/>
            <a:gd name="connsiteY17" fmla="*/ 329508 h 723500"/>
            <a:gd name="connsiteX18" fmla="*/ 539096 w 723499"/>
            <a:gd name="connsiteY18" fmla="*/ 329508 h 7235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Lst>
          <a:rect l="l" t="t" r="r" b="b"/>
          <a:pathLst>
            <a:path w="723499" h="723500">
              <a:moveTo>
                <a:pt x="361750" y="0"/>
              </a:moveTo>
              <a:cubicBezTo>
                <a:pt x="161961" y="0"/>
                <a:pt x="0" y="161961"/>
                <a:pt x="0" y="361750"/>
              </a:cubicBezTo>
              <a:cubicBezTo>
                <a:pt x="0" y="561539"/>
                <a:pt x="161961" y="723500"/>
                <a:pt x="361750" y="723500"/>
              </a:cubicBezTo>
              <a:cubicBezTo>
                <a:pt x="561539" y="723500"/>
                <a:pt x="723500" y="561539"/>
                <a:pt x="723500" y="361750"/>
              </a:cubicBezTo>
              <a:cubicBezTo>
                <a:pt x="723500" y="361738"/>
                <a:pt x="723500" y="361724"/>
                <a:pt x="723500" y="361712"/>
              </a:cubicBezTo>
              <a:cubicBezTo>
                <a:pt x="723569" y="162013"/>
                <a:pt x="561735" y="69"/>
                <a:pt x="362036" y="0"/>
              </a:cubicBezTo>
              <a:cubicBezTo>
                <a:pt x="361940" y="0"/>
                <a:pt x="361845" y="0"/>
                <a:pt x="361750" y="0"/>
              </a:cubicBezTo>
              <a:close/>
              <a:moveTo>
                <a:pt x="539096" y="393954"/>
              </a:moveTo>
              <a:lnTo>
                <a:pt x="393954" y="393954"/>
              </a:lnTo>
              <a:lnTo>
                <a:pt x="393954" y="539058"/>
              </a:lnTo>
              <a:lnTo>
                <a:pt x="329546" y="539058"/>
              </a:lnTo>
              <a:lnTo>
                <a:pt x="329546" y="393916"/>
              </a:lnTo>
              <a:lnTo>
                <a:pt x="184404" y="393916"/>
              </a:lnTo>
              <a:lnTo>
                <a:pt x="184404" y="329508"/>
              </a:lnTo>
              <a:lnTo>
                <a:pt x="329546" y="329508"/>
              </a:lnTo>
              <a:lnTo>
                <a:pt x="329546" y="184366"/>
              </a:lnTo>
              <a:lnTo>
                <a:pt x="393954" y="184366"/>
              </a:lnTo>
              <a:lnTo>
                <a:pt x="393954" y="329508"/>
              </a:lnTo>
              <a:lnTo>
                <a:pt x="539096" y="329508"/>
              </a:lnTo>
              <a:close/>
            </a:path>
          </a:pathLst>
        </a:custGeom>
        <a:solidFill>
          <a:sysClr val="window" lastClr="FFFFFF"/>
        </a:solidFill>
        <a:ln w="9525" cap="flat">
          <a:solidFill>
            <a:srgbClr val="00B050"/>
          </a:solidFill>
          <a:prstDash val="solid"/>
          <a:miter/>
        </a:ln>
      </xdr:spPr>
      <xdr:txBody>
        <a:bodyPr rtlCol="0" anchor="ctr"/>
        <a:lstStyle/>
        <a:p>
          <a:endParaRPr lang="en-CA"/>
        </a:p>
      </xdr:txBody>
    </xdr:sp>
    <xdr:clientData fPrintsWithSheet="0"/>
  </xdr:oneCellAnchor>
  <xdr:oneCellAnchor>
    <xdr:from>
      <xdr:col>2</xdr:col>
      <xdr:colOff>0</xdr:colOff>
      <xdr:row>277</xdr:row>
      <xdr:rowOff>81375</xdr:rowOff>
    </xdr:from>
    <xdr:ext cx="1758525" cy="252000"/>
    <xdr:sp macro="[0]!Ajouter_27" textlink="">
      <xdr:nvSpPr>
        <xdr:cNvPr id="144" name="Rectangle : coins arrondis 143">
          <a:extLst>
            <a:ext uri="{FF2B5EF4-FFF2-40B4-BE49-F238E27FC236}">
              <a16:creationId xmlns:a16="http://schemas.microsoft.com/office/drawing/2014/main" id="{00000000-0008-0000-0000-000090000000}"/>
            </a:ext>
          </a:extLst>
        </xdr:cNvPr>
        <xdr:cNvSpPr/>
      </xdr:nvSpPr>
      <xdr:spPr>
        <a:xfrm>
          <a:off x="3514725" y="6625050"/>
          <a:ext cx="1758525" cy="252000"/>
        </a:xfrm>
        <a:prstGeom prst="roundRect">
          <a:avLst>
            <a:gd name="adj" fmla="val 50000"/>
          </a:avLst>
        </a:prstGeom>
        <a:solidFill>
          <a:srgbClr val="00B050"/>
        </a:solidFill>
        <a:ln>
          <a:solidFill>
            <a:schemeClr val="bg1"/>
          </a:solidFill>
        </a:ln>
      </xdr:spPr>
      <xdr:style>
        <a:lnRef idx="0">
          <a:scrgbClr r="0" g="0" b="0"/>
        </a:lnRef>
        <a:fillRef idx="0">
          <a:scrgbClr r="0" g="0" b="0"/>
        </a:fillRef>
        <a:effectRef idx="0">
          <a:scrgbClr r="0" g="0" b="0"/>
        </a:effectRef>
        <a:fontRef idx="minor">
          <a:schemeClr val="lt1"/>
        </a:fontRef>
      </xdr:style>
      <xdr:txBody>
        <a:bodyPr vertOverflow="clip" horzOverflow="clip" rtlCol="0" anchor="ctr"/>
        <a:lstStyle/>
        <a:p>
          <a:pPr algn="l"/>
          <a:r>
            <a:rPr lang="en-CA" sz="1000" b="1">
              <a:latin typeface="Arial" panose="020B0604020202020204" pitchFamily="34" charset="0"/>
              <a:cs typeface="Arial" panose="020B0604020202020204" pitchFamily="34" charset="0"/>
            </a:rPr>
            <a:t>AJOUTER UN ITEM</a:t>
          </a:r>
        </a:p>
      </xdr:txBody>
    </xdr:sp>
    <xdr:clientData fPrintsWithSheet="0"/>
  </xdr:oneCellAnchor>
  <xdr:oneCellAnchor>
    <xdr:from>
      <xdr:col>4</xdr:col>
      <xdr:colOff>0</xdr:colOff>
      <xdr:row>277</xdr:row>
      <xdr:rowOff>80995</xdr:rowOff>
    </xdr:from>
    <xdr:ext cx="253575" cy="253732"/>
    <xdr:sp macro="[0]!Ajouter_27" textlink="">
      <xdr:nvSpPr>
        <xdr:cNvPr id="145" name="Graphique 8" descr="Badge à suivre avec un remplissage uni">
          <a:extLst>
            <a:ext uri="{FF2B5EF4-FFF2-40B4-BE49-F238E27FC236}">
              <a16:creationId xmlns:a16="http://schemas.microsoft.com/office/drawing/2014/main" id="{00000000-0008-0000-0000-000091000000}"/>
            </a:ext>
          </a:extLst>
        </xdr:cNvPr>
        <xdr:cNvSpPr>
          <a:spLocks noChangeAspect="1"/>
        </xdr:cNvSpPr>
      </xdr:nvSpPr>
      <xdr:spPr>
        <a:xfrm>
          <a:off x="5019675" y="6624670"/>
          <a:ext cx="253575" cy="253732"/>
        </a:xfrm>
        <a:custGeom>
          <a:avLst/>
          <a:gdLst>
            <a:gd name="connsiteX0" fmla="*/ 361750 w 723499"/>
            <a:gd name="connsiteY0" fmla="*/ 0 h 723500"/>
            <a:gd name="connsiteX1" fmla="*/ 0 w 723499"/>
            <a:gd name="connsiteY1" fmla="*/ 361750 h 723500"/>
            <a:gd name="connsiteX2" fmla="*/ 361750 w 723499"/>
            <a:gd name="connsiteY2" fmla="*/ 723500 h 723500"/>
            <a:gd name="connsiteX3" fmla="*/ 723500 w 723499"/>
            <a:gd name="connsiteY3" fmla="*/ 361750 h 723500"/>
            <a:gd name="connsiteX4" fmla="*/ 723500 w 723499"/>
            <a:gd name="connsiteY4" fmla="*/ 361712 h 723500"/>
            <a:gd name="connsiteX5" fmla="*/ 362036 w 723499"/>
            <a:gd name="connsiteY5" fmla="*/ 0 h 723500"/>
            <a:gd name="connsiteX6" fmla="*/ 361750 w 723499"/>
            <a:gd name="connsiteY6" fmla="*/ 0 h 723500"/>
            <a:gd name="connsiteX7" fmla="*/ 539096 w 723499"/>
            <a:gd name="connsiteY7" fmla="*/ 393954 h 723500"/>
            <a:gd name="connsiteX8" fmla="*/ 393954 w 723499"/>
            <a:gd name="connsiteY8" fmla="*/ 393954 h 723500"/>
            <a:gd name="connsiteX9" fmla="*/ 393954 w 723499"/>
            <a:gd name="connsiteY9" fmla="*/ 539058 h 723500"/>
            <a:gd name="connsiteX10" fmla="*/ 329546 w 723499"/>
            <a:gd name="connsiteY10" fmla="*/ 539058 h 723500"/>
            <a:gd name="connsiteX11" fmla="*/ 329546 w 723499"/>
            <a:gd name="connsiteY11" fmla="*/ 393916 h 723500"/>
            <a:gd name="connsiteX12" fmla="*/ 184404 w 723499"/>
            <a:gd name="connsiteY12" fmla="*/ 393916 h 723500"/>
            <a:gd name="connsiteX13" fmla="*/ 184404 w 723499"/>
            <a:gd name="connsiteY13" fmla="*/ 329508 h 723500"/>
            <a:gd name="connsiteX14" fmla="*/ 329546 w 723499"/>
            <a:gd name="connsiteY14" fmla="*/ 329508 h 723500"/>
            <a:gd name="connsiteX15" fmla="*/ 329546 w 723499"/>
            <a:gd name="connsiteY15" fmla="*/ 184366 h 723500"/>
            <a:gd name="connsiteX16" fmla="*/ 393954 w 723499"/>
            <a:gd name="connsiteY16" fmla="*/ 184366 h 723500"/>
            <a:gd name="connsiteX17" fmla="*/ 393954 w 723499"/>
            <a:gd name="connsiteY17" fmla="*/ 329508 h 723500"/>
            <a:gd name="connsiteX18" fmla="*/ 539096 w 723499"/>
            <a:gd name="connsiteY18" fmla="*/ 329508 h 7235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Lst>
          <a:rect l="l" t="t" r="r" b="b"/>
          <a:pathLst>
            <a:path w="723499" h="723500">
              <a:moveTo>
                <a:pt x="361750" y="0"/>
              </a:moveTo>
              <a:cubicBezTo>
                <a:pt x="161961" y="0"/>
                <a:pt x="0" y="161961"/>
                <a:pt x="0" y="361750"/>
              </a:cubicBezTo>
              <a:cubicBezTo>
                <a:pt x="0" y="561539"/>
                <a:pt x="161961" y="723500"/>
                <a:pt x="361750" y="723500"/>
              </a:cubicBezTo>
              <a:cubicBezTo>
                <a:pt x="561539" y="723500"/>
                <a:pt x="723500" y="561539"/>
                <a:pt x="723500" y="361750"/>
              </a:cubicBezTo>
              <a:cubicBezTo>
                <a:pt x="723500" y="361738"/>
                <a:pt x="723500" y="361724"/>
                <a:pt x="723500" y="361712"/>
              </a:cubicBezTo>
              <a:cubicBezTo>
                <a:pt x="723569" y="162013"/>
                <a:pt x="561735" y="69"/>
                <a:pt x="362036" y="0"/>
              </a:cubicBezTo>
              <a:cubicBezTo>
                <a:pt x="361940" y="0"/>
                <a:pt x="361845" y="0"/>
                <a:pt x="361750" y="0"/>
              </a:cubicBezTo>
              <a:close/>
              <a:moveTo>
                <a:pt x="539096" y="393954"/>
              </a:moveTo>
              <a:lnTo>
                <a:pt x="393954" y="393954"/>
              </a:lnTo>
              <a:lnTo>
                <a:pt x="393954" y="539058"/>
              </a:lnTo>
              <a:lnTo>
                <a:pt x="329546" y="539058"/>
              </a:lnTo>
              <a:lnTo>
                <a:pt x="329546" y="393916"/>
              </a:lnTo>
              <a:lnTo>
                <a:pt x="184404" y="393916"/>
              </a:lnTo>
              <a:lnTo>
                <a:pt x="184404" y="329508"/>
              </a:lnTo>
              <a:lnTo>
                <a:pt x="329546" y="329508"/>
              </a:lnTo>
              <a:lnTo>
                <a:pt x="329546" y="184366"/>
              </a:lnTo>
              <a:lnTo>
                <a:pt x="393954" y="184366"/>
              </a:lnTo>
              <a:lnTo>
                <a:pt x="393954" y="329508"/>
              </a:lnTo>
              <a:lnTo>
                <a:pt x="539096" y="329508"/>
              </a:lnTo>
              <a:close/>
            </a:path>
          </a:pathLst>
        </a:custGeom>
        <a:solidFill>
          <a:sysClr val="window" lastClr="FFFFFF"/>
        </a:solidFill>
        <a:ln w="9525" cap="flat">
          <a:solidFill>
            <a:srgbClr val="00B050"/>
          </a:solidFill>
          <a:prstDash val="solid"/>
          <a:miter/>
        </a:ln>
      </xdr:spPr>
      <xdr:txBody>
        <a:bodyPr rtlCol="0" anchor="ctr"/>
        <a:lstStyle/>
        <a:p>
          <a:endParaRPr lang="en-CA"/>
        </a:p>
      </xdr:txBody>
    </xdr:sp>
    <xdr:clientData fPrintsWithSheet="0"/>
  </xdr:oneCellAnchor>
  <xdr:oneCellAnchor>
    <xdr:from>
      <xdr:col>2</xdr:col>
      <xdr:colOff>0</xdr:colOff>
      <xdr:row>284</xdr:row>
      <xdr:rowOff>81375</xdr:rowOff>
    </xdr:from>
    <xdr:ext cx="1758525" cy="252000"/>
    <xdr:sp macro="[0]!Ajouter_28" textlink="">
      <xdr:nvSpPr>
        <xdr:cNvPr id="146" name="Rectangle : coins arrondis 145">
          <a:extLst>
            <a:ext uri="{FF2B5EF4-FFF2-40B4-BE49-F238E27FC236}">
              <a16:creationId xmlns:a16="http://schemas.microsoft.com/office/drawing/2014/main" id="{00000000-0008-0000-0000-000092000000}"/>
            </a:ext>
          </a:extLst>
        </xdr:cNvPr>
        <xdr:cNvSpPr/>
      </xdr:nvSpPr>
      <xdr:spPr>
        <a:xfrm>
          <a:off x="3514725" y="6625050"/>
          <a:ext cx="1758525" cy="252000"/>
        </a:xfrm>
        <a:prstGeom prst="roundRect">
          <a:avLst>
            <a:gd name="adj" fmla="val 50000"/>
          </a:avLst>
        </a:prstGeom>
        <a:solidFill>
          <a:srgbClr val="00B050"/>
        </a:solidFill>
        <a:ln>
          <a:solidFill>
            <a:schemeClr val="bg1"/>
          </a:solidFill>
        </a:ln>
      </xdr:spPr>
      <xdr:style>
        <a:lnRef idx="0">
          <a:scrgbClr r="0" g="0" b="0"/>
        </a:lnRef>
        <a:fillRef idx="0">
          <a:scrgbClr r="0" g="0" b="0"/>
        </a:fillRef>
        <a:effectRef idx="0">
          <a:scrgbClr r="0" g="0" b="0"/>
        </a:effectRef>
        <a:fontRef idx="minor">
          <a:schemeClr val="lt1"/>
        </a:fontRef>
      </xdr:style>
      <xdr:txBody>
        <a:bodyPr vertOverflow="clip" horzOverflow="clip" rtlCol="0" anchor="ctr"/>
        <a:lstStyle/>
        <a:p>
          <a:pPr algn="l"/>
          <a:r>
            <a:rPr lang="en-CA" sz="1000" b="1">
              <a:latin typeface="Arial" panose="020B0604020202020204" pitchFamily="34" charset="0"/>
              <a:cs typeface="Arial" panose="020B0604020202020204" pitchFamily="34" charset="0"/>
            </a:rPr>
            <a:t>AJOUTER UN ITEM</a:t>
          </a:r>
        </a:p>
      </xdr:txBody>
    </xdr:sp>
    <xdr:clientData fPrintsWithSheet="0"/>
  </xdr:oneCellAnchor>
  <xdr:oneCellAnchor>
    <xdr:from>
      <xdr:col>4</xdr:col>
      <xdr:colOff>0</xdr:colOff>
      <xdr:row>284</xdr:row>
      <xdr:rowOff>80995</xdr:rowOff>
    </xdr:from>
    <xdr:ext cx="253575" cy="253732"/>
    <xdr:sp macro="[0]!Ajouter_28" textlink="">
      <xdr:nvSpPr>
        <xdr:cNvPr id="147" name="Graphique 8" descr="Badge à suivre avec un remplissage uni">
          <a:extLst>
            <a:ext uri="{FF2B5EF4-FFF2-40B4-BE49-F238E27FC236}">
              <a16:creationId xmlns:a16="http://schemas.microsoft.com/office/drawing/2014/main" id="{00000000-0008-0000-0000-000093000000}"/>
            </a:ext>
          </a:extLst>
        </xdr:cNvPr>
        <xdr:cNvSpPr>
          <a:spLocks noChangeAspect="1"/>
        </xdr:cNvSpPr>
      </xdr:nvSpPr>
      <xdr:spPr>
        <a:xfrm>
          <a:off x="5019675" y="6624670"/>
          <a:ext cx="253575" cy="253732"/>
        </a:xfrm>
        <a:custGeom>
          <a:avLst/>
          <a:gdLst>
            <a:gd name="connsiteX0" fmla="*/ 361750 w 723499"/>
            <a:gd name="connsiteY0" fmla="*/ 0 h 723500"/>
            <a:gd name="connsiteX1" fmla="*/ 0 w 723499"/>
            <a:gd name="connsiteY1" fmla="*/ 361750 h 723500"/>
            <a:gd name="connsiteX2" fmla="*/ 361750 w 723499"/>
            <a:gd name="connsiteY2" fmla="*/ 723500 h 723500"/>
            <a:gd name="connsiteX3" fmla="*/ 723500 w 723499"/>
            <a:gd name="connsiteY3" fmla="*/ 361750 h 723500"/>
            <a:gd name="connsiteX4" fmla="*/ 723500 w 723499"/>
            <a:gd name="connsiteY4" fmla="*/ 361712 h 723500"/>
            <a:gd name="connsiteX5" fmla="*/ 362036 w 723499"/>
            <a:gd name="connsiteY5" fmla="*/ 0 h 723500"/>
            <a:gd name="connsiteX6" fmla="*/ 361750 w 723499"/>
            <a:gd name="connsiteY6" fmla="*/ 0 h 723500"/>
            <a:gd name="connsiteX7" fmla="*/ 539096 w 723499"/>
            <a:gd name="connsiteY7" fmla="*/ 393954 h 723500"/>
            <a:gd name="connsiteX8" fmla="*/ 393954 w 723499"/>
            <a:gd name="connsiteY8" fmla="*/ 393954 h 723500"/>
            <a:gd name="connsiteX9" fmla="*/ 393954 w 723499"/>
            <a:gd name="connsiteY9" fmla="*/ 539058 h 723500"/>
            <a:gd name="connsiteX10" fmla="*/ 329546 w 723499"/>
            <a:gd name="connsiteY10" fmla="*/ 539058 h 723500"/>
            <a:gd name="connsiteX11" fmla="*/ 329546 w 723499"/>
            <a:gd name="connsiteY11" fmla="*/ 393916 h 723500"/>
            <a:gd name="connsiteX12" fmla="*/ 184404 w 723499"/>
            <a:gd name="connsiteY12" fmla="*/ 393916 h 723500"/>
            <a:gd name="connsiteX13" fmla="*/ 184404 w 723499"/>
            <a:gd name="connsiteY13" fmla="*/ 329508 h 723500"/>
            <a:gd name="connsiteX14" fmla="*/ 329546 w 723499"/>
            <a:gd name="connsiteY14" fmla="*/ 329508 h 723500"/>
            <a:gd name="connsiteX15" fmla="*/ 329546 w 723499"/>
            <a:gd name="connsiteY15" fmla="*/ 184366 h 723500"/>
            <a:gd name="connsiteX16" fmla="*/ 393954 w 723499"/>
            <a:gd name="connsiteY16" fmla="*/ 184366 h 723500"/>
            <a:gd name="connsiteX17" fmla="*/ 393954 w 723499"/>
            <a:gd name="connsiteY17" fmla="*/ 329508 h 723500"/>
            <a:gd name="connsiteX18" fmla="*/ 539096 w 723499"/>
            <a:gd name="connsiteY18" fmla="*/ 329508 h 7235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Lst>
          <a:rect l="l" t="t" r="r" b="b"/>
          <a:pathLst>
            <a:path w="723499" h="723500">
              <a:moveTo>
                <a:pt x="361750" y="0"/>
              </a:moveTo>
              <a:cubicBezTo>
                <a:pt x="161961" y="0"/>
                <a:pt x="0" y="161961"/>
                <a:pt x="0" y="361750"/>
              </a:cubicBezTo>
              <a:cubicBezTo>
                <a:pt x="0" y="561539"/>
                <a:pt x="161961" y="723500"/>
                <a:pt x="361750" y="723500"/>
              </a:cubicBezTo>
              <a:cubicBezTo>
                <a:pt x="561539" y="723500"/>
                <a:pt x="723500" y="561539"/>
                <a:pt x="723500" y="361750"/>
              </a:cubicBezTo>
              <a:cubicBezTo>
                <a:pt x="723500" y="361738"/>
                <a:pt x="723500" y="361724"/>
                <a:pt x="723500" y="361712"/>
              </a:cubicBezTo>
              <a:cubicBezTo>
                <a:pt x="723569" y="162013"/>
                <a:pt x="561735" y="69"/>
                <a:pt x="362036" y="0"/>
              </a:cubicBezTo>
              <a:cubicBezTo>
                <a:pt x="361940" y="0"/>
                <a:pt x="361845" y="0"/>
                <a:pt x="361750" y="0"/>
              </a:cubicBezTo>
              <a:close/>
              <a:moveTo>
                <a:pt x="539096" y="393954"/>
              </a:moveTo>
              <a:lnTo>
                <a:pt x="393954" y="393954"/>
              </a:lnTo>
              <a:lnTo>
                <a:pt x="393954" y="539058"/>
              </a:lnTo>
              <a:lnTo>
                <a:pt x="329546" y="539058"/>
              </a:lnTo>
              <a:lnTo>
                <a:pt x="329546" y="393916"/>
              </a:lnTo>
              <a:lnTo>
                <a:pt x="184404" y="393916"/>
              </a:lnTo>
              <a:lnTo>
                <a:pt x="184404" y="329508"/>
              </a:lnTo>
              <a:lnTo>
                <a:pt x="329546" y="329508"/>
              </a:lnTo>
              <a:lnTo>
                <a:pt x="329546" y="184366"/>
              </a:lnTo>
              <a:lnTo>
                <a:pt x="393954" y="184366"/>
              </a:lnTo>
              <a:lnTo>
                <a:pt x="393954" y="329508"/>
              </a:lnTo>
              <a:lnTo>
                <a:pt x="539096" y="329508"/>
              </a:lnTo>
              <a:close/>
            </a:path>
          </a:pathLst>
        </a:custGeom>
        <a:solidFill>
          <a:sysClr val="window" lastClr="FFFFFF"/>
        </a:solidFill>
        <a:ln w="9525" cap="flat">
          <a:solidFill>
            <a:srgbClr val="00B050"/>
          </a:solidFill>
          <a:prstDash val="solid"/>
          <a:miter/>
        </a:ln>
      </xdr:spPr>
      <xdr:txBody>
        <a:bodyPr rtlCol="0" anchor="ctr"/>
        <a:lstStyle/>
        <a:p>
          <a:endParaRPr lang="en-CA"/>
        </a:p>
      </xdr:txBody>
    </xdr:sp>
    <xdr:clientData fPrintsWithSheet="0"/>
  </xdr:oneCellAnchor>
  <xdr:oneCellAnchor>
    <xdr:from>
      <xdr:col>2</xdr:col>
      <xdr:colOff>0</xdr:colOff>
      <xdr:row>291</xdr:row>
      <xdr:rowOff>81375</xdr:rowOff>
    </xdr:from>
    <xdr:ext cx="1758525" cy="252000"/>
    <xdr:sp macro="[0]!Ajouter_29" textlink="">
      <xdr:nvSpPr>
        <xdr:cNvPr id="148" name="Rectangle : coins arrondis 147">
          <a:extLst>
            <a:ext uri="{FF2B5EF4-FFF2-40B4-BE49-F238E27FC236}">
              <a16:creationId xmlns:a16="http://schemas.microsoft.com/office/drawing/2014/main" id="{00000000-0008-0000-0000-000094000000}"/>
            </a:ext>
          </a:extLst>
        </xdr:cNvPr>
        <xdr:cNvSpPr/>
      </xdr:nvSpPr>
      <xdr:spPr>
        <a:xfrm>
          <a:off x="3514725" y="6625050"/>
          <a:ext cx="1758525" cy="252000"/>
        </a:xfrm>
        <a:prstGeom prst="roundRect">
          <a:avLst>
            <a:gd name="adj" fmla="val 50000"/>
          </a:avLst>
        </a:prstGeom>
        <a:solidFill>
          <a:srgbClr val="00B050"/>
        </a:solidFill>
        <a:ln>
          <a:solidFill>
            <a:schemeClr val="bg1"/>
          </a:solidFill>
        </a:ln>
      </xdr:spPr>
      <xdr:style>
        <a:lnRef idx="0">
          <a:scrgbClr r="0" g="0" b="0"/>
        </a:lnRef>
        <a:fillRef idx="0">
          <a:scrgbClr r="0" g="0" b="0"/>
        </a:fillRef>
        <a:effectRef idx="0">
          <a:scrgbClr r="0" g="0" b="0"/>
        </a:effectRef>
        <a:fontRef idx="minor">
          <a:schemeClr val="lt1"/>
        </a:fontRef>
      </xdr:style>
      <xdr:txBody>
        <a:bodyPr vertOverflow="clip" horzOverflow="clip" rtlCol="0" anchor="ctr"/>
        <a:lstStyle/>
        <a:p>
          <a:pPr algn="l"/>
          <a:r>
            <a:rPr lang="en-CA" sz="1000" b="1">
              <a:latin typeface="Arial" panose="020B0604020202020204" pitchFamily="34" charset="0"/>
              <a:cs typeface="Arial" panose="020B0604020202020204" pitchFamily="34" charset="0"/>
            </a:rPr>
            <a:t>AJOUTER UN ITEM</a:t>
          </a:r>
        </a:p>
      </xdr:txBody>
    </xdr:sp>
    <xdr:clientData fPrintsWithSheet="0"/>
  </xdr:oneCellAnchor>
  <xdr:oneCellAnchor>
    <xdr:from>
      <xdr:col>4</xdr:col>
      <xdr:colOff>0</xdr:colOff>
      <xdr:row>291</xdr:row>
      <xdr:rowOff>80995</xdr:rowOff>
    </xdr:from>
    <xdr:ext cx="253575" cy="253732"/>
    <xdr:sp macro="[0]!Ajouter_29" textlink="">
      <xdr:nvSpPr>
        <xdr:cNvPr id="149" name="Graphique 8" descr="Badge à suivre avec un remplissage uni">
          <a:extLst>
            <a:ext uri="{FF2B5EF4-FFF2-40B4-BE49-F238E27FC236}">
              <a16:creationId xmlns:a16="http://schemas.microsoft.com/office/drawing/2014/main" id="{00000000-0008-0000-0000-000095000000}"/>
            </a:ext>
          </a:extLst>
        </xdr:cNvPr>
        <xdr:cNvSpPr>
          <a:spLocks noChangeAspect="1"/>
        </xdr:cNvSpPr>
      </xdr:nvSpPr>
      <xdr:spPr>
        <a:xfrm>
          <a:off x="5019675" y="6624670"/>
          <a:ext cx="253575" cy="253732"/>
        </a:xfrm>
        <a:custGeom>
          <a:avLst/>
          <a:gdLst>
            <a:gd name="connsiteX0" fmla="*/ 361750 w 723499"/>
            <a:gd name="connsiteY0" fmla="*/ 0 h 723500"/>
            <a:gd name="connsiteX1" fmla="*/ 0 w 723499"/>
            <a:gd name="connsiteY1" fmla="*/ 361750 h 723500"/>
            <a:gd name="connsiteX2" fmla="*/ 361750 w 723499"/>
            <a:gd name="connsiteY2" fmla="*/ 723500 h 723500"/>
            <a:gd name="connsiteX3" fmla="*/ 723500 w 723499"/>
            <a:gd name="connsiteY3" fmla="*/ 361750 h 723500"/>
            <a:gd name="connsiteX4" fmla="*/ 723500 w 723499"/>
            <a:gd name="connsiteY4" fmla="*/ 361712 h 723500"/>
            <a:gd name="connsiteX5" fmla="*/ 362036 w 723499"/>
            <a:gd name="connsiteY5" fmla="*/ 0 h 723500"/>
            <a:gd name="connsiteX6" fmla="*/ 361750 w 723499"/>
            <a:gd name="connsiteY6" fmla="*/ 0 h 723500"/>
            <a:gd name="connsiteX7" fmla="*/ 539096 w 723499"/>
            <a:gd name="connsiteY7" fmla="*/ 393954 h 723500"/>
            <a:gd name="connsiteX8" fmla="*/ 393954 w 723499"/>
            <a:gd name="connsiteY8" fmla="*/ 393954 h 723500"/>
            <a:gd name="connsiteX9" fmla="*/ 393954 w 723499"/>
            <a:gd name="connsiteY9" fmla="*/ 539058 h 723500"/>
            <a:gd name="connsiteX10" fmla="*/ 329546 w 723499"/>
            <a:gd name="connsiteY10" fmla="*/ 539058 h 723500"/>
            <a:gd name="connsiteX11" fmla="*/ 329546 w 723499"/>
            <a:gd name="connsiteY11" fmla="*/ 393916 h 723500"/>
            <a:gd name="connsiteX12" fmla="*/ 184404 w 723499"/>
            <a:gd name="connsiteY12" fmla="*/ 393916 h 723500"/>
            <a:gd name="connsiteX13" fmla="*/ 184404 w 723499"/>
            <a:gd name="connsiteY13" fmla="*/ 329508 h 723500"/>
            <a:gd name="connsiteX14" fmla="*/ 329546 w 723499"/>
            <a:gd name="connsiteY14" fmla="*/ 329508 h 723500"/>
            <a:gd name="connsiteX15" fmla="*/ 329546 w 723499"/>
            <a:gd name="connsiteY15" fmla="*/ 184366 h 723500"/>
            <a:gd name="connsiteX16" fmla="*/ 393954 w 723499"/>
            <a:gd name="connsiteY16" fmla="*/ 184366 h 723500"/>
            <a:gd name="connsiteX17" fmla="*/ 393954 w 723499"/>
            <a:gd name="connsiteY17" fmla="*/ 329508 h 723500"/>
            <a:gd name="connsiteX18" fmla="*/ 539096 w 723499"/>
            <a:gd name="connsiteY18" fmla="*/ 329508 h 7235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Lst>
          <a:rect l="l" t="t" r="r" b="b"/>
          <a:pathLst>
            <a:path w="723499" h="723500">
              <a:moveTo>
                <a:pt x="361750" y="0"/>
              </a:moveTo>
              <a:cubicBezTo>
                <a:pt x="161961" y="0"/>
                <a:pt x="0" y="161961"/>
                <a:pt x="0" y="361750"/>
              </a:cubicBezTo>
              <a:cubicBezTo>
                <a:pt x="0" y="561539"/>
                <a:pt x="161961" y="723500"/>
                <a:pt x="361750" y="723500"/>
              </a:cubicBezTo>
              <a:cubicBezTo>
                <a:pt x="561539" y="723500"/>
                <a:pt x="723500" y="561539"/>
                <a:pt x="723500" y="361750"/>
              </a:cubicBezTo>
              <a:cubicBezTo>
                <a:pt x="723500" y="361738"/>
                <a:pt x="723500" y="361724"/>
                <a:pt x="723500" y="361712"/>
              </a:cubicBezTo>
              <a:cubicBezTo>
                <a:pt x="723569" y="162013"/>
                <a:pt x="561735" y="69"/>
                <a:pt x="362036" y="0"/>
              </a:cubicBezTo>
              <a:cubicBezTo>
                <a:pt x="361940" y="0"/>
                <a:pt x="361845" y="0"/>
                <a:pt x="361750" y="0"/>
              </a:cubicBezTo>
              <a:close/>
              <a:moveTo>
                <a:pt x="539096" y="393954"/>
              </a:moveTo>
              <a:lnTo>
                <a:pt x="393954" y="393954"/>
              </a:lnTo>
              <a:lnTo>
                <a:pt x="393954" y="539058"/>
              </a:lnTo>
              <a:lnTo>
                <a:pt x="329546" y="539058"/>
              </a:lnTo>
              <a:lnTo>
                <a:pt x="329546" y="393916"/>
              </a:lnTo>
              <a:lnTo>
                <a:pt x="184404" y="393916"/>
              </a:lnTo>
              <a:lnTo>
                <a:pt x="184404" y="329508"/>
              </a:lnTo>
              <a:lnTo>
                <a:pt x="329546" y="329508"/>
              </a:lnTo>
              <a:lnTo>
                <a:pt x="329546" y="184366"/>
              </a:lnTo>
              <a:lnTo>
                <a:pt x="393954" y="184366"/>
              </a:lnTo>
              <a:lnTo>
                <a:pt x="393954" y="329508"/>
              </a:lnTo>
              <a:lnTo>
                <a:pt x="539096" y="329508"/>
              </a:lnTo>
              <a:close/>
            </a:path>
          </a:pathLst>
        </a:custGeom>
        <a:solidFill>
          <a:sysClr val="window" lastClr="FFFFFF"/>
        </a:solidFill>
        <a:ln w="9525" cap="flat">
          <a:solidFill>
            <a:srgbClr val="00B050"/>
          </a:solidFill>
          <a:prstDash val="solid"/>
          <a:miter/>
        </a:ln>
      </xdr:spPr>
      <xdr:txBody>
        <a:bodyPr rtlCol="0" anchor="ctr"/>
        <a:lstStyle/>
        <a:p>
          <a:endParaRPr lang="en-CA"/>
        </a:p>
      </xdr:txBody>
    </xdr:sp>
    <xdr:clientData fPrintsWithSheet="0"/>
  </xdr:oneCellAnchor>
  <xdr:oneCellAnchor>
    <xdr:from>
      <xdr:col>2</xdr:col>
      <xdr:colOff>0</xdr:colOff>
      <xdr:row>298</xdr:row>
      <xdr:rowOff>81375</xdr:rowOff>
    </xdr:from>
    <xdr:ext cx="1758525" cy="252000"/>
    <xdr:sp macro="[0]!Ajouter_30" textlink="">
      <xdr:nvSpPr>
        <xdr:cNvPr id="150" name="Rectangle : coins arrondis 149">
          <a:extLst>
            <a:ext uri="{FF2B5EF4-FFF2-40B4-BE49-F238E27FC236}">
              <a16:creationId xmlns:a16="http://schemas.microsoft.com/office/drawing/2014/main" id="{00000000-0008-0000-0000-000096000000}"/>
            </a:ext>
          </a:extLst>
        </xdr:cNvPr>
        <xdr:cNvSpPr/>
      </xdr:nvSpPr>
      <xdr:spPr>
        <a:xfrm>
          <a:off x="3514725" y="6625050"/>
          <a:ext cx="1758525" cy="252000"/>
        </a:xfrm>
        <a:prstGeom prst="roundRect">
          <a:avLst>
            <a:gd name="adj" fmla="val 50000"/>
          </a:avLst>
        </a:prstGeom>
        <a:solidFill>
          <a:srgbClr val="00B050"/>
        </a:solidFill>
        <a:ln>
          <a:solidFill>
            <a:schemeClr val="bg1"/>
          </a:solidFill>
        </a:ln>
      </xdr:spPr>
      <xdr:style>
        <a:lnRef idx="0">
          <a:scrgbClr r="0" g="0" b="0"/>
        </a:lnRef>
        <a:fillRef idx="0">
          <a:scrgbClr r="0" g="0" b="0"/>
        </a:fillRef>
        <a:effectRef idx="0">
          <a:scrgbClr r="0" g="0" b="0"/>
        </a:effectRef>
        <a:fontRef idx="minor">
          <a:schemeClr val="lt1"/>
        </a:fontRef>
      </xdr:style>
      <xdr:txBody>
        <a:bodyPr vertOverflow="clip" horzOverflow="clip" rtlCol="0" anchor="ctr"/>
        <a:lstStyle/>
        <a:p>
          <a:pPr algn="l"/>
          <a:r>
            <a:rPr lang="en-CA" sz="1000" b="1">
              <a:latin typeface="Arial" panose="020B0604020202020204" pitchFamily="34" charset="0"/>
              <a:cs typeface="Arial" panose="020B0604020202020204" pitchFamily="34" charset="0"/>
            </a:rPr>
            <a:t>AJOUTER UN ITEM</a:t>
          </a:r>
        </a:p>
      </xdr:txBody>
    </xdr:sp>
    <xdr:clientData fPrintsWithSheet="0"/>
  </xdr:oneCellAnchor>
  <xdr:oneCellAnchor>
    <xdr:from>
      <xdr:col>4</xdr:col>
      <xdr:colOff>0</xdr:colOff>
      <xdr:row>298</xdr:row>
      <xdr:rowOff>80995</xdr:rowOff>
    </xdr:from>
    <xdr:ext cx="253575" cy="253732"/>
    <xdr:sp macro="[0]!Ajouter_30" textlink="">
      <xdr:nvSpPr>
        <xdr:cNvPr id="151" name="Graphique 8" descr="Badge à suivre avec un remplissage uni">
          <a:extLst>
            <a:ext uri="{FF2B5EF4-FFF2-40B4-BE49-F238E27FC236}">
              <a16:creationId xmlns:a16="http://schemas.microsoft.com/office/drawing/2014/main" id="{00000000-0008-0000-0000-000097000000}"/>
            </a:ext>
          </a:extLst>
        </xdr:cNvPr>
        <xdr:cNvSpPr>
          <a:spLocks noChangeAspect="1"/>
        </xdr:cNvSpPr>
      </xdr:nvSpPr>
      <xdr:spPr>
        <a:xfrm>
          <a:off x="5019675" y="6624670"/>
          <a:ext cx="253575" cy="253732"/>
        </a:xfrm>
        <a:custGeom>
          <a:avLst/>
          <a:gdLst>
            <a:gd name="connsiteX0" fmla="*/ 361750 w 723499"/>
            <a:gd name="connsiteY0" fmla="*/ 0 h 723500"/>
            <a:gd name="connsiteX1" fmla="*/ 0 w 723499"/>
            <a:gd name="connsiteY1" fmla="*/ 361750 h 723500"/>
            <a:gd name="connsiteX2" fmla="*/ 361750 w 723499"/>
            <a:gd name="connsiteY2" fmla="*/ 723500 h 723500"/>
            <a:gd name="connsiteX3" fmla="*/ 723500 w 723499"/>
            <a:gd name="connsiteY3" fmla="*/ 361750 h 723500"/>
            <a:gd name="connsiteX4" fmla="*/ 723500 w 723499"/>
            <a:gd name="connsiteY4" fmla="*/ 361712 h 723500"/>
            <a:gd name="connsiteX5" fmla="*/ 362036 w 723499"/>
            <a:gd name="connsiteY5" fmla="*/ 0 h 723500"/>
            <a:gd name="connsiteX6" fmla="*/ 361750 w 723499"/>
            <a:gd name="connsiteY6" fmla="*/ 0 h 723500"/>
            <a:gd name="connsiteX7" fmla="*/ 539096 w 723499"/>
            <a:gd name="connsiteY7" fmla="*/ 393954 h 723500"/>
            <a:gd name="connsiteX8" fmla="*/ 393954 w 723499"/>
            <a:gd name="connsiteY8" fmla="*/ 393954 h 723500"/>
            <a:gd name="connsiteX9" fmla="*/ 393954 w 723499"/>
            <a:gd name="connsiteY9" fmla="*/ 539058 h 723500"/>
            <a:gd name="connsiteX10" fmla="*/ 329546 w 723499"/>
            <a:gd name="connsiteY10" fmla="*/ 539058 h 723500"/>
            <a:gd name="connsiteX11" fmla="*/ 329546 w 723499"/>
            <a:gd name="connsiteY11" fmla="*/ 393916 h 723500"/>
            <a:gd name="connsiteX12" fmla="*/ 184404 w 723499"/>
            <a:gd name="connsiteY12" fmla="*/ 393916 h 723500"/>
            <a:gd name="connsiteX13" fmla="*/ 184404 w 723499"/>
            <a:gd name="connsiteY13" fmla="*/ 329508 h 723500"/>
            <a:gd name="connsiteX14" fmla="*/ 329546 w 723499"/>
            <a:gd name="connsiteY14" fmla="*/ 329508 h 723500"/>
            <a:gd name="connsiteX15" fmla="*/ 329546 w 723499"/>
            <a:gd name="connsiteY15" fmla="*/ 184366 h 723500"/>
            <a:gd name="connsiteX16" fmla="*/ 393954 w 723499"/>
            <a:gd name="connsiteY16" fmla="*/ 184366 h 723500"/>
            <a:gd name="connsiteX17" fmla="*/ 393954 w 723499"/>
            <a:gd name="connsiteY17" fmla="*/ 329508 h 723500"/>
            <a:gd name="connsiteX18" fmla="*/ 539096 w 723499"/>
            <a:gd name="connsiteY18" fmla="*/ 329508 h 7235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Lst>
          <a:rect l="l" t="t" r="r" b="b"/>
          <a:pathLst>
            <a:path w="723499" h="723500">
              <a:moveTo>
                <a:pt x="361750" y="0"/>
              </a:moveTo>
              <a:cubicBezTo>
                <a:pt x="161961" y="0"/>
                <a:pt x="0" y="161961"/>
                <a:pt x="0" y="361750"/>
              </a:cubicBezTo>
              <a:cubicBezTo>
                <a:pt x="0" y="561539"/>
                <a:pt x="161961" y="723500"/>
                <a:pt x="361750" y="723500"/>
              </a:cubicBezTo>
              <a:cubicBezTo>
                <a:pt x="561539" y="723500"/>
                <a:pt x="723500" y="561539"/>
                <a:pt x="723500" y="361750"/>
              </a:cubicBezTo>
              <a:cubicBezTo>
                <a:pt x="723500" y="361738"/>
                <a:pt x="723500" y="361724"/>
                <a:pt x="723500" y="361712"/>
              </a:cubicBezTo>
              <a:cubicBezTo>
                <a:pt x="723569" y="162013"/>
                <a:pt x="561735" y="69"/>
                <a:pt x="362036" y="0"/>
              </a:cubicBezTo>
              <a:cubicBezTo>
                <a:pt x="361940" y="0"/>
                <a:pt x="361845" y="0"/>
                <a:pt x="361750" y="0"/>
              </a:cubicBezTo>
              <a:close/>
              <a:moveTo>
                <a:pt x="539096" y="393954"/>
              </a:moveTo>
              <a:lnTo>
                <a:pt x="393954" y="393954"/>
              </a:lnTo>
              <a:lnTo>
                <a:pt x="393954" y="539058"/>
              </a:lnTo>
              <a:lnTo>
                <a:pt x="329546" y="539058"/>
              </a:lnTo>
              <a:lnTo>
                <a:pt x="329546" y="393916"/>
              </a:lnTo>
              <a:lnTo>
                <a:pt x="184404" y="393916"/>
              </a:lnTo>
              <a:lnTo>
                <a:pt x="184404" y="329508"/>
              </a:lnTo>
              <a:lnTo>
                <a:pt x="329546" y="329508"/>
              </a:lnTo>
              <a:lnTo>
                <a:pt x="329546" y="184366"/>
              </a:lnTo>
              <a:lnTo>
                <a:pt x="393954" y="184366"/>
              </a:lnTo>
              <a:lnTo>
                <a:pt x="393954" y="329508"/>
              </a:lnTo>
              <a:lnTo>
                <a:pt x="539096" y="329508"/>
              </a:lnTo>
              <a:close/>
            </a:path>
          </a:pathLst>
        </a:custGeom>
        <a:solidFill>
          <a:sysClr val="window" lastClr="FFFFFF"/>
        </a:solidFill>
        <a:ln w="9525" cap="flat">
          <a:solidFill>
            <a:srgbClr val="00B050"/>
          </a:solidFill>
          <a:prstDash val="solid"/>
          <a:miter/>
        </a:ln>
      </xdr:spPr>
      <xdr:txBody>
        <a:bodyPr rtlCol="0" anchor="ctr"/>
        <a:lstStyle/>
        <a:p>
          <a:endParaRPr lang="en-CA"/>
        </a:p>
      </xdr:txBody>
    </xdr:sp>
    <xdr:clientData fPrintsWithSheet="0"/>
  </xdr:oneCellAnchor>
  <xdr:oneCellAnchor>
    <xdr:from>
      <xdr:col>2</xdr:col>
      <xdr:colOff>0</xdr:colOff>
      <xdr:row>305</xdr:row>
      <xdr:rowOff>81375</xdr:rowOff>
    </xdr:from>
    <xdr:ext cx="1758525" cy="252000"/>
    <xdr:sp macro="[0]!Ajouter_31" textlink="">
      <xdr:nvSpPr>
        <xdr:cNvPr id="152" name="Rectangle : coins arrondis 151">
          <a:extLst>
            <a:ext uri="{FF2B5EF4-FFF2-40B4-BE49-F238E27FC236}">
              <a16:creationId xmlns:a16="http://schemas.microsoft.com/office/drawing/2014/main" id="{00000000-0008-0000-0000-000098000000}"/>
            </a:ext>
          </a:extLst>
        </xdr:cNvPr>
        <xdr:cNvSpPr/>
      </xdr:nvSpPr>
      <xdr:spPr>
        <a:xfrm>
          <a:off x="3514725" y="6625050"/>
          <a:ext cx="1758525" cy="252000"/>
        </a:xfrm>
        <a:prstGeom prst="roundRect">
          <a:avLst>
            <a:gd name="adj" fmla="val 50000"/>
          </a:avLst>
        </a:prstGeom>
        <a:solidFill>
          <a:srgbClr val="00B050"/>
        </a:solidFill>
        <a:ln>
          <a:solidFill>
            <a:schemeClr val="bg1"/>
          </a:solidFill>
        </a:ln>
      </xdr:spPr>
      <xdr:style>
        <a:lnRef idx="0">
          <a:scrgbClr r="0" g="0" b="0"/>
        </a:lnRef>
        <a:fillRef idx="0">
          <a:scrgbClr r="0" g="0" b="0"/>
        </a:fillRef>
        <a:effectRef idx="0">
          <a:scrgbClr r="0" g="0" b="0"/>
        </a:effectRef>
        <a:fontRef idx="minor">
          <a:schemeClr val="lt1"/>
        </a:fontRef>
      </xdr:style>
      <xdr:txBody>
        <a:bodyPr vertOverflow="clip" horzOverflow="clip" rtlCol="0" anchor="ctr"/>
        <a:lstStyle/>
        <a:p>
          <a:pPr algn="l"/>
          <a:r>
            <a:rPr lang="en-CA" sz="1000" b="1">
              <a:latin typeface="Arial" panose="020B0604020202020204" pitchFamily="34" charset="0"/>
              <a:cs typeface="Arial" panose="020B0604020202020204" pitchFamily="34" charset="0"/>
            </a:rPr>
            <a:t>AJOUTER UN ITEM</a:t>
          </a:r>
        </a:p>
      </xdr:txBody>
    </xdr:sp>
    <xdr:clientData fPrintsWithSheet="0"/>
  </xdr:oneCellAnchor>
  <xdr:oneCellAnchor>
    <xdr:from>
      <xdr:col>4</xdr:col>
      <xdr:colOff>0</xdr:colOff>
      <xdr:row>305</xdr:row>
      <xdr:rowOff>80995</xdr:rowOff>
    </xdr:from>
    <xdr:ext cx="253575" cy="253732"/>
    <xdr:sp macro="[0]!Ajouter_31" textlink="">
      <xdr:nvSpPr>
        <xdr:cNvPr id="153" name="Graphique 8" descr="Badge à suivre avec un remplissage uni">
          <a:extLst>
            <a:ext uri="{FF2B5EF4-FFF2-40B4-BE49-F238E27FC236}">
              <a16:creationId xmlns:a16="http://schemas.microsoft.com/office/drawing/2014/main" id="{00000000-0008-0000-0000-000099000000}"/>
            </a:ext>
          </a:extLst>
        </xdr:cNvPr>
        <xdr:cNvSpPr>
          <a:spLocks noChangeAspect="1"/>
        </xdr:cNvSpPr>
      </xdr:nvSpPr>
      <xdr:spPr>
        <a:xfrm>
          <a:off x="5019675" y="6624670"/>
          <a:ext cx="253575" cy="253732"/>
        </a:xfrm>
        <a:custGeom>
          <a:avLst/>
          <a:gdLst>
            <a:gd name="connsiteX0" fmla="*/ 361750 w 723499"/>
            <a:gd name="connsiteY0" fmla="*/ 0 h 723500"/>
            <a:gd name="connsiteX1" fmla="*/ 0 w 723499"/>
            <a:gd name="connsiteY1" fmla="*/ 361750 h 723500"/>
            <a:gd name="connsiteX2" fmla="*/ 361750 w 723499"/>
            <a:gd name="connsiteY2" fmla="*/ 723500 h 723500"/>
            <a:gd name="connsiteX3" fmla="*/ 723500 w 723499"/>
            <a:gd name="connsiteY3" fmla="*/ 361750 h 723500"/>
            <a:gd name="connsiteX4" fmla="*/ 723500 w 723499"/>
            <a:gd name="connsiteY4" fmla="*/ 361712 h 723500"/>
            <a:gd name="connsiteX5" fmla="*/ 362036 w 723499"/>
            <a:gd name="connsiteY5" fmla="*/ 0 h 723500"/>
            <a:gd name="connsiteX6" fmla="*/ 361750 w 723499"/>
            <a:gd name="connsiteY6" fmla="*/ 0 h 723500"/>
            <a:gd name="connsiteX7" fmla="*/ 539096 w 723499"/>
            <a:gd name="connsiteY7" fmla="*/ 393954 h 723500"/>
            <a:gd name="connsiteX8" fmla="*/ 393954 w 723499"/>
            <a:gd name="connsiteY8" fmla="*/ 393954 h 723500"/>
            <a:gd name="connsiteX9" fmla="*/ 393954 w 723499"/>
            <a:gd name="connsiteY9" fmla="*/ 539058 h 723500"/>
            <a:gd name="connsiteX10" fmla="*/ 329546 w 723499"/>
            <a:gd name="connsiteY10" fmla="*/ 539058 h 723500"/>
            <a:gd name="connsiteX11" fmla="*/ 329546 w 723499"/>
            <a:gd name="connsiteY11" fmla="*/ 393916 h 723500"/>
            <a:gd name="connsiteX12" fmla="*/ 184404 w 723499"/>
            <a:gd name="connsiteY12" fmla="*/ 393916 h 723500"/>
            <a:gd name="connsiteX13" fmla="*/ 184404 w 723499"/>
            <a:gd name="connsiteY13" fmla="*/ 329508 h 723500"/>
            <a:gd name="connsiteX14" fmla="*/ 329546 w 723499"/>
            <a:gd name="connsiteY14" fmla="*/ 329508 h 723500"/>
            <a:gd name="connsiteX15" fmla="*/ 329546 w 723499"/>
            <a:gd name="connsiteY15" fmla="*/ 184366 h 723500"/>
            <a:gd name="connsiteX16" fmla="*/ 393954 w 723499"/>
            <a:gd name="connsiteY16" fmla="*/ 184366 h 723500"/>
            <a:gd name="connsiteX17" fmla="*/ 393954 w 723499"/>
            <a:gd name="connsiteY17" fmla="*/ 329508 h 723500"/>
            <a:gd name="connsiteX18" fmla="*/ 539096 w 723499"/>
            <a:gd name="connsiteY18" fmla="*/ 329508 h 7235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Lst>
          <a:rect l="l" t="t" r="r" b="b"/>
          <a:pathLst>
            <a:path w="723499" h="723500">
              <a:moveTo>
                <a:pt x="361750" y="0"/>
              </a:moveTo>
              <a:cubicBezTo>
                <a:pt x="161961" y="0"/>
                <a:pt x="0" y="161961"/>
                <a:pt x="0" y="361750"/>
              </a:cubicBezTo>
              <a:cubicBezTo>
                <a:pt x="0" y="561539"/>
                <a:pt x="161961" y="723500"/>
                <a:pt x="361750" y="723500"/>
              </a:cubicBezTo>
              <a:cubicBezTo>
                <a:pt x="561539" y="723500"/>
                <a:pt x="723500" y="561539"/>
                <a:pt x="723500" y="361750"/>
              </a:cubicBezTo>
              <a:cubicBezTo>
                <a:pt x="723500" y="361738"/>
                <a:pt x="723500" y="361724"/>
                <a:pt x="723500" y="361712"/>
              </a:cubicBezTo>
              <a:cubicBezTo>
                <a:pt x="723569" y="162013"/>
                <a:pt x="561735" y="69"/>
                <a:pt x="362036" y="0"/>
              </a:cubicBezTo>
              <a:cubicBezTo>
                <a:pt x="361940" y="0"/>
                <a:pt x="361845" y="0"/>
                <a:pt x="361750" y="0"/>
              </a:cubicBezTo>
              <a:close/>
              <a:moveTo>
                <a:pt x="539096" y="393954"/>
              </a:moveTo>
              <a:lnTo>
                <a:pt x="393954" y="393954"/>
              </a:lnTo>
              <a:lnTo>
                <a:pt x="393954" y="539058"/>
              </a:lnTo>
              <a:lnTo>
                <a:pt x="329546" y="539058"/>
              </a:lnTo>
              <a:lnTo>
                <a:pt x="329546" y="393916"/>
              </a:lnTo>
              <a:lnTo>
                <a:pt x="184404" y="393916"/>
              </a:lnTo>
              <a:lnTo>
                <a:pt x="184404" y="329508"/>
              </a:lnTo>
              <a:lnTo>
                <a:pt x="329546" y="329508"/>
              </a:lnTo>
              <a:lnTo>
                <a:pt x="329546" y="184366"/>
              </a:lnTo>
              <a:lnTo>
                <a:pt x="393954" y="184366"/>
              </a:lnTo>
              <a:lnTo>
                <a:pt x="393954" y="329508"/>
              </a:lnTo>
              <a:lnTo>
                <a:pt x="539096" y="329508"/>
              </a:lnTo>
              <a:close/>
            </a:path>
          </a:pathLst>
        </a:custGeom>
        <a:solidFill>
          <a:sysClr val="window" lastClr="FFFFFF"/>
        </a:solidFill>
        <a:ln w="9525" cap="flat">
          <a:solidFill>
            <a:srgbClr val="00B050"/>
          </a:solidFill>
          <a:prstDash val="solid"/>
          <a:miter/>
        </a:ln>
      </xdr:spPr>
      <xdr:txBody>
        <a:bodyPr rtlCol="0" anchor="ctr"/>
        <a:lstStyle/>
        <a:p>
          <a:endParaRPr lang="en-CA"/>
        </a:p>
      </xdr:txBody>
    </xdr:sp>
    <xdr:clientData fPrintsWithSheet="0"/>
  </xdr:oneCellAnchor>
  <xdr:oneCellAnchor>
    <xdr:from>
      <xdr:col>2</xdr:col>
      <xdr:colOff>0</xdr:colOff>
      <xdr:row>312</xdr:row>
      <xdr:rowOff>81375</xdr:rowOff>
    </xdr:from>
    <xdr:ext cx="1758525" cy="252000"/>
    <xdr:sp macro="[0]!Ajouter_32" textlink="">
      <xdr:nvSpPr>
        <xdr:cNvPr id="154" name="Rectangle : coins arrondis 153">
          <a:extLst>
            <a:ext uri="{FF2B5EF4-FFF2-40B4-BE49-F238E27FC236}">
              <a16:creationId xmlns:a16="http://schemas.microsoft.com/office/drawing/2014/main" id="{00000000-0008-0000-0000-00009A000000}"/>
            </a:ext>
          </a:extLst>
        </xdr:cNvPr>
        <xdr:cNvSpPr/>
      </xdr:nvSpPr>
      <xdr:spPr>
        <a:xfrm>
          <a:off x="3514725" y="6625050"/>
          <a:ext cx="1758525" cy="252000"/>
        </a:xfrm>
        <a:prstGeom prst="roundRect">
          <a:avLst>
            <a:gd name="adj" fmla="val 50000"/>
          </a:avLst>
        </a:prstGeom>
        <a:solidFill>
          <a:srgbClr val="00B050"/>
        </a:solidFill>
        <a:ln>
          <a:solidFill>
            <a:schemeClr val="bg1"/>
          </a:solidFill>
        </a:ln>
      </xdr:spPr>
      <xdr:style>
        <a:lnRef idx="0">
          <a:scrgbClr r="0" g="0" b="0"/>
        </a:lnRef>
        <a:fillRef idx="0">
          <a:scrgbClr r="0" g="0" b="0"/>
        </a:fillRef>
        <a:effectRef idx="0">
          <a:scrgbClr r="0" g="0" b="0"/>
        </a:effectRef>
        <a:fontRef idx="minor">
          <a:schemeClr val="lt1"/>
        </a:fontRef>
      </xdr:style>
      <xdr:txBody>
        <a:bodyPr vertOverflow="clip" horzOverflow="clip" rtlCol="0" anchor="ctr"/>
        <a:lstStyle/>
        <a:p>
          <a:pPr algn="l"/>
          <a:r>
            <a:rPr lang="en-CA" sz="1000" b="1">
              <a:latin typeface="Arial" panose="020B0604020202020204" pitchFamily="34" charset="0"/>
              <a:cs typeface="Arial" panose="020B0604020202020204" pitchFamily="34" charset="0"/>
            </a:rPr>
            <a:t>AJOUTER UN ITEM</a:t>
          </a:r>
        </a:p>
      </xdr:txBody>
    </xdr:sp>
    <xdr:clientData fPrintsWithSheet="0"/>
  </xdr:oneCellAnchor>
  <xdr:oneCellAnchor>
    <xdr:from>
      <xdr:col>4</xdr:col>
      <xdr:colOff>0</xdr:colOff>
      <xdr:row>312</xdr:row>
      <xdr:rowOff>80995</xdr:rowOff>
    </xdr:from>
    <xdr:ext cx="253575" cy="253732"/>
    <xdr:sp macro="[0]!Ajouter_32" textlink="">
      <xdr:nvSpPr>
        <xdr:cNvPr id="155" name="Graphique 8" descr="Badge à suivre avec un remplissage uni">
          <a:extLst>
            <a:ext uri="{FF2B5EF4-FFF2-40B4-BE49-F238E27FC236}">
              <a16:creationId xmlns:a16="http://schemas.microsoft.com/office/drawing/2014/main" id="{00000000-0008-0000-0000-00009B000000}"/>
            </a:ext>
          </a:extLst>
        </xdr:cNvPr>
        <xdr:cNvSpPr>
          <a:spLocks noChangeAspect="1"/>
        </xdr:cNvSpPr>
      </xdr:nvSpPr>
      <xdr:spPr>
        <a:xfrm>
          <a:off x="5019675" y="6624670"/>
          <a:ext cx="253575" cy="253732"/>
        </a:xfrm>
        <a:custGeom>
          <a:avLst/>
          <a:gdLst>
            <a:gd name="connsiteX0" fmla="*/ 361750 w 723499"/>
            <a:gd name="connsiteY0" fmla="*/ 0 h 723500"/>
            <a:gd name="connsiteX1" fmla="*/ 0 w 723499"/>
            <a:gd name="connsiteY1" fmla="*/ 361750 h 723500"/>
            <a:gd name="connsiteX2" fmla="*/ 361750 w 723499"/>
            <a:gd name="connsiteY2" fmla="*/ 723500 h 723500"/>
            <a:gd name="connsiteX3" fmla="*/ 723500 w 723499"/>
            <a:gd name="connsiteY3" fmla="*/ 361750 h 723500"/>
            <a:gd name="connsiteX4" fmla="*/ 723500 w 723499"/>
            <a:gd name="connsiteY4" fmla="*/ 361712 h 723500"/>
            <a:gd name="connsiteX5" fmla="*/ 362036 w 723499"/>
            <a:gd name="connsiteY5" fmla="*/ 0 h 723500"/>
            <a:gd name="connsiteX6" fmla="*/ 361750 w 723499"/>
            <a:gd name="connsiteY6" fmla="*/ 0 h 723500"/>
            <a:gd name="connsiteX7" fmla="*/ 539096 w 723499"/>
            <a:gd name="connsiteY7" fmla="*/ 393954 h 723500"/>
            <a:gd name="connsiteX8" fmla="*/ 393954 w 723499"/>
            <a:gd name="connsiteY8" fmla="*/ 393954 h 723500"/>
            <a:gd name="connsiteX9" fmla="*/ 393954 w 723499"/>
            <a:gd name="connsiteY9" fmla="*/ 539058 h 723500"/>
            <a:gd name="connsiteX10" fmla="*/ 329546 w 723499"/>
            <a:gd name="connsiteY10" fmla="*/ 539058 h 723500"/>
            <a:gd name="connsiteX11" fmla="*/ 329546 w 723499"/>
            <a:gd name="connsiteY11" fmla="*/ 393916 h 723500"/>
            <a:gd name="connsiteX12" fmla="*/ 184404 w 723499"/>
            <a:gd name="connsiteY12" fmla="*/ 393916 h 723500"/>
            <a:gd name="connsiteX13" fmla="*/ 184404 w 723499"/>
            <a:gd name="connsiteY13" fmla="*/ 329508 h 723500"/>
            <a:gd name="connsiteX14" fmla="*/ 329546 w 723499"/>
            <a:gd name="connsiteY14" fmla="*/ 329508 h 723500"/>
            <a:gd name="connsiteX15" fmla="*/ 329546 w 723499"/>
            <a:gd name="connsiteY15" fmla="*/ 184366 h 723500"/>
            <a:gd name="connsiteX16" fmla="*/ 393954 w 723499"/>
            <a:gd name="connsiteY16" fmla="*/ 184366 h 723500"/>
            <a:gd name="connsiteX17" fmla="*/ 393954 w 723499"/>
            <a:gd name="connsiteY17" fmla="*/ 329508 h 723500"/>
            <a:gd name="connsiteX18" fmla="*/ 539096 w 723499"/>
            <a:gd name="connsiteY18" fmla="*/ 329508 h 7235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Lst>
          <a:rect l="l" t="t" r="r" b="b"/>
          <a:pathLst>
            <a:path w="723499" h="723500">
              <a:moveTo>
                <a:pt x="361750" y="0"/>
              </a:moveTo>
              <a:cubicBezTo>
                <a:pt x="161961" y="0"/>
                <a:pt x="0" y="161961"/>
                <a:pt x="0" y="361750"/>
              </a:cubicBezTo>
              <a:cubicBezTo>
                <a:pt x="0" y="561539"/>
                <a:pt x="161961" y="723500"/>
                <a:pt x="361750" y="723500"/>
              </a:cubicBezTo>
              <a:cubicBezTo>
                <a:pt x="561539" y="723500"/>
                <a:pt x="723500" y="561539"/>
                <a:pt x="723500" y="361750"/>
              </a:cubicBezTo>
              <a:cubicBezTo>
                <a:pt x="723500" y="361738"/>
                <a:pt x="723500" y="361724"/>
                <a:pt x="723500" y="361712"/>
              </a:cubicBezTo>
              <a:cubicBezTo>
                <a:pt x="723569" y="162013"/>
                <a:pt x="561735" y="69"/>
                <a:pt x="362036" y="0"/>
              </a:cubicBezTo>
              <a:cubicBezTo>
                <a:pt x="361940" y="0"/>
                <a:pt x="361845" y="0"/>
                <a:pt x="361750" y="0"/>
              </a:cubicBezTo>
              <a:close/>
              <a:moveTo>
                <a:pt x="539096" y="393954"/>
              </a:moveTo>
              <a:lnTo>
                <a:pt x="393954" y="393954"/>
              </a:lnTo>
              <a:lnTo>
                <a:pt x="393954" y="539058"/>
              </a:lnTo>
              <a:lnTo>
                <a:pt x="329546" y="539058"/>
              </a:lnTo>
              <a:lnTo>
                <a:pt x="329546" y="393916"/>
              </a:lnTo>
              <a:lnTo>
                <a:pt x="184404" y="393916"/>
              </a:lnTo>
              <a:lnTo>
                <a:pt x="184404" y="329508"/>
              </a:lnTo>
              <a:lnTo>
                <a:pt x="329546" y="329508"/>
              </a:lnTo>
              <a:lnTo>
                <a:pt x="329546" y="184366"/>
              </a:lnTo>
              <a:lnTo>
                <a:pt x="393954" y="184366"/>
              </a:lnTo>
              <a:lnTo>
                <a:pt x="393954" y="329508"/>
              </a:lnTo>
              <a:lnTo>
                <a:pt x="539096" y="329508"/>
              </a:lnTo>
              <a:close/>
            </a:path>
          </a:pathLst>
        </a:custGeom>
        <a:solidFill>
          <a:sysClr val="window" lastClr="FFFFFF"/>
        </a:solidFill>
        <a:ln w="9525" cap="flat">
          <a:solidFill>
            <a:srgbClr val="00B050"/>
          </a:solidFill>
          <a:prstDash val="solid"/>
          <a:miter/>
        </a:ln>
      </xdr:spPr>
      <xdr:txBody>
        <a:bodyPr rtlCol="0" anchor="ctr"/>
        <a:lstStyle/>
        <a:p>
          <a:endParaRPr lang="en-CA"/>
        </a:p>
      </xdr:txBody>
    </xdr:sp>
    <xdr:clientData fPrintsWithSheet="0"/>
  </xdr:oneCellAnchor>
  <xdr:oneCellAnchor>
    <xdr:from>
      <xdr:col>2</xdr:col>
      <xdr:colOff>0</xdr:colOff>
      <xdr:row>319</xdr:row>
      <xdr:rowOff>81375</xdr:rowOff>
    </xdr:from>
    <xdr:ext cx="1758525" cy="252000"/>
    <xdr:sp macro="[0]!Ajouter_33" textlink="">
      <xdr:nvSpPr>
        <xdr:cNvPr id="156" name="Rectangle : coins arrondis 155">
          <a:extLst>
            <a:ext uri="{FF2B5EF4-FFF2-40B4-BE49-F238E27FC236}">
              <a16:creationId xmlns:a16="http://schemas.microsoft.com/office/drawing/2014/main" id="{00000000-0008-0000-0000-00009C000000}"/>
            </a:ext>
          </a:extLst>
        </xdr:cNvPr>
        <xdr:cNvSpPr/>
      </xdr:nvSpPr>
      <xdr:spPr>
        <a:xfrm>
          <a:off x="3514725" y="6625050"/>
          <a:ext cx="1758525" cy="252000"/>
        </a:xfrm>
        <a:prstGeom prst="roundRect">
          <a:avLst>
            <a:gd name="adj" fmla="val 50000"/>
          </a:avLst>
        </a:prstGeom>
        <a:solidFill>
          <a:srgbClr val="00B050"/>
        </a:solidFill>
        <a:ln>
          <a:solidFill>
            <a:schemeClr val="bg1"/>
          </a:solidFill>
        </a:ln>
      </xdr:spPr>
      <xdr:style>
        <a:lnRef idx="0">
          <a:scrgbClr r="0" g="0" b="0"/>
        </a:lnRef>
        <a:fillRef idx="0">
          <a:scrgbClr r="0" g="0" b="0"/>
        </a:fillRef>
        <a:effectRef idx="0">
          <a:scrgbClr r="0" g="0" b="0"/>
        </a:effectRef>
        <a:fontRef idx="minor">
          <a:schemeClr val="lt1"/>
        </a:fontRef>
      </xdr:style>
      <xdr:txBody>
        <a:bodyPr vertOverflow="clip" horzOverflow="clip" rtlCol="0" anchor="ctr"/>
        <a:lstStyle/>
        <a:p>
          <a:pPr algn="l"/>
          <a:r>
            <a:rPr lang="en-CA" sz="1000" b="1">
              <a:latin typeface="Arial" panose="020B0604020202020204" pitchFamily="34" charset="0"/>
              <a:cs typeface="Arial" panose="020B0604020202020204" pitchFamily="34" charset="0"/>
            </a:rPr>
            <a:t>AJOUTER UN ITEM</a:t>
          </a:r>
        </a:p>
      </xdr:txBody>
    </xdr:sp>
    <xdr:clientData fPrintsWithSheet="0"/>
  </xdr:oneCellAnchor>
  <xdr:oneCellAnchor>
    <xdr:from>
      <xdr:col>4</xdr:col>
      <xdr:colOff>0</xdr:colOff>
      <xdr:row>319</xdr:row>
      <xdr:rowOff>80995</xdr:rowOff>
    </xdr:from>
    <xdr:ext cx="253575" cy="253732"/>
    <xdr:sp macro="[0]!Ajouter_33" textlink="">
      <xdr:nvSpPr>
        <xdr:cNvPr id="157" name="Graphique 8" descr="Badge à suivre avec un remplissage uni">
          <a:extLst>
            <a:ext uri="{FF2B5EF4-FFF2-40B4-BE49-F238E27FC236}">
              <a16:creationId xmlns:a16="http://schemas.microsoft.com/office/drawing/2014/main" id="{00000000-0008-0000-0000-00009D000000}"/>
            </a:ext>
          </a:extLst>
        </xdr:cNvPr>
        <xdr:cNvSpPr>
          <a:spLocks noChangeAspect="1"/>
        </xdr:cNvSpPr>
      </xdr:nvSpPr>
      <xdr:spPr>
        <a:xfrm>
          <a:off x="5019675" y="6624670"/>
          <a:ext cx="253575" cy="253732"/>
        </a:xfrm>
        <a:custGeom>
          <a:avLst/>
          <a:gdLst>
            <a:gd name="connsiteX0" fmla="*/ 361750 w 723499"/>
            <a:gd name="connsiteY0" fmla="*/ 0 h 723500"/>
            <a:gd name="connsiteX1" fmla="*/ 0 w 723499"/>
            <a:gd name="connsiteY1" fmla="*/ 361750 h 723500"/>
            <a:gd name="connsiteX2" fmla="*/ 361750 w 723499"/>
            <a:gd name="connsiteY2" fmla="*/ 723500 h 723500"/>
            <a:gd name="connsiteX3" fmla="*/ 723500 w 723499"/>
            <a:gd name="connsiteY3" fmla="*/ 361750 h 723500"/>
            <a:gd name="connsiteX4" fmla="*/ 723500 w 723499"/>
            <a:gd name="connsiteY4" fmla="*/ 361712 h 723500"/>
            <a:gd name="connsiteX5" fmla="*/ 362036 w 723499"/>
            <a:gd name="connsiteY5" fmla="*/ 0 h 723500"/>
            <a:gd name="connsiteX6" fmla="*/ 361750 w 723499"/>
            <a:gd name="connsiteY6" fmla="*/ 0 h 723500"/>
            <a:gd name="connsiteX7" fmla="*/ 539096 w 723499"/>
            <a:gd name="connsiteY7" fmla="*/ 393954 h 723500"/>
            <a:gd name="connsiteX8" fmla="*/ 393954 w 723499"/>
            <a:gd name="connsiteY8" fmla="*/ 393954 h 723500"/>
            <a:gd name="connsiteX9" fmla="*/ 393954 w 723499"/>
            <a:gd name="connsiteY9" fmla="*/ 539058 h 723500"/>
            <a:gd name="connsiteX10" fmla="*/ 329546 w 723499"/>
            <a:gd name="connsiteY10" fmla="*/ 539058 h 723500"/>
            <a:gd name="connsiteX11" fmla="*/ 329546 w 723499"/>
            <a:gd name="connsiteY11" fmla="*/ 393916 h 723500"/>
            <a:gd name="connsiteX12" fmla="*/ 184404 w 723499"/>
            <a:gd name="connsiteY12" fmla="*/ 393916 h 723500"/>
            <a:gd name="connsiteX13" fmla="*/ 184404 w 723499"/>
            <a:gd name="connsiteY13" fmla="*/ 329508 h 723500"/>
            <a:gd name="connsiteX14" fmla="*/ 329546 w 723499"/>
            <a:gd name="connsiteY14" fmla="*/ 329508 h 723500"/>
            <a:gd name="connsiteX15" fmla="*/ 329546 w 723499"/>
            <a:gd name="connsiteY15" fmla="*/ 184366 h 723500"/>
            <a:gd name="connsiteX16" fmla="*/ 393954 w 723499"/>
            <a:gd name="connsiteY16" fmla="*/ 184366 h 723500"/>
            <a:gd name="connsiteX17" fmla="*/ 393954 w 723499"/>
            <a:gd name="connsiteY17" fmla="*/ 329508 h 723500"/>
            <a:gd name="connsiteX18" fmla="*/ 539096 w 723499"/>
            <a:gd name="connsiteY18" fmla="*/ 329508 h 7235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Lst>
          <a:rect l="l" t="t" r="r" b="b"/>
          <a:pathLst>
            <a:path w="723499" h="723500">
              <a:moveTo>
                <a:pt x="361750" y="0"/>
              </a:moveTo>
              <a:cubicBezTo>
                <a:pt x="161961" y="0"/>
                <a:pt x="0" y="161961"/>
                <a:pt x="0" y="361750"/>
              </a:cubicBezTo>
              <a:cubicBezTo>
                <a:pt x="0" y="561539"/>
                <a:pt x="161961" y="723500"/>
                <a:pt x="361750" y="723500"/>
              </a:cubicBezTo>
              <a:cubicBezTo>
                <a:pt x="561539" y="723500"/>
                <a:pt x="723500" y="561539"/>
                <a:pt x="723500" y="361750"/>
              </a:cubicBezTo>
              <a:cubicBezTo>
                <a:pt x="723500" y="361738"/>
                <a:pt x="723500" y="361724"/>
                <a:pt x="723500" y="361712"/>
              </a:cubicBezTo>
              <a:cubicBezTo>
                <a:pt x="723569" y="162013"/>
                <a:pt x="561735" y="69"/>
                <a:pt x="362036" y="0"/>
              </a:cubicBezTo>
              <a:cubicBezTo>
                <a:pt x="361940" y="0"/>
                <a:pt x="361845" y="0"/>
                <a:pt x="361750" y="0"/>
              </a:cubicBezTo>
              <a:close/>
              <a:moveTo>
                <a:pt x="539096" y="393954"/>
              </a:moveTo>
              <a:lnTo>
                <a:pt x="393954" y="393954"/>
              </a:lnTo>
              <a:lnTo>
                <a:pt x="393954" y="539058"/>
              </a:lnTo>
              <a:lnTo>
                <a:pt x="329546" y="539058"/>
              </a:lnTo>
              <a:lnTo>
                <a:pt x="329546" y="393916"/>
              </a:lnTo>
              <a:lnTo>
                <a:pt x="184404" y="393916"/>
              </a:lnTo>
              <a:lnTo>
                <a:pt x="184404" y="329508"/>
              </a:lnTo>
              <a:lnTo>
                <a:pt x="329546" y="329508"/>
              </a:lnTo>
              <a:lnTo>
                <a:pt x="329546" y="184366"/>
              </a:lnTo>
              <a:lnTo>
                <a:pt x="393954" y="184366"/>
              </a:lnTo>
              <a:lnTo>
                <a:pt x="393954" y="329508"/>
              </a:lnTo>
              <a:lnTo>
                <a:pt x="539096" y="329508"/>
              </a:lnTo>
              <a:close/>
            </a:path>
          </a:pathLst>
        </a:custGeom>
        <a:solidFill>
          <a:sysClr val="window" lastClr="FFFFFF"/>
        </a:solidFill>
        <a:ln w="9525" cap="flat">
          <a:solidFill>
            <a:srgbClr val="00B050"/>
          </a:solidFill>
          <a:prstDash val="solid"/>
          <a:miter/>
        </a:ln>
      </xdr:spPr>
      <xdr:txBody>
        <a:bodyPr rtlCol="0" anchor="ctr"/>
        <a:lstStyle/>
        <a:p>
          <a:endParaRPr lang="en-CA"/>
        </a:p>
      </xdr:txBody>
    </xdr:sp>
    <xdr:clientData fPrintsWithSheet="0"/>
  </xdr:oneCellAnchor>
  <xdr:oneCellAnchor>
    <xdr:from>
      <xdr:col>2</xdr:col>
      <xdr:colOff>0</xdr:colOff>
      <xdr:row>326</xdr:row>
      <xdr:rowOff>81375</xdr:rowOff>
    </xdr:from>
    <xdr:ext cx="1758525" cy="252000"/>
    <xdr:sp macro="[0]!Ajouter_34" textlink="">
      <xdr:nvSpPr>
        <xdr:cNvPr id="158" name="Rectangle : coins arrondis 157">
          <a:extLst>
            <a:ext uri="{FF2B5EF4-FFF2-40B4-BE49-F238E27FC236}">
              <a16:creationId xmlns:a16="http://schemas.microsoft.com/office/drawing/2014/main" id="{00000000-0008-0000-0000-00009E000000}"/>
            </a:ext>
          </a:extLst>
        </xdr:cNvPr>
        <xdr:cNvSpPr/>
      </xdr:nvSpPr>
      <xdr:spPr>
        <a:xfrm>
          <a:off x="3514725" y="6625050"/>
          <a:ext cx="1758525" cy="252000"/>
        </a:xfrm>
        <a:prstGeom prst="roundRect">
          <a:avLst>
            <a:gd name="adj" fmla="val 50000"/>
          </a:avLst>
        </a:prstGeom>
        <a:solidFill>
          <a:srgbClr val="00B050"/>
        </a:solidFill>
        <a:ln>
          <a:solidFill>
            <a:schemeClr val="bg1"/>
          </a:solidFill>
        </a:ln>
      </xdr:spPr>
      <xdr:style>
        <a:lnRef idx="0">
          <a:scrgbClr r="0" g="0" b="0"/>
        </a:lnRef>
        <a:fillRef idx="0">
          <a:scrgbClr r="0" g="0" b="0"/>
        </a:fillRef>
        <a:effectRef idx="0">
          <a:scrgbClr r="0" g="0" b="0"/>
        </a:effectRef>
        <a:fontRef idx="minor">
          <a:schemeClr val="lt1"/>
        </a:fontRef>
      </xdr:style>
      <xdr:txBody>
        <a:bodyPr vertOverflow="clip" horzOverflow="clip" rtlCol="0" anchor="ctr"/>
        <a:lstStyle/>
        <a:p>
          <a:pPr algn="l"/>
          <a:r>
            <a:rPr lang="en-CA" sz="1000" b="1">
              <a:latin typeface="Arial" panose="020B0604020202020204" pitchFamily="34" charset="0"/>
              <a:cs typeface="Arial" panose="020B0604020202020204" pitchFamily="34" charset="0"/>
            </a:rPr>
            <a:t>AJOUTER UN ITEM</a:t>
          </a:r>
        </a:p>
      </xdr:txBody>
    </xdr:sp>
    <xdr:clientData fPrintsWithSheet="0"/>
  </xdr:oneCellAnchor>
  <xdr:oneCellAnchor>
    <xdr:from>
      <xdr:col>4</xdr:col>
      <xdr:colOff>0</xdr:colOff>
      <xdr:row>326</xdr:row>
      <xdr:rowOff>80995</xdr:rowOff>
    </xdr:from>
    <xdr:ext cx="253575" cy="253732"/>
    <xdr:sp macro="[0]!Ajouter_34" textlink="">
      <xdr:nvSpPr>
        <xdr:cNvPr id="159" name="Graphique 8" descr="Badge à suivre avec un remplissage uni">
          <a:extLst>
            <a:ext uri="{FF2B5EF4-FFF2-40B4-BE49-F238E27FC236}">
              <a16:creationId xmlns:a16="http://schemas.microsoft.com/office/drawing/2014/main" id="{00000000-0008-0000-0000-00009F000000}"/>
            </a:ext>
          </a:extLst>
        </xdr:cNvPr>
        <xdr:cNvSpPr>
          <a:spLocks noChangeAspect="1"/>
        </xdr:cNvSpPr>
      </xdr:nvSpPr>
      <xdr:spPr>
        <a:xfrm>
          <a:off x="5019675" y="6624670"/>
          <a:ext cx="253575" cy="253732"/>
        </a:xfrm>
        <a:custGeom>
          <a:avLst/>
          <a:gdLst>
            <a:gd name="connsiteX0" fmla="*/ 361750 w 723499"/>
            <a:gd name="connsiteY0" fmla="*/ 0 h 723500"/>
            <a:gd name="connsiteX1" fmla="*/ 0 w 723499"/>
            <a:gd name="connsiteY1" fmla="*/ 361750 h 723500"/>
            <a:gd name="connsiteX2" fmla="*/ 361750 w 723499"/>
            <a:gd name="connsiteY2" fmla="*/ 723500 h 723500"/>
            <a:gd name="connsiteX3" fmla="*/ 723500 w 723499"/>
            <a:gd name="connsiteY3" fmla="*/ 361750 h 723500"/>
            <a:gd name="connsiteX4" fmla="*/ 723500 w 723499"/>
            <a:gd name="connsiteY4" fmla="*/ 361712 h 723500"/>
            <a:gd name="connsiteX5" fmla="*/ 362036 w 723499"/>
            <a:gd name="connsiteY5" fmla="*/ 0 h 723500"/>
            <a:gd name="connsiteX6" fmla="*/ 361750 w 723499"/>
            <a:gd name="connsiteY6" fmla="*/ 0 h 723500"/>
            <a:gd name="connsiteX7" fmla="*/ 539096 w 723499"/>
            <a:gd name="connsiteY7" fmla="*/ 393954 h 723500"/>
            <a:gd name="connsiteX8" fmla="*/ 393954 w 723499"/>
            <a:gd name="connsiteY8" fmla="*/ 393954 h 723500"/>
            <a:gd name="connsiteX9" fmla="*/ 393954 w 723499"/>
            <a:gd name="connsiteY9" fmla="*/ 539058 h 723500"/>
            <a:gd name="connsiteX10" fmla="*/ 329546 w 723499"/>
            <a:gd name="connsiteY10" fmla="*/ 539058 h 723500"/>
            <a:gd name="connsiteX11" fmla="*/ 329546 w 723499"/>
            <a:gd name="connsiteY11" fmla="*/ 393916 h 723500"/>
            <a:gd name="connsiteX12" fmla="*/ 184404 w 723499"/>
            <a:gd name="connsiteY12" fmla="*/ 393916 h 723500"/>
            <a:gd name="connsiteX13" fmla="*/ 184404 w 723499"/>
            <a:gd name="connsiteY13" fmla="*/ 329508 h 723500"/>
            <a:gd name="connsiteX14" fmla="*/ 329546 w 723499"/>
            <a:gd name="connsiteY14" fmla="*/ 329508 h 723500"/>
            <a:gd name="connsiteX15" fmla="*/ 329546 w 723499"/>
            <a:gd name="connsiteY15" fmla="*/ 184366 h 723500"/>
            <a:gd name="connsiteX16" fmla="*/ 393954 w 723499"/>
            <a:gd name="connsiteY16" fmla="*/ 184366 h 723500"/>
            <a:gd name="connsiteX17" fmla="*/ 393954 w 723499"/>
            <a:gd name="connsiteY17" fmla="*/ 329508 h 723500"/>
            <a:gd name="connsiteX18" fmla="*/ 539096 w 723499"/>
            <a:gd name="connsiteY18" fmla="*/ 329508 h 7235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Lst>
          <a:rect l="l" t="t" r="r" b="b"/>
          <a:pathLst>
            <a:path w="723499" h="723500">
              <a:moveTo>
                <a:pt x="361750" y="0"/>
              </a:moveTo>
              <a:cubicBezTo>
                <a:pt x="161961" y="0"/>
                <a:pt x="0" y="161961"/>
                <a:pt x="0" y="361750"/>
              </a:cubicBezTo>
              <a:cubicBezTo>
                <a:pt x="0" y="561539"/>
                <a:pt x="161961" y="723500"/>
                <a:pt x="361750" y="723500"/>
              </a:cubicBezTo>
              <a:cubicBezTo>
                <a:pt x="561539" y="723500"/>
                <a:pt x="723500" y="561539"/>
                <a:pt x="723500" y="361750"/>
              </a:cubicBezTo>
              <a:cubicBezTo>
                <a:pt x="723500" y="361738"/>
                <a:pt x="723500" y="361724"/>
                <a:pt x="723500" y="361712"/>
              </a:cubicBezTo>
              <a:cubicBezTo>
                <a:pt x="723569" y="162013"/>
                <a:pt x="561735" y="69"/>
                <a:pt x="362036" y="0"/>
              </a:cubicBezTo>
              <a:cubicBezTo>
                <a:pt x="361940" y="0"/>
                <a:pt x="361845" y="0"/>
                <a:pt x="361750" y="0"/>
              </a:cubicBezTo>
              <a:close/>
              <a:moveTo>
                <a:pt x="539096" y="393954"/>
              </a:moveTo>
              <a:lnTo>
                <a:pt x="393954" y="393954"/>
              </a:lnTo>
              <a:lnTo>
                <a:pt x="393954" y="539058"/>
              </a:lnTo>
              <a:lnTo>
                <a:pt x="329546" y="539058"/>
              </a:lnTo>
              <a:lnTo>
                <a:pt x="329546" y="393916"/>
              </a:lnTo>
              <a:lnTo>
                <a:pt x="184404" y="393916"/>
              </a:lnTo>
              <a:lnTo>
                <a:pt x="184404" y="329508"/>
              </a:lnTo>
              <a:lnTo>
                <a:pt x="329546" y="329508"/>
              </a:lnTo>
              <a:lnTo>
                <a:pt x="329546" y="184366"/>
              </a:lnTo>
              <a:lnTo>
                <a:pt x="393954" y="184366"/>
              </a:lnTo>
              <a:lnTo>
                <a:pt x="393954" y="329508"/>
              </a:lnTo>
              <a:lnTo>
                <a:pt x="539096" y="329508"/>
              </a:lnTo>
              <a:close/>
            </a:path>
          </a:pathLst>
        </a:custGeom>
        <a:solidFill>
          <a:sysClr val="window" lastClr="FFFFFF"/>
        </a:solidFill>
        <a:ln w="9525" cap="flat">
          <a:solidFill>
            <a:srgbClr val="00B050"/>
          </a:solidFill>
          <a:prstDash val="solid"/>
          <a:miter/>
        </a:ln>
      </xdr:spPr>
      <xdr:txBody>
        <a:bodyPr rtlCol="0" anchor="ctr"/>
        <a:lstStyle/>
        <a:p>
          <a:endParaRPr lang="en-CA"/>
        </a:p>
      </xdr:txBody>
    </xdr:sp>
    <xdr:clientData fPrintsWithSheet="0"/>
  </xdr:oneCellAnchor>
  <xdr:oneCellAnchor>
    <xdr:from>
      <xdr:col>2</xdr:col>
      <xdr:colOff>0</xdr:colOff>
      <xdr:row>333</xdr:row>
      <xdr:rowOff>81375</xdr:rowOff>
    </xdr:from>
    <xdr:ext cx="1758525" cy="252000"/>
    <xdr:sp macro="[0]!Ajouter_35" textlink="">
      <xdr:nvSpPr>
        <xdr:cNvPr id="160" name="Rectangle : coins arrondis 159">
          <a:extLst>
            <a:ext uri="{FF2B5EF4-FFF2-40B4-BE49-F238E27FC236}">
              <a16:creationId xmlns:a16="http://schemas.microsoft.com/office/drawing/2014/main" id="{00000000-0008-0000-0000-0000A0000000}"/>
            </a:ext>
          </a:extLst>
        </xdr:cNvPr>
        <xdr:cNvSpPr/>
      </xdr:nvSpPr>
      <xdr:spPr>
        <a:xfrm>
          <a:off x="3514725" y="6625050"/>
          <a:ext cx="1758525" cy="252000"/>
        </a:xfrm>
        <a:prstGeom prst="roundRect">
          <a:avLst>
            <a:gd name="adj" fmla="val 50000"/>
          </a:avLst>
        </a:prstGeom>
        <a:solidFill>
          <a:srgbClr val="00B050"/>
        </a:solidFill>
        <a:ln>
          <a:solidFill>
            <a:schemeClr val="bg1"/>
          </a:solidFill>
        </a:ln>
      </xdr:spPr>
      <xdr:style>
        <a:lnRef idx="0">
          <a:scrgbClr r="0" g="0" b="0"/>
        </a:lnRef>
        <a:fillRef idx="0">
          <a:scrgbClr r="0" g="0" b="0"/>
        </a:fillRef>
        <a:effectRef idx="0">
          <a:scrgbClr r="0" g="0" b="0"/>
        </a:effectRef>
        <a:fontRef idx="minor">
          <a:schemeClr val="lt1"/>
        </a:fontRef>
      </xdr:style>
      <xdr:txBody>
        <a:bodyPr vertOverflow="clip" horzOverflow="clip" rtlCol="0" anchor="ctr"/>
        <a:lstStyle/>
        <a:p>
          <a:pPr algn="l"/>
          <a:r>
            <a:rPr lang="en-CA" sz="1000" b="1">
              <a:latin typeface="Arial" panose="020B0604020202020204" pitchFamily="34" charset="0"/>
              <a:cs typeface="Arial" panose="020B0604020202020204" pitchFamily="34" charset="0"/>
            </a:rPr>
            <a:t>AJOUTER UN ITEM</a:t>
          </a:r>
        </a:p>
      </xdr:txBody>
    </xdr:sp>
    <xdr:clientData fPrintsWithSheet="0"/>
  </xdr:oneCellAnchor>
  <xdr:oneCellAnchor>
    <xdr:from>
      <xdr:col>4</xdr:col>
      <xdr:colOff>0</xdr:colOff>
      <xdr:row>333</xdr:row>
      <xdr:rowOff>80995</xdr:rowOff>
    </xdr:from>
    <xdr:ext cx="253575" cy="253732"/>
    <xdr:sp macro="[0]!Ajouter_35" textlink="">
      <xdr:nvSpPr>
        <xdr:cNvPr id="161" name="Graphique 8" descr="Badge à suivre avec un remplissage uni">
          <a:extLst>
            <a:ext uri="{FF2B5EF4-FFF2-40B4-BE49-F238E27FC236}">
              <a16:creationId xmlns:a16="http://schemas.microsoft.com/office/drawing/2014/main" id="{00000000-0008-0000-0000-0000A1000000}"/>
            </a:ext>
          </a:extLst>
        </xdr:cNvPr>
        <xdr:cNvSpPr>
          <a:spLocks noChangeAspect="1"/>
        </xdr:cNvSpPr>
      </xdr:nvSpPr>
      <xdr:spPr>
        <a:xfrm>
          <a:off x="5019675" y="6624670"/>
          <a:ext cx="253575" cy="253732"/>
        </a:xfrm>
        <a:custGeom>
          <a:avLst/>
          <a:gdLst>
            <a:gd name="connsiteX0" fmla="*/ 361750 w 723499"/>
            <a:gd name="connsiteY0" fmla="*/ 0 h 723500"/>
            <a:gd name="connsiteX1" fmla="*/ 0 w 723499"/>
            <a:gd name="connsiteY1" fmla="*/ 361750 h 723500"/>
            <a:gd name="connsiteX2" fmla="*/ 361750 w 723499"/>
            <a:gd name="connsiteY2" fmla="*/ 723500 h 723500"/>
            <a:gd name="connsiteX3" fmla="*/ 723500 w 723499"/>
            <a:gd name="connsiteY3" fmla="*/ 361750 h 723500"/>
            <a:gd name="connsiteX4" fmla="*/ 723500 w 723499"/>
            <a:gd name="connsiteY4" fmla="*/ 361712 h 723500"/>
            <a:gd name="connsiteX5" fmla="*/ 362036 w 723499"/>
            <a:gd name="connsiteY5" fmla="*/ 0 h 723500"/>
            <a:gd name="connsiteX6" fmla="*/ 361750 w 723499"/>
            <a:gd name="connsiteY6" fmla="*/ 0 h 723500"/>
            <a:gd name="connsiteX7" fmla="*/ 539096 w 723499"/>
            <a:gd name="connsiteY7" fmla="*/ 393954 h 723500"/>
            <a:gd name="connsiteX8" fmla="*/ 393954 w 723499"/>
            <a:gd name="connsiteY8" fmla="*/ 393954 h 723500"/>
            <a:gd name="connsiteX9" fmla="*/ 393954 w 723499"/>
            <a:gd name="connsiteY9" fmla="*/ 539058 h 723500"/>
            <a:gd name="connsiteX10" fmla="*/ 329546 w 723499"/>
            <a:gd name="connsiteY10" fmla="*/ 539058 h 723500"/>
            <a:gd name="connsiteX11" fmla="*/ 329546 w 723499"/>
            <a:gd name="connsiteY11" fmla="*/ 393916 h 723500"/>
            <a:gd name="connsiteX12" fmla="*/ 184404 w 723499"/>
            <a:gd name="connsiteY12" fmla="*/ 393916 h 723500"/>
            <a:gd name="connsiteX13" fmla="*/ 184404 w 723499"/>
            <a:gd name="connsiteY13" fmla="*/ 329508 h 723500"/>
            <a:gd name="connsiteX14" fmla="*/ 329546 w 723499"/>
            <a:gd name="connsiteY14" fmla="*/ 329508 h 723500"/>
            <a:gd name="connsiteX15" fmla="*/ 329546 w 723499"/>
            <a:gd name="connsiteY15" fmla="*/ 184366 h 723500"/>
            <a:gd name="connsiteX16" fmla="*/ 393954 w 723499"/>
            <a:gd name="connsiteY16" fmla="*/ 184366 h 723500"/>
            <a:gd name="connsiteX17" fmla="*/ 393954 w 723499"/>
            <a:gd name="connsiteY17" fmla="*/ 329508 h 723500"/>
            <a:gd name="connsiteX18" fmla="*/ 539096 w 723499"/>
            <a:gd name="connsiteY18" fmla="*/ 329508 h 7235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Lst>
          <a:rect l="l" t="t" r="r" b="b"/>
          <a:pathLst>
            <a:path w="723499" h="723500">
              <a:moveTo>
                <a:pt x="361750" y="0"/>
              </a:moveTo>
              <a:cubicBezTo>
                <a:pt x="161961" y="0"/>
                <a:pt x="0" y="161961"/>
                <a:pt x="0" y="361750"/>
              </a:cubicBezTo>
              <a:cubicBezTo>
                <a:pt x="0" y="561539"/>
                <a:pt x="161961" y="723500"/>
                <a:pt x="361750" y="723500"/>
              </a:cubicBezTo>
              <a:cubicBezTo>
                <a:pt x="561539" y="723500"/>
                <a:pt x="723500" y="561539"/>
                <a:pt x="723500" y="361750"/>
              </a:cubicBezTo>
              <a:cubicBezTo>
                <a:pt x="723500" y="361738"/>
                <a:pt x="723500" y="361724"/>
                <a:pt x="723500" y="361712"/>
              </a:cubicBezTo>
              <a:cubicBezTo>
                <a:pt x="723569" y="162013"/>
                <a:pt x="561735" y="69"/>
                <a:pt x="362036" y="0"/>
              </a:cubicBezTo>
              <a:cubicBezTo>
                <a:pt x="361940" y="0"/>
                <a:pt x="361845" y="0"/>
                <a:pt x="361750" y="0"/>
              </a:cubicBezTo>
              <a:close/>
              <a:moveTo>
                <a:pt x="539096" y="393954"/>
              </a:moveTo>
              <a:lnTo>
                <a:pt x="393954" y="393954"/>
              </a:lnTo>
              <a:lnTo>
                <a:pt x="393954" y="539058"/>
              </a:lnTo>
              <a:lnTo>
                <a:pt x="329546" y="539058"/>
              </a:lnTo>
              <a:lnTo>
                <a:pt x="329546" y="393916"/>
              </a:lnTo>
              <a:lnTo>
                <a:pt x="184404" y="393916"/>
              </a:lnTo>
              <a:lnTo>
                <a:pt x="184404" y="329508"/>
              </a:lnTo>
              <a:lnTo>
                <a:pt x="329546" y="329508"/>
              </a:lnTo>
              <a:lnTo>
                <a:pt x="329546" y="184366"/>
              </a:lnTo>
              <a:lnTo>
                <a:pt x="393954" y="184366"/>
              </a:lnTo>
              <a:lnTo>
                <a:pt x="393954" y="329508"/>
              </a:lnTo>
              <a:lnTo>
                <a:pt x="539096" y="329508"/>
              </a:lnTo>
              <a:close/>
            </a:path>
          </a:pathLst>
        </a:custGeom>
        <a:solidFill>
          <a:sysClr val="window" lastClr="FFFFFF"/>
        </a:solidFill>
        <a:ln w="9525" cap="flat">
          <a:solidFill>
            <a:srgbClr val="00B050"/>
          </a:solidFill>
          <a:prstDash val="solid"/>
          <a:miter/>
        </a:ln>
      </xdr:spPr>
      <xdr:txBody>
        <a:bodyPr rtlCol="0" anchor="ctr"/>
        <a:lstStyle/>
        <a:p>
          <a:endParaRPr lang="en-CA"/>
        </a:p>
      </xdr:txBody>
    </xdr:sp>
    <xdr:clientData fPrintsWithSheet="0"/>
  </xdr:oneCellAnchor>
  <xdr:oneCellAnchor>
    <xdr:from>
      <xdr:col>2</xdr:col>
      <xdr:colOff>0</xdr:colOff>
      <xdr:row>340</xdr:row>
      <xdr:rowOff>81375</xdr:rowOff>
    </xdr:from>
    <xdr:ext cx="1758525" cy="252000"/>
    <xdr:sp macro="[0]!Ajouter_36" textlink="">
      <xdr:nvSpPr>
        <xdr:cNvPr id="162" name="Rectangle : coins arrondis 161">
          <a:extLst>
            <a:ext uri="{FF2B5EF4-FFF2-40B4-BE49-F238E27FC236}">
              <a16:creationId xmlns:a16="http://schemas.microsoft.com/office/drawing/2014/main" id="{00000000-0008-0000-0000-0000A2000000}"/>
            </a:ext>
          </a:extLst>
        </xdr:cNvPr>
        <xdr:cNvSpPr/>
      </xdr:nvSpPr>
      <xdr:spPr>
        <a:xfrm>
          <a:off x="3514725" y="6625050"/>
          <a:ext cx="1758525" cy="252000"/>
        </a:xfrm>
        <a:prstGeom prst="roundRect">
          <a:avLst>
            <a:gd name="adj" fmla="val 50000"/>
          </a:avLst>
        </a:prstGeom>
        <a:solidFill>
          <a:srgbClr val="00B050"/>
        </a:solidFill>
        <a:ln>
          <a:solidFill>
            <a:schemeClr val="bg1"/>
          </a:solidFill>
        </a:ln>
      </xdr:spPr>
      <xdr:style>
        <a:lnRef idx="0">
          <a:scrgbClr r="0" g="0" b="0"/>
        </a:lnRef>
        <a:fillRef idx="0">
          <a:scrgbClr r="0" g="0" b="0"/>
        </a:fillRef>
        <a:effectRef idx="0">
          <a:scrgbClr r="0" g="0" b="0"/>
        </a:effectRef>
        <a:fontRef idx="minor">
          <a:schemeClr val="lt1"/>
        </a:fontRef>
      </xdr:style>
      <xdr:txBody>
        <a:bodyPr vertOverflow="clip" horzOverflow="clip" rtlCol="0" anchor="ctr"/>
        <a:lstStyle/>
        <a:p>
          <a:pPr algn="l"/>
          <a:r>
            <a:rPr lang="en-CA" sz="1000" b="1">
              <a:latin typeface="Arial" panose="020B0604020202020204" pitchFamily="34" charset="0"/>
              <a:cs typeface="Arial" panose="020B0604020202020204" pitchFamily="34" charset="0"/>
            </a:rPr>
            <a:t>AJOUTER UN ITEM</a:t>
          </a:r>
        </a:p>
      </xdr:txBody>
    </xdr:sp>
    <xdr:clientData fPrintsWithSheet="0"/>
  </xdr:oneCellAnchor>
  <xdr:oneCellAnchor>
    <xdr:from>
      <xdr:col>4</xdr:col>
      <xdr:colOff>0</xdr:colOff>
      <xdr:row>340</xdr:row>
      <xdr:rowOff>80995</xdr:rowOff>
    </xdr:from>
    <xdr:ext cx="253575" cy="253732"/>
    <xdr:sp macro="[0]!Ajouter_36" textlink="">
      <xdr:nvSpPr>
        <xdr:cNvPr id="163" name="Graphique 8" descr="Badge à suivre avec un remplissage uni">
          <a:extLst>
            <a:ext uri="{FF2B5EF4-FFF2-40B4-BE49-F238E27FC236}">
              <a16:creationId xmlns:a16="http://schemas.microsoft.com/office/drawing/2014/main" id="{00000000-0008-0000-0000-0000A3000000}"/>
            </a:ext>
          </a:extLst>
        </xdr:cNvPr>
        <xdr:cNvSpPr>
          <a:spLocks noChangeAspect="1"/>
        </xdr:cNvSpPr>
      </xdr:nvSpPr>
      <xdr:spPr>
        <a:xfrm>
          <a:off x="5019675" y="6624670"/>
          <a:ext cx="253575" cy="253732"/>
        </a:xfrm>
        <a:custGeom>
          <a:avLst/>
          <a:gdLst>
            <a:gd name="connsiteX0" fmla="*/ 361750 w 723499"/>
            <a:gd name="connsiteY0" fmla="*/ 0 h 723500"/>
            <a:gd name="connsiteX1" fmla="*/ 0 w 723499"/>
            <a:gd name="connsiteY1" fmla="*/ 361750 h 723500"/>
            <a:gd name="connsiteX2" fmla="*/ 361750 w 723499"/>
            <a:gd name="connsiteY2" fmla="*/ 723500 h 723500"/>
            <a:gd name="connsiteX3" fmla="*/ 723500 w 723499"/>
            <a:gd name="connsiteY3" fmla="*/ 361750 h 723500"/>
            <a:gd name="connsiteX4" fmla="*/ 723500 w 723499"/>
            <a:gd name="connsiteY4" fmla="*/ 361712 h 723500"/>
            <a:gd name="connsiteX5" fmla="*/ 362036 w 723499"/>
            <a:gd name="connsiteY5" fmla="*/ 0 h 723500"/>
            <a:gd name="connsiteX6" fmla="*/ 361750 w 723499"/>
            <a:gd name="connsiteY6" fmla="*/ 0 h 723500"/>
            <a:gd name="connsiteX7" fmla="*/ 539096 w 723499"/>
            <a:gd name="connsiteY7" fmla="*/ 393954 h 723500"/>
            <a:gd name="connsiteX8" fmla="*/ 393954 w 723499"/>
            <a:gd name="connsiteY8" fmla="*/ 393954 h 723500"/>
            <a:gd name="connsiteX9" fmla="*/ 393954 w 723499"/>
            <a:gd name="connsiteY9" fmla="*/ 539058 h 723500"/>
            <a:gd name="connsiteX10" fmla="*/ 329546 w 723499"/>
            <a:gd name="connsiteY10" fmla="*/ 539058 h 723500"/>
            <a:gd name="connsiteX11" fmla="*/ 329546 w 723499"/>
            <a:gd name="connsiteY11" fmla="*/ 393916 h 723500"/>
            <a:gd name="connsiteX12" fmla="*/ 184404 w 723499"/>
            <a:gd name="connsiteY12" fmla="*/ 393916 h 723500"/>
            <a:gd name="connsiteX13" fmla="*/ 184404 w 723499"/>
            <a:gd name="connsiteY13" fmla="*/ 329508 h 723500"/>
            <a:gd name="connsiteX14" fmla="*/ 329546 w 723499"/>
            <a:gd name="connsiteY14" fmla="*/ 329508 h 723500"/>
            <a:gd name="connsiteX15" fmla="*/ 329546 w 723499"/>
            <a:gd name="connsiteY15" fmla="*/ 184366 h 723500"/>
            <a:gd name="connsiteX16" fmla="*/ 393954 w 723499"/>
            <a:gd name="connsiteY16" fmla="*/ 184366 h 723500"/>
            <a:gd name="connsiteX17" fmla="*/ 393954 w 723499"/>
            <a:gd name="connsiteY17" fmla="*/ 329508 h 723500"/>
            <a:gd name="connsiteX18" fmla="*/ 539096 w 723499"/>
            <a:gd name="connsiteY18" fmla="*/ 329508 h 7235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Lst>
          <a:rect l="l" t="t" r="r" b="b"/>
          <a:pathLst>
            <a:path w="723499" h="723500">
              <a:moveTo>
                <a:pt x="361750" y="0"/>
              </a:moveTo>
              <a:cubicBezTo>
                <a:pt x="161961" y="0"/>
                <a:pt x="0" y="161961"/>
                <a:pt x="0" y="361750"/>
              </a:cubicBezTo>
              <a:cubicBezTo>
                <a:pt x="0" y="561539"/>
                <a:pt x="161961" y="723500"/>
                <a:pt x="361750" y="723500"/>
              </a:cubicBezTo>
              <a:cubicBezTo>
                <a:pt x="561539" y="723500"/>
                <a:pt x="723500" y="561539"/>
                <a:pt x="723500" y="361750"/>
              </a:cubicBezTo>
              <a:cubicBezTo>
                <a:pt x="723500" y="361738"/>
                <a:pt x="723500" y="361724"/>
                <a:pt x="723500" y="361712"/>
              </a:cubicBezTo>
              <a:cubicBezTo>
                <a:pt x="723569" y="162013"/>
                <a:pt x="561735" y="69"/>
                <a:pt x="362036" y="0"/>
              </a:cubicBezTo>
              <a:cubicBezTo>
                <a:pt x="361940" y="0"/>
                <a:pt x="361845" y="0"/>
                <a:pt x="361750" y="0"/>
              </a:cubicBezTo>
              <a:close/>
              <a:moveTo>
                <a:pt x="539096" y="393954"/>
              </a:moveTo>
              <a:lnTo>
                <a:pt x="393954" y="393954"/>
              </a:lnTo>
              <a:lnTo>
                <a:pt x="393954" y="539058"/>
              </a:lnTo>
              <a:lnTo>
                <a:pt x="329546" y="539058"/>
              </a:lnTo>
              <a:lnTo>
                <a:pt x="329546" y="393916"/>
              </a:lnTo>
              <a:lnTo>
                <a:pt x="184404" y="393916"/>
              </a:lnTo>
              <a:lnTo>
                <a:pt x="184404" y="329508"/>
              </a:lnTo>
              <a:lnTo>
                <a:pt x="329546" y="329508"/>
              </a:lnTo>
              <a:lnTo>
                <a:pt x="329546" y="184366"/>
              </a:lnTo>
              <a:lnTo>
                <a:pt x="393954" y="184366"/>
              </a:lnTo>
              <a:lnTo>
                <a:pt x="393954" y="329508"/>
              </a:lnTo>
              <a:lnTo>
                <a:pt x="539096" y="329508"/>
              </a:lnTo>
              <a:close/>
            </a:path>
          </a:pathLst>
        </a:custGeom>
        <a:solidFill>
          <a:sysClr val="window" lastClr="FFFFFF"/>
        </a:solidFill>
        <a:ln w="9525" cap="flat">
          <a:solidFill>
            <a:srgbClr val="00B050"/>
          </a:solidFill>
          <a:prstDash val="solid"/>
          <a:miter/>
        </a:ln>
      </xdr:spPr>
      <xdr:txBody>
        <a:bodyPr rtlCol="0" anchor="ctr"/>
        <a:lstStyle/>
        <a:p>
          <a:endParaRPr lang="en-CA"/>
        </a:p>
      </xdr:txBody>
    </xdr:sp>
    <xdr:clientData fPrintsWithSheet="0"/>
  </xdr:oneCellAnchor>
  <xdr:oneCellAnchor>
    <xdr:from>
      <xdr:col>2</xdr:col>
      <xdr:colOff>0</xdr:colOff>
      <xdr:row>347</xdr:row>
      <xdr:rowOff>81375</xdr:rowOff>
    </xdr:from>
    <xdr:ext cx="1758525" cy="252000"/>
    <xdr:sp macro="[0]!Ajouter_37" textlink="">
      <xdr:nvSpPr>
        <xdr:cNvPr id="164" name="Rectangle : coins arrondis 163">
          <a:extLst>
            <a:ext uri="{FF2B5EF4-FFF2-40B4-BE49-F238E27FC236}">
              <a16:creationId xmlns:a16="http://schemas.microsoft.com/office/drawing/2014/main" id="{00000000-0008-0000-0000-0000A4000000}"/>
            </a:ext>
          </a:extLst>
        </xdr:cNvPr>
        <xdr:cNvSpPr/>
      </xdr:nvSpPr>
      <xdr:spPr>
        <a:xfrm>
          <a:off x="3514725" y="6625050"/>
          <a:ext cx="1758525" cy="252000"/>
        </a:xfrm>
        <a:prstGeom prst="roundRect">
          <a:avLst>
            <a:gd name="adj" fmla="val 50000"/>
          </a:avLst>
        </a:prstGeom>
        <a:solidFill>
          <a:srgbClr val="00B050"/>
        </a:solidFill>
        <a:ln>
          <a:solidFill>
            <a:schemeClr val="bg1"/>
          </a:solidFill>
        </a:ln>
      </xdr:spPr>
      <xdr:style>
        <a:lnRef idx="0">
          <a:scrgbClr r="0" g="0" b="0"/>
        </a:lnRef>
        <a:fillRef idx="0">
          <a:scrgbClr r="0" g="0" b="0"/>
        </a:fillRef>
        <a:effectRef idx="0">
          <a:scrgbClr r="0" g="0" b="0"/>
        </a:effectRef>
        <a:fontRef idx="minor">
          <a:schemeClr val="lt1"/>
        </a:fontRef>
      </xdr:style>
      <xdr:txBody>
        <a:bodyPr vertOverflow="clip" horzOverflow="clip" rtlCol="0" anchor="ctr"/>
        <a:lstStyle/>
        <a:p>
          <a:pPr algn="l"/>
          <a:r>
            <a:rPr lang="en-CA" sz="1000" b="1">
              <a:latin typeface="Arial" panose="020B0604020202020204" pitchFamily="34" charset="0"/>
              <a:cs typeface="Arial" panose="020B0604020202020204" pitchFamily="34" charset="0"/>
            </a:rPr>
            <a:t>AJOUTER UN ITEM</a:t>
          </a:r>
        </a:p>
      </xdr:txBody>
    </xdr:sp>
    <xdr:clientData fPrintsWithSheet="0"/>
  </xdr:oneCellAnchor>
  <xdr:oneCellAnchor>
    <xdr:from>
      <xdr:col>4</xdr:col>
      <xdr:colOff>0</xdr:colOff>
      <xdr:row>347</xdr:row>
      <xdr:rowOff>80995</xdr:rowOff>
    </xdr:from>
    <xdr:ext cx="253575" cy="253732"/>
    <xdr:sp macro="[0]!Ajouter_37" textlink="">
      <xdr:nvSpPr>
        <xdr:cNvPr id="165" name="Graphique 8" descr="Badge à suivre avec un remplissage uni">
          <a:extLst>
            <a:ext uri="{FF2B5EF4-FFF2-40B4-BE49-F238E27FC236}">
              <a16:creationId xmlns:a16="http://schemas.microsoft.com/office/drawing/2014/main" id="{00000000-0008-0000-0000-0000A5000000}"/>
            </a:ext>
          </a:extLst>
        </xdr:cNvPr>
        <xdr:cNvSpPr>
          <a:spLocks noChangeAspect="1"/>
        </xdr:cNvSpPr>
      </xdr:nvSpPr>
      <xdr:spPr>
        <a:xfrm>
          <a:off x="5019675" y="6624670"/>
          <a:ext cx="253575" cy="253732"/>
        </a:xfrm>
        <a:custGeom>
          <a:avLst/>
          <a:gdLst>
            <a:gd name="connsiteX0" fmla="*/ 361750 w 723499"/>
            <a:gd name="connsiteY0" fmla="*/ 0 h 723500"/>
            <a:gd name="connsiteX1" fmla="*/ 0 w 723499"/>
            <a:gd name="connsiteY1" fmla="*/ 361750 h 723500"/>
            <a:gd name="connsiteX2" fmla="*/ 361750 w 723499"/>
            <a:gd name="connsiteY2" fmla="*/ 723500 h 723500"/>
            <a:gd name="connsiteX3" fmla="*/ 723500 w 723499"/>
            <a:gd name="connsiteY3" fmla="*/ 361750 h 723500"/>
            <a:gd name="connsiteX4" fmla="*/ 723500 w 723499"/>
            <a:gd name="connsiteY4" fmla="*/ 361712 h 723500"/>
            <a:gd name="connsiteX5" fmla="*/ 362036 w 723499"/>
            <a:gd name="connsiteY5" fmla="*/ 0 h 723500"/>
            <a:gd name="connsiteX6" fmla="*/ 361750 w 723499"/>
            <a:gd name="connsiteY6" fmla="*/ 0 h 723500"/>
            <a:gd name="connsiteX7" fmla="*/ 539096 w 723499"/>
            <a:gd name="connsiteY7" fmla="*/ 393954 h 723500"/>
            <a:gd name="connsiteX8" fmla="*/ 393954 w 723499"/>
            <a:gd name="connsiteY8" fmla="*/ 393954 h 723500"/>
            <a:gd name="connsiteX9" fmla="*/ 393954 w 723499"/>
            <a:gd name="connsiteY9" fmla="*/ 539058 h 723500"/>
            <a:gd name="connsiteX10" fmla="*/ 329546 w 723499"/>
            <a:gd name="connsiteY10" fmla="*/ 539058 h 723500"/>
            <a:gd name="connsiteX11" fmla="*/ 329546 w 723499"/>
            <a:gd name="connsiteY11" fmla="*/ 393916 h 723500"/>
            <a:gd name="connsiteX12" fmla="*/ 184404 w 723499"/>
            <a:gd name="connsiteY12" fmla="*/ 393916 h 723500"/>
            <a:gd name="connsiteX13" fmla="*/ 184404 w 723499"/>
            <a:gd name="connsiteY13" fmla="*/ 329508 h 723500"/>
            <a:gd name="connsiteX14" fmla="*/ 329546 w 723499"/>
            <a:gd name="connsiteY14" fmla="*/ 329508 h 723500"/>
            <a:gd name="connsiteX15" fmla="*/ 329546 w 723499"/>
            <a:gd name="connsiteY15" fmla="*/ 184366 h 723500"/>
            <a:gd name="connsiteX16" fmla="*/ 393954 w 723499"/>
            <a:gd name="connsiteY16" fmla="*/ 184366 h 723500"/>
            <a:gd name="connsiteX17" fmla="*/ 393954 w 723499"/>
            <a:gd name="connsiteY17" fmla="*/ 329508 h 723500"/>
            <a:gd name="connsiteX18" fmla="*/ 539096 w 723499"/>
            <a:gd name="connsiteY18" fmla="*/ 329508 h 7235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Lst>
          <a:rect l="l" t="t" r="r" b="b"/>
          <a:pathLst>
            <a:path w="723499" h="723500">
              <a:moveTo>
                <a:pt x="361750" y="0"/>
              </a:moveTo>
              <a:cubicBezTo>
                <a:pt x="161961" y="0"/>
                <a:pt x="0" y="161961"/>
                <a:pt x="0" y="361750"/>
              </a:cubicBezTo>
              <a:cubicBezTo>
                <a:pt x="0" y="561539"/>
                <a:pt x="161961" y="723500"/>
                <a:pt x="361750" y="723500"/>
              </a:cubicBezTo>
              <a:cubicBezTo>
                <a:pt x="561539" y="723500"/>
                <a:pt x="723500" y="561539"/>
                <a:pt x="723500" y="361750"/>
              </a:cubicBezTo>
              <a:cubicBezTo>
                <a:pt x="723500" y="361738"/>
                <a:pt x="723500" y="361724"/>
                <a:pt x="723500" y="361712"/>
              </a:cubicBezTo>
              <a:cubicBezTo>
                <a:pt x="723569" y="162013"/>
                <a:pt x="561735" y="69"/>
                <a:pt x="362036" y="0"/>
              </a:cubicBezTo>
              <a:cubicBezTo>
                <a:pt x="361940" y="0"/>
                <a:pt x="361845" y="0"/>
                <a:pt x="361750" y="0"/>
              </a:cubicBezTo>
              <a:close/>
              <a:moveTo>
                <a:pt x="539096" y="393954"/>
              </a:moveTo>
              <a:lnTo>
                <a:pt x="393954" y="393954"/>
              </a:lnTo>
              <a:lnTo>
                <a:pt x="393954" y="539058"/>
              </a:lnTo>
              <a:lnTo>
                <a:pt x="329546" y="539058"/>
              </a:lnTo>
              <a:lnTo>
                <a:pt x="329546" y="393916"/>
              </a:lnTo>
              <a:lnTo>
                <a:pt x="184404" y="393916"/>
              </a:lnTo>
              <a:lnTo>
                <a:pt x="184404" y="329508"/>
              </a:lnTo>
              <a:lnTo>
                <a:pt x="329546" y="329508"/>
              </a:lnTo>
              <a:lnTo>
                <a:pt x="329546" y="184366"/>
              </a:lnTo>
              <a:lnTo>
                <a:pt x="393954" y="184366"/>
              </a:lnTo>
              <a:lnTo>
                <a:pt x="393954" y="329508"/>
              </a:lnTo>
              <a:lnTo>
                <a:pt x="539096" y="329508"/>
              </a:lnTo>
              <a:close/>
            </a:path>
          </a:pathLst>
        </a:custGeom>
        <a:solidFill>
          <a:sysClr val="window" lastClr="FFFFFF"/>
        </a:solidFill>
        <a:ln w="9525" cap="flat">
          <a:solidFill>
            <a:srgbClr val="00B050"/>
          </a:solidFill>
          <a:prstDash val="solid"/>
          <a:miter/>
        </a:ln>
      </xdr:spPr>
      <xdr:txBody>
        <a:bodyPr rtlCol="0" anchor="ctr"/>
        <a:lstStyle/>
        <a:p>
          <a:endParaRPr lang="en-CA"/>
        </a:p>
      </xdr:txBody>
    </xdr:sp>
    <xdr:clientData fPrintsWithSheet="0"/>
  </xdr:oneCellAnchor>
  <xdr:oneCellAnchor>
    <xdr:from>
      <xdr:col>2</xdr:col>
      <xdr:colOff>0</xdr:colOff>
      <xdr:row>354</xdr:row>
      <xdr:rowOff>81375</xdr:rowOff>
    </xdr:from>
    <xdr:ext cx="1758525" cy="252000"/>
    <xdr:sp macro="[0]!Ajouter_38" textlink="">
      <xdr:nvSpPr>
        <xdr:cNvPr id="166" name="Rectangle : coins arrondis 165">
          <a:extLst>
            <a:ext uri="{FF2B5EF4-FFF2-40B4-BE49-F238E27FC236}">
              <a16:creationId xmlns:a16="http://schemas.microsoft.com/office/drawing/2014/main" id="{00000000-0008-0000-0000-0000A6000000}"/>
            </a:ext>
          </a:extLst>
        </xdr:cNvPr>
        <xdr:cNvSpPr/>
      </xdr:nvSpPr>
      <xdr:spPr>
        <a:xfrm>
          <a:off x="3514725" y="6625050"/>
          <a:ext cx="1758525" cy="252000"/>
        </a:xfrm>
        <a:prstGeom prst="roundRect">
          <a:avLst>
            <a:gd name="adj" fmla="val 50000"/>
          </a:avLst>
        </a:prstGeom>
        <a:solidFill>
          <a:srgbClr val="00B050"/>
        </a:solidFill>
        <a:ln>
          <a:solidFill>
            <a:schemeClr val="bg1"/>
          </a:solidFill>
        </a:ln>
      </xdr:spPr>
      <xdr:style>
        <a:lnRef idx="0">
          <a:scrgbClr r="0" g="0" b="0"/>
        </a:lnRef>
        <a:fillRef idx="0">
          <a:scrgbClr r="0" g="0" b="0"/>
        </a:fillRef>
        <a:effectRef idx="0">
          <a:scrgbClr r="0" g="0" b="0"/>
        </a:effectRef>
        <a:fontRef idx="minor">
          <a:schemeClr val="lt1"/>
        </a:fontRef>
      </xdr:style>
      <xdr:txBody>
        <a:bodyPr vertOverflow="clip" horzOverflow="clip" rtlCol="0" anchor="ctr"/>
        <a:lstStyle/>
        <a:p>
          <a:pPr algn="l"/>
          <a:r>
            <a:rPr lang="en-CA" sz="1000" b="1">
              <a:latin typeface="Arial" panose="020B0604020202020204" pitchFamily="34" charset="0"/>
              <a:cs typeface="Arial" panose="020B0604020202020204" pitchFamily="34" charset="0"/>
            </a:rPr>
            <a:t>AJOUTER UN ITEM</a:t>
          </a:r>
        </a:p>
      </xdr:txBody>
    </xdr:sp>
    <xdr:clientData fPrintsWithSheet="0"/>
  </xdr:oneCellAnchor>
  <xdr:oneCellAnchor>
    <xdr:from>
      <xdr:col>4</xdr:col>
      <xdr:colOff>0</xdr:colOff>
      <xdr:row>354</xdr:row>
      <xdr:rowOff>80995</xdr:rowOff>
    </xdr:from>
    <xdr:ext cx="253575" cy="253732"/>
    <xdr:sp macro="[0]!Ajouter_38" textlink="">
      <xdr:nvSpPr>
        <xdr:cNvPr id="167" name="Graphique 8" descr="Badge à suivre avec un remplissage uni">
          <a:extLst>
            <a:ext uri="{FF2B5EF4-FFF2-40B4-BE49-F238E27FC236}">
              <a16:creationId xmlns:a16="http://schemas.microsoft.com/office/drawing/2014/main" id="{00000000-0008-0000-0000-0000A7000000}"/>
            </a:ext>
          </a:extLst>
        </xdr:cNvPr>
        <xdr:cNvSpPr>
          <a:spLocks noChangeAspect="1"/>
        </xdr:cNvSpPr>
      </xdr:nvSpPr>
      <xdr:spPr>
        <a:xfrm>
          <a:off x="5019675" y="6624670"/>
          <a:ext cx="253575" cy="253732"/>
        </a:xfrm>
        <a:custGeom>
          <a:avLst/>
          <a:gdLst>
            <a:gd name="connsiteX0" fmla="*/ 361750 w 723499"/>
            <a:gd name="connsiteY0" fmla="*/ 0 h 723500"/>
            <a:gd name="connsiteX1" fmla="*/ 0 w 723499"/>
            <a:gd name="connsiteY1" fmla="*/ 361750 h 723500"/>
            <a:gd name="connsiteX2" fmla="*/ 361750 w 723499"/>
            <a:gd name="connsiteY2" fmla="*/ 723500 h 723500"/>
            <a:gd name="connsiteX3" fmla="*/ 723500 w 723499"/>
            <a:gd name="connsiteY3" fmla="*/ 361750 h 723500"/>
            <a:gd name="connsiteX4" fmla="*/ 723500 w 723499"/>
            <a:gd name="connsiteY4" fmla="*/ 361712 h 723500"/>
            <a:gd name="connsiteX5" fmla="*/ 362036 w 723499"/>
            <a:gd name="connsiteY5" fmla="*/ 0 h 723500"/>
            <a:gd name="connsiteX6" fmla="*/ 361750 w 723499"/>
            <a:gd name="connsiteY6" fmla="*/ 0 h 723500"/>
            <a:gd name="connsiteX7" fmla="*/ 539096 w 723499"/>
            <a:gd name="connsiteY7" fmla="*/ 393954 h 723500"/>
            <a:gd name="connsiteX8" fmla="*/ 393954 w 723499"/>
            <a:gd name="connsiteY8" fmla="*/ 393954 h 723500"/>
            <a:gd name="connsiteX9" fmla="*/ 393954 w 723499"/>
            <a:gd name="connsiteY9" fmla="*/ 539058 h 723500"/>
            <a:gd name="connsiteX10" fmla="*/ 329546 w 723499"/>
            <a:gd name="connsiteY10" fmla="*/ 539058 h 723500"/>
            <a:gd name="connsiteX11" fmla="*/ 329546 w 723499"/>
            <a:gd name="connsiteY11" fmla="*/ 393916 h 723500"/>
            <a:gd name="connsiteX12" fmla="*/ 184404 w 723499"/>
            <a:gd name="connsiteY12" fmla="*/ 393916 h 723500"/>
            <a:gd name="connsiteX13" fmla="*/ 184404 w 723499"/>
            <a:gd name="connsiteY13" fmla="*/ 329508 h 723500"/>
            <a:gd name="connsiteX14" fmla="*/ 329546 w 723499"/>
            <a:gd name="connsiteY14" fmla="*/ 329508 h 723500"/>
            <a:gd name="connsiteX15" fmla="*/ 329546 w 723499"/>
            <a:gd name="connsiteY15" fmla="*/ 184366 h 723500"/>
            <a:gd name="connsiteX16" fmla="*/ 393954 w 723499"/>
            <a:gd name="connsiteY16" fmla="*/ 184366 h 723500"/>
            <a:gd name="connsiteX17" fmla="*/ 393954 w 723499"/>
            <a:gd name="connsiteY17" fmla="*/ 329508 h 723500"/>
            <a:gd name="connsiteX18" fmla="*/ 539096 w 723499"/>
            <a:gd name="connsiteY18" fmla="*/ 329508 h 7235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Lst>
          <a:rect l="l" t="t" r="r" b="b"/>
          <a:pathLst>
            <a:path w="723499" h="723500">
              <a:moveTo>
                <a:pt x="361750" y="0"/>
              </a:moveTo>
              <a:cubicBezTo>
                <a:pt x="161961" y="0"/>
                <a:pt x="0" y="161961"/>
                <a:pt x="0" y="361750"/>
              </a:cubicBezTo>
              <a:cubicBezTo>
                <a:pt x="0" y="561539"/>
                <a:pt x="161961" y="723500"/>
                <a:pt x="361750" y="723500"/>
              </a:cubicBezTo>
              <a:cubicBezTo>
                <a:pt x="561539" y="723500"/>
                <a:pt x="723500" y="561539"/>
                <a:pt x="723500" y="361750"/>
              </a:cubicBezTo>
              <a:cubicBezTo>
                <a:pt x="723500" y="361738"/>
                <a:pt x="723500" y="361724"/>
                <a:pt x="723500" y="361712"/>
              </a:cubicBezTo>
              <a:cubicBezTo>
                <a:pt x="723569" y="162013"/>
                <a:pt x="561735" y="69"/>
                <a:pt x="362036" y="0"/>
              </a:cubicBezTo>
              <a:cubicBezTo>
                <a:pt x="361940" y="0"/>
                <a:pt x="361845" y="0"/>
                <a:pt x="361750" y="0"/>
              </a:cubicBezTo>
              <a:close/>
              <a:moveTo>
                <a:pt x="539096" y="393954"/>
              </a:moveTo>
              <a:lnTo>
                <a:pt x="393954" y="393954"/>
              </a:lnTo>
              <a:lnTo>
                <a:pt x="393954" y="539058"/>
              </a:lnTo>
              <a:lnTo>
                <a:pt x="329546" y="539058"/>
              </a:lnTo>
              <a:lnTo>
                <a:pt x="329546" y="393916"/>
              </a:lnTo>
              <a:lnTo>
                <a:pt x="184404" y="393916"/>
              </a:lnTo>
              <a:lnTo>
                <a:pt x="184404" y="329508"/>
              </a:lnTo>
              <a:lnTo>
                <a:pt x="329546" y="329508"/>
              </a:lnTo>
              <a:lnTo>
                <a:pt x="329546" y="184366"/>
              </a:lnTo>
              <a:lnTo>
                <a:pt x="393954" y="184366"/>
              </a:lnTo>
              <a:lnTo>
                <a:pt x="393954" y="329508"/>
              </a:lnTo>
              <a:lnTo>
                <a:pt x="539096" y="329508"/>
              </a:lnTo>
              <a:close/>
            </a:path>
          </a:pathLst>
        </a:custGeom>
        <a:solidFill>
          <a:sysClr val="window" lastClr="FFFFFF"/>
        </a:solidFill>
        <a:ln w="9525" cap="flat">
          <a:solidFill>
            <a:srgbClr val="00B050"/>
          </a:solidFill>
          <a:prstDash val="solid"/>
          <a:miter/>
        </a:ln>
      </xdr:spPr>
      <xdr:txBody>
        <a:bodyPr rtlCol="0" anchor="ctr"/>
        <a:lstStyle/>
        <a:p>
          <a:endParaRPr lang="en-CA"/>
        </a:p>
      </xdr:txBody>
    </xdr:sp>
    <xdr:clientData fPrintsWithSheet="0"/>
  </xdr:oneCellAnchor>
  <xdr:oneCellAnchor>
    <xdr:from>
      <xdr:col>2</xdr:col>
      <xdr:colOff>0</xdr:colOff>
      <xdr:row>361</xdr:row>
      <xdr:rowOff>81375</xdr:rowOff>
    </xdr:from>
    <xdr:ext cx="1758525" cy="252000"/>
    <xdr:sp macro="[0]!Ajouter_39" textlink="">
      <xdr:nvSpPr>
        <xdr:cNvPr id="168" name="Rectangle : coins arrondis 167">
          <a:extLst>
            <a:ext uri="{FF2B5EF4-FFF2-40B4-BE49-F238E27FC236}">
              <a16:creationId xmlns:a16="http://schemas.microsoft.com/office/drawing/2014/main" id="{00000000-0008-0000-0000-0000A8000000}"/>
            </a:ext>
          </a:extLst>
        </xdr:cNvPr>
        <xdr:cNvSpPr/>
      </xdr:nvSpPr>
      <xdr:spPr>
        <a:xfrm>
          <a:off x="3514725" y="6625050"/>
          <a:ext cx="1758525" cy="252000"/>
        </a:xfrm>
        <a:prstGeom prst="roundRect">
          <a:avLst>
            <a:gd name="adj" fmla="val 50000"/>
          </a:avLst>
        </a:prstGeom>
        <a:solidFill>
          <a:srgbClr val="00B050"/>
        </a:solidFill>
        <a:ln>
          <a:solidFill>
            <a:schemeClr val="bg1"/>
          </a:solidFill>
        </a:ln>
      </xdr:spPr>
      <xdr:style>
        <a:lnRef idx="0">
          <a:scrgbClr r="0" g="0" b="0"/>
        </a:lnRef>
        <a:fillRef idx="0">
          <a:scrgbClr r="0" g="0" b="0"/>
        </a:fillRef>
        <a:effectRef idx="0">
          <a:scrgbClr r="0" g="0" b="0"/>
        </a:effectRef>
        <a:fontRef idx="minor">
          <a:schemeClr val="lt1"/>
        </a:fontRef>
      </xdr:style>
      <xdr:txBody>
        <a:bodyPr vertOverflow="clip" horzOverflow="clip" rtlCol="0" anchor="ctr"/>
        <a:lstStyle/>
        <a:p>
          <a:pPr algn="l"/>
          <a:r>
            <a:rPr lang="en-CA" sz="1000" b="1">
              <a:latin typeface="Arial" panose="020B0604020202020204" pitchFamily="34" charset="0"/>
              <a:cs typeface="Arial" panose="020B0604020202020204" pitchFamily="34" charset="0"/>
            </a:rPr>
            <a:t>AJOUTER UN ITEM</a:t>
          </a:r>
        </a:p>
      </xdr:txBody>
    </xdr:sp>
    <xdr:clientData fPrintsWithSheet="0"/>
  </xdr:oneCellAnchor>
  <xdr:oneCellAnchor>
    <xdr:from>
      <xdr:col>4</xdr:col>
      <xdr:colOff>0</xdr:colOff>
      <xdr:row>361</xdr:row>
      <xdr:rowOff>80995</xdr:rowOff>
    </xdr:from>
    <xdr:ext cx="253575" cy="253732"/>
    <xdr:sp macro="[0]!Ajouter_39" textlink="">
      <xdr:nvSpPr>
        <xdr:cNvPr id="169" name="Graphique 8" descr="Badge à suivre avec un remplissage uni">
          <a:extLst>
            <a:ext uri="{FF2B5EF4-FFF2-40B4-BE49-F238E27FC236}">
              <a16:creationId xmlns:a16="http://schemas.microsoft.com/office/drawing/2014/main" id="{00000000-0008-0000-0000-0000A9000000}"/>
            </a:ext>
          </a:extLst>
        </xdr:cNvPr>
        <xdr:cNvSpPr>
          <a:spLocks noChangeAspect="1"/>
        </xdr:cNvSpPr>
      </xdr:nvSpPr>
      <xdr:spPr>
        <a:xfrm>
          <a:off x="5019675" y="6624670"/>
          <a:ext cx="253575" cy="253732"/>
        </a:xfrm>
        <a:custGeom>
          <a:avLst/>
          <a:gdLst>
            <a:gd name="connsiteX0" fmla="*/ 361750 w 723499"/>
            <a:gd name="connsiteY0" fmla="*/ 0 h 723500"/>
            <a:gd name="connsiteX1" fmla="*/ 0 w 723499"/>
            <a:gd name="connsiteY1" fmla="*/ 361750 h 723500"/>
            <a:gd name="connsiteX2" fmla="*/ 361750 w 723499"/>
            <a:gd name="connsiteY2" fmla="*/ 723500 h 723500"/>
            <a:gd name="connsiteX3" fmla="*/ 723500 w 723499"/>
            <a:gd name="connsiteY3" fmla="*/ 361750 h 723500"/>
            <a:gd name="connsiteX4" fmla="*/ 723500 w 723499"/>
            <a:gd name="connsiteY4" fmla="*/ 361712 h 723500"/>
            <a:gd name="connsiteX5" fmla="*/ 362036 w 723499"/>
            <a:gd name="connsiteY5" fmla="*/ 0 h 723500"/>
            <a:gd name="connsiteX6" fmla="*/ 361750 w 723499"/>
            <a:gd name="connsiteY6" fmla="*/ 0 h 723500"/>
            <a:gd name="connsiteX7" fmla="*/ 539096 w 723499"/>
            <a:gd name="connsiteY7" fmla="*/ 393954 h 723500"/>
            <a:gd name="connsiteX8" fmla="*/ 393954 w 723499"/>
            <a:gd name="connsiteY8" fmla="*/ 393954 h 723500"/>
            <a:gd name="connsiteX9" fmla="*/ 393954 w 723499"/>
            <a:gd name="connsiteY9" fmla="*/ 539058 h 723500"/>
            <a:gd name="connsiteX10" fmla="*/ 329546 w 723499"/>
            <a:gd name="connsiteY10" fmla="*/ 539058 h 723500"/>
            <a:gd name="connsiteX11" fmla="*/ 329546 w 723499"/>
            <a:gd name="connsiteY11" fmla="*/ 393916 h 723500"/>
            <a:gd name="connsiteX12" fmla="*/ 184404 w 723499"/>
            <a:gd name="connsiteY12" fmla="*/ 393916 h 723500"/>
            <a:gd name="connsiteX13" fmla="*/ 184404 w 723499"/>
            <a:gd name="connsiteY13" fmla="*/ 329508 h 723500"/>
            <a:gd name="connsiteX14" fmla="*/ 329546 w 723499"/>
            <a:gd name="connsiteY14" fmla="*/ 329508 h 723500"/>
            <a:gd name="connsiteX15" fmla="*/ 329546 w 723499"/>
            <a:gd name="connsiteY15" fmla="*/ 184366 h 723500"/>
            <a:gd name="connsiteX16" fmla="*/ 393954 w 723499"/>
            <a:gd name="connsiteY16" fmla="*/ 184366 h 723500"/>
            <a:gd name="connsiteX17" fmla="*/ 393954 w 723499"/>
            <a:gd name="connsiteY17" fmla="*/ 329508 h 723500"/>
            <a:gd name="connsiteX18" fmla="*/ 539096 w 723499"/>
            <a:gd name="connsiteY18" fmla="*/ 329508 h 7235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Lst>
          <a:rect l="l" t="t" r="r" b="b"/>
          <a:pathLst>
            <a:path w="723499" h="723500">
              <a:moveTo>
                <a:pt x="361750" y="0"/>
              </a:moveTo>
              <a:cubicBezTo>
                <a:pt x="161961" y="0"/>
                <a:pt x="0" y="161961"/>
                <a:pt x="0" y="361750"/>
              </a:cubicBezTo>
              <a:cubicBezTo>
                <a:pt x="0" y="561539"/>
                <a:pt x="161961" y="723500"/>
                <a:pt x="361750" y="723500"/>
              </a:cubicBezTo>
              <a:cubicBezTo>
                <a:pt x="561539" y="723500"/>
                <a:pt x="723500" y="561539"/>
                <a:pt x="723500" y="361750"/>
              </a:cubicBezTo>
              <a:cubicBezTo>
                <a:pt x="723500" y="361738"/>
                <a:pt x="723500" y="361724"/>
                <a:pt x="723500" y="361712"/>
              </a:cubicBezTo>
              <a:cubicBezTo>
                <a:pt x="723569" y="162013"/>
                <a:pt x="561735" y="69"/>
                <a:pt x="362036" y="0"/>
              </a:cubicBezTo>
              <a:cubicBezTo>
                <a:pt x="361940" y="0"/>
                <a:pt x="361845" y="0"/>
                <a:pt x="361750" y="0"/>
              </a:cubicBezTo>
              <a:close/>
              <a:moveTo>
                <a:pt x="539096" y="393954"/>
              </a:moveTo>
              <a:lnTo>
                <a:pt x="393954" y="393954"/>
              </a:lnTo>
              <a:lnTo>
                <a:pt x="393954" y="539058"/>
              </a:lnTo>
              <a:lnTo>
                <a:pt x="329546" y="539058"/>
              </a:lnTo>
              <a:lnTo>
                <a:pt x="329546" y="393916"/>
              </a:lnTo>
              <a:lnTo>
                <a:pt x="184404" y="393916"/>
              </a:lnTo>
              <a:lnTo>
                <a:pt x="184404" y="329508"/>
              </a:lnTo>
              <a:lnTo>
                <a:pt x="329546" y="329508"/>
              </a:lnTo>
              <a:lnTo>
                <a:pt x="329546" y="184366"/>
              </a:lnTo>
              <a:lnTo>
                <a:pt x="393954" y="184366"/>
              </a:lnTo>
              <a:lnTo>
                <a:pt x="393954" y="329508"/>
              </a:lnTo>
              <a:lnTo>
                <a:pt x="539096" y="329508"/>
              </a:lnTo>
              <a:close/>
            </a:path>
          </a:pathLst>
        </a:custGeom>
        <a:solidFill>
          <a:sysClr val="window" lastClr="FFFFFF"/>
        </a:solidFill>
        <a:ln w="9525" cap="flat">
          <a:solidFill>
            <a:srgbClr val="00B050"/>
          </a:solidFill>
          <a:prstDash val="solid"/>
          <a:miter/>
        </a:ln>
      </xdr:spPr>
      <xdr:txBody>
        <a:bodyPr rtlCol="0" anchor="ctr"/>
        <a:lstStyle/>
        <a:p>
          <a:endParaRPr lang="en-CA"/>
        </a:p>
      </xdr:txBody>
    </xdr:sp>
    <xdr:clientData fPrintsWithSheet="0"/>
  </xdr:oneCellAnchor>
  <xdr:oneCellAnchor>
    <xdr:from>
      <xdr:col>2</xdr:col>
      <xdr:colOff>0</xdr:colOff>
      <xdr:row>368</xdr:row>
      <xdr:rowOff>81375</xdr:rowOff>
    </xdr:from>
    <xdr:ext cx="1758525" cy="252000"/>
    <xdr:sp macro="[0]!Ajouter_40" textlink="">
      <xdr:nvSpPr>
        <xdr:cNvPr id="170" name="Rectangle : coins arrondis 169">
          <a:extLst>
            <a:ext uri="{FF2B5EF4-FFF2-40B4-BE49-F238E27FC236}">
              <a16:creationId xmlns:a16="http://schemas.microsoft.com/office/drawing/2014/main" id="{00000000-0008-0000-0000-0000AA000000}"/>
            </a:ext>
          </a:extLst>
        </xdr:cNvPr>
        <xdr:cNvSpPr/>
      </xdr:nvSpPr>
      <xdr:spPr>
        <a:xfrm>
          <a:off x="3514725" y="6625050"/>
          <a:ext cx="1758525" cy="252000"/>
        </a:xfrm>
        <a:prstGeom prst="roundRect">
          <a:avLst>
            <a:gd name="adj" fmla="val 50000"/>
          </a:avLst>
        </a:prstGeom>
        <a:solidFill>
          <a:srgbClr val="00B050"/>
        </a:solidFill>
        <a:ln>
          <a:solidFill>
            <a:schemeClr val="bg1"/>
          </a:solidFill>
        </a:ln>
      </xdr:spPr>
      <xdr:style>
        <a:lnRef idx="0">
          <a:scrgbClr r="0" g="0" b="0"/>
        </a:lnRef>
        <a:fillRef idx="0">
          <a:scrgbClr r="0" g="0" b="0"/>
        </a:fillRef>
        <a:effectRef idx="0">
          <a:scrgbClr r="0" g="0" b="0"/>
        </a:effectRef>
        <a:fontRef idx="minor">
          <a:schemeClr val="lt1"/>
        </a:fontRef>
      </xdr:style>
      <xdr:txBody>
        <a:bodyPr vertOverflow="clip" horzOverflow="clip" rtlCol="0" anchor="ctr"/>
        <a:lstStyle/>
        <a:p>
          <a:pPr algn="l"/>
          <a:r>
            <a:rPr lang="en-CA" sz="1000" b="1">
              <a:latin typeface="Arial" panose="020B0604020202020204" pitchFamily="34" charset="0"/>
              <a:cs typeface="Arial" panose="020B0604020202020204" pitchFamily="34" charset="0"/>
            </a:rPr>
            <a:t>AJOUTER UN ITEM</a:t>
          </a:r>
        </a:p>
      </xdr:txBody>
    </xdr:sp>
    <xdr:clientData fPrintsWithSheet="0"/>
  </xdr:oneCellAnchor>
  <xdr:oneCellAnchor>
    <xdr:from>
      <xdr:col>4</xdr:col>
      <xdr:colOff>0</xdr:colOff>
      <xdr:row>368</xdr:row>
      <xdr:rowOff>80995</xdr:rowOff>
    </xdr:from>
    <xdr:ext cx="253575" cy="253732"/>
    <xdr:sp macro="[0]!Ajouter_40" textlink="">
      <xdr:nvSpPr>
        <xdr:cNvPr id="171" name="Graphique 8" descr="Badge à suivre avec un remplissage uni">
          <a:extLst>
            <a:ext uri="{FF2B5EF4-FFF2-40B4-BE49-F238E27FC236}">
              <a16:creationId xmlns:a16="http://schemas.microsoft.com/office/drawing/2014/main" id="{00000000-0008-0000-0000-0000AB000000}"/>
            </a:ext>
          </a:extLst>
        </xdr:cNvPr>
        <xdr:cNvSpPr>
          <a:spLocks noChangeAspect="1"/>
        </xdr:cNvSpPr>
      </xdr:nvSpPr>
      <xdr:spPr>
        <a:xfrm>
          <a:off x="5019675" y="6624670"/>
          <a:ext cx="253575" cy="253732"/>
        </a:xfrm>
        <a:custGeom>
          <a:avLst/>
          <a:gdLst>
            <a:gd name="connsiteX0" fmla="*/ 361750 w 723499"/>
            <a:gd name="connsiteY0" fmla="*/ 0 h 723500"/>
            <a:gd name="connsiteX1" fmla="*/ 0 w 723499"/>
            <a:gd name="connsiteY1" fmla="*/ 361750 h 723500"/>
            <a:gd name="connsiteX2" fmla="*/ 361750 w 723499"/>
            <a:gd name="connsiteY2" fmla="*/ 723500 h 723500"/>
            <a:gd name="connsiteX3" fmla="*/ 723500 w 723499"/>
            <a:gd name="connsiteY3" fmla="*/ 361750 h 723500"/>
            <a:gd name="connsiteX4" fmla="*/ 723500 w 723499"/>
            <a:gd name="connsiteY4" fmla="*/ 361712 h 723500"/>
            <a:gd name="connsiteX5" fmla="*/ 362036 w 723499"/>
            <a:gd name="connsiteY5" fmla="*/ 0 h 723500"/>
            <a:gd name="connsiteX6" fmla="*/ 361750 w 723499"/>
            <a:gd name="connsiteY6" fmla="*/ 0 h 723500"/>
            <a:gd name="connsiteX7" fmla="*/ 539096 w 723499"/>
            <a:gd name="connsiteY7" fmla="*/ 393954 h 723500"/>
            <a:gd name="connsiteX8" fmla="*/ 393954 w 723499"/>
            <a:gd name="connsiteY8" fmla="*/ 393954 h 723500"/>
            <a:gd name="connsiteX9" fmla="*/ 393954 w 723499"/>
            <a:gd name="connsiteY9" fmla="*/ 539058 h 723500"/>
            <a:gd name="connsiteX10" fmla="*/ 329546 w 723499"/>
            <a:gd name="connsiteY10" fmla="*/ 539058 h 723500"/>
            <a:gd name="connsiteX11" fmla="*/ 329546 w 723499"/>
            <a:gd name="connsiteY11" fmla="*/ 393916 h 723500"/>
            <a:gd name="connsiteX12" fmla="*/ 184404 w 723499"/>
            <a:gd name="connsiteY12" fmla="*/ 393916 h 723500"/>
            <a:gd name="connsiteX13" fmla="*/ 184404 w 723499"/>
            <a:gd name="connsiteY13" fmla="*/ 329508 h 723500"/>
            <a:gd name="connsiteX14" fmla="*/ 329546 w 723499"/>
            <a:gd name="connsiteY14" fmla="*/ 329508 h 723500"/>
            <a:gd name="connsiteX15" fmla="*/ 329546 w 723499"/>
            <a:gd name="connsiteY15" fmla="*/ 184366 h 723500"/>
            <a:gd name="connsiteX16" fmla="*/ 393954 w 723499"/>
            <a:gd name="connsiteY16" fmla="*/ 184366 h 723500"/>
            <a:gd name="connsiteX17" fmla="*/ 393954 w 723499"/>
            <a:gd name="connsiteY17" fmla="*/ 329508 h 723500"/>
            <a:gd name="connsiteX18" fmla="*/ 539096 w 723499"/>
            <a:gd name="connsiteY18" fmla="*/ 329508 h 7235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Lst>
          <a:rect l="l" t="t" r="r" b="b"/>
          <a:pathLst>
            <a:path w="723499" h="723500">
              <a:moveTo>
                <a:pt x="361750" y="0"/>
              </a:moveTo>
              <a:cubicBezTo>
                <a:pt x="161961" y="0"/>
                <a:pt x="0" y="161961"/>
                <a:pt x="0" y="361750"/>
              </a:cubicBezTo>
              <a:cubicBezTo>
                <a:pt x="0" y="561539"/>
                <a:pt x="161961" y="723500"/>
                <a:pt x="361750" y="723500"/>
              </a:cubicBezTo>
              <a:cubicBezTo>
                <a:pt x="561539" y="723500"/>
                <a:pt x="723500" y="561539"/>
                <a:pt x="723500" y="361750"/>
              </a:cubicBezTo>
              <a:cubicBezTo>
                <a:pt x="723500" y="361738"/>
                <a:pt x="723500" y="361724"/>
                <a:pt x="723500" y="361712"/>
              </a:cubicBezTo>
              <a:cubicBezTo>
                <a:pt x="723569" y="162013"/>
                <a:pt x="561735" y="69"/>
                <a:pt x="362036" y="0"/>
              </a:cubicBezTo>
              <a:cubicBezTo>
                <a:pt x="361940" y="0"/>
                <a:pt x="361845" y="0"/>
                <a:pt x="361750" y="0"/>
              </a:cubicBezTo>
              <a:close/>
              <a:moveTo>
                <a:pt x="539096" y="393954"/>
              </a:moveTo>
              <a:lnTo>
                <a:pt x="393954" y="393954"/>
              </a:lnTo>
              <a:lnTo>
                <a:pt x="393954" y="539058"/>
              </a:lnTo>
              <a:lnTo>
                <a:pt x="329546" y="539058"/>
              </a:lnTo>
              <a:lnTo>
                <a:pt x="329546" y="393916"/>
              </a:lnTo>
              <a:lnTo>
                <a:pt x="184404" y="393916"/>
              </a:lnTo>
              <a:lnTo>
                <a:pt x="184404" y="329508"/>
              </a:lnTo>
              <a:lnTo>
                <a:pt x="329546" y="329508"/>
              </a:lnTo>
              <a:lnTo>
                <a:pt x="329546" y="184366"/>
              </a:lnTo>
              <a:lnTo>
                <a:pt x="393954" y="184366"/>
              </a:lnTo>
              <a:lnTo>
                <a:pt x="393954" y="329508"/>
              </a:lnTo>
              <a:lnTo>
                <a:pt x="539096" y="329508"/>
              </a:lnTo>
              <a:close/>
            </a:path>
          </a:pathLst>
        </a:custGeom>
        <a:solidFill>
          <a:sysClr val="window" lastClr="FFFFFF"/>
        </a:solidFill>
        <a:ln w="9525" cap="flat">
          <a:solidFill>
            <a:srgbClr val="00B050"/>
          </a:solidFill>
          <a:prstDash val="solid"/>
          <a:miter/>
        </a:ln>
      </xdr:spPr>
      <xdr:txBody>
        <a:bodyPr rtlCol="0" anchor="ctr"/>
        <a:lstStyle/>
        <a:p>
          <a:endParaRPr lang="en-CA"/>
        </a:p>
      </xdr:txBody>
    </xdr:sp>
    <xdr:clientData fPrintsWithSheet="0"/>
  </xdr:oneCellAnchor>
  <xdr:oneCellAnchor>
    <xdr:from>
      <xdr:col>2</xdr:col>
      <xdr:colOff>0</xdr:colOff>
      <xdr:row>375</xdr:row>
      <xdr:rowOff>81375</xdr:rowOff>
    </xdr:from>
    <xdr:ext cx="1758525" cy="252000"/>
    <xdr:sp macro="[0]!Ajouter_41" textlink="">
      <xdr:nvSpPr>
        <xdr:cNvPr id="172" name="Rectangle : coins arrondis 171">
          <a:extLst>
            <a:ext uri="{FF2B5EF4-FFF2-40B4-BE49-F238E27FC236}">
              <a16:creationId xmlns:a16="http://schemas.microsoft.com/office/drawing/2014/main" id="{00000000-0008-0000-0000-0000AC000000}"/>
            </a:ext>
          </a:extLst>
        </xdr:cNvPr>
        <xdr:cNvSpPr/>
      </xdr:nvSpPr>
      <xdr:spPr>
        <a:xfrm>
          <a:off x="3514725" y="6625050"/>
          <a:ext cx="1758525" cy="252000"/>
        </a:xfrm>
        <a:prstGeom prst="roundRect">
          <a:avLst>
            <a:gd name="adj" fmla="val 50000"/>
          </a:avLst>
        </a:prstGeom>
        <a:solidFill>
          <a:srgbClr val="00B050"/>
        </a:solidFill>
        <a:ln>
          <a:solidFill>
            <a:schemeClr val="bg1"/>
          </a:solidFill>
        </a:ln>
      </xdr:spPr>
      <xdr:style>
        <a:lnRef idx="0">
          <a:scrgbClr r="0" g="0" b="0"/>
        </a:lnRef>
        <a:fillRef idx="0">
          <a:scrgbClr r="0" g="0" b="0"/>
        </a:fillRef>
        <a:effectRef idx="0">
          <a:scrgbClr r="0" g="0" b="0"/>
        </a:effectRef>
        <a:fontRef idx="minor">
          <a:schemeClr val="lt1"/>
        </a:fontRef>
      </xdr:style>
      <xdr:txBody>
        <a:bodyPr vertOverflow="clip" horzOverflow="clip" rtlCol="0" anchor="ctr"/>
        <a:lstStyle/>
        <a:p>
          <a:pPr algn="l"/>
          <a:r>
            <a:rPr lang="en-CA" sz="1000" b="1">
              <a:latin typeface="Arial" panose="020B0604020202020204" pitchFamily="34" charset="0"/>
              <a:cs typeface="Arial" panose="020B0604020202020204" pitchFamily="34" charset="0"/>
            </a:rPr>
            <a:t>AJOUTER UN ITEM</a:t>
          </a:r>
        </a:p>
      </xdr:txBody>
    </xdr:sp>
    <xdr:clientData fPrintsWithSheet="0"/>
  </xdr:oneCellAnchor>
  <xdr:oneCellAnchor>
    <xdr:from>
      <xdr:col>4</xdr:col>
      <xdr:colOff>0</xdr:colOff>
      <xdr:row>375</xdr:row>
      <xdr:rowOff>80995</xdr:rowOff>
    </xdr:from>
    <xdr:ext cx="253575" cy="253732"/>
    <xdr:sp macro="[0]!Ajouter_41" textlink="">
      <xdr:nvSpPr>
        <xdr:cNvPr id="173" name="Graphique 8" descr="Badge à suivre avec un remplissage uni">
          <a:extLst>
            <a:ext uri="{FF2B5EF4-FFF2-40B4-BE49-F238E27FC236}">
              <a16:creationId xmlns:a16="http://schemas.microsoft.com/office/drawing/2014/main" id="{00000000-0008-0000-0000-0000AD000000}"/>
            </a:ext>
          </a:extLst>
        </xdr:cNvPr>
        <xdr:cNvSpPr>
          <a:spLocks noChangeAspect="1"/>
        </xdr:cNvSpPr>
      </xdr:nvSpPr>
      <xdr:spPr>
        <a:xfrm>
          <a:off x="5019675" y="6624670"/>
          <a:ext cx="253575" cy="253732"/>
        </a:xfrm>
        <a:custGeom>
          <a:avLst/>
          <a:gdLst>
            <a:gd name="connsiteX0" fmla="*/ 361750 w 723499"/>
            <a:gd name="connsiteY0" fmla="*/ 0 h 723500"/>
            <a:gd name="connsiteX1" fmla="*/ 0 w 723499"/>
            <a:gd name="connsiteY1" fmla="*/ 361750 h 723500"/>
            <a:gd name="connsiteX2" fmla="*/ 361750 w 723499"/>
            <a:gd name="connsiteY2" fmla="*/ 723500 h 723500"/>
            <a:gd name="connsiteX3" fmla="*/ 723500 w 723499"/>
            <a:gd name="connsiteY3" fmla="*/ 361750 h 723500"/>
            <a:gd name="connsiteX4" fmla="*/ 723500 w 723499"/>
            <a:gd name="connsiteY4" fmla="*/ 361712 h 723500"/>
            <a:gd name="connsiteX5" fmla="*/ 362036 w 723499"/>
            <a:gd name="connsiteY5" fmla="*/ 0 h 723500"/>
            <a:gd name="connsiteX6" fmla="*/ 361750 w 723499"/>
            <a:gd name="connsiteY6" fmla="*/ 0 h 723500"/>
            <a:gd name="connsiteX7" fmla="*/ 539096 w 723499"/>
            <a:gd name="connsiteY7" fmla="*/ 393954 h 723500"/>
            <a:gd name="connsiteX8" fmla="*/ 393954 w 723499"/>
            <a:gd name="connsiteY8" fmla="*/ 393954 h 723500"/>
            <a:gd name="connsiteX9" fmla="*/ 393954 w 723499"/>
            <a:gd name="connsiteY9" fmla="*/ 539058 h 723500"/>
            <a:gd name="connsiteX10" fmla="*/ 329546 w 723499"/>
            <a:gd name="connsiteY10" fmla="*/ 539058 h 723500"/>
            <a:gd name="connsiteX11" fmla="*/ 329546 w 723499"/>
            <a:gd name="connsiteY11" fmla="*/ 393916 h 723500"/>
            <a:gd name="connsiteX12" fmla="*/ 184404 w 723499"/>
            <a:gd name="connsiteY12" fmla="*/ 393916 h 723500"/>
            <a:gd name="connsiteX13" fmla="*/ 184404 w 723499"/>
            <a:gd name="connsiteY13" fmla="*/ 329508 h 723500"/>
            <a:gd name="connsiteX14" fmla="*/ 329546 w 723499"/>
            <a:gd name="connsiteY14" fmla="*/ 329508 h 723500"/>
            <a:gd name="connsiteX15" fmla="*/ 329546 w 723499"/>
            <a:gd name="connsiteY15" fmla="*/ 184366 h 723500"/>
            <a:gd name="connsiteX16" fmla="*/ 393954 w 723499"/>
            <a:gd name="connsiteY16" fmla="*/ 184366 h 723500"/>
            <a:gd name="connsiteX17" fmla="*/ 393954 w 723499"/>
            <a:gd name="connsiteY17" fmla="*/ 329508 h 723500"/>
            <a:gd name="connsiteX18" fmla="*/ 539096 w 723499"/>
            <a:gd name="connsiteY18" fmla="*/ 329508 h 7235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Lst>
          <a:rect l="l" t="t" r="r" b="b"/>
          <a:pathLst>
            <a:path w="723499" h="723500">
              <a:moveTo>
                <a:pt x="361750" y="0"/>
              </a:moveTo>
              <a:cubicBezTo>
                <a:pt x="161961" y="0"/>
                <a:pt x="0" y="161961"/>
                <a:pt x="0" y="361750"/>
              </a:cubicBezTo>
              <a:cubicBezTo>
                <a:pt x="0" y="561539"/>
                <a:pt x="161961" y="723500"/>
                <a:pt x="361750" y="723500"/>
              </a:cubicBezTo>
              <a:cubicBezTo>
                <a:pt x="561539" y="723500"/>
                <a:pt x="723500" y="561539"/>
                <a:pt x="723500" y="361750"/>
              </a:cubicBezTo>
              <a:cubicBezTo>
                <a:pt x="723500" y="361738"/>
                <a:pt x="723500" y="361724"/>
                <a:pt x="723500" y="361712"/>
              </a:cubicBezTo>
              <a:cubicBezTo>
                <a:pt x="723569" y="162013"/>
                <a:pt x="561735" y="69"/>
                <a:pt x="362036" y="0"/>
              </a:cubicBezTo>
              <a:cubicBezTo>
                <a:pt x="361940" y="0"/>
                <a:pt x="361845" y="0"/>
                <a:pt x="361750" y="0"/>
              </a:cubicBezTo>
              <a:close/>
              <a:moveTo>
                <a:pt x="539096" y="393954"/>
              </a:moveTo>
              <a:lnTo>
                <a:pt x="393954" y="393954"/>
              </a:lnTo>
              <a:lnTo>
                <a:pt x="393954" y="539058"/>
              </a:lnTo>
              <a:lnTo>
                <a:pt x="329546" y="539058"/>
              </a:lnTo>
              <a:lnTo>
                <a:pt x="329546" y="393916"/>
              </a:lnTo>
              <a:lnTo>
                <a:pt x="184404" y="393916"/>
              </a:lnTo>
              <a:lnTo>
                <a:pt x="184404" y="329508"/>
              </a:lnTo>
              <a:lnTo>
                <a:pt x="329546" y="329508"/>
              </a:lnTo>
              <a:lnTo>
                <a:pt x="329546" y="184366"/>
              </a:lnTo>
              <a:lnTo>
                <a:pt x="393954" y="184366"/>
              </a:lnTo>
              <a:lnTo>
                <a:pt x="393954" y="329508"/>
              </a:lnTo>
              <a:lnTo>
                <a:pt x="539096" y="329508"/>
              </a:lnTo>
              <a:close/>
            </a:path>
          </a:pathLst>
        </a:custGeom>
        <a:solidFill>
          <a:sysClr val="window" lastClr="FFFFFF"/>
        </a:solidFill>
        <a:ln w="9525" cap="flat">
          <a:solidFill>
            <a:srgbClr val="00B050"/>
          </a:solidFill>
          <a:prstDash val="solid"/>
          <a:miter/>
        </a:ln>
      </xdr:spPr>
      <xdr:txBody>
        <a:bodyPr rtlCol="0" anchor="ctr"/>
        <a:lstStyle/>
        <a:p>
          <a:endParaRPr lang="en-CA"/>
        </a:p>
      </xdr:txBody>
    </xdr:sp>
    <xdr:clientData fPrintsWithSheet="0"/>
  </xdr:oneCellAnchor>
  <xdr:twoCellAnchor editAs="absolute">
    <xdr:from>
      <xdr:col>11</xdr:col>
      <xdr:colOff>447804</xdr:colOff>
      <xdr:row>3</xdr:row>
      <xdr:rowOff>146990</xdr:rowOff>
    </xdr:from>
    <xdr:to>
      <xdr:col>11</xdr:col>
      <xdr:colOff>483804</xdr:colOff>
      <xdr:row>5</xdr:row>
      <xdr:rowOff>156665</xdr:rowOff>
    </xdr:to>
    <xdr:sp macro="[0]!OuvreFormulaireCT" textlink="">
      <xdr:nvSpPr>
        <xdr:cNvPr id="9" name="Forme libre : forme 8">
          <a:extLst>
            <a:ext uri="{FF2B5EF4-FFF2-40B4-BE49-F238E27FC236}">
              <a16:creationId xmlns:a16="http://schemas.microsoft.com/office/drawing/2014/main" id="{4B82698D-BF89-47BD-A752-941873EF9495}"/>
            </a:ext>
          </a:extLst>
        </xdr:cNvPr>
        <xdr:cNvSpPr>
          <a:spLocks/>
        </xdr:cNvSpPr>
      </xdr:nvSpPr>
      <xdr:spPr>
        <a:xfrm>
          <a:off x="12125454" y="632765"/>
          <a:ext cx="36000" cy="324000"/>
        </a:xfrm>
        <a:custGeom>
          <a:avLst/>
          <a:gdLst>
            <a:gd name="connsiteX0" fmla="*/ 0 w 24075"/>
            <a:gd name="connsiteY0" fmla="*/ 0 h 320197"/>
            <a:gd name="connsiteX1" fmla="*/ 24075 w 24075"/>
            <a:gd name="connsiteY1" fmla="*/ 0 h 320197"/>
            <a:gd name="connsiteX2" fmla="*/ 24075 w 24075"/>
            <a:gd name="connsiteY2" fmla="*/ 320198 h 320197"/>
            <a:gd name="connsiteX3" fmla="*/ 0 w 24075"/>
            <a:gd name="connsiteY3" fmla="*/ 320198 h 320197"/>
          </a:gdLst>
          <a:ahLst/>
          <a:cxnLst>
            <a:cxn ang="0">
              <a:pos x="connsiteX0" y="connsiteY0"/>
            </a:cxn>
            <a:cxn ang="0">
              <a:pos x="connsiteX1" y="connsiteY1"/>
            </a:cxn>
            <a:cxn ang="0">
              <a:pos x="connsiteX2" y="connsiteY2"/>
            </a:cxn>
            <a:cxn ang="0">
              <a:pos x="connsiteX3" y="connsiteY3"/>
            </a:cxn>
          </a:cxnLst>
          <a:rect l="l" t="t" r="r" b="b"/>
          <a:pathLst>
            <a:path w="24075" h="320197">
              <a:moveTo>
                <a:pt x="0" y="0"/>
              </a:moveTo>
              <a:lnTo>
                <a:pt x="24075" y="0"/>
              </a:lnTo>
              <a:lnTo>
                <a:pt x="24075" y="320198"/>
              </a:lnTo>
              <a:lnTo>
                <a:pt x="0" y="320198"/>
              </a:lnTo>
              <a:close/>
            </a:path>
          </a:pathLst>
        </a:custGeom>
        <a:solidFill>
          <a:schemeClr val="accent3"/>
        </a:solidFill>
        <a:ln w="3969" cap="flat">
          <a:noFill/>
          <a:prstDash val="solid"/>
          <a:miter/>
        </a:ln>
      </xdr:spPr>
      <xdr:txBody>
        <a:bodyPr rtlCol="0" anchor="ctr"/>
        <a:lstStyle/>
        <a:p>
          <a:endParaRPr lang="en-CA"/>
        </a:p>
      </xdr:txBody>
    </xdr:sp>
    <xdr:clientData fPrintsWithSheet="0"/>
  </xdr:twoCellAnchor>
  <xdr:twoCellAnchor editAs="absolute">
    <xdr:from>
      <xdr:col>11</xdr:col>
      <xdr:colOff>515807</xdr:colOff>
      <xdr:row>3</xdr:row>
      <xdr:rowOff>146188</xdr:rowOff>
    </xdr:from>
    <xdr:to>
      <xdr:col>11</xdr:col>
      <xdr:colOff>767807</xdr:colOff>
      <xdr:row>5</xdr:row>
      <xdr:rowOff>155863</xdr:rowOff>
    </xdr:to>
    <xdr:sp macro="[0]!OuvreFormulaireCT" textlink="">
      <xdr:nvSpPr>
        <xdr:cNvPr id="12" name="Forme libre : forme 11">
          <a:extLst>
            <a:ext uri="{FF2B5EF4-FFF2-40B4-BE49-F238E27FC236}">
              <a16:creationId xmlns:a16="http://schemas.microsoft.com/office/drawing/2014/main" id="{5DAF8F8A-5A78-442C-8176-7610EED1FAF4}"/>
            </a:ext>
          </a:extLst>
        </xdr:cNvPr>
        <xdr:cNvSpPr>
          <a:spLocks/>
        </xdr:cNvSpPr>
      </xdr:nvSpPr>
      <xdr:spPr>
        <a:xfrm>
          <a:off x="12193457" y="631963"/>
          <a:ext cx="252000" cy="324000"/>
        </a:xfrm>
        <a:custGeom>
          <a:avLst/>
          <a:gdLst>
            <a:gd name="connsiteX0" fmla="*/ 148463 w 184575"/>
            <a:gd name="connsiteY0" fmla="*/ 120375 h 321000"/>
            <a:gd name="connsiteX1" fmla="*/ 36113 w 184575"/>
            <a:gd name="connsiteY1" fmla="*/ 120375 h 321000"/>
            <a:gd name="connsiteX2" fmla="*/ 36113 w 184575"/>
            <a:gd name="connsiteY2" fmla="*/ 96300 h 321000"/>
            <a:gd name="connsiteX3" fmla="*/ 148463 w 184575"/>
            <a:gd name="connsiteY3" fmla="*/ 96300 h 321000"/>
            <a:gd name="connsiteX4" fmla="*/ 148463 w 184575"/>
            <a:gd name="connsiteY4" fmla="*/ 120375 h 321000"/>
            <a:gd name="connsiteX5" fmla="*/ 124388 w 184575"/>
            <a:gd name="connsiteY5" fmla="*/ 160500 h 321000"/>
            <a:gd name="connsiteX6" fmla="*/ 62194 w 184575"/>
            <a:gd name="connsiteY6" fmla="*/ 160500 h 321000"/>
            <a:gd name="connsiteX7" fmla="*/ 62194 w 184575"/>
            <a:gd name="connsiteY7" fmla="*/ 144450 h 321000"/>
            <a:gd name="connsiteX8" fmla="*/ 124388 w 184575"/>
            <a:gd name="connsiteY8" fmla="*/ 144450 h 321000"/>
            <a:gd name="connsiteX9" fmla="*/ 124388 w 184575"/>
            <a:gd name="connsiteY9" fmla="*/ 160500 h 321000"/>
            <a:gd name="connsiteX10" fmla="*/ 168525 w 184575"/>
            <a:gd name="connsiteY10" fmla="*/ 0 h 321000"/>
            <a:gd name="connsiteX11" fmla="*/ 0 w 184575"/>
            <a:gd name="connsiteY11" fmla="*/ 802 h 321000"/>
            <a:gd name="connsiteX12" fmla="*/ 0 w 184575"/>
            <a:gd name="connsiteY12" fmla="*/ 321000 h 321000"/>
            <a:gd name="connsiteX13" fmla="*/ 168525 w 184575"/>
            <a:gd name="connsiteY13" fmla="*/ 321000 h 321000"/>
            <a:gd name="connsiteX14" fmla="*/ 184575 w 184575"/>
            <a:gd name="connsiteY14" fmla="*/ 304950 h 321000"/>
            <a:gd name="connsiteX15" fmla="*/ 184575 w 184575"/>
            <a:gd name="connsiteY15" fmla="*/ 16050 h 321000"/>
            <a:gd name="connsiteX16" fmla="*/ 168525 w 184575"/>
            <a:gd name="connsiteY16" fmla="*/ 0 h 3210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Lst>
          <a:rect l="l" t="t" r="r" b="b"/>
          <a:pathLst>
            <a:path w="184575" h="321000">
              <a:moveTo>
                <a:pt x="148463" y="120375"/>
              </a:moveTo>
              <a:lnTo>
                <a:pt x="36113" y="120375"/>
              </a:lnTo>
              <a:lnTo>
                <a:pt x="36113" y="96300"/>
              </a:lnTo>
              <a:lnTo>
                <a:pt x="148463" y="96300"/>
              </a:lnTo>
              <a:lnTo>
                <a:pt x="148463" y="120375"/>
              </a:lnTo>
              <a:close/>
              <a:moveTo>
                <a:pt x="124388" y="160500"/>
              </a:moveTo>
              <a:lnTo>
                <a:pt x="62194" y="160500"/>
              </a:lnTo>
              <a:lnTo>
                <a:pt x="62194" y="144450"/>
              </a:lnTo>
              <a:lnTo>
                <a:pt x="124388" y="144450"/>
              </a:lnTo>
              <a:lnTo>
                <a:pt x="124388" y="160500"/>
              </a:lnTo>
              <a:close/>
              <a:moveTo>
                <a:pt x="168525" y="0"/>
              </a:moveTo>
              <a:lnTo>
                <a:pt x="0" y="802"/>
              </a:lnTo>
              <a:lnTo>
                <a:pt x="0" y="321000"/>
              </a:lnTo>
              <a:lnTo>
                <a:pt x="168525" y="321000"/>
              </a:lnTo>
              <a:cubicBezTo>
                <a:pt x="177352" y="321000"/>
                <a:pt x="184575" y="313778"/>
                <a:pt x="184575" y="304950"/>
              </a:cubicBezTo>
              <a:lnTo>
                <a:pt x="184575" y="16050"/>
              </a:lnTo>
              <a:cubicBezTo>
                <a:pt x="184575" y="7223"/>
                <a:pt x="177352" y="0"/>
                <a:pt x="168525" y="0"/>
              </a:cubicBezTo>
              <a:close/>
            </a:path>
          </a:pathLst>
        </a:custGeom>
        <a:solidFill>
          <a:schemeClr val="accent3"/>
        </a:solidFill>
        <a:ln w="3969" cap="flat">
          <a:noFill/>
          <a:prstDash val="solid"/>
          <a:miter/>
        </a:ln>
      </xdr:spPr>
      <xdr:txBody>
        <a:bodyPr rtlCol="0" anchor="ctr"/>
        <a:lstStyle/>
        <a:p>
          <a:endParaRPr lang="en-CA"/>
        </a:p>
      </xdr:txBody>
    </xdr:sp>
    <xdr:clientData fPrintsWithSheet="0"/>
  </xdr:twoCellAnchor>
  <xdr:twoCellAnchor editAs="absolute">
    <xdr:from>
      <xdr:col>8</xdr:col>
      <xdr:colOff>334843</xdr:colOff>
      <xdr:row>4</xdr:row>
      <xdr:rowOff>58</xdr:rowOff>
    </xdr:from>
    <xdr:to>
      <xdr:col>10</xdr:col>
      <xdr:colOff>324118</xdr:colOff>
      <xdr:row>6</xdr:row>
      <xdr:rowOff>208</xdr:rowOff>
    </xdr:to>
    <xdr:sp macro="[0]!Enregristrerpdf_CHANTIER" textlink="">
      <xdr:nvSpPr>
        <xdr:cNvPr id="91" name="Rectangle : coins arrondis 90">
          <a:extLst>
            <a:ext uri="{FF2B5EF4-FFF2-40B4-BE49-F238E27FC236}">
              <a16:creationId xmlns:a16="http://schemas.microsoft.com/office/drawing/2014/main" id="{4F92A4FC-9D21-4C19-89B3-BFA150A83F05}"/>
            </a:ext>
          </a:extLst>
        </xdr:cNvPr>
        <xdr:cNvSpPr>
          <a:spLocks/>
        </xdr:cNvSpPr>
      </xdr:nvSpPr>
      <xdr:spPr>
        <a:xfrm>
          <a:off x="8831143" y="638233"/>
          <a:ext cx="1980000" cy="324000"/>
        </a:xfrm>
        <a:prstGeom prst="roundRect">
          <a:avLst>
            <a:gd name="adj" fmla="val 50000"/>
          </a:avLst>
        </a:prstGeom>
        <a:solidFill>
          <a:schemeClr val="accent5"/>
        </a:solidFill>
        <a:ln>
          <a:noFill/>
        </a:ln>
      </xdr:spPr>
      <xdr:style>
        <a:lnRef idx="2">
          <a:schemeClr val="accent4">
            <a:shade val="50000"/>
          </a:schemeClr>
        </a:lnRef>
        <a:fillRef idx="1">
          <a:schemeClr val="accent4"/>
        </a:fillRef>
        <a:effectRef idx="0">
          <a:schemeClr val="accent4"/>
        </a:effectRef>
        <a:fontRef idx="minor">
          <a:schemeClr val="lt1"/>
        </a:fontRef>
      </xdr:style>
      <xdr:txBody>
        <a:bodyPr vertOverflow="clip" horzOverflow="clip" rtlCol="0" anchor="ctr"/>
        <a:lstStyle/>
        <a:p>
          <a:pPr algn="r"/>
          <a:r>
            <a:rPr lang="en-CA" sz="1000" b="1">
              <a:solidFill>
                <a:schemeClr val="bg1"/>
              </a:solidFill>
              <a:latin typeface="Arial" panose="020B0604020202020204" pitchFamily="34" charset="0"/>
              <a:cs typeface="Arial" panose="020B0604020202020204" pitchFamily="34" charset="0"/>
            </a:rPr>
            <a:t>TAKE-OFF</a:t>
          </a:r>
          <a:r>
            <a:rPr lang="en-CA" sz="1000" b="1" baseline="0">
              <a:solidFill>
                <a:schemeClr val="bg1"/>
              </a:solidFill>
              <a:latin typeface="Arial" panose="020B0604020202020204" pitchFamily="34" charset="0"/>
              <a:cs typeface="Arial" panose="020B0604020202020204" pitchFamily="34" charset="0"/>
            </a:rPr>
            <a:t> PROJET</a:t>
          </a:r>
          <a:endParaRPr lang="en-CA" sz="1000" b="1">
            <a:latin typeface="Arial" panose="020B0604020202020204" pitchFamily="34" charset="0"/>
            <a:cs typeface="Arial" panose="020B0604020202020204" pitchFamily="34" charset="0"/>
          </a:endParaRPr>
        </a:p>
      </xdr:txBody>
    </xdr:sp>
    <xdr:clientData fPrintsWithSheet="0"/>
  </xdr:twoCellAnchor>
  <xdr:twoCellAnchor editAs="absolute">
    <xdr:from>
      <xdr:col>8</xdr:col>
      <xdr:colOff>411599</xdr:colOff>
      <xdr:row>4</xdr:row>
      <xdr:rowOff>0</xdr:rowOff>
    </xdr:from>
    <xdr:to>
      <xdr:col>8</xdr:col>
      <xdr:colOff>731935</xdr:colOff>
      <xdr:row>6</xdr:row>
      <xdr:rowOff>150</xdr:rowOff>
    </xdr:to>
    <xdr:pic macro="[0]!Enregristrerpdf_CHANTIER">
      <xdr:nvPicPr>
        <xdr:cNvPr id="92" name="Graphique 91" descr="Télécharger à partir du cloud">
          <a:extLst>
            <a:ext uri="{FF2B5EF4-FFF2-40B4-BE49-F238E27FC236}">
              <a16:creationId xmlns:a16="http://schemas.microsoft.com/office/drawing/2014/main" id="{D8BC7382-43CF-48B4-82FA-B82DDBE8C796}"/>
            </a:ext>
          </a:extLst>
        </xdr:cNvPr>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 uri="{96DAC541-7B7A-43D3-8B79-37D633B846F1}">
              <asvg:svgBlip xmlns:asvg="http://schemas.microsoft.com/office/drawing/2016/SVG/main" r:embed="rId4"/>
            </a:ext>
          </a:extLst>
        </a:blip>
        <a:stretch>
          <a:fillRect/>
        </a:stretch>
      </xdr:blipFill>
      <xdr:spPr>
        <a:xfrm>
          <a:off x="8907899" y="638175"/>
          <a:ext cx="320336" cy="324000"/>
        </a:xfrm>
        <a:prstGeom prst="rect">
          <a:avLst/>
        </a:prstGeom>
      </xdr:spPr>
    </xdr:pic>
    <xdr:clientData fPrintsWithSheet="0"/>
  </xdr:twoCellAnchor>
  <xdr:twoCellAnchor editAs="absolute">
    <xdr:from>
      <xdr:col>10</xdr:col>
      <xdr:colOff>400575</xdr:colOff>
      <xdr:row>4</xdr:row>
      <xdr:rowOff>0</xdr:rowOff>
    </xdr:from>
    <xdr:to>
      <xdr:col>11</xdr:col>
      <xdr:colOff>361950</xdr:colOff>
      <xdr:row>6</xdr:row>
      <xdr:rowOff>150</xdr:rowOff>
    </xdr:to>
    <xdr:sp macro="[0]!Supprimer_All" textlink="">
      <xdr:nvSpPr>
        <xdr:cNvPr id="174" name="Rectangle : coins arrondis 173">
          <a:extLst>
            <a:ext uri="{FF2B5EF4-FFF2-40B4-BE49-F238E27FC236}">
              <a16:creationId xmlns:a16="http://schemas.microsoft.com/office/drawing/2014/main" id="{38496EE4-BE20-40AF-A6BF-ECC3B6DDEFD7}"/>
            </a:ext>
          </a:extLst>
        </xdr:cNvPr>
        <xdr:cNvSpPr>
          <a:spLocks/>
        </xdr:cNvSpPr>
      </xdr:nvSpPr>
      <xdr:spPr>
        <a:xfrm>
          <a:off x="10887600" y="638175"/>
          <a:ext cx="1152000" cy="324000"/>
        </a:xfrm>
        <a:prstGeom prst="roundRect">
          <a:avLst>
            <a:gd name="adj" fmla="val 50000"/>
          </a:avLst>
        </a:prstGeom>
        <a:solidFill>
          <a:schemeClr val="accent4"/>
        </a:solidFill>
        <a:ln>
          <a:noFill/>
        </a:ln>
      </xdr:spPr>
      <xdr:style>
        <a:lnRef idx="2">
          <a:schemeClr val="accent4">
            <a:shade val="50000"/>
          </a:schemeClr>
        </a:lnRef>
        <a:fillRef idx="1">
          <a:schemeClr val="accent4"/>
        </a:fillRef>
        <a:effectRef idx="0">
          <a:schemeClr val="accent4"/>
        </a:effectRef>
        <a:fontRef idx="minor">
          <a:schemeClr val="lt1"/>
        </a:fontRef>
      </xdr:style>
      <xdr:txBody>
        <a:bodyPr vertOverflow="clip" horzOverflow="clip" rtlCol="0" anchor="ctr"/>
        <a:lstStyle/>
        <a:p>
          <a:pPr algn="r"/>
          <a:r>
            <a:rPr lang="en-CA" sz="1000" b="1">
              <a:latin typeface="Arial" panose="020B0604020202020204" pitchFamily="34" charset="0"/>
              <a:cs typeface="Arial" panose="020B0604020202020204" pitchFamily="34" charset="0"/>
            </a:rPr>
            <a:t>ESPACES</a:t>
          </a:r>
        </a:p>
      </xdr:txBody>
    </xdr:sp>
    <xdr:clientData fPrintsWithSheet="0"/>
  </xdr:twoCellAnchor>
  <xdr:twoCellAnchor editAs="absolute">
    <xdr:from>
      <xdr:col>10</xdr:col>
      <xdr:colOff>402957</xdr:colOff>
      <xdr:row>4</xdr:row>
      <xdr:rowOff>2233</xdr:rowOff>
    </xdr:from>
    <xdr:to>
      <xdr:col>10</xdr:col>
      <xdr:colOff>726956</xdr:colOff>
      <xdr:row>6</xdr:row>
      <xdr:rowOff>2383</xdr:rowOff>
    </xdr:to>
    <xdr:sp macro="[0]!Supprimer_All" textlink="">
      <xdr:nvSpPr>
        <xdr:cNvPr id="4" name="Graphique 2" descr="Badge à ne plus suivre avec un remplissage uni">
          <a:extLst>
            <a:ext uri="{FF2B5EF4-FFF2-40B4-BE49-F238E27FC236}">
              <a16:creationId xmlns:a16="http://schemas.microsoft.com/office/drawing/2014/main" id="{5980705C-489D-46D5-A810-2E4ACCD89621}"/>
            </a:ext>
          </a:extLst>
        </xdr:cNvPr>
        <xdr:cNvSpPr>
          <a:spLocks noChangeAspect="1"/>
        </xdr:cNvSpPr>
      </xdr:nvSpPr>
      <xdr:spPr>
        <a:xfrm>
          <a:off x="10889982" y="640408"/>
          <a:ext cx="323999" cy="324000"/>
        </a:xfrm>
        <a:custGeom>
          <a:avLst/>
          <a:gdLst>
            <a:gd name="connsiteX0" fmla="*/ 361750 w 723499"/>
            <a:gd name="connsiteY0" fmla="*/ 0 h 723499"/>
            <a:gd name="connsiteX1" fmla="*/ 0 w 723499"/>
            <a:gd name="connsiteY1" fmla="*/ 361750 h 723499"/>
            <a:gd name="connsiteX2" fmla="*/ 361750 w 723499"/>
            <a:gd name="connsiteY2" fmla="*/ 723500 h 723499"/>
            <a:gd name="connsiteX3" fmla="*/ 723500 w 723499"/>
            <a:gd name="connsiteY3" fmla="*/ 361750 h 723499"/>
            <a:gd name="connsiteX4" fmla="*/ 723500 w 723499"/>
            <a:gd name="connsiteY4" fmla="*/ 361721 h 723499"/>
            <a:gd name="connsiteX5" fmla="*/ 362026 w 723499"/>
            <a:gd name="connsiteY5" fmla="*/ 0 h 723499"/>
            <a:gd name="connsiteX6" fmla="*/ 361750 w 723499"/>
            <a:gd name="connsiteY6" fmla="*/ 0 h 723499"/>
            <a:gd name="connsiteX7" fmla="*/ 529571 w 723499"/>
            <a:gd name="connsiteY7" fmla="*/ 393954 h 723499"/>
            <a:gd name="connsiteX8" fmla="*/ 193929 w 723499"/>
            <a:gd name="connsiteY8" fmla="*/ 393954 h 723499"/>
            <a:gd name="connsiteX9" fmla="*/ 193929 w 723499"/>
            <a:gd name="connsiteY9" fmla="*/ 329565 h 723499"/>
            <a:gd name="connsiteX10" fmla="*/ 529571 w 723499"/>
            <a:gd name="connsiteY10" fmla="*/ 329565 h 723499"/>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Lst>
          <a:rect l="l" t="t" r="r" b="b"/>
          <a:pathLst>
            <a:path w="723499" h="723499">
              <a:moveTo>
                <a:pt x="361750" y="0"/>
              </a:moveTo>
              <a:cubicBezTo>
                <a:pt x="161961" y="0"/>
                <a:pt x="0" y="161961"/>
                <a:pt x="0" y="361750"/>
              </a:cubicBezTo>
              <a:cubicBezTo>
                <a:pt x="0" y="561539"/>
                <a:pt x="161961" y="723500"/>
                <a:pt x="361750" y="723500"/>
              </a:cubicBezTo>
              <a:cubicBezTo>
                <a:pt x="561539" y="723500"/>
                <a:pt x="723500" y="561539"/>
                <a:pt x="723500" y="361750"/>
              </a:cubicBezTo>
              <a:cubicBezTo>
                <a:pt x="723500" y="361740"/>
                <a:pt x="723500" y="361731"/>
                <a:pt x="723500" y="361721"/>
              </a:cubicBezTo>
              <a:cubicBezTo>
                <a:pt x="723569" y="162016"/>
                <a:pt x="561731" y="69"/>
                <a:pt x="362026" y="0"/>
              </a:cubicBezTo>
              <a:cubicBezTo>
                <a:pt x="361934" y="0"/>
                <a:pt x="361842" y="0"/>
                <a:pt x="361750" y="0"/>
              </a:cubicBezTo>
              <a:close/>
              <a:moveTo>
                <a:pt x="529571" y="393954"/>
              </a:moveTo>
              <a:lnTo>
                <a:pt x="193929" y="393954"/>
              </a:lnTo>
              <a:lnTo>
                <a:pt x="193929" y="329565"/>
              </a:lnTo>
              <a:lnTo>
                <a:pt x="529571" y="329565"/>
              </a:lnTo>
              <a:close/>
            </a:path>
          </a:pathLst>
        </a:custGeom>
        <a:solidFill>
          <a:schemeClr val="bg1"/>
        </a:solidFill>
        <a:ln w="9525" cap="flat">
          <a:solidFill>
            <a:schemeClr val="accent4"/>
          </a:solidFill>
          <a:prstDash val="solid"/>
          <a:miter/>
        </a:ln>
      </xdr:spPr>
      <xdr:txBody>
        <a:bodyPr rtlCol="0" anchor="ctr"/>
        <a:lstStyle/>
        <a:p>
          <a:endParaRPr lang="en-CA"/>
        </a:p>
      </xdr:txBody>
    </xdr:sp>
    <xdr:clientData fPrintsWithSheet="0"/>
  </xdr:twoCellAnchor>
</xdr:wsDr>
</file>

<file path=xl/drawings/drawing2.xml><?xml version="1.0" encoding="utf-8"?>
<xdr:wsDr xmlns:xdr="http://schemas.openxmlformats.org/drawingml/2006/spreadsheetDrawing" xmlns:a="http://schemas.openxmlformats.org/drawingml/2006/main">
  <xdr:twoCellAnchor editAs="absolute">
    <xdr:from>
      <xdr:col>1</xdr:col>
      <xdr:colOff>1601400</xdr:colOff>
      <xdr:row>3</xdr:row>
      <xdr:rowOff>152250</xdr:rowOff>
    </xdr:from>
    <xdr:to>
      <xdr:col>3</xdr:col>
      <xdr:colOff>446700</xdr:colOff>
      <xdr:row>6</xdr:row>
      <xdr:rowOff>0</xdr:rowOff>
    </xdr:to>
    <xdr:sp macro="[0]!Enregristrerpdf_CLIENT" textlink="">
      <xdr:nvSpPr>
        <xdr:cNvPr id="2" name="Rectangle : coins arrondis 1">
          <a:extLst>
            <a:ext uri="{FF2B5EF4-FFF2-40B4-BE49-F238E27FC236}">
              <a16:creationId xmlns:a16="http://schemas.microsoft.com/office/drawing/2014/main" id="{576E2142-ACA7-4A5C-BCB5-D1B7A7025490}"/>
            </a:ext>
          </a:extLst>
        </xdr:cNvPr>
        <xdr:cNvSpPr>
          <a:spLocks/>
        </xdr:cNvSpPr>
      </xdr:nvSpPr>
      <xdr:spPr>
        <a:xfrm>
          <a:off x="2582475" y="638025"/>
          <a:ext cx="2160000" cy="324000"/>
        </a:xfrm>
        <a:prstGeom prst="roundRect">
          <a:avLst>
            <a:gd name="adj" fmla="val 50000"/>
          </a:avLst>
        </a:prstGeom>
        <a:solidFill>
          <a:schemeClr val="accent5"/>
        </a:solidFill>
        <a:ln>
          <a:noFill/>
        </a:ln>
      </xdr:spPr>
      <xdr:style>
        <a:lnRef idx="2">
          <a:schemeClr val="accent4">
            <a:shade val="50000"/>
          </a:schemeClr>
        </a:lnRef>
        <a:fillRef idx="1">
          <a:schemeClr val="accent4"/>
        </a:fillRef>
        <a:effectRef idx="0">
          <a:schemeClr val="accent4"/>
        </a:effectRef>
        <a:fontRef idx="minor">
          <a:schemeClr val="lt1"/>
        </a:fontRef>
      </xdr:style>
      <xdr:txBody>
        <a:bodyPr vertOverflow="clip" horzOverflow="clip" rtlCol="0" anchor="ctr"/>
        <a:lstStyle/>
        <a:p>
          <a:pPr algn="r"/>
          <a:r>
            <a:rPr lang="en-CA" sz="1000" b="1">
              <a:solidFill>
                <a:schemeClr val="bg1"/>
              </a:solidFill>
              <a:latin typeface="Arial" panose="020B0604020202020204" pitchFamily="34" charset="0"/>
              <a:cs typeface="Arial" panose="020B0604020202020204" pitchFamily="34" charset="0"/>
            </a:rPr>
            <a:t>SOUMISSION</a:t>
          </a:r>
          <a:r>
            <a:rPr lang="en-CA" sz="1000" b="1" baseline="0">
              <a:solidFill>
                <a:schemeClr val="bg1"/>
              </a:solidFill>
              <a:latin typeface="Arial" panose="020B0604020202020204" pitchFamily="34" charset="0"/>
              <a:cs typeface="Arial" panose="020B0604020202020204" pitchFamily="34" charset="0"/>
            </a:rPr>
            <a:t> CLIENT</a:t>
          </a:r>
          <a:endParaRPr lang="en-CA" sz="1000" b="1">
            <a:latin typeface="Arial" panose="020B0604020202020204" pitchFamily="34" charset="0"/>
            <a:cs typeface="Arial" panose="020B0604020202020204" pitchFamily="34" charset="0"/>
          </a:endParaRPr>
        </a:p>
      </xdr:txBody>
    </xdr:sp>
    <xdr:clientData fPrintsWithSheet="0"/>
  </xdr:twoCellAnchor>
  <xdr:twoCellAnchor editAs="absolute">
    <xdr:from>
      <xdr:col>1</xdr:col>
      <xdr:colOff>1678156</xdr:colOff>
      <xdr:row>3</xdr:row>
      <xdr:rowOff>152192</xdr:rowOff>
    </xdr:from>
    <xdr:to>
      <xdr:col>1</xdr:col>
      <xdr:colOff>1998492</xdr:colOff>
      <xdr:row>5</xdr:row>
      <xdr:rowOff>161867</xdr:rowOff>
    </xdr:to>
    <xdr:pic macro="[0]!Enregristrerpdf_CLIENT">
      <xdr:nvPicPr>
        <xdr:cNvPr id="3" name="Graphique 2" descr="Télécharger à partir du cloud">
          <a:extLst>
            <a:ext uri="{FF2B5EF4-FFF2-40B4-BE49-F238E27FC236}">
              <a16:creationId xmlns:a16="http://schemas.microsoft.com/office/drawing/2014/main" id="{1C29FEDD-A514-4680-B2EF-8A77914D462C}"/>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 uri="{96DAC541-7B7A-43D3-8B79-37D633B846F1}">
              <asvg:svgBlip xmlns:asvg="http://schemas.microsoft.com/office/drawing/2016/SVG/main" r:embed="rId2"/>
            </a:ext>
          </a:extLst>
        </a:blip>
        <a:stretch>
          <a:fillRect/>
        </a:stretch>
      </xdr:blipFill>
      <xdr:spPr>
        <a:xfrm>
          <a:off x="2659231" y="637967"/>
          <a:ext cx="320336" cy="324000"/>
        </a:xfrm>
        <a:prstGeom prst="rect">
          <a:avLst/>
        </a:prstGeom>
      </xdr:spPr>
    </xdr:pic>
    <xdr:clientData fPrintsWithSheet="0"/>
  </xdr:twoCellAnchor>
</xdr:wsDr>
</file>

<file path=xl/externalLinks/_rels/externalLink1.xml.rels><?xml version="1.0" encoding="UTF-8" standalone="yes"?>
<Relationships xmlns="http://schemas.openxmlformats.org/package/2006/relationships"><Relationship Id="rId1" Type="http://schemas.microsoft.com/office/2006/relationships/xlExternalLinkPath/xlPathMissing" Target="REGISTRE%20|%20SOUS-TRAITANT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GISTRE | SOUS-TRAITANTS"/>
    </sheetNames>
    <sheetDataSet>
      <sheetData sheetId="0" refreshError="1"/>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1" xr:uid="{5FE14F89-B817-43D5-AB0A-D294755D2717}" name="TO_4" displayName="TO_4" ref="A114:L116" totalsRowCount="1" headerRowDxfId="597" headerRowBorderDxfId="596" tableBorderDxfId="595" headerRowCellStyle="Titre TB" totalsRowCellStyle="Normal $T 2">
  <autoFilter ref="A114:L115" xr:uid="{8197FBC4-00B8-4BBF-9846-12341443E5CB}"/>
  <tableColumns count="12">
    <tableColumn id="1" xr3:uid="{504CD3BA-67D5-443B-921C-C0C0DFFF568A}" name="ID" totalsRowDxfId="594"/>
    <tableColumn id="2" xr3:uid="{2182E871-5A5F-4E25-9FA3-6B064C34DC38}" name="Description" totalsRowDxfId="593" dataCellStyle="Normal TB TO"/>
    <tableColumn id="3" xr3:uid="{0FCB0256-255B-44C5-B8FD-B9E82E79AB8A}" name="Catégorie" totalsRowDxfId="592" dataCellStyle="Normal CT TO"/>
    <tableColumn id="4" xr3:uid="{B20BEFA6-EDC0-4F63-952B-6B5B5E20BCCC}" name="Quantité" totalsRowDxfId="591" dataCellStyle="Normal NB TO"/>
    <tableColumn id="11" xr3:uid="{C2CABD8B-B6D4-4F56-9FCD-0F7693F8BB98}" name="Unité" totalsRowDxfId="590" dataCellStyle="Normal CT TO"/>
    <tableColumn id="5" xr3:uid="{26681455-1512-4A25-8A1E-8CE588557154}" name="Coût | Unitaire" totalsRowLabel="Sous-total" dataDxfId="589" totalsRowDxfId="588" dataCellStyle="Normal $ TO"/>
    <tableColumn id="6" xr3:uid="{19B09B21-9226-4B28-B966-FE59AAE95AC2}" name="Total | Budgétaire" totalsRowFunction="sum" totalsRowDxfId="587" dataCellStyle="Normal $ TO V">
      <calculatedColumnFormula>IF(OR(TO_4[[#This Row],[Catégorie]]="",TO_4[[#This Row],[Catégorie]]="-"),"",ROUNDUP(TO_4[[#This Row],[Quantité]]*TO_4[[#This Row],[Coût | Unitaire]],2))</calculatedColumnFormula>
    </tableColumn>
    <tableColumn id="16" xr3:uid="{974C9691-8762-4F9D-943B-6C06FCEA5243}" name="Addenda" totalsRowDxfId="586" dataCellStyle="Normal CT TO"/>
    <tableColumn id="7" xr3:uid="{6D31E876-FA9C-4EE6-9E1A-01377C282A03}" name="Quantité R." totalsRowDxfId="585" dataCellStyle="Normal NB TO"/>
    <tableColumn id="8" xr3:uid="{83439F69-1729-4CFA-88B3-EC5A380D7048}" name="Coût | Unitaire R." totalsRowLabel="Sous-total" dataDxfId="584" totalsRowDxfId="583" dataCellStyle="Normal $ TO"/>
    <tableColumn id="9" xr3:uid="{C9AA3C7F-617B-4C07-8B3E-3DABAF7E0346}" name="Total | Réel" totalsRowFunction="sum" totalsRowDxfId="582" dataCellStyle="Normal $ TO V">
      <calculatedColumnFormula>IF(OR(TO_4[[#This Row],[Total | Budgétaire]]="",TO_4[[#This Row],[Quantité R.]]=""),IF(TO_4[[#This Row],[Quantité R.]]&gt;0,ROUNDUP(TO_4[[#This Row],[Quantité R.]]*TO_4[[#This Row],[Coût | Unitaire R.]],2),""),ROUNDUP(TO_4[[#This Row],[Quantité R.]]*TO_4[[#This Row],[Coût | Unitaire R.]],2))</calculatedColumnFormula>
    </tableColumn>
    <tableColumn id="10" xr3:uid="{25D4E6D2-3066-4A00-97ED-B2427F7610EB}" name="Résultat" totalsRowFunction="sum" totalsRowDxfId="581" dataCellStyle="Normal $ V">
      <calculatedColumnFormula>IFERROR(IF(TO_4[[#This Row],[Total | Réel]]="",0-TO_4[[#This Row],[Total | Budgétaire]],IF(TO_4[[#This Row],[Total | Budgétaire]]="",TO_4[[#This Row],[Total | Réel]],TO_4[[#This Row],[Total | Réel]]-TO_4[[#This Row],[Total | Budgétaire]])),"")</calculatedColumnFormula>
    </tableColumn>
  </tableColumns>
  <tableStyleInfo showFirstColumn="0" showLastColumn="0" showRowStripes="0"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347FF0CC-55ED-4403-AAFD-D0EB93B358AD}" name="TO_5" displayName="TO_5" ref="A121:L123" totalsRowCount="1" headerRowDxfId="580" headerRowBorderDxfId="579" tableBorderDxfId="578" totalsRowBorderDxfId="577" headerRowCellStyle="Titre TB">
  <autoFilter ref="A121:L122" xr:uid="{F933E208-45DB-4190-90E6-5844CEEE7AD5}"/>
  <tableColumns count="12">
    <tableColumn id="1" xr3:uid="{0B312861-A099-4085-B0A6-287ABDB3A780}" name="ID" totalsRowDxfId="576" dataCellStyle="Normal CT TO"/>
    <tableColumn id="2" xr3:uid="{8C12FF46-BAD1-4AEE-8300-2D3E130AA228}" name="Description" totalsRowDxfId="575" dataCellStyle="Normal TB TO"/>
    <tableColumn id="3" xr3:uid="{2A1FB804-23FA-4177-8717-560462E8F701}" name="Catégorie" totalsRowDxfId="574" dataCellStyle="Normal CT TO"/>
    <tableColumn id="4" xr3:uid="{AFD6E58D-A8B4-40E9-800E-9457B8B3C63C}" name="Quantité" totalsRowDxfId="573" dataCellStyle="Normal NB TO"/>
    <tableColumn id="11" xr3:uid="{354911BF-6221-44A6-9F3B-ECF6E184F872}" name="Unité" totalsRowDxfId="572" dataCellStyle="Normal CT TO"/>
    <tableColumn id="5" xr3:uid="{1E5ABE98-1462-48C0-A8B6-5E28471F5B69}" name="Coût | Unitaire" totalsRowLabel="Sous-total" dataDxfId="571" totalsRowDxfId="570" dataCellStyle="Normal $ TO"/>
    <tableColumn id="6" xr3:uid="{B8931A67-8E5B-4ACC-B95B-2B01A3BA7427}" name="Total | Budgétaire" totalsRowFunction="sum" totalsRowDxfId="569" dataCellStyle="Normal $ TO V">
      <calculatedColumnFormula>IF(OR(TO_5[[#This Row],[Catégorie]]="",TO_5[[#This Row],[Catégorie]]="-"),"",ROUNDUP(TO_5[[#This Row],[Quantité]]*TO_5[[#This Row],[Coût | Unitaire]],2))</calculatedColumnFormula>
    </tableColumn>
    <tableColumn id="16" xr3:uid="{7A4BE3CD-8833-44FE-A28E-BB2EF644D66A}" name="Addenda" totalsRowDxfId="568" dataCellStyle="Normal CT TO"/>
    <tableColumn id="7" xr3:uid="{F9CD13C4-4EBE-436F-81E7-A1BA2CAC77EB}" name="Quantité R." totalsRowDxfId="567" dataCellStyle="Normal NB TO"/>
    <tableColumn id="8" xr3:uid="{29422A34-E4FB-4CC9-812C-4EFB1191673C}" name="Coût | Unitaire R." totalsRowLabel="Sous-total" dataDxfId="566" totalsRowDxfId="565" dataCellStyle="Normal $ TO"/>
    <tableColumn id="9" xr3:uid="{F554DDE9-ECFA-4AAB-B9B0-CA12552B923C}" name="Total | Réel" totalsRowFunction="sum" totalsRowDxfId="564" dataCellStyle="Normal $ TO V">
      <calculatedColumnFormula>IF(OR(TO_5[[#This Row],[Total | Budgétaire]]="",TO_5[[#This Row],[Quantité R.]]=""),IF(TO_5[[#This Row],[Quantité R.]]&gt;0,ROUNDUP(TO_5[[#This Row],[Quantité R.]]*TO_5[[#This Row],[Coût | Unitaire R.]],2),""),ROUNDUP(TO_5[[#This Row],[Quantité R.]]*TO_5[[#This Row],[Coût | Unitaire R.]],2))</calculatedColumnFormula>
    </tableColumn>
    <tableColumn id="10" xr3:uid="{BD48C97E-2F95-4CF3-BBC5-49B4A24B78C6}" name="Résultat" totalsRowFunction="custom" totalsRowDxfId="563" dataCellStyle="Normal $ V">
      <calculatedColumnFormula>IFERROR(IF(TO_5[[#This Row],[Total | Réel]]="",0-TO_5[[#This Row],[Total | Budgétaire]],IF(TO_5[[#This Row],[Total | Budgétaire]]="",TO_5[[#This Row],[Total | Réel]],TO_5[[#This Row],[Total | Réel]]-TO_5[[#This Row],[Total | Budgétaire]])),"")</calculatedColumnFormula>
      <totalsRowFormula>SUBTOTAL(109,TO_7[Résultat])</totalsRowFormula>
    </tableColumn>
  </tableColumns>
  <tableStyleInfo showFirstColumn="0" showLastColumn="0" showRowStripes="0"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3" xr:uid="{541E4001-6172-4EF8-9A6E-54AADC4E33A5}" name="TO_6" displayName="TO_6" ref="A128:L130" totalsRowCount="1" headerRowDxfId="562" headerRowBorderDxfId="561" tableBorderDxfId="560" headerRowCellStyle="Titre TB" totalsRowCellStyle="Normal $T 2">
  <autoFilter ref="A128:L129" xr:uid="{BA4C065C-CF42-4E03-9685-8E49BCA47A0C}"/>
  <tableColumns count="12">
    <tableColumn id="1" xr3:uid="{E89B449A-57C0-43AC-927A-5EC4809AF90A}" name="ID" totalsRowDxfId="559"/>
    <tableColumn id="2" xr3:uid="{8BC20A26-93B5-4E8E-957E-A7AA99AD03B1}" name="Description" totalsRowDxfId="558" dataCellStyle="Normal TB TO"/>
    <tableColumn id="3" xr3:uid="{81C3B401-5085-4C47-A577-00442E0820F4}" name="Catégorie" totalsRowDxfId="557" dataCellStyle="Normal CT TO"/>
    <tableColumn id="4" xr3:uid="{C44CAEFF-6415-4DA1-A22A-0DDEB867311C}" name="Quantité" totalsRowDxfId="556" dataCellStyle="Normal NB TO"/>
    <tableColumn id="11" xr3:uid="{FF2C01B3-C80B-4192-B094-B8F1BBC1AFB6}" name="Unité" totalsRowDxfId="555" dataCellStyle="Normal CT TO"/>
    <tableColumn id="5" xr3:uid="{870A9238-0F4A-4190-9803-9F386F0F6B5E}" name="Coût | Unitaire" totalsRowLabel="Sous-total" dataDxfId="554" totalsRowDxfId="553" dataCellStyle="Normal $ TO"/>
    <tableColumn id="6" xr3:uid="{2DB60530-5358-4C2E-8429-FEF7019E1400}" name="Total | Budgétaire" totalsRowFunction="sum" totalsRowDxfId="552" dataCellStyle="Normal $ TO V">
      <calculatedColumnFormula>IF(OR(TO_6[[#This Row],[Catégorie]]="",TO_6[[#This Row],[Catégorie]]="-"),"",ROUNDUP(TO_6[[#This Row],[Quantité]]*TO_6[[#This Row],[Coût | Unitaire]],2))</calculatedColumnFormula>
    </tableColumn>
    <tableColumn id="16" xr3:uid="{DACC8018-1CEB-4A76-B47A-AD837B83D40F}" name="Addenda" totalsRowDxfId="551" dataCellStyle="Normal CT TO"/>
    <tableColumn id="7" xr3:uid="{05EB5B8A-7134-4AA3-9297-D4AA771C57D7}" name="Quantité R." totalsRowDxfId="550" dataCellStyle="Normal NB TO"/>
    <tableColumn id="8" xr3:uid="{B324B548-DED7-4111-8608-E007B91B0CFE}" name="Coût | Unitaire R." totalsRowLabel="Sous-total" dataDxfId="549" totalsRowDxfId="548" dataCellStyle="Normal $ TO"/>
    <tableColumn id="9" xr3:uid="{B41F9505-9852-47E2-9EB1-B930DB6F9C6A}" name="Total | Réel" totalsRowFunction="sum" totalsRowDxfId="547" dataCellStyle="Normal $ TO V">
      <calculatedColumnFormula>IF(OR(TO_6[[#This Row],[Total | Budgétaire]]="",TO_6[[#This Row],[Quantité R.]]=""),IF(TO_6[[#This Row],[Quantité R.]]&gt;0,ROUNDUP(TO_6[[#This Row],[Quantité R.]]*TO_6[[#This Row],[Coût | Unitaire R.]],2),""),ROUNDUP(TO_6[[#This Row],[Quantité R.]]*TO_6[[#This Row],[Coût | Unitaire R.]],2))</calculatedColumnFormula>
    </tableColumn>
    <tableColumn id="10" xr3:uid="{33797045-D043-4FC2-951E-C81620CE031C}" name="Résultat" totalsRowFunction="sum" totalsRowDxfId="546" dataCellStyle="Normal $ V">
      <calculatedColumnFormula>IFERROR(IF(TO_6[[#This Row],[Total | Réel]]="",0-TO_6[[#This Row],[Total | Budgétaire]],IF(TO_6[[#This Row],[Total | Budgétaire]]="",TO_6[[#This Row],[Total | Réel]],TO_6[[#This Row],[Total | Réel]]-TO_6[[#This Row],[Total | Budgétaire]])),"")</calculatedColumnFormula>
    </tableColumn>
  </tableColumns>
  <tableStyleInfo showFirstColumn="0" showLastColumn="0" showRowStripes="0"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4" xr:uid="{981B67D8-261E-4557-A8F1-BC209AA0A4E6}" name="TO_7" displayName="TO_7" ref="A135:L137" totalsRowCount="1" headerRowDxfId="545" headerRowBorderDxfId="544" tableBorderDxfId="543" headerRowCellStyle="Titre TB" totalsRowCellStyle="Normal $T 2">
  <autoFilter ref="A135:L136" xr:uid="{5EA2BCBE-775B-44C1-8874-03DFD9024252}"/>
  <tableColumns count="12">
    <tableColumn id="1" xr3:uid="{266A1AB6-90FA-457A-8B14-73A28C36B0E5}" name="ID" totalsRowDxfId="542"/>
    <tableColumn id="2" xr3:uid="{C1DC5C62-DA00-4F9A-8851-EE377BA86415}" name="Description" totalsRowDxfId="541" dataCellStyle="Normal TB TO"/>
    <tableColumn id="3" xr3:uid="{B8FC7484-1E21-448F-90C0-06C28718DE7D}" name="Catégorie" totalsRowDxfId="540" dataCellStyle="Normal CT TO"/>
    <tableColumn id="4" xr3:uid="{523A7615-4BDC-4D2B-B37F-EB20C6FE7E8F}" name="Quantité" totalsRowDxfId="539" dataCellStyle="Normal NB TO"/>
    <tableColumn id="11" xr3:uid="{DBDBA713-2644-4E9D-86A6-6478E397935C}" name="Unité" totalsRowDxfId="538" dataCellStyle="Normal CT TO"/>
    <tableColumn id="5" xr3:uid="{EDB46737-5768-4F00-933B-066A151B4C28}" name="Coût | Unitaire" totalsRowLabel="Sous-total" dataDxfId="537" totalsRowDxfId="536" dataCellStyle="Normal $ TO"/>
    <tableColumn id="6" xr3:uid="{1C58848D-87E0-4C4E-9969-02E42B5895A2}" name="Total | Budgétaire" totalsRowFunction="sum" dataCellStyle="Normal $ TO V" totalsRowCellStyle="Normal $T 2">
      <calculatedColumnFormula>IF(OR(TO_7[[#This Row],[Catégorie]]="",TO_7[[#This Row],[Catégorie]]="-"),"",ROUNDUP(TO_7[[#This Row],[Quantité]]*TO_7[[#This Row],[Coût | Unitaire]],2))</calculatedColumnFormula>
    </tableColumn>
    <tableColumn id="16" xr3:uid="{2F92B8C2-B4B6-4A3E-B914-0A2F409FC3AD}" name="Addenda" totalsRowDxfId="535" dataCellStyle="Normal CT TO"/>
    <tableColumn id="7" xr3:uid="{3BD92F49-0A69-4E69-8B96-2135A1FCAE07}" name="Quantité R." totalsRowDxfId="534" dataCellStyle="Normal NB TO"/>
    <tableColumn id="8" xr3:uid="{54F1B8FF-0BC8-46C4-A8A7-C9A28894869D}" name="Coût | Unitaire R." totalsRowLabel="Sous-total" dataDxfId="533" totalsRowDxfId="532" dataCellStyle="Normal $ TO"/>
    <tableColumn id="9" xr3:uid="{26FCAD9F-A7AE-41D2-AAA3-D93954DF8A22}" name="Total | Réel" totalsRowFunction="sum" dataCellStyle="Normal $ TO V" totalsRowCellStyle="Normal $T 2">
      <calculatedColumnFormula>IF(OR(TO_7[[#This Row],[Total | Budgétaire]]="",TO_7[[#This Row],[Quantité R.]]=""),IF(TO_7[[#This Row],[Quantité R.]]&gt;0,ROUNDUP(TO_7[[#This Row],[Quantité R.]]*TO_7[[#This Row],[Coût | Unitaire R.]],2),""),ROUNDUP(TO_7[[#This Row],[Quantité R.]]*TO_7[[#This Row],[Coût | Unitaire R.]],2))</calculatedColumnFormula>
    </tableColumn>
    <tableColumn id="10" xr3:uid="{0C193A9F-7A7D-4902-A43A-5FB35CAFEA3C}" name="Résultat" totalsRowFunction="sum" dataCellStyle="Normal $ V" totalsRowCellStyle="Normal $T 2">
      <calculatedColumnFormula>IFERROR(IF(TO_7[[#This Row],[Total | Réel]]="",0-TO_7[[#This Row],[Total | Budgétaire]],IF(TO_7[[#This Row],[Total | Budgétaire]]="",TO_7[[#This Row],[Total | Réel]],TO_7[[#This Row],[Total | Réel]]-TO_7[[#This Row],[Total | Budgétaire]])),"")</calculatedColumnFormula>
    </tableColumn>
  </tableColumns>
  <tableStyleInfo showFirstColumn="0" showLastColumn="0" showRowStripes="0"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5" xr:uid="{047C4EE0-26AA-4397-A486-BD39B54DD9AE}" name="TO_8" displayName="TO_8" ref="A142:L144" totalsRowCount="1" headerRowDxfId="531" headerRowBorderDxfId="530" tableBorderDxfId="529" headerRowCellStyle="Titre TB" totalsRowCellStyle="Normal $T 2">
  <autoFilter ref="A142:L143" xr:uid="{069F8248-EA7E-4745-A4AE-31C9AE112787}"/>
  <tableColumns count="12">
    <tableColumn id="1" xr3:uid="{1FED0FB1-68A7-4BD1-A21F-A3D2F0C9DAB0}" name="ID" totalsRowDxfId="528"/>
    <tableColumn id="2" xr3:uid="{16BAA94D-BD44-468E-AC1F-206919043778}" name="Description" totalsRowDxfId="527" dataCellStyle="Normal TB TO"/>
    <tableColumn id="3" xr3:uid="{CD118F5E-7B21-4503-B1F5-8E9EDB8ED9F2}" name="Catégorie" totalsRowDxfId="526" dataCellStyle="Normal CT TO"/>
    <tableColumn id="4" xr3:uid="{B59472E6-4FFE-4AF7-A227-163D29FFFC14}" name="Quantité" totalsRowDxfId="525" dataCellStyle="Normal NB TO"/>
    <tableColumn id="11" xr3:uid="{0DDE3138-0308-489E-926A-5296B6664D71}" name="Unité" totalsRowDxfId="524" dataCellStyle="Normal CT TO"/>
    <tableColumn id="5" xr3:uid="{52D16158-0B47-4D95-B974-E19B8E4FBE37}" name="Coût | Unitaire" totalsRowLabel="Sous-total" dataDxfId="523" totalsRowDxfId="522" dataCellStyle="Normal $ TO"/>
    <tableColumn id="6" xr3:uid="{365CD35A-2EBE-47CB-B118-52BB9D06676C}" name="Total | Budgétaire" totalsRowFunction="sum" dataCellStyle="Normal $ TO V" totalsRowCellStyle="Normal $T 2">
      <calculatedColumnFormula>IF(OR(TO_8[[#This Row],[Catégorie]]="",TO_8[[#This Row],[Catégorie]]="-"),"",ROUNDUP(TO_8[[#This Row],[Quantité]]*TO_8[[#This Row],[Coût | Unitaire]],2))</calculatedColumnFormula>
    </tableColumn>
    <tableColumn id="16" xr3:uid="{05B51C52-561F-4917-A883-2E8E09DAC1FD}" name="Addenda" totalsRowDxfId="521" dataCellStyle="Normal CT TO"/>
    <tableColumn id="7" xr3:uid="{DCC35CA5-44FA-42FA-ACBD-7D383D72D86C}" name="Quantité R." totalsRowDxfId="520" dataCellStyle="Normal NB TO"/>
    <tableColumn id="8" xr3:uid="{781FF076-1255-4C9E-A1F4-D23C3E3AFC52}" name="Coût | Unitaire R." totalsRowLabel="Sous-total" dataDxfId="519" totalsRowDxfId="518" dataCellStyle="Normal $ TO"/>
    <tableColumn id="9" xr3:uid="{481C78B7-CD90-43E3-A3F3-B9A5F51039EE}" name="Total | Réel" totalsRowFunction="sum" dataCellStyle="Normal $ TO V" totalsRowCellStyle="Normal $T 2">
      <calculatedColumnFormula>IF(OR(TO_8[[#This Row],[Total | Budgétaire]]="",TO_8[[#This Row],[Quantité R.]]=""),IF(TO_8[[#This Row],[Quantité R.]]&gt;0,ROUNDUP(TO_8[[#This Row],[Quantité R.]]*TO_8[[#This Row],[Coût | Unitaire R.]],2),""),ROUNDUP(TO_8[[#This Row],[Quantité R.]]*TO_8[[#This Row],[Coût | Unitaire R.]],2))</calculatedColumnFormula>
    </tableColumn>
    <tableColumn id="10" xr3:uid="{5005F37A-EF8F-4B49-9EA9-50E558BBD6E6}" name="Résultat" totalsRowFunction="sum" dataCellStyle="Normal $ V" totalsRowCellStyle="Normal $T 2">
      <calculatedColumnFormula>IFERROR(IF(TO_8[[#This Row],[Total | Réel]]="",0-TO_8[[#This Row],[Total | Budgétaire]],IF(TO_8[[#This Row],[Total | Budgétaire]]="",TO_8[[#This Row],[Total | Réel]],TO_8[[#This Row],[Total | Réel]]-TO_8[[#This Row],[Total | Budgétaire]])),"")</calculatedColumnFormula>
    </tableColumn>
  </tableColumns>
  <tableStyleInfo showFirstColumn="0" showLastColumn="0" showRowStripes="0"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6" xr:uid="{76641788-7EDF-4EDF-BBE8-C94484E1FFB3}" name="TO_9" displayName="TO_9" ref="A149:L151" totalsRowCount="1" headerRowDxfId="517" headerRowBorderDxfId="516" tableBorderDxfId="515" headerRowCellStyle="Titre TB" totalsRowCellStyle="Normal $T 2">
  <autoFilter ref="A149:L150" xr:uid="{C7EE902B-912B-4911-8DAB-374D08199FC4}"/>
  <tableColumns count="12">
    <tableColumn id="1" xr3:uid="{63BC11EC-8317-49DA-8F5F-2AD7AB513C71}" name="ID" totalsRowDxfId="514"/>
    <tableColumn id="2" xr3:uid="{C8A449C6-1131-49C1-B7F4-6D17A5007C56}" name="Description" totalsRowDxfId="513" dataCellStyle="Normal TB TO"/>
    <tableColumn id="3" xr3:uid="{12787A2A-EFC0-4B8F-93D6-93CA0476D6D1}" name="Catégorie" totalsRowDxfId="512" dataCellStyle="Normal CT TO"/>
    <tableColumn id="4" xr3:uid="{82D5BB27-F3FF-4BB4-86D2-2BBE63D66AEF}" name="Quantité" totalsRowDxfId="511" dataCellStyle="Normal NB TO"/>
    <tableColumn id="11" xr3:uid="{45EF1E1B-D81D-44F9-B8CA-CB2C40C69E80}" name="Unité" totalsRowDxfId="510" dataCellStyle="Normal CT TO"/>
    <tableColumn id="5" xr3:uid="{16702E53-93B3-4C5E-B7D6-05516206E41B}" name="Coût | Unitaire" totalsRowLabel="Sous-total" dataDxfId="509" totalsRowDxfId="508" dataCellStyle="Normal $ TO"/>
    <tableColumn id="6" xr3:uid="{601DAB1D-79F3-48F4-B486-6DC4308009A9}" name="Total | Budgétaire" totalsRowFunction="sum" dataCellStyle="Normal $ TO V" totalsRowCellStyle="Normal $T 2">
      <calculatedColumnFormula>IF(OR(TO_9[[#This Row],[Catégorie]]="",TO_9[[#This Row],[Catégorie]]="-"),"",ROUNDUP(TO_9[[#This Row],[Quantité]]*TO_9[[#This Row],[Coût | Unitaire]],2))</calculatedColumnFormula>
    </tableColumn>
    <tableColumn id="16" xr3:uid="{8C059CB4-973B-402D-8A2E-A72799771CB8}" name="Addenda" totalsRowDxfId="507" dataCellStyle="Normal CT TO"/>
    <tableColumn id="7" xr3:uid="{D3624760-40EE-4057-BB7C-BE08BFE7D0F1}" name="Quantité R." totalsRowDxfId="506" dataCellStyle="Normal NB TO"/>
    <tableColumn id="8" xr3:uid="{D9436404-70E3-46E8-95CC-9CE6D5FD2195}" name="Coût | Unitaire R." totalsRowLabel="Sous-total" dataDxfId="505" totalsRowDxfId="504" dataCellStyle="Normal $ TO"/>
    <tableColumn id="9" xr3:uid="{ECED7704-9899-4BD6-845A-0DE74D808F1E}" name="Total | Réel" totalsRowFunction="sum" dataCellStyle="Normal $ TO V" totalsRowCellStyle="Normal $T 2">
      <calculatedColumnFormula>IF(OR(TO_9[[#This Row],[Total | Budgétaire]]="",TO_9[[#This Row],[Quantité R.]]=""),IF(TO_9[[#This Row],[Quantité R.]]&gt;0,ROUNDUP(TO_9[[#This Row],[Quantité R.]]*TO_9[[#This Row],[Coût | Unitaire R.]],2),""),ROUNDUP(TO_9[[#This Row],[Quantité R.]]*TO_9[[#This Row],[Coût | Unitaire R.]],2))</calculatedColumnFormula>
    </tableColumn>
    <tableColumn id="10" xr3:uid="{86576DAF-1401-4FC0-B13E-DB585EE250C3}" name="Résultat" totalsRowFunction="sum" dataCellStyle="Normal $ V" totalsRowCellStyle="Normal $T 2">
      <calculatedColumnFormula>IFERROR(IF(TO_9[[#This Row],[Total | Réel]]="",0-TO_9[[#This Row],[Total | Budgétaire]],IF(TO_9[[#This Row],[Total | Budgétaire]]="",TO_9[[#This Row],[Total | Réel]],TO_9[[#This Row],[Total | Réel]]-TO_9[[#This Row],[Total | Budgétaire]])),"")</calculatedColumnFormula>
    </tableColumn>
  </tableColumns>
  <tableStyleInfo showFirstColumn="0" showLastColumn="0" showRowStripes="0"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7" xr:uid="{F753F200-C2A1-438E-A088-2F0E4B269BB3}" name="TO_10" displayName="TO_10" ref="A156:L158" totalsRowCount="1" headerRowDxfId="503" headerRowBorderDxfId="502" tableBorderDxfId="501" headerRowCellStyle="Titre TB" totalsRowCellStyle="Normal $T 2">
  <autoFilter ref="A156:L157" xr:uid="{6914E9BC-19F9-40AE-AA5C-200F07292ED6}"/>
  <tableColumns count="12">
    <tableColumn id="1" xr3:uid="{1F70CC16-FD97-4288-BB20-386432EE254A}" name="ID" totalsRowDxfId="500"/>
    <tableColumn id="2" xr3:uid="{30C83A77-D2D1-49C3-A83E-D32824B1191A}" name="Description" totalsRowDxfId="499" dataCellStyle="Normal TB TO"/>
    <tableColumn id="3" xr3:uid="{0CCFA88F-9296-4255-854D-DAD663133367}" name="Catégorie" totalsRowDxfId="498" dataCellStyle="Normal CT TO"/>
    <tableColumn id="4" xr3:uid="{C78AB690-47F7-47BD-ACEC-C08A0B53A1B8}" name="Quantité" totalsRowDxfId="497" dataCellStyle="Normal NB TO"/>
    <tableColumn id="11" xr3:uid="{B56CC4B9-3D99-44D9-8988-4D1FCFB5023D}" name="Unité" totalsRowDxfId="496" dataCellStyle="Normal CT TO"/>
    <tableColumn id="5" xr3:uid="{76B98CB2-73FD-43C3-9231-9E8B8523F530}" name="Coût | Unitaire" totalsRowLabel="Sous-total" dataDxfId="495" totalsRowDxfId="494" dataCellStyle="Normal $ TO"/>
    <tableColumn id="6" xr3:uid="{BE86EE39-B151-499F-8C78-31B44DEDCB2B}" name="Total | Budgétaire" totalsRowFunction="sum" dataCellStyle="Normal $ TO V" totalsRowCellStyle="Normal $T 2">
      <calculatedColumnFormula>IF(OR(TO_10[[#This Row],[Catégorie]]="",TO_10[[#This Row],[Catégorie]]="-"),"",ROUNDUP(TO_10[[#This Row],[Quantité]]*TO_10[[#This Row],[Coût | Unitaire]],2))</calculatedColumnFormula>
    </tableColumn>
    <tableColumn id="16" xr3:uid="{B4FFA70B-B081-4E64-8E7B-6165AF539E3F}" name="Addenda" totalsRowDxfId="493" dataCellStyle="Normal CT TO"/>
    <tableColumn id="7" xr3:uid="{D2A93222-09C0-457F-BCD0-0F4E1F8874F4}" name="Quantité R." totalsRowDxfId="492" dataCellStyle="Normal NB TO"/>
    <tableColumn id="8" xr3:uid="{CC464D45-2AD1-481A-BD6E-D4D6A7726AD7}" name="Coût | Unitaire R." totalsRowLabel="Sous-total" dataDxfId="491" totalsRowDxfId="490" dataCellStyle="Normal $ TO"/>
    <tableColumn id="9" xr3:uid="{B604CBDA-53FC-401C-B647-56061578E48D}" name="Total | Réel" totalsRowFunction="sum" dataCellStyle="Normal $ TO V" totalsRowCellStyle="Normal $T 2">
      <calculatedColumnFormula>IF(OR(TO_10[[#This Row],[Total | Budgétaire]]="",TO_10[[#This Row],[Quantité R.]]=""),IF(TO_10[[#This Row],[Quantité R.]]&gt;0,ROUNDUP(TO_10[[#This Row],[Quantité R.]]*TO_10[[#This Row],[Coût | Unitaire R.]],2),""),ROUNDUP(TO_10[[#This Row],[Quantité R.]]*TO_10[[#This Row],[Coût | Unitaire R.]],2))</calculatedColumnFormula>
    </tableColumn>
    <tableColumn id="10" xr3:uid="{3D70FB56-502F-44BD-B6D7-B1B31F0ABE04}" name="Résultat" totalsRowFunction="sum" dataCellStyle="Normal $ V" totalsRowCellStyle="Normal $T 2">
      <calculatedColumnFormula>IFERROR(IF(TO_10[[#This Row],[Total | Réel]]="",0-TO_10[[#This Row],[Total | Budgétaire]],IF(TO_10[[#This Row],[Total | Budgétaire]]="",TO_10[[#This Row],[Total | Réel]],TO_10[[#This Row],[Total | Réel]]-TO_10[[#This Row],[Total | Budgétaire]])),"")</calculatedColumnFormula>
    </tableColumn>
  </tableColumns>
  <tableStyleInfo showFirstColumn="0" showLastColumn="0" showRowStripes="0"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8" xr:uid="{7B7EFB24-E2EA-4712-B1D1-95EE20BF5152}" name="TO_11" displayName="TO_11" ref="A163:L165" totalsRowCount="1" headerRowDxfId="489" headerRowBorderDxfId="488" tableBorderDxfId="487" headerRowCellStyle="Titre TB" totalsRowCellStyle="Normal $T 2">
  <autoFilter ref="A163:L164" xr:uid="{275CD3CD-5205-4DE3-82E4-FEA80DFD9B43}"/>
  <tableColumns count="12">
    <tableColumn id="1" xr3:uid="{1D0C2E5A-D805-4C36-8D4B-7F5CB92A0E96}" name="ID" totalsRowDxfId="486"/>
    <tableColumn id="2" xr3:uid="{14AE78AE-B884-4587-A36D-ED33F5D1DF96}" name="Description" totalsRowDxfId="485" dataCellStyle="Normal TB TO"/>
    <tableColumn id="3" xr3:uid="{CA4C4A52-8A10-490D-81F7-835A0055945F}" name="Catégorie" totalsRowDxfId="484" dataCellStyle="Normal CT TO"/>
    <tableColumn id="4" xr3:uid="{695106CB-D909-4FBA-B2A7-F32CC510CA13}" name="Quantité" totalsRowDxfId="483" dataCellStyle="Normal NB TO"/>
    <tableColumn id="11" xr3:uid="{F56C9CC1-3DAE-490A-B01F-C1616BD3C34E}" name="Unité" totalsRowDxfId="482" dataCellStyle="Normal CT TO"/>
    <tableColumn id="5" xr3:uid="{579B35B7-CE1C-426A-8D17-0E82C809DEB9}" name="Coût | Unitaire" totalsRowLabel="Sous-total" dataDxfId="481" totalsRowDxfId="480" dataCellStyle="Normal $ TO"/>
    <tableColumn id="6" xr3:uid="{43ADEF49-C179-48F8-8DA8-25778F639E4E}" name="Total | Budgétaire" totalsRowFunction="sum" dataCellStyle="Normal $ TO V" totalsRowCellStyle="Normal $T 2">
      <calculatedColumnFormula>IF(OR(TO_11[[#This Row],[Catégorie]]="",TO_11[[#This Row],[Catégorie]]="-"),"",ROUNDUP(TO_11[[#This Row],[Quantité]]*TO_11[[#This Row],[Coût | Unitaire]],2))</calculatedColumnFormula>
    </tableColumn>
    <tableColumn id="16" xr3:uid="{0FB33511-DF2E-4B30-B8FB-98AABD8180A1}" name="Addenda" totalsRowDxfId="479" dataCellStyle="Normal CT TO"/>
    <tableColumn id="7" xr3:uid="{B898FC7E-4065-4D67-9933-993898D42F2E}" name="Quantité R." totalsRowDxfId="478" dataCellStyle="Normal NB TO"/>
    <tableColumn id="8" xr3:uid="{9221A302-E50C-4ABE-B4DA-E6D3ED1DE74A}" name="Coût | Unitaire R." totalsRowLabel="Sous-total" dataDxfId="477" totalsRowDxfId="476" dataCellStyle="Normal $ TO"/>
    <tableColumn id="9" xr3:uid="{DB433609-6956-426E-B486-6A252F7263FA}" name="Total | Réel" totalsRowFunction="sum" dataCellStyle="Normal $ TO V" totalsRowCellStyle="Normal $T 2">
      <calculatedColumnFormula>IF(OR(TO_11[[#This Row],[Total | Budgétaire]]="",TO_11[[#This Row],[Quantité R.]]=""),IF(TO_11[[#This Row],[Quantité R.]]&gt;0,ROUNDUP(TO_11[[#This Row],[Quantité R.]]*TO_11[[#This Row],[Coût | Unitaire R.]],2),""),ROUNDUP(TO_11[[#This Row],[Quantité R.]]*TO_11[[#This Row],[Coût | Unitaire R.]],2))</calculatedColumnFormula>
    </tableColumn>
    <tableColumn id="10" xr3:uid="{0BA1B0B5-2C46-4DB8-B252-A2006984E345}" name="Résultat" totalsRowFunction="sum" dataCellStyle="Normal $ V" totalsRowCellStyle="Normal $T 2">
      <calculatedColumnFormula>IFERROR(IF(TO_11[[#This Row],[Total | Réel]]="",0-TO_11[[#This Row],[Total | Budgétaire]],IF(TO_11[[#This Row],[Total | Budgétaire]]="",TO_11[[#This Row],[Total | Réel]],TO_11[[#This Row],[Total | Réel]]-TO_11[[#This Row],[Total | Budgétaire]])),"")</calculatedColumnFormula>
    </tableColumn>
  </tableColumns>
  <tableStyleInfo showFirstColumn="0" showLastColumn="0" showRowStripes="0" showColumnStripes="0"/>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9" xr:uid="{74375761-8F7D-4CC4-B00B-BE43C5632DDB}" name="TO_12" displayName="TO_12" ref="A170:L172" totalsRowCount="1" headerRowDxfId="475" headerRowBorderDxfId="474" tableBorderDxfId="473" headerRowCellStyle="Titre TB" totalsRowCellStyle="Normal $T 2">
  <autoFilter ref="A170:L171" xr:uid="{6CE3A6F6-7DDE-47DA-8B52-61DE3C1530BF}"/>
  <tableColumns count="12">
    <tableColumn id="1" xr3:uid="{D6D93963-C66B-47FD-A925-DB486332F57C}" name="ID" totalsRowDxfId="472"/>
    <tableColumn id="2" xr3:uid="{86B5D739-49D9-47BA-80BA-29AB837C2572}" name="Description" totalsRowDxfId="471" dataCellStyle="Normal TB TO"/>
    <tableColumn id="3" xr3:uid="{30039FA7-04A0-427F-82C2-3EE14F6AEDDB}" name="Catégorie" totalsRowDxfId="470" dataCellStyle="Normal CT TO"/>
    <tableColumn id="4" xr3:uid="{23F7EE8C-434A-45F3-A482-84DF5E17E6C1}" name="Quantité" totalsRowDxfId="469" dataCellStyle="Normal NB TO"/>
    <tableColumn id="11" xr3:uid="{D801B05B-EFD8-4D85-A4FD-F30036102E2C}" name="Unité" totalsRowDxfId="468" dataCellStyle="Normal CT TO"/>
    <tableColumn id="5" xr3:uid="{5DA9F31D-EB8A-40DC-80EA-CC4F9400505D}" name="Coût | Unitaire" totalsRowLabel="Sous-total" dataDxfId="467" totalsRowDxfId="466" dataCellStyle="Normal $ TO"/>
    <tableColumn id="6" xr3:uid="{6B02F835-2A20-411E-A932-4303FAA67D62}" name="Total | Budgétaire" totalsRowFunction="sum" dataCellStyle="Normal $ TO V" totalsRowCellStyle="Normal $T 2">
      <calculatedColumnFormula>IF(OR(TO_12[[#This Row],[Catégorie]]="",TO_12[[#This Row],[Catégorie]]="-"),"",ROUNDUP(TO_12[[#This Row],[Quantité]]*TO_12[[#This Row],[Coût | Unitaire]],2))</calculatedColumnFormula>
    </tableColumn>
    <tableColumn id="16" xr3:uid="{D2233593-BAD9-4C64-85EA-54F8D211F58F}" name="Addenda" totalsRowDxfId="465" dataCellStyle="Normal CT TO"/>
    <tableColumn id="7" xr3:uid="{3D195C3D-7785-4349-8E2E-DD00C8AEFA7E}" name="Quantité R." totalsRowDxfId="464" dataCellStyle="Normal NB TO"/>
    <tableColumn id="8" xr3:uid="{35054700-79BF-492A-ACF4-BAEA6C632B95}" name="Coût | Unitaire R." totalsRowLabel="Sous-total" dataDxfId="463" totalsRowDxfId="462" dataCellStyle="Normal $ TO"/>
    <tableColumn id="9" xr3:uid="{C3DC83D7-505D-46D2-9089-E2039C68292B}" name="Total | Réel" totalsRowFunction="sum" dataCellStyle="Normal $ TO V" totalsRowCellStyle="Normal $T 2">
      <calculatedColumnFormula>IF(OR(TO_12[[#This Row],[Total | Budgétaire]]="",TO_12[[#This Row],[Quantité R.]]=""),IF(TO_12[[#This Row],[Quantité R.]]&gt;0,ROUNDUP(TO_12[[#This Row],[Quantité R.]]*TO_12[[#This Row],[Coût | Unitaire R.]],2),""),ROUNDUP(TO_12[[#This Row],[Quantité R.]]*TO_12[[#This Row],[Coût | Unitaire R.]],2))</calculatedColumnFormula>
    </tableColumn>
    <tableColumn id="10" xr3:uid="{1022B0FA-AF89-4CF7-A5D3-7D75411814A6}" name="Résultat" totalsRowFunction="sum" dataCellStyle="Normal $ V" totalsRowCellStyle="Normal $T 2">
      <calculatedColumnFormula>IFERROR(IF(TO_12[[#This Row],[Total | Réel]]="",0-TO_12[[#This Row],[Total | Budgétaire]],IF(TO_12[[#This Row],[Total | Budgétaire]]="",TO_12[[#This Row],[Total | Réel]],TO_12[[#This Row],[Total | Réel]]-TO_12[[#This Row],[Total | Budgétaire]])),"")</calculatedColumnFormula>
    </tableColumn>
  </tableColumns>
  <tableStyleInfo showFirstColumn="0" showLastColumn="0" showRowStripes="0" showColumnStripes="0"/>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0" xr:uid="{8D3C8237-2E5C-4C68-87BF-F7BFAEDD8803}" name="TO_13" displayName="TO_13" ref="A177:L179" totalsRowCount="1" headerRowDxfId="461" headerRowBorderDxfId="460" tableBorderDxfId="459" headerRowCellStyle="Titre TB" totalsRowCellStyle="Normal $T 2">
  <autoFilter ref="A177:L178" xr:uid="{33D4157C-2B63-40DA-972F-210382962B84}"/>
  <tableColumns count="12">
    <tableColumn id="1" xr3:uid="{2A15379D-C7E5-45B7-8C85-CA318B99E586}" name="ID" totalsRowDxfId="458"/>
    <tableColumn id="2" xr3:uid="{6AF042DF-929B-431E-8A74-BB22F3169AD3}" name="Description" totalsRowDxfId="457" dataCellStyle="Normal TB TO"/>
    <tableColumn id="3" xr3:uid="{EE8A1D03-D8B9-4048-9E4B-92C9AF2909F9}" name="Catégorie" totalsRowDxfId="456" dataCellStyle="Normal CT TO"/>
    <tableColumn id="4" xr3:uid="{60DFA23E-A31F-423C-B3E0-F6F8746B881E}" name="Quantité" totalsRowDxfId="455" dataCellStyle="Normal NB TO"/>
    <tableColumn id="11" xr3:uid="{AFCC0452-EAA6-4973-81D2-1CA773A88A23}" name="Unité" totalsRowDxfId="454" dataCellStyle="Normal CT TO"/>
    <tableColumn id="5" xr3:uid="{EBEEC771-765A-46E5-A27A-85DCAE959624}" name="Coût | Unitaire" totalsRowLabel="Sous-total" dataDxfId="453" totalsRowDxfId="452" dataCellStyle="Normal $ TO"/>
    <tableColumn id="6" xr3:uid="{FECCB4BE-496F-4105-A7FE-6B8390FB851E}" name="Total | Budgétaire" totalsRowFunction="sum" dataCellStyle="Normal $ TO V" totalsRowCellStyle="Normal $T 2">
      <calculatedColumnFormula>IF(OR(TO_13[[#This Row],[Catégorie]]="",TO_13[[#This Row],[Catégorie]]="-"),"",ROUNDUP(TO_13[[#This Row],[Quantité]]*TO_13[[#This Row],[Coût | Unitaire]],2))</calculatedColumnFormula>
    </tableColumn>
    <tableColumn id="16" xr3:uid="{1A3AA1C7-2A5B-48CB-BC1B-8D3E307EB81E}" name="Addenda" totalsRowDxfId="451" dataCellStyle="Normal CT TO"/>
    <tableColumn id="7" xr3:uid="{AD448E8E-12D9-47B3-99C8-90E647B517A5}" name="Quantité R." totalsRowDxfId="450" dataCellStyle="Normal NB TO"/>
    <tableColumn id="8" xr3:uid="{D1D2AA47-8DB9-4EF5-A1E7-005EA666EB18}" name="Coût | Unitaire R." totalsRowLabel="Sous-total" dataDxfId="449" totalsRowDxfId="448" dataCellStyle="Normal $ TO"/>
    <tableColumn id="9" xr3:uid="{756E61A6-9C46-4F03-8CAB-8C24D2F644D9}" name="Total | Réel" totalsRowFunction="sum" dataCellStyle="Normal $ TO V" totalsRowCellStyle="Normal $T 2">
      <calculatedColumnFormula>IF(OR(TO_13[[#This Row],[Total | Budgétaire]]="",TO_13[[#This Row],[Quantité R.]]=""),IF(TO_13[[#This Row],[Quantité R.]]&gt;0,ROUNDUP(TO_13[[#This Row],[Quantité R.]]*TO_13[[#This Row],[Coût | Unitaire R.]],2),""),ROUNDUP(TO_13[[#This Row],[Quantité R.]]*TO_13[[#This Row],[Coût | Unitaire R.]],2))</calculatedColumnFormula>
    </tableColumn>
    <tableColumn id="10" xr3:uid="{47A69E72-69C1-4E09-95E7-C5F2A525C89F}" name="Résultat" totalsRowFunction="sum" dataCellStyle="Normal $ V" totalsRowCellStyle="Normal $T 2">
      <calculatedColumnFormula>IFERROR(IF(TO_13[[#This Row],[Total | Réel]]="",0-TO_13[[#This Row],[Total | Budgétaire]],IF(TO_13[[#This Row],[Total | Budgétaire]]="",TO_13[[#This Row],[Total | Réel]],TO_13[[#This Row],[Total | Réel]]-TO_13[[#This Row],[Total | Budgétaire]])),"")</calculatedColumnFormula>
    </tableColumn>
  </tableColumns>
  <tableStyleInfo showFirstColumn="0" showLastColumn="0" showRowStripes="0" showColumnStripes="0"/>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1" xr:uid="{B6288396-82AA-4734-A677-0495FD2A51DB}" name="TO_14" displayName="TO_14" ref="A184:L186" totalsRowCount="1" headerRowDxfId="447" headerRowBorderDxfId="446" tableBorderDxfId="445" headerRowCellStyle="Titre TB" totalsRowCellStyle="Normal $T 2">
  <autoFilter ref="A184:L185" xr:uid="{9776CB79-2184-40C8-A00B-90678663034D}"/>
  <tableColumns count="12">
    <tableColumn id="1" xr3:uid="{86D39D73-1490-4D19-9FC8-AC32CD4080CF}" name="ID" totalsRowDxfId="444"/>
    <tableColumn id="2" xr3:uid="{555C9EE6-022F-4335-8093-C8E147F6B8CE}" name="Description" totalsRowDxfId="443" dataCellStyle="Normal TB TO"/>
    <tableColumn id="3" xr3:uid="{7EE88142-4417-498F-98C7-F20E16EAC86C}" name="Catégorie" totalsRowDxfId="442" dataCellStyle="Normal CT TO"/>
    <tableColumn id="4" xr3:uid="{944A95FD-5011-4436-8D3B-34981600243C}" name="Quantité" totalsRowDxfId="441" dataCellStyle="Normal NB TO"/>
    <tableColumn id="11" xr3:uid="{EBC6CB7C-B224-40B3-9576-F34CB2032BED}" name="Mesure" totalsRowDxfId="440" dataCellStyle="Normal CT TO"/>
    <tableColumn id="5" xr3:uid="{AB0BFF6D-7873-43B4-8619-6765729713C1}" name="Coût | Unitaire" totalsRowLabel="Sous-total" dataDxfId="439" totalsRowDxfId="438" dataCellStyle="Normal $ TO"/>
    <tableColumn id="6" xr3:uid="{A3BE1F48-03BE-4B53-AAC6-A80341DABBEF}" name="Total | Budgétaire" totalsRowFunction="sum" dataCellStyle="Normal $ TO V" totalsRowCellStyle="Normal $T 2">
      <calculatedColumnFormula>IF(OR(TO_14[[#This Row],[Catégorie]]="",TO_14[[#This Row],[Catégorie]]="-"),"",ROUNDUP(TO_14[[#This Row],[Quantité]]*TO_14[[#This Row],[Coût | Unitaire]],2))</calculatedColumnFormula>
    </tableColumn>
    <tableColumn id="16" xr3:uid="{C47253A0-EDE1-4B29-A5B8-D3118C2A3946}" name="Addenda" totalsRowDxfId="437" dataCellStyle="Normal CT TO"/>
    <tableColumn id="7" xr3:uid="{A086BEC2-13C9-4B91-8108-178D90BBAFFE}" name="Quantité R." totalsRowDxfId="436" dataCellStyle="Normal NB TO"/>
    <tableColumn id="8" xr3:uid="{CDC0C39C-9F80-48A9-AE66-6058FF017464}" name="Coût | Unitaire R." totalsRowLabel="Sous-total" dataDxfId="435" totalsRowDxfId="434" dataCellStyle="Normal $ TO"/>
    <tableColumn id="9" xr3:uid="{A0273FD2-BDFD-42A2-BAB5-AF31C1FCB58A}" name="Total | Réel" totalsRowFunction="sum" dataCellStyle="Normal $ TO V" totalsRowCellStyle="Normal $T 2">
      <calculatedColumnFormula>IF(OR(TO_14[[#This Row],[Total | Budgétaire]]="",TO_14[[#This Row],[Quantité R.]]=""),IF(TO_14[[#This Row],[Quantité R.]]&gt;0,ROUNDUP(TO_14[[#This Row],[Quantité R.]]*TO_14[[#This Row],[Coût | Unitaire R.]],2),""),ROUNDUP(TO_14[[#This Row],[Quantité R.]]*TO_14[[#This Row],[Coût | Unitaire R.]],2))</calculatedColumnFormula>
    </tableColumn>
    <tableColumn id="10" xr3:uid="{76DB5BBF-E389-4A5B-90CE-E026BC4D7B0D}" name="Résultat" totalsRowFunction="sum" dataCellStyle="Normal $ V" totalsRowCellStyle="Normal $T 2">
      <calculatedColumnFormula>IFERROR(IF(TO_14[[#This Row],[Total | Réel]]="",0-TO_14[[#This Row],[Total | Budgétaire]],IF(TO_14[[#This Row],[Total | Budgétaire]]="",TO_14[[#This Row],[Total | Réel]],TO_14[[#This Row],[Total | Réel]]-TO_14[[#This Row],[Total | Budgétaire]])),"")</calculatedColumnFormula>
    </tableColumn>
  </tableColumns>
  <tableStyleInfo showFirstColumn="0" showLastColumn="0" showRowStripes="0" showColumnStripes="0"/>
</table>
</file>

<file path=xl/tables/table1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2" xr:uid="{40D18E18-F082-4EC0-8D18-14B0F58C7CF8}" name="TO_15" displayName="TO_15" ref="A191:L193" totalsRowCount="1" headerRowDxfId="433" headerRowBorderDxfId="432" tableBorderDxfId="431" headerRowCellStyle="Titre TB" totalsRowCellStyle="Normal $T 2">
  <autoFilter ref="A191:L192" xr:uid="{BB30E0AE-E3FE-4812-AC20-77A407F4307E}"/>
  <tableColumns count="12">
    <tableColumn id="1" xr3:uid="{3BB25379-1F6A-4B37-8113-1024069C8849}" name="ID" totalsRowDxfId="430"/>
    <tableColumn id="2" xr3:uid="{52547151-5F77-4E4F-9658-B23EAE34D7AB}" name="Description" totalsRowDxfId="429" dataCellStyle="Normal TB TO"/>
    <tableColumn id="3" xr3:uid="{BC0F67D9-E5F3-43C1-A6C8-54D4BE8F8A7B}" name="Catégorie" totalsRowDxfId="428" dataCellStyle="Normal CT TO"/>
    <tableColumn id="4" xr3:uid="{017358AA-C3A0-4191-9040-413BAD50CF38}" name="Quantité" totalsRowDxfId="427" dataCellStyle="Normal NB TO"/>
    <tableColumn id="11" xr3:uid="{95DAA741-5E46-444E-942B-E5B3BCF29139}" name="Unité" totalsRowDxfId="426" dataCellStyle="Normal CT TO"/>
    <tableColumn id="5" xr3:uid="{04806784-19B5-435C-907B-0B23B8134B5F}" name="Coût | Unitaire" totalsRowLabel="Sous-total" dataDxfId="425" totalsRowDxfId="424" dataCellStyle="Normal $ TO"/>
    <tableColumn id="6" xr3:uid="{A9DFFCF0-6638-4BAC-A863-6C4768F990F5}" name="Total | Budgétaire" totalsRowFunction="sum" dataCellStyle="Normal $ TO V" totalsRowCellStyle="Normal $T 2">
      <calculatedColumnFormula>IF(OR(TO_15[[#This Row],[Catégorie]]="",TO_15[[#This Row],[Catégorie]]="-"),"",ROUNDUP(TO_15[[#This Row],[Quantité]]*TO_15[[#This Row],[Coût | Unitaire]],2))</calculatedColumnFormula>
    </tableColumn>
    <tableColumn id="16" xr3:uid="{5C5C1C45-E429-44E1-86B1-DC6BA6AC4774}" name="Addenda" totalsRowDxfId="423" dataCellStyle="Normal CT TO"/>
    <tableColumn id="7" xr3:uid="{1D89F843-020E-467C-B952-9D0AD370F051}" name="Quantité R." totalsRowDxfId="422" dataCellStyle="Normal NB TO"/>
    <tableColumn id="8" xr3:uid="{82C3E049-6CC0-48DD-8C83-CF64E3A4D678}" name="Coût | Unitaire R." totalsRowLabel="Sous-total" dataDxfId="421" totalsRowDxfId="420" dataCellStyle="Normal $ TO"/>
    <tableColumn id="9" xr3:uid="{7791F687-3AF1-45E0-97A0-DAC276D30640}" name="Total | Réel" totalsRowFunction="sum" dataCellStyle="Normal $ TO V" totalsRowCellStyle="Normal $T 2">
      <calculatedColumnFormula>IF(OR(TO_15[[#This Row],[Total | Budgétaire]]="",TO_15[[#This Row],[Quantité R.]]=""),IF(TO_15[[#This Row],[Quantité R.]]&gt;0,ROUNDUP(TO_15[[#This Row],[Quantité R.]]*TO_15[[#This Row],[Coût | Unitaire R.]],2),""),ROUNDUP(TO_15[[#This Row],[Quantité R.]]*TO_15[[#This Row],[Coût | Unitaire R.]],2))</calculatedColumnFormula>
    </tableColumn>
    <tableColumn id="10" xr3:uid="{F8220F6B-E6A2-4BFA-94FE-26CA258103EA}" name="Résultat" totalsRowFunction="sum" dataCellStyle="Normal $ V" totalsRowCellStyle="Normal $T 2">
      <calculatedColumnFormula>IFERROR(IF(TO_15[[#This Row],[Total | Réel]]="",0-TO_15[[#This Row],[Total | Budgétaire]],IF(TO_15[[#This Row],[Total | Budgétaire]]="",TO_15[[#This Row],[Total | Réel]],TO_15[[#This Row],[Total | Réel]]-TO_15[[#This Row],[Total | Budgétaire]])),"")</calculatedColumnFormula>
    </tableColumn>
  </tableColumns>
  <tableStyleInfo showFirstColumn="0" showLastColumn="0" showRowStripes="0" showColumnStripes="0"/>
</table>
</file>

<file path=xl/tables/table1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3" xr:uid="{4114C5C0-BB63-4431-A2FA-3932C0E08FFF}" name="TO_16" displayName="TO_16" ref="A198:L200" totalsRowCount="1" headerRowDxfId="419" headerRowBorderDxfId="418" tableBorderDxfId="417" headerRowCellStyle="Titre TB" totalsRowCellStyle="Normal $T 2">
  <autoFilter ref="A198:L199" xr:uid="{B2416F16-1284-4B14-961C-CD8998FB2CEE}"/>
  <tableColumns count="12">
    <tableColumn id="1" xr3:uid="{29D27F3A-EEBE-4496-B5C7-5A10F650058B}" name="ID" totalsRowDxfId="416"/>
    <tableColumn id="2" xr3:uid="{F644929C-757B-4211-8D2C-97146C0322B1}" name="Description" totalsRowDxfId="415" dataCellStyle="Normal TB TO"/>
    <tableColumn id="3" xr3:uid="{F19C1B4B-7806-4111-9D02-39E129630227}" name="Catégorie" totalsRowDxfId="414" dataCellStyle="Normal CT TO"/>
    <tableColumn id="4" xr3:uid="{92F82A48-C14E-434F-A73F-5DE42848BEA0}" name="Quantité" totalsRowDxfId="413" dataCellStyle="Normal NB TO"/>
    <tableColumn id="11" xr3:uid="{46BADE6E-9834-48E0-BC74-E8244480C5BC}" name="Unité" totalsRowDxfId="412" dataCellStyle="Normal CT TO"/>
    <tableColumn id="5" xr3:uid="{F3FDC174-984C-4283-BA3C-71712DA089E9}" name="Coût | Unitaire" totalsRowLabel="Sous-total" dataDxfId="411" totalsRowDxfId="410" dataCellStyle="Normal $ TO"/>
    <tableColumn id="6" xr3:uid="{A7855633-F10D-4E3E-9134-08D8EADFB6CC}" name="Total | Budgétaire" totalsRowFunction="sum" dataCellStyle="Normal $ TO V" totalsRowCellStyle="Normal $T 2">
      <calculatedColumnFormula>IF(OR(TO_16[[#This Row],[Catégorie]]="",TO_16[[#This Row],[Catégorie]]="-"),"",ROUNDUP(TO_16[[#This Row],[Quantité]]*TO_16[[#This Row],[Coût | Unitaire]],2))</calculatedColumnFormula>
    </tableColumn>
    <tableColumn id="16" xr3:uid="{3C0F411A-902D-4CC5-808D-85EC066DBDE1}" name="Addenda" totalsRowDxfId="409" dataCellStyle="Normal CT TO"/>
    <tableColumn id="7" xr3:uid="{D9D59DC2-605A-4376-817A-0E989FC1C42F}" name="Quantité R." totalsRowDxfId="408" dataCellStyle="Normal NB TO"/>
    <tableColumn id="8" xr3:uid="{7F99294D-4E16-4980-BDC0-598C3C16157A}" name="Coût | Unitaire R." totalsRowLabel="Sous-total" dataDxfId="407" totalsRowDxfId="406" dataCellStyle="Normal $ TO"/>
    <tableColumn id="9" xr3:uid="{E7BFA5C8-D013-4E88-8FAA-3BA010B39239}" name="Total | Réel" totalsRowFunction="sum" dataCellStyle="Normal $ TO V" totalsRowCellStyle="Normal $T 2">
      <calculatedColumnFormula>IF(OR(TO_16[[#This Row],[Total | Budgétaire]]="",TO_16[[#This Row],[Quantité R.]]=""),IF(TO_16[[#This Row],[Quantité R.]]&gt;0,ROUNDUP(TO_16[[#This Row],[Quantité R.]]*TO_16[[#This Row],[Coût | Unitaire R.]],2),""),ROUNDUP(TO_16[[#This Row],[Quantité R.]]*TO_16[[#This Row],[Coût | Unitaire R.]],2))</calculatedColumnFormula>
    </tableColumn>
    <tableColumn id="10" xr3:uid="{03883024-1A57-4B9A-8C37-26BA6F314A43}" name="Résultat" totalsRowFunction="sum" dataCellStyle="Normal $ V" totalsRowCellStyle="Normal $T 2">
      <calculatedColumnFormula>IFERROR(IF(TO_16[[#This Row],[Total | Réel]]="",0-TO_16[[#This Row],[Total | Budgétaire]],IF(TO_16[[#This Row],[Total | Budgétaire]]="",TO_16[[#This Row],[Total | Réel]],TO_16[[#This Row],[Total | Réel]]-TO_16[[#This Row],[Total | Budgétaire]])),"")</calculatedColumnFormula>
    </tableColumn>
  </tableColumns>
  <tableStyleInfo showFirstColumn="0" showLastColumn="0" showRowStripes="0" showColumnStripes="0"/>
</table>
</file>

<file path=xl/tables/table1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4" xr:uid="{4F7220B4-6633-467E-BD95-7CCDBB94D71C}" name="TO_17" displayName="TO_17" ref="A205:L207" totalsRowCount="1" headerRowDxfId="405" headerRowBorderDxfId="404" tableBorderDxfId="403" headerRowCellStyle="Titre TB" totalsRowCellStyle="Normal $T 2">
  <autoFilter ref="A205:L206" xr:uid="{E6229AA9-91A6-48B5-83CC-2F729096ED2E}"/>
  <tableColumns count="12">
    <tableColumn id="1" xr3:uid="{9F835C81-E30C-42CF-B7C7-60E5872A8DA4}" name="ID" totalsRowDxfId="402"/>
    <tableColumn id="2" xr3:uid="{CC4FFBEE-779D-42FF-B58E-3B843315B2DF}" name="Description" totalsRowDxfId="401" dataCellStyle="Normal TB TO"/>
    <tableColumn id="3" xr3:uid="{9204B5E5-9AED-4536-A80A-31F328322B93}" name="Catégorie" totalsRowDxfId="400" dataCellStyle="Normal CT TO"/>
    <tableColumn id="4" xr3:uid="{5234A189-1D17-4BC1-9554-E03EEF8A1DDE}" name="Quantité" totalsRowDxfId="399" dataCellStyle="Normal NB TO"/>
    <tableColumn id="11" xr3:uid="{2F5607C1-1893-4F9F-809E-B6E0C943714C}" name="Unité" totalsRowDxfId="398" dataCellStyle="Normal CT TO"/>
    <tableColumn id="5" xr3:uid="{0FD9B8B2-845C-4CE9-AF30-93BEC6F1AA07}" name="Coût | Unitaire" totalsRowLabel="Sous-total" dataDxfId="397" totalsRowDxfId="396" dataCellStyle="Normal $ TO"/>
    <tableColumn id="6" xr3:uid="{C361777E-D831-47DD-9A20-1AE2A8B80D80}" name="Total | Budgétaire" totalsRowFunction="sum" dataCellStyle="Normal $ TO V" totalsRowCellStyle="Normal $T 2">
      <calculatedColumnFormula>IF(OR(TO_17[[#This Row],[Catégorie]]="",TO_17[[#This Row],[Catégorie]]="-"),"",ROUNDUP(TO_17[[#This Row],[Quantité]]*TO_17[[#This Row],[Coût | Unitaire]],2))</calculatedColumnFormula>
    </tableColumn>
    <tableColumn id="16" xr3:uid="{EA4BDF73-4A08-423A-8093-34D24FA95AD6}" name="Addenda" totalsRowDxfId="395" dataCellStyle="Normal CT TO"/>
    <tableColumn id="7" xr3:uid="{8465CD92-5185-4FC4-80BF-C31F7C25446C}" name="Quantité R." totalsRowDxfId="394" dataCellStyle="Normal NB TO"/>
    <tableColumn id="8" xr3:uid="{FDAF2273-E640-427C-B1B4-92117745FCE4}" name="Coût | Unitaire R." totalsRowLabel="Sous-total" dataDxfId="393" totalsRowDxfId="392" dataCellStyle="Normal $ TO"/>
    <tableColumn id="9" xr3:uid="{8EA1C502-39F4-4ED5-8985-BCE224BB9CA3}" name="Total | Réel" totalsRowFunction="sum" dataCellStyle="Normal $ TO V" totalsRowCellStyle="Normal $T 2">
      <calculatedColumnFormula>IF(OR(TO_17[[#This Row],[Total | Budgétaire]]="",TO_17[[#This Row],[Quantité R.]]=""),IF(TO_17[[#This Row],[Quantité R.]]&gt;0,ROUNDUP(TO_17[[#This Row],[Quantité R.]]*TO_17[[#This Row],[Coût | Unitaire R.]],2),""),ROUNDUP(TO_17[[#This Row],[Quantité R.]]*TO_17[[#This Row],[Coût | Unitaire R.]],2))</calculatedColumnFormula>
    </tableColumn>
    <tableColumn id="10" xr3:uid="{9874A341-5E4D-42A9-8E61-D8E965BC413A}" name="Résultat" totalsRowFunction="sum" dataCellStyle="Normal $ V" totalsRowCellStyle="Normal $T 2">
      <calculatedColumnFormula>IFERROR(IF(TO_17[[#This Row],[Total | Réel]]="",0-TO_17[[#This Row],[Total | Budgétaire]],IF(TO_17[[#This Row],[Total | Budgétaire]]="",TO_17[[#This Row],[Total | Réel]],TO_17[[#This Row],[Total | Réel]]-TO_17[[#This Row],[Total | Budgétaire]])),"")</calculatedColumnFormula>
    </tableColumn>
  </tableColumns>
  <tableStyleInfo showFirstColumn="0" showLastColumn="0" showRowStripes="0" showColumnStripes="0"/>
</table>
</file>

<file path=xl/tables/table1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5" xr:uid="{55B1029F-5DE3-4CC8-A9BE-C5D4A745412D}" name="TO_19" displayName="TO_19" ref="A219:L221" totalsRowCount="1" headerRowDxfId="391" headerRowBorderDxfId="390" tableBorderDxfId="389" headerRowCellStyle="Titre TB" totalsRowCellStyle="Normal $T 2">
  <autoFilter ref="A219:L220" xr:uid="{0F5D198A-D67B-4D0F-8BE3-A02C19F8D8BE}"/>
  <tableColumns count="12">
    <tableColumn id="1" xr3:uid="{C01C8B08-D839-4E45-AA7A-32FA6239E11B}" name="ID" totalsRowDxfId="388"/>
    <tableColumn id="2" xr3:uid="{25AC91F3-13B6-4E40-8E4E-A2DB548B3AD4}" name="Description" totalsRowDxfId="387" dataCellStyle="Normal TB TO"/>
    <tableColumn id="3" xr3:uid="{7385DEE6-8318-44A2-94E1-1FDF4354A602}" name="Catégorie" totalsRowDxfId="386" dataCellStyle="Normal CT TO"/>
    <tableColumn id="4" xr3:uid="{A7D3DC8E-53D2-4735-A7A6-549790D30A52}" name="Quantité" totalsRowDxfId="385" dataCellStyle="Normal NB TO"/>
    <tableColumn id="11" xr3:uid="{9F8AAD16-F5B2-42A7-BDFC-A6EAC18EAB55}" name="Unité" totalsRowDxfId="384" dataCellStyle="Normal CT TO"/>
    <tableColumn id="5" xr3:uid="{73E38B5A-ADB9-45A4-8007-C2190369CE63}" name="Coût | Unitaire" totalsRowLabel="Sous-total" dataDxfId="383" totalsRowDxfId="382" dataCellStyle="Normal $ TO"/>
    <tableColumn id="6" xr3:uid="{F9080987-D458-4213-A64B-78C981FE174D}" name="Total | Budgétaire" totalsRowFunction="sum" dataCellStyle="Normal $ TO V" totalsRowCellStyle="Normal $T 2">
      <calculatedColumnFormula>IF(OR(TO_19[[#This Row],[Catégorie]]="",TO_19[[#This Row],[Catégorie]]="-"),"",ROUNDUP(TO_19[[#This Row],[Quantité]]*TO_19[[#This Row],[Coût | Unitaire]],2))</calculatedColumnFormula>
    </tableColumn>
    <tableColumn id="16" xr3:uid="{5E80234E-56EE-4732-BFB9-DD5A600504C2}" name="Addenda" totalsRowDxfId="381" dataCellStyle="Normal CT TO"/>
    <tableColumn id="7" xr3:uid="{DD9632E2-52ED-4549-A769-CF78A01F4126}" name="Quantité R." totalsRowDxfId="380" dataCellStyle="Normal NB TO"/>
    <tableColumn id="8" xr3:uid="{BA16E270-17C6-48F5-A37F-9FB6E7553162}" name="Coût | Unitaire R." totalsRowLabel="Sous-total" dataDxfId="379" totalsRowDxfId="378" dataCellStyle="Normal $ TO"/>
    <tableColumn id="9" xr3:uid="{014D2410-8661-4739-BA2E-8306A99873E2}" name="Total | Réel" totalsRowFunction="sum" dataCellStyle="Normal $ TO V" totalsRowCellStyle="Normal $T 2">
      <calculatedColumnFormula>IF(OR(TO_19[[#This Row],[Total | Budgétaire]]="",TO_19[[#This Row],[Quantité R.]]=""),IF(TO_19[[#This Row],[Quantité R.]]&gt;0,ROUNDUP(TO_19[[#This Row],[Quantité R.]]*TO_19[[#This Row],[Coût | Unitaire R.]],2),""),ROUNDUP(TO_19[[#This Row],[Quantité R.]]*TO_19[[#This Row],[Coût | Unitaire R.]],2))</calculatedColumnFormula>
    </tableColumn>
    <tableColumn id="10" xr3:uid="{169094C2-4287-499D-A856-98A153B70071}" name="Résultat" totalsRowFunction="sum" dataCellStyle="Normal $ V" totalsRowCellStyle="Normal $T 2">
      <calculatedColumnFormula>IFERROR(IF(TO_19[[#This Row],[Total | Réel]]="",0-TO_19[[#This Row],[Total | Budgétaire]],IF(TO_19[[#This Row],[Total | Budgétaire]]="",TO_19[[#This Row],[Total | Réel]],TO_19[[#This Row],[Total | Réel]]-TO_19[[#This Row],[Total | Budgétaire]])),"")</calculatedColumnFormula>
    </tableColumn>
  </tableColumns>
  <tableStyleInfo showFirstColumn="0" showLastColumn="0" showRowStripes="0" showColumnStripes="0"/>
</table>
</file>

<file path=xl/tables/table1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6" xr:uid="{7DBCB066-046A-4ED7-ABE6-25AF82D1DDAC}" name="TO_20" displayName="TO_20" ref="A226:L228" totalsRowCount="1" headerRowDxfId="377" headerRowBorderDxfId="376" tableBorderDxfId="375" headerRowCellStyle="Titre TB" totalsRowCellStyle="Normal $T 2">
  <autoFilter ref="A226:L227" xr:uid="{04FF9D4D-2BD4-49DA-9F2F-D47D67A47658}"/>
  <tableColumns count="12">
    <tableColumn id="1" xr3:uid="{BC5054AE-64F2-4001-8824-890B92B9E956}" name="ID" totalsRowDxfId="374"/>
    <tableColumn id="2" xr3:uid="{7CABFD21-2C18-4690-B162-D004ACC74EBC}" name="Description" totalsRowDxfId="373" dataCellStyle="Normal TB TO"/>
    <tableColumn id="3" xr3:uid="{D1126AD4-804C-4DEF-AE2C-417D42BE4357}" name="Catégorie" totalsRowDxfId="372" dataCellStyle="Normal CT TO"/>
    <tableColumn id="4" xr3:uid="{FD54E45C-A277-454B-8F41-6B2C4B4CD311}" name="Quantité" totalsRowDxfId="371" dataCellStyle="Normal NB TO"/>
    <tableColumn id="11" xr3:uid="{9D20BD5E-A733-4156-9D04-D09AEBA6BEF0}" name="Unité" totalsRowDxfId="370" dataCellStyle="Normal CT TO"/>
    <tableColumn id="5" xr3:uid="{2403D0FA-BC6E-44A2-8FDE-46A5BF01BE45}" name="Coût | Unitaire" totalsRowLabel="Sous-total" dataDxfId="369" totalsRowDxfId="368" dataCellStyle="Normal $ TO"/>
    <tableColumn id="6" xr3:uid="{49D796D7-AD7B-4F3B-9E0B-C9D482D3EBFD}" name="Total | Budgétaire" totalsRowFunction="sum" dataCellStyle="Normal $ TO V" totalsRowCellStyle="Normal $T 2">
      <calculatedColumnFormula>IF(OR(TO_20[[#This Row],[Catégorie]]="",TO_20[[#This Row],[Catégorie]]="-"),"",ROUNDUP(TO_20[[#This Row],[Quantité]]*TO_20[[#This Row],[Coût | Unitaire]],2))</calculatedColumnFormula>
    </tableColumn>
    <tableColumn id="16" xr3:uid="{3509F1D7-F973-4850-AAF1-3BD72CACF71F}" name="Addenda" totalsRowDxfId="367" dataCellStyle="Normal CT TO"/>
    <tableColumn id="7" xr3:uid="{6BEAACEF-A973-4032-A918-6AE62A5E8E49}" name="Quantité R." totalsRowDxfId="366" dataCellStyle="Normal NB TO"/>
    <tableColumn id="8" xr3:uid="{B1650783-5CA1-42D5-A102-574799EB1C9D}" name="Coût | Unitaire R." totalsRowLabel="Sous-total" dataDxfId="365" totalsRowDxfId="364" dataCellStyle="Normal $ TO"/>
    <tableColumn id="9" xr3:uid="{56345A88-672B-4DE7-93DE-9FBF9387AF8E}" name="Total | Réel" totalsRowFunction="sum" dataCellStyle="Normal $ TO V" totalsRowCellStyle="Normal $T 2">
      <calculatedColumnFormula>IF(OR(TO_20[[#This Row],[Total | Budgétaire]]="",TO_20[[#This Row],[Quantité R.]]=""),IF(TO_20[[#This Row],[Quantité R.]]&gt;0,ROUNDUP(TO_20[[#This Row],[Quantité R.]]*TO_20[[#This Row],[Coût | Unitaire R.]],2),""),ROUNDUP(TO_20[[#This Row],[Quantité R.]]*TO_20[[#This Row],[Coût | Unitaire R.]],2))</calculatedColumnFormula>
    </tableColumn>
    <tableColumn id="10" xr3:uid="{953FA3FB-4D8A-49B8-85E8-4AB7422A04AB}" name="Résultat" totalsRowFunction="sum" dataCellStyle="Normal $ V" totalsRowCellStyle="Normal $T 2">
      <calculatedColumnFormula>IFERROR(IF(TO_20[[#This Row],[Total | Réel]]="",0-TO_20[[#This Row],[Total | Budgétaire]],IF(TO_20[[#This Row],[Total | Budgétaire]]="",TO_20[[#This Row],[Total | Réel]],TO_20[[#This Row],[Total | Réel]]-TO_20[[#This Row],[Total | Budgétaire]])),"")</calculatedColumnFormula>
    </tableColumn>
  </tableColumns>
  <tableStyleInfo showFirstColumn="0" showLastColumn="0" showRowStripes="0" showColumnStripes="0"/>
</table>
</file>

<file path=xl/tables/table1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7" xr:uid="{C74044CF-2BBC-493A-ABC4-DA6DB9AF71A1}" name="TO_21" displayName="TO_21" ref="A233:L235" totalsRowCount="1" headerRowDxfId="363" headerRowBorderDxfId="362" tableBorderDxfId="361" headerRowCellStyle="Titre TB" totalsRowCellStyle="Normal $T 2">
  <autoFilter ref="A233:L234" xr:uid="{5E794356-12D9-45D3-944D-CBBF9EA1BA0C}"/>
  <tableColumns count="12">
    <tableColumn id="1" xr3:uid="{03E4619F-9818-4C4B-9F46-4CE86CC22D05}" name="ID" totalsRowDxfId="360"/>
    <tableColumn id="2" xr3:uid="{4D6A8D86-81EF-49AA-9C2A-D596F177E487}" name="Description" totalsRowDxfId="359" dataCellStyle="Normal TB TO"/>
    <tableColumn id="3" xr3:uid="{3A5104B4-2598-4D7D-9FC8-1B72BCCAFF35}" name="Catégorie" totalsRowDxfId="358" dataCellStyle="Normal CT TO"/>
    <tableColumn id="4" xr3:uid="{7F7EC829-52CB-40E7-B026-CE4E1E6933C9}" name="Quantité" totalsRowDxfId="357" dataCellStyle="Normal NB TO"/>
    <tableColumn id="11" xr3:uid="{83CDBF69-9EA6-4E79-B872-1AC542F4118C}" name="Unité" totalsRowDxfId="356" dataCellStyle="Normal CT TO"/>
    <tableColumn id="5" xr3:uid="{EBC25623-9446-4404-92E3-3BB3C6A6865A}" name="Coût | Unitaire" totalsRowLabel="Sous-total" dataDxfId="355" totalsRowDxfId="354" dataCellStyle="Normal $ TO"/>
    <tableColumn id="6" xr3:uid="{661054D3-A328-435B-9043-82DB7CC7E182}" name="Total | Budgétaire" totalsRowFunction="sum" dataCellStyle="Normal $ TO V" totalsRowCellStyle="Normal $T 2">
      <calculatedColumnFormula>IF(OR(TO_21[[#This Row],[Catégorie]]="",TO_21[[#This Row],[Catégorie]]="-"),"",ROUNDUP(TO_21[[#This Row],[Quantité]]*TO_21[[#This Row],[Coût | Unitaire]],2))</calculatedColumnFormula>
    </tableColumn>
    <tableColumn id="16" xr3:uid="{C1922865-1DC8-4612-9256-08C882721C56}" name="Addenda" totalsRowDxfId="353" dataCellStyle="Normal CT TO"/>
    <tableColumn id="7" xr3:uid="{B3635D94-352E-48A2-95C0-385EDE7DD6E5}" name="Quantité R." totalsRowDxfId="352" dataCellStyle="Normal NB TO"/>
    <tableColumn id="8" xr3:uid="{C547C928-A3E6-48DE-822A-C2D4836C7BA5}" name="Coût | Unitaire R." totalsRowLabel="Sous-total" dataDxfId="351" totalsRowDxfId="350" dataCellStyle="Normal $ TO"/>
    <tableColumn id="9" xr3:uid="{D5B4FDD8-B4AA-4E7B-88E6-C8C0B81F13FD}" name="Total | Réel" totalsRowFunction="sum" dataCellStyle="Normal $ TO V" totalsRowCellStyle="Normal $T 2">
      <calculatedColumnFormula>IF(OR(TO_21[[#This Row],[Total | Budgétaire]]="",TO_21[[#This Row],[Quantité R.]]=""),IF(TO_21[[#This Row],[Quantité R.]]&gt;0,ROUNDUP(TO_21[[#This Row],[Quantité R.]]*TO_21[[#This Row],[Coût | Unitaire R.]],2),""),ROUNDUP(TO_21[[#This Row],[Quantité R.]]*TO_21[[#This Row],[Coût | Unitaire R.]],2))</calculatedColumnFormula>
    </tableColumn>
    <tableColumn id="10" xr3:uid="{01AB7042-E441-4625-BD3A-A3A50AC2602E}" name="Résultat" totalsRowFunction="sum" dataCellStyle="Normal $ V" totalsRowCellStyle="Normal $T 2">
      <calculatedColumnFormula>IFERROR(IF(TO_21[[#This Row],[Total | Réel]]="",0-TO_21[[#This Row],[Total | Budgétaire]],IF(TO_21[[#This Row],[Total | Budgétaire]]="",TO_21[[#This Row],[Total | Réel]],TO_21[[#This Row],[Total | Réel]]-TO_21[[#This Row],[Total | Budgétaire]])),"")</calculatedColumnFormula>
    </tableColumn>
  </tableColumns>
  <tableStyleInfo showFirstColumn="0" showLastColumn="0" showRowStripes="0" showColumnStripes="0"/>
</table>
</file>

<file path=xl/tables/table1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8" xr:uid="{8D657442-A646-40C2-9B0A-483956E95A81}" name="TO_22" displayName="TO_22" ref="A240:L242" totalsRowCount="1" headerRowDxfId="349" headerRowBorderDxfId="348" tableBorderDxfId="347" headerRowCellStyle="Titre TB" totalsRowCellStyle="Normal $T 2">
  <autoFilter ref="A240:L241" xr:uid="{6D5C2810-092B-45C9-8FE2-294CADE356F1}"/>
  <tableColumns count="12">
    <tableColumn id="1" xr3:uid="{EA3CD786-326D-4E4F-9BF9-86BF75E2CCB9}" name="ID" totalsRowDxfId="346"/>
    <tableColumn id="2" xr3:uid="{DA11FCCE-0F1A-4F58-90E1-EAC35C8A63DC}" name="Description" totalsRowDxfId="345" dataCellStyle="Normal TB TO"/>
    <tableColumn id="3" xr3:uid="{C80D0E91-A3ED-4FF7-AE14-28A6F487ADF2}" name="Catégorie" totalsRowDxfId="344" dataCellStyle="Normal CT TO"/>
    <tableColumn id="4" xr3:uid="{84C4D946-7AF9-4AF2-957C-A5491054A43B}" name="Quantité" totalsRowDxfId="343" dataCellStyle="Normal NB TO"/>
    <tableColumn id="11" xr3:uid="{B8F70120-0085-42E6-A9C8-6D8206D9EAA5}" name="Unité" totalsRowDxfId="342" dataCellStyle="Normal CT TO"/>
    <tableColumn id="5" xr3:uid="{DFC40E3A-B9EA-435E-AACB-271BD182585F}" name="Coût | Unitaire" totalsRowLabel="Sous-total" dataDxfId="341" totalsRowDxfId="340" dataCellStyle="Normal $ TO"/>
    <tableColumn id="6" xr3:uid="{93CE1E4F-345F-4208-B100-800AB6D480B9}" name="Total | Budgétaire" totalsRowFunction="sum" dataCellStyle="Normal $ TO V" totalsRowCellStyle="Normal $T 2">
      <calculatedColumnFormula>IF(OR(TO_22[[#This Row],[Catégorie]]="",TO_22[[#This Row],[Catégorie]]="-"),"",ROUNDUP(TO_22[[#This Row],[Quantité]]*TO_22[[#This Row],[Coût | Unitaire]],2))</calculatedColumnFormula>
    </tableColumn>
    <tableColumn id="16" xr3:uid="{0385E325-4930-42CC-9195-235A3143CD94}" name="Addenda" totalsRowDxfId="339" dataCellStyle="Normal CT TO"/>
    <tableColumn id="7" xr3:uid="{203482B3-65F8-4E7B-9957-983415F6E994}" name="Quantité R." totalsRowDxfId="338" dataCellStyle="Normal NB TO"/>
    <tableColumn id="8" xr3:uid="{A9F8351B-F114-4059-8845-C590E76ADA8D}" name="Coût | Unitaire R." totalsRowLabel="Sous-total" dataDxfId="337" totalsRowDxfId="336" dataCellStyle="Normal $ TO"/>
    <tableColumn id="9" xr3:uid="{7199B705-67C1-4DD1-8420-C46238BA1860}" name="Total | Réel" totalsRowFunction="sum" dataCellStyle="Normal $ TO V" totalsRowCellStyle="Normal $T 2">
      <calculatedColumnFormula>IF(OR(TO_22[[#This Row],[Total | Budgétaire]]="",TO_22[[#This Row],[Quantité R.]]=""),IF(TO_22[[#This Row],[Quantité R.]]&gt;0,ROUNDUP(TO_22[[#This Row],[Quantité R.]]*TO_22[[#This Row],[Coût | Unitaire R.]],2),""),ROUNDUP(TO_22[[#This Row],[Quantité R.]]*TO_22[[#This Row],[Coût | Unitaire R.]],2))</calculatedColumnFormula>
    </tableColumn>
    <tableColumn id="10" xr3:uid="{C6B4C92B-670F-40F9-9B60-9208BA4A6259}" name="Résultat" totalsRowFunction="sum" dataCellStyle="Normal $ V" totalsRowCellStyle="Normal $T 2">
      <calculatedColumnFormula>IFERROR(IF(TO_22[[#This Row],[Total | Réel]]="",0-TO_22[[#This Row],[Total | Budgétaire]],IF(TO_22[[#This Row],[Total | Budgétaire]]="",TO_22[[#This Row],[Total | Réel]],TO_22[[#This Row],[Total | Réel]]-TO_22[[#This Row],[Total | Budgétaire]])),"")</calculatedColumnFormula>
    </tableColumn>
  </tableColumns>
  <tableStyleInfo showFirstColumn="0" showLastColumn="0" showRowStripes="0" showColumnStripes="0"/>
</table>
</file>

<file path=xl/tables/table1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9" xr:uid="{B6A66F6A-C25C-41F3-91A1-77DC292F929B}" name="TO_27" displayName="TO_27" ref="A275:L277" totalsRowCount="1" headerRowDxfId="335" headerRowBorderDxfId="334" tableBorderDxfId="333" headerRowCellStyle="Titre TB" totalsRowCellStyle="Normal $T 2">
  <autoFilter ref="A275:L276" xr:uid="{02314940-1F5E-40F6-84E4-04D2220B2C71}"/>
  <tableColumns count="12">
    <tableColumn id="1" xr3:uid="{1A761941-5846-4055-840A-8128AF498A11}" name="ID" totalsRowDxfId="332"/>
    <tableColumn id="2" xr3:uid="{45BC7252-C805-4BDD-9763-446733E5EAE3}" name="Description" totalsRowDxfId="331" dataCellStyle="Normal TB TO"/>
    <tableColumn id="3" xr3:uid="{BCFFD26B-08AF-401B-B40A-62C89BFD43E0}" name="Catégorie" totalsRowDxfId="330" dataCellStyle="Normal CT TO"/>
    <tableColumn id="4" xr3:uid="{99BAB204-8BED-4D5D-9E04-2F54419EB93C}" name="Quantité" totalsRowDxfId="329" dataCellStyle="Normal NB TO"/>
    <tableColumn id="11" xr3:uid="{E3B80A7A-F196-46F3-92C1-562F5BCCECFA}" name="Unité" totalsRowDxfId="328" dataCellStyle="Normal CT TO"/>
    <tableColumn id="5" xr3:uid="{1E30FFE5-A4D1-4EDE-8952-D9019979430B}" name="Coût | Unitaire" totalsRowLabel="Sous-total" dataDxfId="327" totalsRowDxfId="326" dataCellStyle="Normal $ TO"/>
    <tableColumn id="6" xr3:uid="{8C6A3534-6CEE-4368-B855-17C594114B94}" name="Total | Budgétaire" totalsRowFunction="sum" dataCellStyle="Normal $ TO V" totalsRowCellStyle="Normal $T 2">
      <calculatedColumnFormula>IF(OR(TO_27[[#This Row],[Catégorie]]="",TO_27[[#This Row],[Catégorie]]="-"),"",ROUNDUP(TO_27[[#This Row],[Quantité]]*TO_27[[#This Row],[Coût | Unitaire]],2))</calculatedColumnFormula>
    </tableColumn>
    <tableColumn id="16" xr3:uid="{C0EF25CA-226A-4076-8B10-29001D5F4124}" name="Addenda" totalsRowDxfId="325" dataCellStyle="Normal CT TO"/>
    <tableColumn id="7" xr3:uid="{A0E2E4FF-249B-490F-B8B6-0F06CF3602D8}" name="Quantité R." totalsRowDxfId="324" dataCellStyle="Normal NB TO"/>
    <tableColumn id="8" xr3:uid="{9F7970CB-CCD7-4B4F-9627-79B3C19DB437}" name="Coût | Unitaire R." totalsRowLabel="Sous-total" dataDxfId="323" totalsRowDxfId="322" dataCellStyle="Normal $ TO"/>
    <tableColumn id="9" xr3:uid="{603280CE-6F13-41CE-AC88-E8FB6E8331E3}" name="Total | Réel" totalsRowFunction="sum" dataCellStyle="Normal $ TO V" totalsRowCellStyle="Normal $T 2">
      <calculatedColumnFormula>IF(OR(TO_27[[#This Row],[Total | Budgétaire]]="",TO_27[[#This Row],[Quantité R.]]=""),IF(TO_27[[#This Row],[Quantité R.]]&gt;0,ROUNDUP(TO_27[[#This Row],[Quantité R.]]*TO_27[[#This Row],[Coût | Unitaire R.]],2),""),ROUNDUP(TO_27[[#This Row],[Quantité R.]]*TO_27[[#This Row],[Coût | Unitaire R.]],2))</calculatedColumnFormula>
    </tableColumn>
    <tableColumn id="10" xr3:uid="{F3426D35-6B58-41A9-BD65-30343EBBC33A}" name="Résultat" totalsRowFunction="sum" dataCellStyle="Normal $ V" totalsRowCellStyle="Normal $T 2">
      <calculatedColumnFormula>IFERROR(IF(TO_27[[#This Row],[Total | Réel]]="",0-TO_27[[#This Row],[Total | Budgétaire]],IF(TO_27[[#This Row],[Total | Budgétaire]]="",TO_27[[#This Row],[Total | Réel]],TO_27[[#This Row],[Total | Réel]]-TO_27[[#This Row],[Total | Budgétaire]])),"")</calculatedColumnFormula>
    </tableColumn>
  </tableColumns>
  <tableStyleInfo showFirstColumn="0" showLastColumn="0" showRowStripes="0" showColumnStripes="0"/>
</table>
</file>

<file path=xl/tables/table2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0" xr:uid="{BCC2AC23-158C-4C16-9A22-B9D977AE1552}" name="TO_28" displayName="TO_28" ref="A282:L284" totalsRowCount="1" headerRowDxfId="321" headerRowBorderDxfId="320" tableBorderDxfId="319" headerRowCellStyle="Titre TB" totalsRowCellStyle="Normal $T 2">
  <autoFilter ref="A282:L283" xr:uid="{E1989C31-9A75-4B7D-906C-8D4BCF92A7DF}"/>
  <tableColumns count="12">
    <tableColumn id="1" xr3:uid="{EE9EB185-929F-4E5E-ACC3-9366367E36AC}" name="ID" totalsRowDxfId="318"/>
    <tableColumn id="2" xr3:uid="{D71DC56B-FEE4-4C85-83A2-02EAECA68B34}" name="Description" totalsRowDxfId="317" dataCellStyle="Normal TB TO"/>
    <tableColumn id="3" xr3:uid="{FE069AC6-38E3-4739-B64F-76763A3F0D3A}" name="Catégorie" totalsRowDxfId="316" dataCellStyle="Normal CT TO"/>
    <tableColumn id="4" xr3:uid="{2DA49B3D-207B-448B-BBF0-5BE769C6E285}" name="Quantité" totalsRowDxfId="315" dataCellStyle="Normal NB TO"/>
    <tableColumn id="11" xr3:uid="{88B260BE-A0D1-41FB-9BC0-E753B089D321}" name="Unité" totalsRowDxfId="314" dataCellStyle="Normal CT TO"/>
    <tableColumn id="5" xr3:uid="{15D96A83-954E-46E2-AEC1-A1F7901F2419}" name="Coût | Unitaire" totalsRowLabel="Sous-total" dataDxfId="313" totalsRowDxfId="312" dataCellStyle="Normal $ TO"/>
    <tableColumn id="6" xr3:uid="{FA4AD6DC-E3D8-4FB9-AE78-C8BE7C9F5142}" name="Total | Budgétaire" totalsRowFunction="sum" dataCellStyle="Normal $ TO V" totalsRowCellStyle="Normal $T 2">
      <calculatedColumnFormula>IF(OR(TO_28[[#This Row],[Catégorie]]="",TO_28[[#This Row],[Catégorie]]="-"),"",ROUNDUP(TO_28[[#This Row],[Quantité]]*TO_28[[#This Row],[Coût | Unitaire]],2))</calculatedColumnFormula>
    </tableColumn>
    <tableColumn id="16" xr3:uid="{DD8B5352-20D5-4629-B7BC-B9F5FF4D77F5}" name="Addenda" totalsRowDxfId="311" dataCellStyle="Normal CT TO"/>
    <tableColumn id="7" xr3:uid="{EA74C2E2-9E96-446E-B79C-2DD38318B28D}" name="Quantité R." totalsRowDxfId="310" dataCellStyle="Normal NB TO"/>
    <tableColumn id="8" xr3:uid="{69D5153B-66F1-49B8-87F5-3B16D6141EBD}" name="Coût | Unitaire R." totalsRowLabel="Sous-total" dataDxfId="309" totalsRowDxfId="308" dataCellStyle="Normal $ TO"/>
    <tableColumn id="9" xr3:uid="{331DFE38-478D-4AD2-8F19-6171F0C53EED}" name="Total | Réel" totalsRowFunction="sum" dataCellStyle="Normal $ TO V" totalsRowCellStyle="Normal $T 2">
      <calculatedColumnFormula>IF(OR(TO_28[[#This Row],[Total | Budgétaire]]="",TO_28[[#This Row],[Quantité R.]]=""),IF(TO_28[[#This Row],[Quantité R.]]&gt;0,ROUNDUP(TO_28[[#This Row],[Quantité R.]]*TO_28[[#This Row],[Coût | Unitaire R.]],2),""),ROUNDUP(TO_28[[#This Row],[Quantité R.]]*TO_28[[#This Row],[Coût | Unitaire R.]],2))</calculatedColumnFormula>
    </tableColumn>
    <tableColumn id="10" xr3:uid="{7881EAD2-0089-4479-9D79-F4B37424EF90}" name="Résultat" totalsRowFunction="sum" dataCellStyle="Normal $ V" totalsRowCellStyle="Normal $T 2">
      <calculatedColumnFormula>IFERROR(IF(TO_28[[#This Row],[Total | Réel]]="",0-TO_28[[#This Row],[Total | Budgétaire]],IF(TO_28[[#This Row],[Total | Budgétaire]]="",TO_28[[#This Row],[Total | Réel]],TO_28[[#This Row],[Total | Réel]]-TO_28[[#This Row],[Total | Budgétaire]])),"")</calculatedColumnFormula>
    </tableColumn>
  </tableColumns>
  <tableStyleInfo showFirstColumn="0" showLastColumn="0" showRowStripes="0" showColumnStripes="0"/>
</table>
</file>

<file path=xl/tables/table2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1" xr:uid="{67C3FB6F-C4AE-40C0-A943-28C0B4458052}" name="TO_29" displayName="TO_29" ref="A289:L291" totalsRowCount="1" headerRowDxfId="307" headerRowBorderDxfId="306" tableBorderDxfId="305" headerRowCellStyle="Titre TB" totalsRowCellStyle="Normal $T 2">
  <autoFilter ref="A289:L290" xr:uid="{7D1BA55E-769A-4868-9FAD-87E4A0F58AFD}"/>
  <tableColumns count="12">
    <tableColumn id="1" xr3:uid="{8ABE7F6E-18F1-4907-9145-FE20E1B29552}" name="ID" totalsRowDxfId="304"/>
    <tableColumn id="2" xr3:uid="{50C435A2-5E50-403C-B725-593C1F1746D5}" name="Description" totalsRowDxfId="303" dataCellStyle="Normal TB TO"/>
    <tableColumn id="3" xr3:uid="{4C379EFA-78C4-4D49-BE5D-03B117FF60C1}" name="Catégorie" totalsRowDxfId="302" dataCellStyle="Normal CT TO"/>
    <tableColumn id="4" xr3:uid="{ABE62326-FA82-46B2-8A73-190BBBB3F130}" name="Quantité" totalsRowDxfId="301" dataCellStyle="Normal NB TO"/>
    <tableColumn id="11" xr3:uid="{C7858F62-BC68-4AF2-86F1-CE179E05F00B}" name="Unité" totalsRowDxfId="300" dataCellStyle="Normal CT TO"/>
    <tableColumn id="5" xr3:uid="{7753501A-C9F3-4B7B-809B-7615F4266E61}" name="Coût | Unitaire" totalsRowLabel="Sous-total" dataDxfId="299" totalsRowDxfId="298" dataCellStyle="Normal $ TO"/>
    <tableColumn id="6" xr3:uid="{E9337EEA-014E-49E1-A38A-894CF1825C02}" name="Total | Budgétaire" totalsRowFunction="sum" dataCellStyle="Normal $ TO V" totalsRowCellStyle="Normal $T 2">
      <calculatedColumnFormula>IF(OR(TO_29[[#This Row],[Catégorie]]="",TO_29[[#This Row],[Catégorie]]="-"),"",ROUNDUP(TO_29[[#This Row],[Quantité]]*TO_29[[#This Row],[Coût | Unitaire]],2))</calculatedColumnFormula>
    </tableColumn>
    <tableColumn id="16" xr3:uid="{32BBA25A-A3B9-4462-B3EE-281A59BEE9C2}" name="Addenda" totalsRowDxfId="297" dataCellStyle="Normal CT TO"/>
    <tableColumn id="7" xr3:uid="{664999F2-A6C1-4856-863A-A71F994F064F}" name="Quantité R." totalsRowDxfId="296" dataCellStyle="Normal NB TO"/>
    <tableColumn id="8" xr3:uid="{09D334DA-F7C8-4916-B677-B69BC6D38C8E}" name="Coût | Unitaire R." totalsRowLabel="Sous-total" dataDxfId="295" totalsRowDxfId="294" dataCellStyle="Normal $ TO"/>
    <tableColumn id="9" xr3:uid="{82BFC145-9508-4C7D-8791-D9B29B101A3F}" name="Total | Réel" totalsRowFunction="sum" dataCellStyle="Normal $ TO V" totalsRowCellStyle="Normal $T 2">
      <calculatedColumnFormula>IF(OR(TO_29[[#This Row],[Total | Budgétaire]]="",TO_29[[#This Row],[Quantité R.]]=""),IF(TO_29[[#This Row],[Quantité R.]]&gt;0,ROUNDUP(TO_29[[#This Row],[Quantité R.]]*TO_29[[#This Row],[Coût | Unitaire R.]],2),""),ROUNDUP(TO_29[[#This Row],[Quantité R.]]*TO_29[[#This Row],[Coût | Unitaire R.]],2))</calculatedColumnFormula>
    </tableColumn>
    <tableColumn id="10" xr3:uid="{A72A8002-E780-47E5-83FF-4AB86BA0D231}" name="Résultat" totalsRowFunction="sum" dataCellStyle="Normal $ V" totalsRowCellStyle="Normal $T 2">
      <calculatedColumnFormula>IFERROR(IF(TO_29[[#This Row],[Total | Réel]]="",0-TO_29[[#This Row],[Total | Budgétaire]],IF(TO_29[[#This Row],[Total | Budgétaire]]="",TO_29[[#This Row],[Total | Réel]],TO_29[[#This Row],[Total | Réel]]-TO_29[[#This Row],[Total | Budgétaire]])),"")</calculatedColumnFormula>
    </tableColumn>
  </tableColumns>
  <tableStyleInfo showFirstColumn="0" showLastColumn="0" showRowStripes="0" showColumnStripes="0"/>
</table>
</file>

<file path=xl/tables/table2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2" xr:uid="{5D2F2F09-2EB1-4516-B0E0-6D1FE284F8F1}" name="TO_30" displayName="TO_30" ref="A296:L298" totalsRowCount="1" headerRowDxfId="293" headerRowBorderDxfId="292" tableBorderDxfId="291" headerRowCellStyle="Titre TB" totalsRowCellStyle="Normal $T 2">
  <autoFilter ref="A296:L297" xr:uid="{BB8F397E-BDAB-4DE3-94D4-D8D24B42FDE8}"/>
  <tableColumns count="12">
    <tableColumn id="1" xr3:uid="{F977F4AE-5119-41FF-9F0B-C51FD365256D}" name="ID" totalsRowDxfId="290"/>
    <tableColumn id="2" xr3:uid="{6F95ABA1-3FAB-4820-89DB-DDE7EA8B2687}" name="Description" totalsRowDxfId="289" dataCellStyle="Normal TB TO"/>
    <tableColumn id="3" xr3:uid="{8FBFFC97-E63D-49B5-81A4-97A566400C67}" name="Catégorie" totalsRowDxfId="288" dataCellStyle="Normal CT TO"/>
    <tableColumn id="4" xr3:uid="{EAABA9AE-0FD8-4D0A-9F41-DD649E8651F5}" name="Quantité" totalsRowDxfId="287" dataCellStyle="Normal NB TO"/>
    <tableColumn id="11" xr3:uid="{F4F1107C-874C-4DE9-9B0C-C32ED15EE7D4}" name="Unité" totalsRowDxfId="286" dataCellStyle="Normal CT TO"/>
    <tableColumn id="5" xr3:uid="{A900D91F-3BE0-4D65-A7B2-8755C0EB6E20}" name="Coût | Unitaire" totalsRowLabel="Sous-total" dataDxfId="285" totalsRowDxfId="284" dataCellStyle="Normal $ TO"/>
    <tableColumn id="6" xr3:uid="{38035406-0991-4FFA-A347-3C9516D8CED9}" name="Total | Budgétaire" totalsRowFunction="sum" dataCellStyle="Normal $ TO V" totalsRowCellStyle="Normal $T 2">
      <calculatedColumnFormula>IF(OR(TO_30[[#This Row],[Catégorie]]="",TO_30[[#This Row],[Catégorie]]="-"),"",ROUNDUP(TO_30[[#This Row],[Quantité]]*TO_30[[#This Row],[Coût | Unitaire]],2))</calculatedColumnFormula>
    </tableColumn>
    <tableColumn id="16" xr3:uid="{4DB62717-A3C4-4BEF-849F-E92D628D35F1}" name="Addenda" totalsRowDxfId="283" dataCellStyle="Normal CT TO"/>
    <tableColumn id="7" xr3:uid="{22E0F51D-C782-4679-B580-0E4C020FDBDB}" name="Quantité R." totalsRowDxfId="282" dataCellStyle="Normal NB TO"/>
    <tableColumn id="8" xr3:uid="{015C0171-F26E-4BCE-B75B-B57276AF9985}" name="Coût | Unitaire R." totalsRowLabel="Sous-total" dataDxfId="281" totalsRowDxfId="280" dataCellStyle="Normal $ TO"/>
    <tableColumn id="9" xr3:uid="{62B01214-A45F-4A04-A620-04430119D0B9}" name="Total | Réel" totalsRowFunction="sum" dataCellStyle="Normal $ TO V" totalsRowCellStyle="Normal $T 2">
      <calculatedColumnFormula>IF(OR(TO_30[[#This Row],[Total | Budgétaire]]="",TO_30[[#This Row],[Quantité R.]]=""),IF(TO_30[[#This Row],[Quantité R.]]&gt;0,ROUNDUP(TO_30[[#This Row],[Quantité R.]]*TO_30[[#This Row],[Coût | Unitaire R.]],2),""),ROUNDUP(TO_30[[#This Row],[Quantité R.]]*TO_30[[#This Row],[Coût | Unitaire R.]],2))</calculatedColumnFormula>
    </tableColumn>
    <tableColumn id="10" xr3:uid="{63C4EFFD-20A1-4449-B19D-0A64A701F38E}" name="Résultat" totalsRowFunction="sum" dataCellStyle="Normal $ V" totalsRowCellStyle="Normal $T 2">
      <calculatedColumnFormula>IFERROR(IF(TO_30[[#This Row],[Total | Réel]]="",0-TO_30[[#This Row],[Total | Budgétaire]],IF(TO_30[[#This Row],[Total | Budgétaire]]="",TO_30[[#This Row],[Total | Réel]],TO_30[[#This Row],[Total | Réel]]-TO_30[[#This Row],[Total | Budgétaire]])),"")</calculatedColumnFormula>
    </tableColumn>
  </tableColumns>
  <tableStyleInfo showFirstColumn="0" showLastColumn="0" showRowStripes="0" showColumnStripes="0"/>
</table>
</file>

<file path=xl/tables/table2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3" xr:uid="{902DF006-59A2-41A0-A2C6-3CBC06A9CC58}" name="TO_31" displayName="TO_31" ref="A303:L305" totalsRowCount="1" headerRowDxfId="279" headerRowBorderDxfId="278" tableBorderDxfId="277" headerRowCellStyle="Titre TB" totalsRowCellStyle="Normal $T 2">
  <autoFilter ref="A303:L304" xr:uid="{E2779EBB-101A-4196-92BB-3377303E0DE9}"/>
  <tableColumns count="12">
    <tableColumn id="1" xr3:uid="{0FE0288D-4AC8-4644-AC20-B81AC4067FFD}" name="ID" totalsRowDxfId="276"/>
    <tableColumn id="2" xr3:uid="{1FC71979-F20C-47D9-8B6F-AE9C0CE670D4}" name="Description" totalsRowDxfId="275" dataCellStyle="Normal TB TO"/>
    <tableColumn id="3" xr3:uid="{6C4D3C21-61F3-4BA3-86A6-FE1B6A934B3A}" name="Catégorie" totalsRowDxfId="274" dataCellStyle="Normal CT TO"/>
    <tableColumn id="4" xr3:uid="{2F046DC5-9B3D-49EE-BBEA-9F8DC01F1019}" name="Quantité" totalsRowDxfId="273" dataCellStyle="Normal NB TO"/>
    <tableColumn id="11" xr3:uid="{AD2FD28E-E57A-4B61-B03A-E3E4A58BB8D8}" name="Unité" totalsRowDxfId="272" dataCellStyle="Normal CT TO"/>
    <tableColumn id="5" xr3:uid="{A0C73C6D-9018-4343-B3DD-05760C36708E}" name="Coût | Unitaire" totalsRowLabel="Sous-total" dataDxfId="271" totalsRowDxfId="270" dataCellStyle="Normal $ TO"/>
    <tableColumn id="6" xr3:uid="{86AE4B31-7AC3-4855-904F-0619B15B74A0}" name="Total | Budgétaire" totalsRowFunction="sum" dataCellStyle="Normal $ TO V" totalsRowCellStyle="Normal $T 2">
      <calculatedColumnFormula>IF(OR(TO_31[[#This Row],[Catégorie]]="",TO_31[[#This Row],[Catégorie]]="-"),"",ROUNDUP(TO_31[[#This Row],[Quantité]]*TO_31[[#This Row],[Coût | Unitaire]],2))</calculatedColumnFormula>
    </tableColumn>
    <tableColumn id="16" xr3:uid="{55DBACC3-071A-45F5-BC9F-3CD2020B737F}" name="Addenda" totalsRowDxfId="269" dataCellStyle="Normal CT TO"/>
    <tableColumn id="7" xr3:uid="{3360DBA6-9FB0-4199-A94D-DEC1CCFE1343}" name="Quantité R." totalsRowDxfId="268" dataCellStyle="Normal NB TO"/>
    <tableColumn id="8" xr3:uid="{E54393B8-4222-4B6D-8DC2-34C2EE528864}" name="Coût | Unitaire R." totalsRowLabel="Sous-total" dataDxfId="267" totalsRowDxfId="266" dataCellStyle="Normal $ TO"/>
    <tableColumn id="9" xr3:uid="{8D1061E4-A704-42DD-9803-429C01CBAF34}" name="Total | Réel" totalsRowFunction="sum" dataCellStyle="Normal $ TO V" totalsRowCellStyle="Normal $T 2">
      <calculatedColumnFormula>IF(OR(TO_31[[#This Row],[Total | Budgétaire]]="",TO_31[[#This Row],[Quantité R.]]=""),IF(TO_31[[#This Row],[Quantité R.]]&gt;0,ROUNDUP(TO_31[[#This Row],[Quantité R.]]*TO_31[[#This Row],[Coût | Unitaire R.]],2),""),ROUNDUP(TO_31[[#This Row],[Quantité R.]]*TO_31[[#This Row],[Coût | Unitaire R.]],2))</calculatedColumnFormula>
    </tableColumn>
    <tableColumn id="10" xr3:uid="{FE4D7844-D39C-4604-B984-2897380ADA23}" name="Résultat" totalsRowFunction="sum" dataCellStyle="Normal $ V" totalsRowCellStyle="Normal $T 2">
      <calculatedColumnFormula>IFERROR(IF(TO_31[[#This Row],[Total | Réel]]="",0-TO_31[[#This Row],[Total | Budgétaire]],IF(TO_31[[#This Row],[Total | Budgétaire]]="",TO_31[[#This Row],[Total | Réel]],TO_31[[#This Row],[Total | Réel]]-TO_31[[#This Row],[Total | Budgétaire]])),"")</calculatedColumnFormula>
    </tableColumn>
  </tableColumns>
  <tableStyleInfo showFirstColumn="0" showLastColumn="0" showRowStripes="0" showColumnStripes="0"/>
</table>
</file>

<file path=xl/tables/table2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4" xr:uid="{0F40D0C3-9666-4A74-80D8-E8AB5A8BA866}" name="TO_32" displayName="TO_32" ref="A310:L312" totalsRowCount="1" headerRowDxfId="265" headerRowBorderDxfId="264" tableBorderDxfId="263" headerRowCellStyle="Titre TB" totalsRowCellStyle="Normal $T 2">
  <autoFilter ref="A310:L311" xr:uid="{4295429A-3072-410C-A5BD-1B0C14F2134F}"/>
  <tableColumns count="12">
    <tableColumn id="1" xr3:uid="{38E4BBAC-5EB5-4189-ACDF-98C9B7D1A6F2}" name="ID" totalsRowDxfId="262"/>
    <tableColumn id="2" xr3:uid="{CF8893FB-5571-4C9D-960A-F91533BC7804}" name="Description" totalsRowDxfId="261" dataCellStyle="Normal TB TO"/>
    <tableColumn id="3" xr3:uid="{AE761FB7-00EA-4B63-B455-74AB7F31E664}" name="Catégorie" totalsRowDxfId="260" dataCellStyle="Normal CT TO"/>
    <tableColumn id="4" xr3:uid="{A2CCA5BD-1B13-4505-96FE-5596C681931A}" name="Quantité" totalsRowDxfId="259" dataCellStyle="Normal NB TO"/>
    <tableColumn id="11" xr3:uid="{DDC7354D-E2C0-4AD8-A756-84E67D1651ED}" name="Unité" totalsRowDxfId="258" dataCellStyle="Normal CT TO"/>
    <tableColumn id="5" xr3:uid="{D82DD037-D08F-4050-92D6-27EE5C8C4D81}" name="Coût | Unitaire" totalsRowLabel="Sous-total" dataDxfId="257" totalsRowDxfId="256" dataCellStyle="Normal $ TO"/>
    <tableColumn id="6" xr3:uid="{FA5DBD9E-62FE-470B-9D3A-5A13A40B52C6}" name="Total | Budgétaire" totalsRowFunction="sum" dataCellStyle="Normal $ TO V" totalsRowCellStyle="Normal $T 2">
      <calculatedColumnFormula>IF(OR(TO_32[[#This Row],[Catégorie]]="",TO_32[[#This Row],[Catégorie]]="-"),"",ROUNDUP(TO_32[[#This Row],[Quantité]]*TO_32[[#This Row],[Coût | Unitaire]],2))</calculatedColumnFormula>
    </tableColumn>
    <tableColumn id="16" xr3:uid="{E61D64C0-D9BB-4EC6-85F7-7DA38236074F}" name="Addenda" totalsRowDxfId="255" dataCellStyle="Normal CT TO"/>
    <tableColumn id="7" xr3:uid="{AB4A72BE-5E2B-48E4-A373-696AB6A1F0B0}" name="Quantité R." totalsRowDxfId="254" dataCellStyle="Normal NB TO"/>
    <tableColumn id="8" xr3:uid="{6B51B7FE-4741-4611-B93A-9238DD3D99ED}" name="Coût | Unitaire R." totalsRowLabel="Sous-total" dataDxfId="253" totalsRowDxfId="252" dataCellStyle="Normal $ TO"/>
    <tableColumn id="9" xr3:uid="{892A7ED0-A7BA-4558-A1AE-8D53D14EBB77}" name="Total | Réel" totalsRowFunction="sum" dataCellStyle="Normal $ TO V" totalsRowCellStyle="Normal $T 2">
      <calculatedColumnFormula>IF(OR(TO_32[[#This Row],[Total | Budgétaire]]="",TO_32[[#This Row],[Quantité R.]]=""),IF(TO_32[[#This Row],[Quantité R.]]&gt;0,ROUNDUP(TO_32[[#This Row],[Quantité R.]]*TO_32[[#This Row],[Coût | Unitaire R.]],2),""),ROUNDUP(TO_32[[#This Row],[Quantité R.]]*TO_32[[#This Row],[Coût | Unitaire R.]],2))</calculatedColumnFormula>
    </tableColumn>
    <tableColumn id="10" xr3:uid="{EE05D78B-A540-4BCF-820D-E6F6792B614B}" name="Résultat" totalsRowFunction="sum" dataCellStyle="Normal $ V" totalsRowCellStyle="Normal $T 2">
      <calculatedColumnFormula>IFERROR(IF(TO_32[[#This Row],[Total | Réel]]="",0-TO_32[[#This Row],[Total | Budgétaire]],IF(TO_32[[#This Row],[Total | Budgétaire]]="",TO_32[[#This Row],[Total | Réel]],TO_32[[#This Row],[Total | Réel]]-TO_32[[#This Row],[Total | Budgétaire]])),"")</calculatedColumnFormula>
    </tableColumn>
  </tableColumns>
  <tableStyleInfo showFirstColumn="0" showLastColumn="0" showRowStripes="0" showColumnStripes="0"/>
</table>
</file>

<file path=xl/tables/table2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5" xr:uid="{8196D26B-5E77-4886-869C-3975B13C5D40}" name="TO_33" displayName="TO_33" ref="A317:L319" totalsRowCount="1" headerRowDxfId="251" headerRowBorderDxfId="250" tableBorderDxfId="249" headerRowCellStyle="Titre TB" totalsRowCellStyle="Normal $T 2">
  <autoFilter ref="A317:L318" xr:uid="{41D9D68C-5139-4E71-A5FC-2EF2EC363348}"/>
  <tableColumns count="12">
    <tableColumn id="1" xr3:uid="{CD4BD7F7-1974-4F74-9215-D7087AB0F302}" name="ID" totalsRowDxfId="248"/>
    <tableColumn id="2" xr3:uid="{81479A5E-F66E-4B22-A56E-EAB35184DC95}" name="Description" totalsRowDxfId="247" dataCellStyle="Normal TB TO"/>
    <tableColumn id="3" xr3:uid="{7235024C-809F-4B1D-8514-FF3F067A6D79}" name="Catégorie" totalsRowDxfId="246" dataCellStyle="Normal CT TO"/>
    <tableColumn id="4" xr3:uid="{32F21121-A3D0-468E-83D6-C1DD01B4C0E4}" name="Quantité" totalsRowDxfId="245" dataCellStyle="Normal NB TO"/>
    <tableColumn id="11" xr3:uid="{468FA503-F6DE-4B22-8F08-7029A7BA1DA2}" name="Unité" totalsRowDxfId="244" dataCellStyle="Normal CT TO"/>
    <tableColumn id="5" xr3:uid="{AE18749F-FE5B-401F-8D39-1973DAE03A2F}" name="Coût | Unitaire" totalsRowLabel="Sous-total" dataDxfId="243" totalsRowDxfId="242" dataCellStyle="Normal $ TO"/>
    <tableColumn id="6" xr3:uid="{94D11D43-B568-4C6D-BE8B-7119A58F766E}" name="Total | Budgétaire" totalsRowFunction="sum" dataCellStyle="Normal $ TO V" totalsRowCellStyle="Normal $T 2">
      <calculatedColumnFormula>IF(OR(TO_33[[#This Row],[Catégorie]]="",TO_33[[#This Row],[Catégorie]]="-"),"",ROUNDUP(TO_33[[#This Row],[Quantité]]*TO_33[[#This Row],[Coût | Unitaire]],2))</calculatedColumnFormula>
    </tableColumn>
    <tableColumn id="16" xr3:uid="{6E19C1E1-1281-4EFF-9A66-9BA59D564869}" name="Addenda" totalsRowDxfId="241" dataCellStyle="Normal CT TO"/>
    <tableColumn id="7" xr3:uid="{255C4AD8-8E91-4B34-9380-B999E0A0CEBD}" name="Quantité R." totalsRowDxfId="240" dataCellStyle="Normal NB TO"/>
    <tableColumn id="8" xr3:uid="{F40FA8FC-21B0-4704-A7FC-629A96EE6156}" name="Coût | Unitaire R." totalsRowLabel="Sous-total" dataDxfId="239" totalsRowDxfId="238" dataCellStyle="Normal $ TO"/>
    <tableColumn id="9" xr3:uid="{6085EF83-2D99-4503-8DF0-E8D5CAF22E2B}" name="Total | Réel" totalsRowFunction="sum" dataCellStyle="Normal $ TO V" totalsRowCellStyle="Normal $T 2">
      <calculatedColumnFormula>IF(OR(TO_33[[#This Row],[Total | Budgétaire]]="",TO_33[[#This Row],[Quantité R.]]=""),IF(TO_33[[#This Row],[Quantité R.]]&gt;0,ROUNDUP(TO_33[[#This Row],[Quantité R.]]*TO_33[[#This Row],[Coût | Unitaire R.]],2),""),ROUNDUP(TO_33[[#This Row],[Quantité R.]]*TO_33[[#This Row],[Coût | Unitaire R.]],2))</calculatedColumnFormula>
    </tableColumn>
    <tableColumn id="10" xr3:uid="{A5BD604E-101A-43F4-B301-4F87DB6337F4}" name="Résultat" totalsRowFunction="sum" dataCellStyle="Normal $ V" totalsRowCellStyle="Normal $T 2">
      <calculatedColumnFormula>IFERROR(IF(TO_33[[#This Row],[Total | Réel]]="",0-TO_33[[#This Row],[Total | Budgétaire]],IF(TO_33[[#This Row],[Total | Budgétaire]]="",TO_33[[#This Row],[Total | Réel]],TO_33[[#This Row],[Total | Réel]]-TO_33[[#This Row],[Total | Budgétaire]])),"")</calculatedColumnFormula>
    </tableColumn>
  </tableColumns>
  <tableStyleInfo showFirstColumn="0" showLastColumn="0" showRowStripes="0" showColumnStripes="0"/>
</table>
</file>

<file path=xl/tables/table2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6" xr:uid="{45A59B8D-2625-4A12-B311-671AE71685B2}" name="TO_34" displayName="TO_34" ref="A324:L326" totalsRowCount="1" headerRowDxfId="237" headerRowBorderDxfId="236" tableBorderDxfId="235" headerRowCellStyle="Titre TB" totalsRowCellStyle="Normal $T 2">
  <autoFilter ref="A324:L325" xr:uid="{89C45581-156D-40EE-A4E4-6930EB091589}"/>
  <tableColumns count="12">
    <tableColumn id="1" xr3:uid="{3A0D5D90-B952-4B8A-9575-72A432B51242}" name="ID" totalsRowDxfId="234"/>
    <tableColumn id="2" xr3:uid="{464501DB-EFAA-4E2A-B5E6-B3171F8370C5}" name="Description" totalsRowDxfId="233" dataCellStyle="Normal TB TO"/>
    <tableColumn id="3" xr3:uid="{6390CF0C-FCC8-4384-97E5-5B5801A391EF}" name="Catégorie" totalsRowDxfId="232" dataCellStyle="Normal CT TO"/>
    <tableColumn id="4" xr3:uid="{FD2F2322-19F3-4E9F-906C-B0B313408686}" name="Quantité" totalsRowDxfId="231" dataCellStyle="Normal NB TO"/>
    <tableColumn id="11" xr3:uid="{361A0E81-446A-47E0-891A-6C8BA44B11D1}" name="Unité" totalsRowDxfId="230" dataCellStyle="Normal CT TO"/>
    <tableColumn id="5" xr3:uid="{5EBBA3CF-20D2-4B72-98E3-2F553392F797}" name="Coût | Unitaire" totalsRowLabel="Sous-total" dataDxfId="229" totalsRowDxfId="228" dataCellStyle="Normal $ TO"/>
    <tableColumn id="6" xr3:uid="{48826397-8848-40AE-AC6C-17681F74F9E5}" name="Total | Budgétaire" totalsRowFunction="sum" dataCellStyle="Normal $ TO V" totalsRowCellStyle="Normal $T 2">
      <calculatedColumnFormula>IF(OR(TO_34[[#This Row],[Catégorie]]="",TO_34[[#This Row],[Catégorie]]="-"),"",ROUNDUP(TO_34[[#This Row],[Quantité]]*TO_34[[#This Row],[Coût | Unitaire]],2))</calculatedColumnFormula>
    </tableColumn>
    <tableColumn id="16" xr3:uid="{6ECBEC4C-FC03-47F5-9BF2-0F73D823CEB9}" name="Addenda" totalsRowDxfId="227" dataCellStyle="Normal CT TO"/>
    <tableColumn id="7" xr3:uid="{E3815B54-E362-49F3-9F03-EA1DD9A8EDEC}" name="Quantité R." totalsRowDxfId="226" dataCellStyle="Normal NB TO"/>
    <tableColumn id="8" xr3:uid="{FC8CD562-12E8-4677-B631-6F09F8CC2E5B}" name="Coût | Unitaire R." totalsRowLabel="Sous-total" dataDxfId="225" totalsRowDxfId="224" dataCellStyle="Normal $ TO"/>
    <tableColumn id="9" xr3:uid="{F3449D6B-A876-4B19-9A77-9B6F3763B96A}" name="Total | Réel" totalsRowFunction="sum" dataCellStyle="Normal $ TO V" totalsRowCellStyle="Normal $T 2">
      <calculatedColumnFormula>IF(OR(TO_34[[#This Row],[Total | Budgétaire]]="",TO_34[[#This Row],[Quantité R.]]=""),IF(TO_34[[#This Row],[Quantité R.]]&gt;0,ROUNDUP(TO_34[[#This Row],[Quantité R.]]*TO_34[[#This Row],[Coût | Unitaire R.]],2),""),ROUNDUP(TO_34[[#This Row],[Quantité R.]]*TO_34[[#This Row],[Coût | Unitaire R.]],2))</calculatedColumnFormula>
    </tableColumn>
    <tableColumn id="10" xr3:uid="{028B7BA6-01A0-4802-9A17-17D730096BC4}" name="Résultat" totalsRowFunction="sum" dataCellStyle="Normal $ V" totalsRowCellStyle="Normal $T 2">
      <calculatedColumnFormula>IFERROR(IF(TO_34[[#This Row],[Total | Réel]]="",0-TO_34[[#This Row],[Total | Budgétaire]],IF(TO_34[[#This Row],[Total | Budgétaire]]="",TO_34[[#This Row],[Total | Réel]],TO_34[[#This Row],[Total | Réel]]-TO_34[[#This Row],[Total | Budgétaire]])),"")</calculatedColumnFormula>
    </tableColumn>
  </tableColumns>
  <tableStyleInfo showFirstColumn="0" showLastColumn="0" showRowStripes="0" showColumnStripes="0"/>
</table>
</file>

<file path=xl/tables/table2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7" xr:uid="{D44305C4-83EB-493E-93F5-327F8EBFDA32}" name="TO_35" displayName="TO_35" ref="A331:L333" totalsRowCount="1" headerRowDxfId="223" headerRowBorderDxfId="222" tableBorderDxfId="221" headerRowCellStyle="Titre TB" totalsRowCellStyle="Normal $T 2">
  <autoFilter ref="A331:L332" xr:uid="{DCB916E3-97D5-40DA-81F0-08FDD0470456}"/>
  <tableColumns count="12">
    <tableColumn id="1" xr3:uid="{BCCA7078-BCB8-467F-BB7E-BF21BA6F404C}" name="ID" totalsRowDxfId="220"/>
    <tableColumn id="2" xr3:uid="{C4CD0D6D-1016-4A04-85FF-1ECD269BAE0C}" name="Description" totalsRowDxfId="219" dataCellStyle="Normal TB TO"/>
    <tableColumn id="3" xr3:uid="{F029DE2A-25FF-4FD9-87DC-BAAD44E1C848}" name="Catégorie" totalsRowDxfId="218" dataCellStyle="Normal CT TO"/>
    <tableColumn id="4" xr3:uid="{1A75E290-0B6D-46D8-81BC-6FED5DD053EC}" name="Quantité" totalsRowDxfId="217" dataCellStyle="Normal NB TO"/>
    <tableColumn id="11" xr3:uid="{83AAB046-2308-4232-A8FC-3BDE22F206D9}" name="Unité" totalsRowDxfId="216" dataCellStyle="Normal CT TO"/>
    <tableColumn id="5" xr3:uid="{1C8EEFE7-32A0-482B-BD96-19DAC747E928}" name="Coût | Unitaire" totalsRowLabel="Sous-total" dataDxfId="215" totalsRowDxfId="214" dataCellStyle="Normal $ TO"/>
    <tableColumn id="6" xr3:uid="{350E0481-0F78-4056-B6D6-B9E67FDD7261}" name="Total | Budgétaire" totalsRowFunction="sum" dataCellStyle="Normal $ TO V" totalsRowCellStyle="Normal $T 2">
      <calculatedColumnFormula>IF(OR(TO_35[[#This Row],[Catégorie]]="",TO_35[[#This Row],[Catégorie]]="-"),"",ROUNDUP(TO_35[[#This Row],[Quantité]]*TO_35[[#This Row],[Coût | Unitaire]],2))</calculatedColumnFormula>
    </tableColumn>
    <tableColumn id="16" xr3:uid="{8DE953FE-7DDC-4FD7-BC20-79E83FEAE228}" name="Addenda" totalsRowDxfId="213" dataCellStyle="Normal CT TO"/>
    <tableColumn id="7" xr3:uid="{418920DE-EA7F-4733-89A9-CAD540A798E2}" name="Quantité R." totalsRowDxfId="212" dataCellStyle="Normal NB TO"/>
    <tableColumn id="8" xr3:uid="{2C05E654-E66F-41EC-A9CE-024B1E18ADF1}" name="Coût | Unitaire R." totalsRowLabel="Sous-total" dataDxfId="211" totalsRowDxfId="210" dataCellStyle="Normal $ TO"/>
    <tableColumn id="9" xr3:uid="{520A7CCA-5D2C-42B3-913E-2D63B56178D4}" name="Total | Réel" totalsRowFunction="sum" dataCellStyle="Normal $ TO V" totalsRowCellStyle="Normal $T 2">
      <calculatedColumnFormula>IF(OR(TO_35[[#This Row],[Total | Budgétaire]]="",TO_35[[#This Row],[Quantité R.]]=""),IF(TO_35[[#This Row],[Quantité R.]]&gt;0,ROUNDUP(TO_35[[#This Row],[Quantité R.]]*TO_35[[#This Row],[Coût | Unitaire R.]],2),""),ROUNDUP(TO_35[[#This Row],[Quantité R.]]*TO_35[[#This Row],[Coût | Unitaire R.]],2))</calculatedColumnFormula>
    </tableColumn>
    <tableColumn id="10" xr3:uid="{859FFD24-2DE5-4D4B-9ACF-9DC6F7D0313C}" name="Résultat" totalsRowFunction="sum" dataCellStyle="Normal $ V" totalsRowCellStyle="Normal $T 2">
      <calculatedColumnFormula>IFERROR(IF(TO_35[[#This Row],[Total | Réel]]="",0-TO_35[[#This Row],[Total | Budgétaire]],IF(TO_35[[#This Row],[Total | Budgétaire]]="",TO_35[[#This Row],[Total | Réel]],TO_35[[#This Row],[Total | Réel]]-TO_35[[#This Row],[Total | Budgétaire]])),"")</calculatedColumnFormula>
    </tableColumn>
  </tableColumns>
  <tableStyleInfo showFirstColumn="0" showLastColumn="0" showRowStripes="0" showColumnStripes="0"/>
</table>
</file>

<file path=xl/tables/table2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8" xr:uid="{B3CA3B76-EF52-477A-80D2-380085531420}" name="TO_36" displayName="TO_36" ref="A338:L340" totalsRowCount="1" headerRowDxfId="209" headerRowBorderDxfId="208" tableBorderDxfId="207" headerRowCellStyle="Titre TB" totalsRowCellStyle="Normal $T 2">
  <autoFilter ref="A338:L339" xr:uid="{4DB7C607-3EB8-4D71-8826-08BBB4FBF74E}"/>
  <tableColumns count="12">
    <tableColumn id="1" xr3:uid="{1944546F-F8D1-4A63-882C-25C6BAE29532}" name="ID" totalsRowDxfId="206"/>
    <tableColumn id="2" xr3:uid="{F5694889-F08A-402B-BC0A-AF10647CFDC0}" name="Description" totalsRowDxfId="205" dataCellStyle="Normal TB TO"/>
    <tableColumn id="3" xr3:uid="{9AFDAA2A-FE7B-4BF0-BA8D-FD07696B2F02}" name="Catégorie" totalsRowDxfId="204" dataCellStyle="Normal CT TO"/>
    <tableColumn id="4" xr3:uid="{951D1A48-7F2E-43AB-ADA9-72B8136BEE97}" name="Quantité" totalsRowDxfId="203" dataCellStyle="Normal NB TO"/>
    <tableColumn id="11" xr3:uid="{F0B2BAC1-FDDC-4B4E-A66C-0A95B125AE74}" name="Unité" totalsRowDxfId="202" dataCellStyle="Normal CT TO"/>
    <tableColumn id="5" xr3:uid="{C98DAC93-0E89-4943-8FFE-81CA701F2B56}" name="Coût | Unitaire" totalsRowLabel="Sous-total" dataDxfId="201" totalsRowDxfId="200" dataCellStyle="Normal $ TO"/>
    <tableColumn id="6" xr3:uid="{4559352B-864D-4371-8E1F-CA082B02D80C}" name="Total | Budgétaire" totalsRowFunction="sum" dataCellStyle="Normal $ TO V" totalsRowCellStyle="Normal $T 2">
      <calculatedColumnFormula>IF(OR(TO_36[[#This Row],[Catégorie]]="",TO_36[[#This Row],[Catégorie]]="-"),"",ROUNDUP(TO_36[[#This Row],[Quantité]]*TO_36[[#This Row],[Coût | Unitaire]],2))</calculatedColumnFormula>
    </tableColumn>
    <tableColumn id="16" xr3:uid="{975331F4-11A9-4D53-A08D-F67410A76C7F}" name="Addenda" totalsRowDxfId="199" dataCellStyle="Normal CT TO"/>
    <tableColumn id="7" xr3:uid="{19A2E72A-4548-42DC-AE0D-3CEC23F5BEA4}" name="Quantité R." totalsRowDxfId="198" dataCellStyle="Normal NB TO"/>
    <tableColumn id="8" xr3:uid="{A3A0B72F-26C2-45C8-8899-CB32324416C8}" name="Coût | Unitaire R." totalsRowLabel="Sous-total" dataDxfId="197" totalsRowDxfId="196" dataCellStyle="Normal $ TO"/>
    <tableColumn id="9" xr3:uid="{886F227C-E74D-4BE5-A456-19F79BAFD59B}" name="Total | Réel" totalsRowFunction="sum" dataCellStyle="Normal $ TO V" totalsRowCellStyle="Normal $T 2">
      <calculatedColumnFormula>IF(OR(TO_36[[#This Row],[Total | Budgétaire]]="",TO_36[[#This Row],[Quantité R.]]=""),IF(TO_36[[#This Row],[Quantité R.]]&gt;0,ROUNDUP(TO_36[[#This Row],[Quantité R.]]*TO_36[[#This Row],[Coût | Unitaire R.]],2),""),ROUNDUP(TO_36[[#This Row],[Quantité R.]]*TO_36[[#This Row],[Coût | Unitaire R.]],2))</calculatedColumnFormula>
    </tableColumn>
    <tableColumn id="10" xr3:uid="{4D67C85C-6C92-4C3F-8B9E-B5C3C9E025E5}" name="Résultat" totalsRowFunction="sum" dataCellStyle="Normal $ V" totalsRowCellStyle="Normal $T 2">
      <calculatedColumnFormula>IFERROR(IF(TO_36[[#This Row],[Total | Réel]]="",0-TO_36[[#This Row],[Total | Budgétaire]],IF(TO_36[[#This Row],[Total | Budgétaire]]="",TO_36[[#This Row],[Total | Réel]],TO_36[[#This Row],[Total | Réel]]-TO_36[[#This Row],[Total | Budgétaire]])),"")</calculatedColumnFormula>
    </tableColumn>
  </tableColumns>
  <tableStyleInfo showFirstColumn="0" showLastColumn="0" showRowStripes="0" showColumnStripes="0"/>
</table>
</file>

<file path=xl/tables/table2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9" xr:uid="{A1323349-83EC-47DE-9758-82826C83F165}" name="TO_37" displayName="TO_37" ref="A345:L347" totalsRowCount="1" headerRowDxfId="195" headerRowBorderDxfId="194" tableBorderDxfId="193" headerRowCellStyle="Titre TB" totalsRowCellStyle="Normal $T 2">
  <autoFilter ref="A345:L346" xr:uid="{B6BC11F4-7F7B-4E8B-9EFC-97F7EDC089BF}"/>
  <tableColumns count="12">
    <tableColumn id="1" xr3:uid="{F3A479FC-C781-4EF9-A7F5-C8F1F82741E8}" name="ID" totalsRowDxfId="192"/>
    <tableColumn id="2" xr3:uid="{E1D068CB-4E45-4F89-B9E8-56E5FFDD1B90}" name="Description" totalsRowDxfId="191" dataCellStyle="Normal TB TO"/>
    <tableColumn id="3" xr3:uid="{AC52936B-5B50-4B04-8B6B-1D22C552D8E4}" name="Catégorie" totalsRowDxfId="190" dataCellStyle="Normal CT TO"/>
    <tableColumn id="4" xr3:uid="{61BB2ED3-9726-46CB-B331-BE5BC1D68B0B}" name="Quantité" totalsRowDxfId="189" dataCellStyle="Normal NB TO"/>
    <tableColumn id="11" xr3:uid="{873B1597-EBA6-4474-9DE1-AA7A47A71A09}" name="Unité" totalsRowDxfId="188" dataCellStyle="Normal CT TO"/>
    <tableColumn id="5" xr3:uid="{90B844FD-5739-4F09-8B46-3C225FE4717F}" name="Coût | Unitaire" totalsRowLabel="Sous-total" dataDxfId="187" totalsRowDxfId="186" dataCellStyle="Normal $ TO"/>
    <tableColumn id="6" xr3:uid="{CC9AA416-5C1A-4D49-A5BD-789A8AA07611}" name="Total | Budgétaire" totalsRowFunction="sum" dataCellStyle="Normal $ TO V" totalsRowCellStyle="Normal $T 2">
      <calculatedColumnFormula>IF(OR(TO_37[[#This Row],[Catégorie]]="",TO_37[[#This Row],[Catégorie]]="-"),"",ROUNDUP(TO_37[[#This Row],[Quantité]]*TO_37[[#This Row],[Coût | Unitaire]],2))</calculatedColumnFormula>
    </tableColumn>
    <tableColumn id="16" xr3:uid="{C109212B-195B-400D-BE0E-8AC02281CF75}" name="Addenda" totalsRowDxfId="185" dataCellStyle="Normal CT TO"/>
    <tableColumn id="7" xr3:uid="{F12C0606-7BB4-4860-8303-15435B49AF10}" name="Quantité R." totalsRowDxfId="184" dataCellStyle="Normal NB TO"/>
    <tableColumn id="8" xr3:uid="{A242E918-C5DA-4489-8D75-6FBC91977ECD}" name="Coût | Unitaire R." totalsRowLabel="Sous-total" dataDxfId="183" totalsRowDxfId="182" dataCellStyle="Normal $ TO"/>
    <tableColumn id="9" xr3:uid="{7D5D994A-8631-487C-942D-8DB692D874AB}" name="Total | Réel" totalsRowFunction="sum" dataCellStyle="Normal $ TO V" totalsRowCellStyle="Normal $T 2">
      <calculatedColumnFormula>IF(OR(TO_37[[#This Row],[Total | Budgétaire]]="",TO_37[[#This Row],[Quantité R.]]=""),IF(TO_37[[#This Row],[Quantité R.]]&gt;0,ROUNDUP(TO_37[[#This Row],[Quantité R.]]*TO_37[[#This Row],[Coût | Unitaire R.]],2),""),ROUNDUP(TO_37[[#This Row],[Quantité R.]]*TO_37[[#This Row],[Coût | Unitaire R.]],2))</calculatedColumnFormula>
    </tableColumn>
    <tableColumn id="10" xr3:uid="{D4933C0E-1BC4-4E93-A800-E6F34F9E1714}" name="Résultat" totalsRowFunction="sum" dataCellStyle="Normal $ V" totalsRowCellStyle="Normal $T 2">
      <calculatedColumnFormula>IFERROR(IF(TO_37[[#This Row],[Total | Réel]]="",0-TO_37[[#This Row],[Total | Budgétaire]],IF(TO_37[[#This Row],[Total | Budgétaire]]="",TO_37[[#This Row],[Total | Réel]],TO_37[[#This Row],[Total | Réel]]-TO_37[[#This Row],[Total | Budgétaire]])),"")</calculatedColumnFormula>
    </tableColumn>
  </tableColumns>
  <tableStyleInfo showFirstColumn="0" showLastColumn="0" showRowStripes="0" showColumnStripes="0"/>
</table>
</file>

<file path=xl/tables/table3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0" xr:uid="{C5EA6441-EAD5-454E-A117-9AE61CC4406E}" name="TO_38" displayName="TO_38" ref="A352:L354" totalsRowCount="1" headerRowDxfId="181" headerRowBorderDxfId="180" tableBorderDxfId="179" headerRowCellStyle="Titre TB" totalsRowCellStyle="Normal $T 2">
  <autoFilter ref="A352:L353" xr:uid="{F5D5632E-5585-43BC-B6C9-E65355EC2FBA}"/>
  <tableColumns count="12">
    <tableColumn id="1" xr3:uid="{24C0B753-3C68-4B4D-86A5-1638BA0F53B9}" name="ID" totalsRowDxfId="178"/>
    <tableColumn id="2" xr3:uid="{E9FA0739-AF6C-4FAE-8777-06F022840D92}" name="Description" totalsRowDxfId="177" dataCellStyle="Normal TB TO"/>
    <tableColumn id="3" xr3:uid="{1485BB8C-6E98-485D-93F2-39B87A72411D}" name="Catégorie" totalsRowDxfId="176" dataCellStyle="Normal CT TO"/>
    <tableColumn id="4" xr3:uid="{2BB473F3-2F73-43D1-935B-9A02D84E4320}" name="Quantité" totalsRowDxfId="175" dataCellStyle="Normal NB TO"/>
    <tableColumn id="11" xr3:uid="{973B2C6A-19F9-4B20-9EAE-C2AFABB28616}" name="Unité" totalsRowDxfId="174" dataCellStyle="Normal CT TO"/>
    <tableColumn id="5" xr3:uid="{37CAA852-5519-4B7B-8490-164A7686B7D3}" name="Coût | Unitaire" totalsRowLabel="Sous-total" dataDxfId="173" totalsRowDxfId="172" dataCellStyle="Normal $ TO"/>
    <tableColumn id="6" xr3:uid="{8B0BB2CE-912A-4BEC-AEC8-E21ACC429A22}" name="Total | Budgétaire" totalsRowFunction="sum" dataCellStyle="Normal $ TO V" totalsRowCellStyle="Normal $T 2">
      <calculatedColumnFormula>IF(OR(TO_38[[#This Row],[Catégorie]]="",TO_38[[#This Row],[Catégorie]]="-"),"",ROUNDUP(TO_38[[#This Row],[Quantité]]*TO_38[[#This Row],[Coût | Unitaire]],2))</calculatedColumnFormula>
    </tableColumn>
    <tableColumn id="16" xr3:uid="{EB504F9F-F515-416E-9834-37CACE14E8D5}" name="Addenda" totalsRowDxfId="171" dataCellStyle="Normal CT TO"/>
    <tableColumn id="7" xr3:uid="{428C20D4-A889-4C9B-986E-865F4098F9F4}" name="Quantité R." totalsRowDxfId="170" dataCellStyle="Normal NB TO"/>
    <tableColumn id="8" xr3:uid="{524BB10C-B8D7-4078-8AE5-CD10228FF98D}" name="Coût | Unitaire R." totalsRowLabel="Sous-total" dataDxfId="169" totalsRowDxfId="168" dataCellStyle="Normal $ TO"/>
    <tableColumn id="9" xr3:uid="{28D439A7-5841-49C5-AE29-9B0D102B4226}" name="Total | Réel" totalsRowFunction="sum" dataCellStyle="Normal $ TO V" totalsRowCellStyle="Normal $T 2">
      <calculatedColumnFormula>IF(OR(TO_38[[#This Row],[Total | Budgétaire]]="",TO_38[[#This Row],[Quantité R.]]=""),IF(TO_38[[#This Row],[Quantité R.]]&gt;0,ROUNDUP(TO_38[[#This Row],[Quantité R.]]*TO_38[[#This Row],[Coût | Unitaire R.]],2),""),ROUNDUP(TO_38[[#This Row],[Quantité R.]]*TO_38[[#This Row],[Coût | Unitaire R.]],2))</calculatedColumnFormula>
    </tableColumn>
    <tableColumn id="10" xr3:uid="{81D1D391-4C02-4BAF-8728-712F6A8E9035}" name="Résultat" totalsRowFunction="sum" dataCellStyle="Normal $ V" totalsRowCellStyle="Normal $T 2">
      <calculatedColumnFormula>IFERROR(IF(TO_38[[#This Row],[Total | Réel]]="",0-TO_38[[#This Row],[Total | Budgétaire]],IF(TO_38[[#This Row],[Total | Budgétaire]]="",TO_38[[#This Row],[Total | Réel]],TO_38[[#This Row],[Total | Réel]]-TO_38[[#This Row],[Total | Budgétaire]])),"")</calculatedColumnFormula>
    </tableColumn>
  </tableColumns>
  <tableStyleInfo showFirstColumn="0" showLastColumn="0" showRowStripes="0" showColumnStripes="0"/>
</table>
</file>

<file path=xl/tables/table3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1" xr:uid="{D2AE994D-0BD8-4A50-A2D3-0C1F74BE10A7}" name="TO_39" displayName="TO_39" ref="A359:L361" totalsRowCount="1" headerRowDxfId="167" headerRowBorderDxfId="166" tableBorderDxfId="165" headerRowCellStyle="Titre TB" totalsRowCellStyle="Normal $T 2">
  <autoFilter ref="A359:L360" xr:uid="{6BA31FD1-97DF-46FF-842C-883BF8357C83}"/>
  <tableColumns count="12">
    <tableColumn id="1" xr3:uid="{B97E18E0-731B-489B-AE0B-DC2A7969328A}" name="ID" totalsRowDxfId="164"/>
    <tableColumn id="2" xr3:uid="{D30397C9-55BE-4818-80FE-BBE6F26715CA}" name="Description" totalsRowDxfId="163" dataCellStyle="Normal TB TO"/>
    <tableColumn id="3" xr3:uid="{165957FC-0ECE-467C-AA10-EC8922591E80}" name="Catégorie" totalsRowDxfId="162" dataCellStyle="Normal CT TO"/>
    <tableColumn id="4" xr3:uid="{B1187297-CE56-4F17-82D1-617863A5FF9C}" name="Quantité" totalsRowDxfId="161" dataCellStyle="Normal NB TO"/>
    <tableColumn id="11" xr3:uid="{4AAE18DB-C379-46E2-8A0D-1BDC3239A47F}" name="Unité" totalsRowDxfId="160" dataCellStyle="Normal CT TO"/>
    <tableColumn id="5" xr3:uid="{F03D816F-9B49-454E-9DA8-1F7699F10620}" name="Coût | Unitaire" totalsRowLabel="Sous-total" dataDxfId="159" totalsRowDxfId="158" dataCellStyle="Normal $ TO"/>
    <tableColumn id="6" xr3:uid="{7A7DB43D-12B8-4F7C-9694-00CDB2B58931}" name="Total | Budgétaire" totalsRowFunction="sum" dataCellStyle="Normal $ TO V" totalsRowCellStyle="Normal $T 2">
      <calculatedColumnFormula>IF(OR(TO_39[[#This Row],[Catégorie]]="",TO_39[[#This Row],[Catégorie]]="-"),"",ROUNDUP(TO_39[[#This Row],[Quantité]]*TO_39[[#This Row],[Coût | Unitaire]],2))</calculatedColumnFormula>
    </tableColumn>
    <tableColumn id="16" xr3:uid="{456636D8-B4CB-4513-B284-975200F7948F}" name="Addenda" totalsRowDxfId="157" dataCellStyle="Normal CT TO"/>
    <tableColumn id="7" xr3:uid="{2C05D517-1E23-4996-8F82-05874B825077}" name="Quantité R." totalsRowDxfId="156" dataCellStyle="Normal NB TO"/>
    <tableColumn id="8" xr3:uid="{7C03E903-0A63-47B7-912B-FBCDFB135250}" name="Coût | Unitaire R." totalsRowLabel="Sous-total" dataDxfId="155" totalsRowDxfId="154" dataCellStyle="Normal $ TO"/>
    <tableColumn id="9" xr3:uid="{15E25612-3B38-4E52-B7DD-73B341C7706B}" name="Total | Réel" totalsRowFunction="sum" dataCellStyle="Normal $ TO V" totalsRowCellStyle="Normal $T 2">
      <calculatedColumnFormula>IF(OR(TO_39[[#This Row],[Total | Budgétaire]]="",TO_39[[#This Row],[Quantité R.]]=""),IF(TO_39[[#This Row],[Quantité R.]]&gt;0,ROUNDUP(TO_39[[#This Row],[Quantité R.]]*TO_39[[#This Row],[Coût | Unitaire R.]],2),""),ROUNDUP(TO_39[[#This Row],[Quantité R.]]*TO_39[[#This Row],[Coût | Unitaire R.]],2))</calculatedColumnFormula>
    </tableColumn>
    <tableColumn id="10" xr3:uid="{4AE8BDA6-AC1B-4750-A936-90DCE71E0AFD}" name="Résultat" totalsRowFunction="sum" dataCellStyle="Normal $ V" totalsRowCellStyle="Normal $T 2">
      <calculatedColumnFormula>IFERROR(IF(TO_39[[#This Row],[Total | Réel]]="",0-TO_39[[#This Row],[Total | Budgétaire]],IF(TO_39[[#This Row],[Total | Budgétaire]]="",TO_39[[#This Row],[Total | Réel]],TO_39[[#This Row],[Total | Réel]]-TO_39[[#This Row],[Total | Budgétaire]])),"")</calculatedColumnFormula>
    </tableColumn>
  </tableColumns>
  <tableStyleInfo showFirstColumn="0" showLastColumn="0" showRowStripes="0" showColumnStripes="0"/>
</table>
</file>

<file path=xl/tables/table3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2" xr:uid="{6F1385EA-CF92-4D1E-97C5-498DBBAA5891}" name="TO_40" displayName="TO_40" ref="A366:L368" totalsRowCount="1" headerRowDxfId="153" headerRowBorderDxfId="152" tableBorderDxfId="151" headerRowCellStyle="Titre TB" totalsRowCellStyle="Normal $T 2">
  <autoFilter ref="A366:L367" xr:uid="{2E959C0A-35C2-486A-B33B-780F093697CC}"/>
  <tableColumns count="12">
    <tableColumn id="1" xr3:uid="{421F8997-0246-4A7C-B549-D35D6E3798E6}" name="ID" totalsRowDxfId="150"/>
    <tableColumn id="2" xr3:uid="{14640085-ABB3-48AC-9896-E93709F4FAC8}" name="Description" totalsRowDxfId="149" dataCellStyle="Normal TB TO"/>
    <tableColumn id="3" xr3:uid="{2363E409-FCBC-4FAF-BDD4-1DADF6294A6C}" name="Catégorie" totalsRowDxfId="148" dataCellStyle="Normal CT TO"/>
    <tableColumn id="4" xr3:uid="{D38AE112-1A61-40C8-9E9B-C76D8DF0C22D}" name="Quantité" totalsRowDxfId="147" dataCellStyle="Normal NB TO"/>
    <tableColumn id="11" xr3:uid="{C7481AEA-CBCD-4637-84C3-C1BD0E6F0412}" name="Unité" totalsRowDxfId="146" dataCellStyle="Normal CT TO"/>
    <tableColumn id="5" xr3:uid="{46478A1B-AA08-414C-A236-84D4B907F5B4}" name="Coût | Unitaire" totalsRowLabel="Sous-total" dataDxfId="145" totalsRowDxfId="144" dataCellStyle="Normal $ TO"/>
    <tableColumn id="6" xr3:uid="{9D2C1B81-B993-47B5-8977-E10640A0AF65}" name="Total | Budgétaire" totalsRowFunction="sum" dataCellStyle="Normal $ TO V" totalsRowCellStyle="Normal $T 2">
      <calculatedColumnFormula>IF(OR(TO_40[[#This Row],[Catégorie]]="",TO_40[[#This Row],[Catégorie]]="-"),"",ROUNDUP(TO_40[[#This Row],[Quantité]]*TO_40[[#This Row],[Coût | Unitaire]],2))</calculatedColumnFormula>
    </tableColumn>
    <tableColumn id="16" xr3:uid="{180DD1C5-D677-4749-B745-84F672AEDEE1}" name="Addenda" totalsRowDxfId="143" dataCellStyle="Normal CT TO"/>
    <tableColumn id="7" xr3:uid="{96FCD192-B384-4D69-AA15-E353206337AB}" name="Quantité R." totalsRowDxfId="142" dataCellStyle="Normal NB TO"/>
    <tableColumn id="8" xr3:uid="{7860AA54-2C84-4FC7-9366-12E5FC913EF8}" name="Coût | Unitaire R." totalsRowLabel="Sous-total" dataDxfId="141" totalsRowDxfId="140" dataCellStyle="Normal $ TO"/>
    <tableColumn id="9" xr3:uid="{C6264E68-9052-4BC4-8853-E81DD30FC4F6}" name="Total | Réel" totalsRowFunction="sum" dataCellStyle="Normal $ TO V" totalsRowCellStyle="Normal $T 2">
      <calculatedColumnFormula>IF(OR(TO_40[[#This Row],[Total | Budgétaire]]="",TO_40[[#This Row],[Quantité R.]]=""),IF(TO_40[[#This Row],[Quantité R.]]&gt;0,ROUNDUP(TO_40[[#This Row],[Quantité R.]]*TO_40[[#This Row],[Coût | Unitaire R.]],2),""),ROUNDUP(TO_40[[#This Row],[Quantité R.]]*TO_40[[#This Row],[Coût | Unitaire R.]],2))</calculatedColumnFormula>
    </tableColumn>
    <tableColumn id="10" xr3:uid="{6040AA0C-9B71-4F91-AB15-83011D2A74BB}" name="Résultat" totalsRowFunction="sum" dataCellStyle="Normal $ V" totalsRowCellStyle="Normal $T 2">
      <calculatedColumnFormula>IFERROR(IF(TO_40[[#This Row],[Total | Réel]]="",0-TO_40[[#This Row],[Total | Budgétaire]],IF(TO_40[[#This Row],[Total | Budgétaire]]="",TO_40[[#This Row],[Total | Réel]],TO_40[[#This Row],[Total | Réel]]-TO_40[[#This Row],[Total | Budgétaire]])),"")</calculatedColumnFormula>
    </tableColumn>
  </tableColumns>
  <tableStyleInfo showFirstColumn="0" showLastColumn="0" showRowStripes="0" showColumnStripes="0"/>
</table>
</file>

<file path=xl/tables/table3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3" xr:uid="{677B8161-6CA2-4DA5-81C4-C282A4A4A391}" name="TO_41" displayName="TO_41" ref="A373:L375" totalsRowCount="1" headerRowDxfId="139" headerRowBorderDxfId="138" tableBorderDxfId="137" headerRowCellStyle="Titre TB" totalsRowCellStyle="Normal $T 2">
  <autoFilter ref="A373:L374" xr:uid="{3FB4B82F-9C1B-434C-8B08-CD6315E918FF}"/>
  <tableColumns count="12">
    <tableColumn id="1" xr3:uid="{F186D88E-36F9-451E-9649-34193DF9DF94}" name="ID" totalsRowDxfId="136"/>
    <tableColumn id="2" xr3:uid="{0F00203E-E971-4554-9CCB-FA90EBF8AE14}" name="Description" totalsRowDxfId="135" dataCellStyle="Normal TB TO"/>
    <tableColumn id="3" xr3:uid="{C7522F17-B8B9-4E95-A7FE-4A4332747FCE}" name="Catégorie" totalsRowDxfId="134" dataCellStyle="Normal CT TO"/>
    <tableColumn id="4" xr3:uid="{7D26F0EC-3BF1-4EE8-945B-9426BD9C298A}" name="Quantité" totalsRowDxfId="133" dataCellStyle="Normal NB TO"/>
    <tableColumn id="11" xr3:uid="{F0EEC196-27B2-45F6-9160-F1ED8FBB6B7D}" name="Unité" totalsRowDxfId="132" dataCellStyle="Normal CT TO"/>
    <tableColumn id="5" xr3:uid="{F9B70FCC-0F56-45ED-A045-303D237EC179}" name="Coût | Unitaire" totalsRowLabel="Sous-total" dataDxfId="131" totalsRowDxfId="130" dataCellStyle="Normal $ TO"/>
    <tableColumn id="6" xr3:uid="{D6835DF2-A02C-4939-82DB-F6D1D1B2AC9F}" name="Total | Budgétaire" totalsRowFunction="sum" totalsRowDxfId="129" dataCellStyle="Normal $ TO V">
      <calculatedColumnFormula>IF(OR(TO_41[[#This Row],[Catégorie]]="",TO_41[[#This Row],[Catégorie]]="-"),"",ROUNDUP(TO_41[[#This Row],[Quantité]]*TO_41[[#This Row],[Coût | Unitaire]],2))</calculatedColumnFormula>
    </tableColumn>
    <tableColumn id="16" xr3:uid="{25E8060B-2745-494B-A602-EC3DC71B1206}" name="Addenda" totalsRowDxfId="128" dataCellStyle="Normal CT TO"/>
    <tableColumn id="7" xr3:uid="{D8F83491-923E-4B7A-8BF2-29B32E8AD619}" name="Quantité R." totalsRowDxfId="127" dataCellStyle="Normal NB TO"/>
    <tableColumn id="8" xr3:uid="{57D06035-CB7D-4BEC-BF5A-7B473D083955}" name="Coût | Unitaire R." totalsRowLabel="Sous-total" dataDxfId="126" totalsRowDxfId="125" dataCellStyle="Normal $ TO"/>
    <tableColumn id="9" xr3:uid="{715F1DF3-82E8-435A-AE28-655D666A2D1D}" name="Total | Réel" totalsRowFunction="sum" totalsRowDxfId="124" dataCellStyle="Normal $ TO V">
      <calculatedColumnFormula>IF(OR(TO_41[[#This Row],[Total | Budgétaire]]="",TO_41[[#This Row],[Quantité R.]]=""),IF(TO_41[[#This Row],[Quantité R.]]&gt;0,ROUNDUP(TO_41[[#This Row],[Quantité R.]]*TO_41[[#This Row],[Coût | Unitaire R.]],2),""),ROUNDUP(TO_41[[#This Row],[Quantité R.]]*TO_41[[#This Row],[Coût | Unitaire R.]],2))</calculatedColumnFormula>
    </tableColumn>
    <tableColumn id="10" xr3:uid="{26A10FBB-5451-4727-921E-5539551D0ECC}" name="Résultat" totalsRowFunction="sum" totalsRowDxfId="123" dataCellStyle="Normal $ V">
      <calculatedColumnFormula>IFERROR(IF(TO_41[[#This Row],[Total | Réel]]="",0-TO_41[[#This Row],[Total | Budgétaire]],IF(TO_41[[#This Row],[Total | Budgétaire]]="",TO_41[[#This Row],[Total | Réel]],TO_41[[#This Row],[Total | Réel]]-TO_41[[#This Row],[Total | Budgétaire]])),"")</calculatedColumnFormula>
    </tableColumn>
  </tableColumns>
  <tableStyleInfo showFirstColumn="0" showLastColumn="0" showRowStripes="0" showColumnStripes="0"/>
</table>
</file>

<file path=xl/tables/table3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C4502328-FEC0-464A-868D-BBA48A74318C}" name="TO_23" displayName="TO_23" ref="A247:L249" totalsRowCount="1" headerRowDxfId="122" headerRowBorderDxfId="121" tableBorderDxfId="120" headerRowCellStyle="Titre TB" totalsRowCellStyle="Normal $T 2">
  <autoFilter ref="A247:L248" xr:uid="{95092215-3165-486D-AB2C-4B25EB1DE3BB}"/>
  <tableColumns count="12">
    <tableColumn id="1" xr3:uid="{6E5D61D2-04BF-4205-A916-F4593608AA19}" name="ID" totalsRowDxfId="119"/>
    <tableColumn id="2" xr3:uid="{FE93B92D-0700-4248-B1D2-18EC2F1BFF3E}" name="Description" totalsRowDxfId="118" dataCellStyle="Normal TB TO"/>
    <tableColumn id="3" xr3:uid="{1F8179FE-D544-4112-A158-98BF0D20BB6D}" name="Catégorie" totalsRowDxfId="117" dataCellStyle="Normal CT TO"/>
    <tableColumn id="4" xr3:uid="{D52014F1-00CE-460D-B9C0-7D0C8713CB7C}" name="Quantité" totalsRowDxfId="116" dataCellStyle="Normal NB TO"/>
    <tableColumn id="11" xr3:uid="{32A46CD6-2C43-4926-B125-26065FDA84B6}" name="Unité" totalsRowDxfId="115" dataCellStyle="Normal CT TO"/>
    <tableColumn id="5" xr3:uid="{F6A658CA-D809-4625-AF1B-DC507A7BA6D0}" name="Coût | Unitaire" totalsRowLabel="Sous-total" dataDxfId="114" totalsRowDxfId="113" dataCellStyle="Normal $ TO"/>
    <tableColumn id="6" xr3:uid="{30A2607A-EE19-48F1-A73C-232623FBCBEB}" name="Total | Budgétaire" totalsRowFunction="sum" dataCellStyle="Normal $ TO V" totalsRowCellStyle="Normal $T 2">
      <calculatedColumnFormula>IF(OR(TO_23[[#This Row],[Catégorie]]="",TO_23[[#This Row],[Catégorie]]="-"),"",ROUNDUP(TO_23[[#This Row],[Quantité]]*TO_23[[#This Row],[Coût | Unitaire]],2))</calculatedColumnFormula>
    </tableColumn>
    <tableColumn id="16" xr3:uid="{3567245B-DE0F-4F7C-AED9-1B5509ED6ACD}" name="Addenda" totalsRowDxfId="112" dataCellStyle="Normal CT TO"/>
    <tableColumn id="7" xr3:uid="{88CBC1FD-3406-4680-A16D-E2D6B2E00376}" name="Quantité R." totalsRowDxfId="111" dataCellStyle="Normal NB TO"/>
    <tableColumn id="8" xr3:uid="{9F668B8E-2A52-49FC-970C-3D61E180075D}" name="Coût | Unitaire R." totalsRowLabel="Sous-total" dataDxfId="110" totalsRowDxfId="109" dataCellStyle="Normal $ TO"/>
    <tableColumn id="9" xr3:uid="{CCD571AB-C530-48D1-B0E8-7E3DA4CE19C0}" name="Total | Réel" totalsRowFunction="sum" dataCellStyle="Normal $ TO V" totalsRowCellStyle="Normal $T 2">
      <calculatedColumnFormula>IF(OR(TO_23[[#This Row],[Total | Budgétaire]]="",TO_23[[#This Row],[Quantité R.]]=""),IF(TO_23[[#This Row],[Quantité R.]]&gt;0,ROUNDUP(TO_23[[#This Row],[Quantité R.]]*TO_23[[#This Row],[Coût | Unitaire R.]],2),""),ROUNDUP(TO_23[[#This Row],[Quantité R.]]*TO_23[[#This Row],[Coût | Unitaire R.]],2))</calculatedColumnFormula>
    </tableColumn>
    <tableColumn id="10" xr3:uid="{4FF0F346-FB29-4796-8B5D-735F29AD599E}" name="Résultat" totalsRowFunction="sum" dataCellStyle="Normal $ V" totalsRowCellStyle="Normal $T 2">
      <calculatedColumnFormula>IFERROR(IF(TO_23[[#This Row],[Total | Réel]]="",0-TO_23[[#This Row],[Total | Budgétaire]],IF(TO_23[[#This Row],[Total | Budgétaire]]="",TO_23[[#This Row],[Total | Réel]],TO_23[[#This Row],[Total | Réel]]-TO_23[[#This Row],[Total | Budgétaire]])),"")</calculatedColumnFormula>
    </tableColumn>
  </tableColumns>
  <tableStyleInfo showFirstColumn="0" showLastColumn="0" showRowStripes="0" showColumnStripes="0"/>
</table>
</file>

<file path=xl/tables/table3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698C2241-0E1C-4838-AA76-754DBA6E71BE}" name="TO_24" displayName="TO_24" ref="A254:L256" totalsRowCount="1" headerRowDxfId="108" headerRowBorderDxfId="107" tableBorderDxfId="106" headerRowCellStyle="Titre TB" totalsRowCellStyle="Normal $T 2">
  <autoFilter ref="A254:L255" xr:uid="{74A41AE8-64A1-43AF-BD4C-09F42DF70DE1}"/>
  <tableColumns count="12">
    <tableColumn id="1" xr3:uid="{3A18DA8D-BF1D-4CB3-94D9-54660346D777}" name="ID" totalsRowDxfId="105"/>
    <tableColumn id="2" xr3:uid="{07E55F0F-0AFD-47E7-A805-4074E1780342}" name="Description" totalsRowDxfId="104" dataCellStyle="Normal TB TO"/>
    <tableColumn id="3" xr3:uid="{E69C4237-66FD-47D3-ADBC-CDF7ED0366D1}" name="Catégorie" totalsRowDxfId="103" dataCellStyle="Normal CT TO"/>
    <tableColumn id="4" xr3:uid="{C4942B63-B848-482C-B612-6D2C421DE8E0}" name="Quantité" totalsRowDxfId="102" dataCellStyle="Normal NB TO"/>
    <tableColumn id="11" xr3:uid="{F239E4C0-D5DD-42D0-9384-8729880FB55C}" name="Unité" totalsRowDxfId="101" dataCellStyle="Normal CT TO"/>
    <tableColumn id="5" xr3:uid="{D55326D7-52AC-4FE7-BC90-6C838C151431}" name="Coût | Unitaire" totalsRowLabel="Sous-total" dataDxfId="100" totalsRowDxfId="99" dataCellStyle="Normal $ TO"/>
    <tableColumn id="6" xr3:uid="{14FA066D-1EEA-488E-8D6C-AD10D9D4A47A}" name="Total | Budgétaire" totalsRowFunction="sum" dataCellStyle="Normal $ TO V" totalsRowCellStyle="Normal $T 2">
      <calculatedColumnFormula>IF(OR(TO_24[[#This Row],[Catégorie]]="",TO_24[[#This Row],[Catégorie]]="-"),"",ROUNDUP(TO_24[[#This Row],[Quantité]]*TO_24[[#This Row],[Coût | Unitaire]],2))</calculatedColumnFormula>
    </tableColumn>
    <tableColumn id="16" xr3:uid="{3E89AC85-BC82-46B1-953E-3A7E2828ACAD}" name="Addenda" totalsRowDxfId="98" dataCellStyle="Normal CT TO"/>
    <tableColumn id="7" xr3:uid="{3888FB36-B543-4713-8E05-DD6A7D210427}" name="Quantité R." totalsRowDxfId="97" dataCellStyle="Normal NB TO"/>
    <tableColumn id="8" xr3:uid="{CE21B808-AA32-4729-8087-3163EC1F07AA}" name="Coût | Unitaire R." totalsRowLabel="Sous-total" dataDxfId="96" totalsRowDxfId="95" dataCellStyle="Normal $ TO"/>
    <tableColumn id="9" xr3:uid="{1972254C-B462-44BA-90D8-B82FFA253EC7}" name="Total | Réel" totalsRowFunction="sum" dataCellStyle="Normal $ TO V" totalsRowCellStyle="Normal $T 2">
      <calculatedColumnFormula>IF(OR(TO_24[[#This Row],[Total | Budgétaire]]="",TO_24[[#This Row],[Quantité R.]]=""),IF(TO_24[[#This Row],[Quantité R.]]&gt;0,ROUNDUP(TO_24[[#This Row],[Quantité R.]]*TO_24[[#This Row],[Coût | Unitaire R.]],2),""),ROUNDUP(TO_24[[#This Row],[Quantité R.]]*TO_24[[#This Row],[Coût | Unitaire R.]],2))</calculatedColumnFormula>
    </tableColumn>
    <tableColumn id="10" xr3:uid="{5EE011E9-0C57-4D5E-AAF9-B89422D58875}" name="Résultat" totalsRowFunction="sum" dataCellStyle="Normal $ V" totalsRowCellStyle="Normal $T 2">
      <calculatedColumnFormula>IFERROR(IF(TO_24[[#This Row],[Total | Réel]]="",0-TO_24[[#This Row],[Total | Budgétaire]],IF(TO_24[[#This Row],[Total | Budgétaire]]="",TO_24[[#This Row],[Total | Réel]],TO_24[[#This Row],[Total | Réel]]-TO_24[[#This Row],[Total | Budgétaire]])),"")</calculatedColumnFormula>
    </tableColumn>
  </tableColumns>
  <tableStyleInfo showFirstColumn="0" showLastColumn="0" showRowStripes="0" showColumnStripes="0"/>
</table>
</file>

<file path=xl/tables/table3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03B5FCA3-E365-494F-A579-AF3A4E2A49F1}" name="TO_25" displayName="TO_25" ref="A261:L263" totalsRowCount="1" headerRowDxfId="94" headerRowBorderDxfId="93" tableBorderDxfId="92" headerRowCellStyle="Titre TB" totalsRowCellStyle="Normal $T 2">
  <autoFilter ref="A261:L262" xr:uid="{7D46A456-7B26-49FF-AD05-D07DA9C545DB}"/>
  <tableColumns count="12">
    <tableColumn id="1" xr3:uid="{7BB1B9DE-B182-4FD0-924A-1D4EA7E80FD0}" name="ID" totalsRowDxfId="91"/>
    <tableColumn id="2" xr3:uid="{D95FC888-5421-4B1D-939C-132E20680FEC}" name="Description" totalsRowDxfId="90" dataCellStyle="Normal TB TO"/>
    <tableColumn id="3" xr3:uid="{4EDB74EF-0119-43D8-9889-25F75ED24A05}" name="Catégorie" totalsRowDxfId="89" dataCellStyle="Normal CT TO"/>
    <tableColumn id="4" xr3:uid="{844E0F16-812C-40A5-9530-96EDF7ED9D96}" name="Quantité" totalsRowDxfId="88" dataCellStyle="Normal NB TO"/>
    <tableColumn id="11" xr3:uid="{8D3CDFB2-6C23-4DEC-A90F-EEDE254BC3F5}" name="Unité" totalsRowDxfId="87" dataCellStyle="Normal CT TO"/>
    <tableColumn id="5" xr3:uid="{3908B84F-EFC8-4BD7-BB1D-7B6E10E2B751}" name="Coût | Unitaire" totalsRowLabel="Sous-total" dataDxfId="86" totalsRowDxfId="85" dataCellStyle="Normal $ TO"/>
    <tableColumn id="6" xr3:uid="{883E24EB-27EF-470F-8C95-F07C9CA2C47F}" name="Total | Budgétaire" totalsRowFunction="sum" dataCellStyle="Normal $ TO V" totalsRowCellStyle="Normal $T 2">
      <calculatedColumnFormula>IF(OR(TO_25[[#This Row],[Catégorie]]="",TO_25[[#This Row],[Catégorie]]="-"),"",ROUNDUP(TO_25[[#This Row],[Quantité]]*TO_25[[#This Row],[Coût | Unitaire]],2))</calculatedColumnFormula>
    </tableColumn>
    <tableColumn id="16" xr3:uid="{190262A1-17FC-4F7E-99AB-377532D64660}" name="Addenda" totalsRowDxfId="84" dataCellStyle="Normal CT TO"/>
    <tableColumn id="7" xr3:uid="{731A249E-2BFC-4375-9FBA-ACFEA16D59CD}" name="Quantité R." totalsRowDxfId="83" dataCellStyle="Normal NB TO"/>
    <tableColumn id="8" xr3:uid="{7874731C-DA37-44DE-BDE2-947D2E2E9896}" name="Coût | Unitaire R." totalsRowLabel="Sous-total" dataDxfId="82" totalsRowDxfId="81" dataCellStyle="Normal $ TO"/>
    <tableColumn id="9" xr3:uid="{0880A8AF-06F2-4E5E-A7D8-E8D9475B2EBA}" name="Total | Réel" totalsRowFunction="sum" dataCellStyle="Normal $ TO V" totalsRowCellStyle="Normal $T 2">
      <calculatedColumnFormula>IF(OR(TO_25[[#This Row],[Total | Budgétaire]]="",TO_25[[#This Row],[Quantité R.]]=""),IF(TO_25[[#This Row],[Quantité R.]]&gt;0,ROUNDUP(TO_25[[#This Row],[Quantité R.]]*TO_25[[#This Row],[Coût | Unitaire R.]],2),""),ROUNDUP(TO_25[[#This Row],[Quantité R.]]*TO_25[[#This Row],[Coût | Unitaire R.]],2))</calculatedColumnFormula>
    </tableColumn>
    <tableColumn id="10" xr3:uid="{FE4781C4-3450-4757-AA55-1390900C0AAB}" name="Résultat" totalsRowFunction="sum" dataCellStyle="Normal $ V" totalsRowCellStyle="Normal $T 2">
      <calculatedColumnFormula>IFERROR(IF(TO_25[[#This Row],[Total | Réel]]="",0-TO_25[[#This Row],[Total | Budgétaire]],IF(TO_25[[#This Row],[Total | Budgétaire]]="",TO_25[[#This Row],[Total | Réel]],TO_25[[#This Row],[Total | Réel]]-TO_25[[#This Row],[Total | Budgétaire]])),"")</calculatedColumnFormula>
    </tableColumn>
  </tableColumns>
  <tableStyleInfo showFirstColumn="0" showLastColumn="0" showRowStripes="0" showColumnStripes="0"/>
</table>
</file>

<file path=xl/tables/table3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C590A978-B41C-43D2-825B-EA1B5108524C}" name="TO_26" displayName="TO_26" ref="A268:L270" totalsRowCount="1" headerRowDxfId="80" headerRowBorderDxfId="79" tableBorderDxfId="78" headerRowCellStyle="Titre TB" totalsRowCellStyle="Normal $T 2">
  <autoFilter ref="A268:L269" xr:uid="{B66C61E9-8C28-4B99-BC0E-62EE318552E4}"/>
  <tableColumns count="12">
    <tableColumn id="1" xr3:uid="{AF2D143B-B8FA-4C59-B8F4-537F5856EDA6}" name="ID" totalsRowDxfId="77"/>
    <tableColumn id="2" xr3:uid="{E962FE55-FC3E-41BF-9CEB-D0DFB620C59C}" name="Description" totalsRowDxfId="76" dataCellStyle="Normal TB TO"/>
    <tableColumn id="3" xr3:uid="{286A21D6-1368-4DE3-8673-EB69A3E96B00}" name="Catégorie" totalsRowDxfId="75" dataCellStyle="Normal CT TO"/>
    <tableColumn id="4" xr3:uid="{73D463E3-2D60-41DF-BB6E-37C182836038}" name="Quantité" totalsRowDxfId="74" dataCellStyle="Normal NB TO"/>
    <tableColumn id="11" xr3:uid="{925C0AFF-DE76-44AF-A40D-C2DE67A44DFC}" name="Unité" totalsRowDxfId="73" dataCellStyle="Normal CT TO"/>
    <tableColumn id="5" xr3:uid="{D5625C00-1F5D-4ACB-A9D9-839E19C9A684}" name="Coût | Unitaire" totalsRowLabel="Sous-total" dataDxfId="72" totalsRowDxfId="71" dataCellStyle="Normal $ TO"/>
    <tableColumn id="6" xr3:uid="{AFE6E9D2-8AED-475F-9808-DF171A5BC2F4}" name="Total | Budgétaire" totalsRowFunction="sum" dataCellStyle="Normal $ TO V" totalsRowCellStyle="Normal $T 2">
      <calculatedColumnFormula>IF(OR(TO_26[[#This Row],[Catégorie]]="",TO_26[[#This Row],[Catégorie]]="-"),"",ROUNDUP(TO_26[[#This Row],[Quantité]]*TO_26[[#This Row],[Coût | Unitaire]],2))</calculatedColumnFormula>
    </tableColumn>
    <tableColumn id="16" xr3:uid="{4FC1593B-4393-479E-A00E-2A85FEBC9062}" name="Addenda" totalsRowDxfId="70" dataCellStyle="Normal CT TO"/>
    <tableColumn id="7" xr3:uid="{D5A124B8-48CF-44A0-B72D-1629F5AD5990}" name="Quantité R." totalsRowDxfId="69" dataCellStyle="Normal NB TO"/>
    <tableColumn id="8" xr3:uid="{4149ED45-8C9A-4AED-A519-DABB3922DAAC}" name="Coût | Unitaire R." totalsRowLabel="Sous-total" dataDxfId="68" totalsRowDxfId="67" dataCellStyle="Normal $ TO"/>
    <tableColumn id="9" xr3:uid="{9EEFA7D6-CA37-4D32-AF45-3429665EB44C}" name="Total | Réel" totalsRowFunction="sum" dataCellStyle="Normal $ TO V" totalsRowCellStyle="Normal $T 2">
      <calculatedColumnFormula>IF(OR(TO_26[[#This Row],[Total | Budgétaire]]="",TO_26[[#This Row],[Quantité R.]]=""),IF(TO_26[[#This Row],[Quantité R.]]&gt;0,ROUNDUP(TO_26[[#This Row],[Quantité R.]]*TO_26[[#This Row],[Coût | Unitaire R.]],2),""),ROUNDUP(TO_26[[#This Row],[Quantité R.]]*TO_26[[#This Row],[Coût | Unitaire R.]],2))</calculatedColumnFormula>
    </tableColumn>
    <tableColumn id="10" xr3:uid="{2FC7B87B-08C8-4659-9231-E772F66C21D3}" name="Résultat" totalsRowFunction="sum" dataCellStyle="Normal $ V" totalsRowCellStyle="Normal $T 2">
      <calculatedColumnFormula>IFERROR(IF(TO_26[[#This Row],[Total | Réel]]="",0-TO_26[[#This Row],[Total | Budgétaire]],IF(TO_26[[#This Row],[Total | Budgétaire]]="",TO_26[[#This Row],[Total | Réel]],TO_26[[#This Row],[Total | Réel]]-TO_26[[#This Row],[Total | Budgétaire]])),"")</calculatedColumnFormula>
    </tableColumn>
  </tableColumns>
  <tableStyleInfo showFirstColumn="0" showLastColumn="0" showRowStripes="0" showColumnStripes="0"/>
</table>
</file>

<file path=xl/tables/table3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4" xr:uid="{1C7421F7-10F1-4E82-AD66-988BFE1C59B5}" name="TO_18" displayName="TO_18" ref="A212:L214" totalsRowCount="1" headerRowDxfId="66" headerRowBorderDxfId="65" tableBorderDxfId="64" headerRowCellStyle="Titre TB" totalsRowCellStyle="Normal $T 2">
  <autoFilter ref="A212:L213" xr:uid="{A660BBA2-3468-4401-BD1D-A1287A928AA1}"/>
  <tableColumns count="12">
    <tableColumn id="1" xr3:uid="{236B2F00-B384-4F8F-B210-4814A1760AC4}" name="ID" totalsRowDxfId="63"/>
    <tableColumn id="2" xr3:uid="{987EEC63-2C68-4670-B159-C601F3EFBA0B}" name="Description" totalsRowDxfId="62" dataCellStyle="Normal TB TO"/>
    <tableColumn id="3" xr3:uid="{0E7DA465-A02E-4A12-AE2F-74C8244E4E72}" name="Catégorie" totalsRowDxfId="61" dataCellStyle="Normal CT TO"/>
    <tableColumn id="4" xr3:uid="{27FC529F-2BE0-4D19-9229-01F941DAE0F0}" name="Quantité" totalsRowDxfId="60" dataCellStyle="Normal NB TO"/>
    <tableColumn id="11" xr3:uid="{5612547E-FFF9-4F14-91CA-6C5FDBA9E0C2}" name="Unité" totalsRowDxfId="59" dataCellStyle="Normal CT TO"/>
    <tableColumn id="5" xr3:uid="{2A65C637-12FA-4E66-838A-C8916214C8A0}" name="Coût | Unitaire" totalsRowLabel="Sous-total" dataDxfId="58" totalsRowDxfId="57" dataCellStyle="Normal $ TO"/>
    <tableColumn id="6" xr3:uid="{00B60F97-21DC-448F-96F9-3CBFD3505678}" name="Total | Budgétaire" totalsRowFunction="sum" dataCellStyle="Normal $ TO V" totalsRowCellStyle="Normal $T 2">
      <calculatedColumnFormula>IF(OR(TO_18[[#This Row],[Catégorie]]="",TO_18[[#This Row],[Catégorie]]="-"),"",ROUNDUP(TO_18[[#This Row],[Quantité]]*TO_18[[#This Row],[Coût | Unitaire]],2))</calculatedColumnFormula>
    </tableColumn>
    <tableColumn id="16" xr3:uid="{FD1592B1-1D9C-4417-AD21-7BE1756DB8E5}" name="Addenda" totalsRowDxfId="56" dataCellStyle="Normal CT TO"/>
    <tableColumn id="7" xr3:uid="{71831C92-AE7D-4B1A-B715-8CDD4EFFC274}" name="Quantité R." totalsRowDxfId="55" dataCellStyle="Normal NB TO"/>
    <tableColumn id="8" xr3:uid="{69F82C22-3EC0-4023-BFDD-177272269B68}" name="Coût | Unitaire R." totalsRowLabel="Sous-total" dataDxfId="54" totalsRowDxfId="53" dataCellStyle="Normal $ TO"/>
    <tableColumn id="9" xr3:uid="{13F27E8E-3762-4C01-9C99-53CBFAAC60A4}" name="Total | Réel" totalsRowFunction="sum" dataCellStyle="Normal $ TO V" totalsRowCellStyle="Normal $T 2">
      <calculatedColumnFormula>IF(OR(TO_18[[#This Row],[Total | Budgétaire]]="",TO_18[[#This Row],[Quantité R.]]=""),IF(TO_18[[#This Row],[Quantité R.]]&gt;0,ROUNDUP(TO_18[[#This Row],[Quantité R.]]*TO_18[[#This Row],[Coût | Unitaire R.]],2),""),ROUNDUP(TO_18[[#This Row],[Quantité R.]]*TO_18[[#This Row],[Coût | Unitaire R.]],2))</calculatedColumnFormula>
    </tableColumn>
    <tableColumn id="10" xr3:uid="{DEA9AF88-E0A4-4F24-885A-87B08A51C720}" name="Résultat" totalsRowFunction="sum" dataCellStyle="Normal $ V" totalsRowCellStyle="Normal $T 2">
      <calculatedColumnFormula>IFERROR(IF(TO_18[[#This Row],[Total | Réel]]="",0-TO_18[[#This Row],[Total | Budgétaire]],IF(TO_18[[#This Row],[Total | Budgétaire]]="",TO_18[[#This Row],[Total | Réel]],TO_18[[#This Row],[Total | Réel]]-TO_18[[#This Row],[Total | Budgétaire]])),"")</calculatedColumnFormula>
    </tableColumn>
  </tableColumns>
  <tableStyleInfo showFirstColumn="0" showLastColumn="0" showRowStripes="0" showColumnStripes="0"/>
</table>
</file>

<file path=xl/tables/table3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6" xr:uid="{FFA9CB12-3F7F-448F-9A57-F5EB01DFF0C3}" name="TO_3" displayName="TO_3" ref="A107:L109" totalsRowCount="1" headerRowDxfId="52" headerRowBorderDxfId="51" tableBorderDxfId="50" headerRowCellStyle="Titre TB" totalsRowCellStyle="Normal $T 2">
  <autoFilter ref="A107:L108" xr:uid="{305966B6-82B2-4375-A6A9-FEAA340AD8B3}"/>
  <tableColumns count="12">
    <tableColumn id="1" xr3:uid="{81E5C383-2A6A-4AC9-B9F1-DD43B97D2A4B}" name="ID" totalsRowDxfId="49"/>
    <tableColumn id="2" xr3:uid="{C8B13BB7-008F-47BD-9D92-B936FE3F7E14}" name="Description" totalsRowDxfId="48" dataCellStyle="Normal TB TO"/>
    <tableColumn id="3" xr3:uid="{AAEC0EFE-2099-433C-A92C-63B21DD117BD}" name="Catégorie" totalsRowDxfId="47" dataCellStyle="Normal CT TO"/>
    <tableColumn id="4" xr3:uid="{2EC5961A-7A85-40D3-AD19-CF6CA30647FA}" name="Quantité" totalsRowDxfId="46" dataCellStyle="Normal NB TO"/>
    <tableColumn id="11" xr3:uid="{5C705CB1-980E-458D-84EE-782032077077}" name="Unité" totalsRowDxfId="45" dataCellStyle="Normal CT TO"/>
    <tableColumn id="5" xr3:uid="{7E134533-BBE3-4828-9CDE-EF707D5153BB}" name="Coût | Unitaire" totalsRowLabel="Sous-total" dataDxfId="44" totalsRowDxfId="43" dataCellStyle="Normal $ TO"/>
    <tableColumn id="6" xr3:uid="{E2046815-141A-4E0A-A24F-61A7891E913D}" name="Total | Budgétaire" totalsRowFunction="sum" totalsRowDxfId="42" dataCellStyle="Normal $ TO V">
      <calculatedColumnFormula>IF(OR(TO_3[[#This Row],[Catégorie]]="",TO_3[[#This Row],[Catégorie]]="-"),"",ROUNDUP(TO_3[[#This Row],[Quantité]]*TO_3[[#This Row],[Coût | Unitaire]],2))</calculatedColumnFormula>
    </tableColumn>
    <tableColumn id="16" xr3:uid="{2CBA1126-FEB3-410E-BA51-FDA0DE36FFE6}" name="Addenda" totalsRowDxfId="41" dataCellStyle="Normal CT TO"/>
    <tableColumn id="7" xr3:uid="{CBBD7CAC-5F5F-4C01-8528-07E78D2509F3}" name="Quantité R." totalsRowDxfId="40" dataCellStyle="Normal NB TO"/>
    <tableColumn id="8" xr3:uid="{62F8C1C4-6946-4751-BE2D-D5907D091359}" name="Coût | Unitaire R." totalsRowLabel="Sous-total" dataDxfId="39" totalsRowDxfId="38" dataCellStyle="Normal $ TO"/>
    <tableColumn id="9" xr3:uid="{9E9870F3-2554-4EDC-A74A-E8EE73685123}" name="Total | Réel" totalsRowFunction="sum" totalsRowDxfId="37" dataCellStyle="Normal $ TO V">
      <calculatedColumnFormula>IF(OR(TO_3[[#This Row],[Total | Budgétaire]]="",TO_3[[#This Row],[Quantité R.]]=""),IF(TO_3[[#This Row],[Quantité R.]]&gt;0,ROUNDUP(TO_3[[#This Row],[Quantité R.]]*TO_3[[#This Row],[Coût | Unitaire R.]],2),""),ROUNDUP(TO_3[[#This Row],[Quantité R.]]*TO_3[[#This Row],[Coût | Unitaire R.]],2))</calculatedColumnFormula>
    </tableColumn>
    <tableColumn id="10" xr3:uid="{CEAF39D8-0343-43A0-ACBE-8C53962193A4}" name="Résultat" totalsRowFunction="sum" totalsRowDxfId="36" dataCellStyle="Normal $ V">
      <calculatedColumnFormula>IFERROR(IF(TO_3[[#This Row],[Total | Réel]]="",0-TO_3[[#This Row],[Total | Budgétaire]],IF(TO_3[[#This Row],[Total | Budgétaire]]="",TO_3[[#This Row],[Total | Réel]],TO_3[[#This Row],[Total | Réel]]-TO_3[[#This Row],[Total | Budgétaire]])),"")</calculatedColumnFormula>
    </tableColumn>
  </tableColumns>
  <tableStyleInfo showFirstColumn="0" showLastColumn="0" showRowStripes="0" showColumnStripes="0"/>
</table>
</file>

<file path=xl/tables/table4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5" xr:uid="{93D3EB40-8428-4862-ADAD-2E0B86EF99D1}" name="TO_1" displayName="TO_1" ref="A41:L59" totalsRowCount="1" headerRowDxfId="35" headerRowBorderDxfId="34" tableBorderDxfId="33" headerRowCellStyle="Titre TB" totalsRowCellStyle="Normal $T 2">
  <autoFilter ref="A41:L58" xr:uid="{A6A1F327-878F-412A-9365-7A1BD3AE6905}"/>
  <tableColumns count="12">
    <tableColumn id="1" xr3:uid="{EFA1A860-3579-4E34-8FB4-B41D775A2DFD}" name="ID" totalsRowDxfId="11"/>
    <tableColumn id="2" xr3:uid="{981DBFA0-CA96-4588-B834-999858E835FD}" name="Description" totalsRowDxfId="10" dataCellStyle="Normal TB TO"/>
    <tableColumn id="3" xr3:uid="{B4E6C4AE-61AB-4E25-B05D-FFA1B2443561}" name="Catégorie" totalsRowDxfId="9" dataCellStyle="Normal CT TO"/>
    <tableColumn id="4" xr3:uid="{73C8280B-BF4E-4B02-BC6B-6A732D606D8B}" name="Quantité" totalsRowDxfId="8" dataCellStyle="Normal NB TO"/>
    <tableColumn id="11" xr3:uid="{084C7DFA-FDE1-4301-9042-9DB5B71D1ADC}" name="Unité" totalsRowDxfId="7" dataCellStyle="Normal CT TO"/>
    <tableColumn id="5" xr3:uid="{811DA811-5215-4EAC-BD4B-F90BCE4D4AAA}" name="Coût | Unitaire" totalsRowLabel="Sous-total" dataDxfId="27" totalsRowDxfId="6" dataCellStyle="Normal $ TO"/>
    <tableColumn id="6" xr3:uid="{E71146F8-54E4-4D02-932D-8EE5046B17AD}" name="Total | Budgétaire" totalsRowFunction="sum" totalsRowDxfId="5" dataCellStyle="Normal $ TO V">
      <calculatedColumnFormula>IF(OR(TO_1[[#This Row],[Catégorie]]="",TO_1[[#This Row],[Catégorie]]="-"),"",ROUNDUP(TO_1[[#This Row],[Quantité]]*TO_1[[#This Row],[Coût | Unitaire]],2))</calculatedColumnFormula>
    </tableColumn>
    <tableColumn id="16" xr3:uid="{423E4755-CF20-4793-82CB-46E1469BA361}" name="Addenda" totalsRowDxfId="4" dataCellStyle="Normal CT TO"/>
    <tableColumn id="7" xr3:uid="{0E6B43A5-4957-4C7B-BE5B-07F86C3EC6C4}" name="Quantité R." totalsRowDxfId="3" dataCellStyle="Normal NB TO"/>
    <tableColumn id="8" xr3:uid="{AA0C7723-D7D0-4870-A137-0E87309C7421}" name="Coût | Unitaire R." totalsRowLabel="Sous-total" dataDxfId="26" totalsRowDxfId="2" dataCellStyle="Normal $ TO"/>
    <tableColumn id="9" xr3:uid="{016F23DE-5793-4DD1-9072-60E0648CE83B}" name="Total | Réel" totalsRowFunction="sum" totalsRowDxfId="1" dataCellStyle="Normal $ TO V">
      <calculatedColumnFormula>IF(OR(TO_1[[#This Row],[Total | Budgétaire]]="",TO_1[[#This Row],[Quantité R.]]=""),IF(TO_1[[#This Row],[Quantité R.]]&gt;0,ROUNDUP(TO_1[[#This Row],[Quantité R.]]*TO_1[[#This Row],[Coût | Unitaire R.]],2),""),ROUNDUP(TO_1[[#This Row],[Quantité R.]]*TO_1[[#This Row],[Coût | Unitaire R.]],2))</calculatedColumnFormula>
    </tableColumn>
    <tableColumn id="10" xr3:uid="{6BC35F4D-C697-4549-80F9-9FDDE49D8D9E}" name="Résultat" totalsRowFunction="sum" totalsRowDxfId="0" dataCellStyle="Normal $ V">
      <calculatedColumnFormula>IFERROR(IF(TO_1[[#This Row],[Total | Réel]]="",0-TO_1[[#This Row],[Total | Budgétaire]],IF(TO_1[[#This Row],[Total | Budgétaire]]="",TO_1[[#This Row],[Total | Réel]],TO_1[[#This Row],[Total | Réel]]-TO_1[[#This Row],[Total | Budgétaire]])),"")</calculatedColumnFormula>
    </tableColumn>
  </tableColumns>
  <tableStyleInfo showFirstColumn="0" showLastColumn="0" showRowStripes="0" showColumnStripes="0"/>
</table>
</file>

<file path=xl/tables/table4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7" xr:uid="{0E026674-D79F-47E7-915D-238864765E59}" name="TO_2" displayName="TO_2" ref="A64:L102" totalsRowCount="1" headerRowDxfId="32" headerRowBorderDxfId="31" tableBorderDxfId="30" headerRowCellStyle="Titre TB" totalsRowCellStyle="Normal $T 2">
  <autoFilter ref="A64:L101" xr:uid="{F8C8E273-5E14-4A0D-8DC5-70E2C153129F}"/>
  <tableColumns count="12">
    <tableColumn id="1" xr3:uid="{18B9EA83-DFF3-45A4-AE65-91B1307E4BCB}" name="ID" totalsRowDxfId="25"/>
    <tableColumn id="2" xr3:uid="{7B4AF97E-DCAC-40A6-B3BE-1BE7C502ACE7}" name="Description" totalsRowDxfId="24" dataCellStyle="Normal TB TO"/>
    <tableColumn id="3" xr3:uid="{4A3F402B-0FAD-4D3C-8E17-ACAB383C871F}" name="Catégorie" totalsRowDxfId="23" dataCellStyle="Normal CT TO"/>
    <tableColumn id="4" xr3:uid="{D1CB7688-50CF-4D5E-9DF3-2B97A4E4AAF6}" name="Quantité" totalsRowDxfId="22" dataCellStyle="Normal NB TO"/>
    <tableColumn id="11" xr3:uid="{CC82C85F-1E0D-4920-BD91-C401FE9C8F3C}" name="Unité" totalsRowDxfId="21" dataCellStyle="Normal CT TO"/>
    <tableColumn id="5" xr3:uid="{C2EC2BB2-8733-45F0-A97B-629A3DD4BBE8}" name="Coût | Unitaire" totalsRowLabel="Sous-total" dataDxfId="20" totalsRowDxfId="19" dataCellStyle="Normal $ TO"/>
    <tableColumn id="6" xr3:uid="{C7A24081-5FA9-4A5C-83C0-3FB510516ECA}" name="Total | Budgétaire" totalsRowFunction="sum" totalsRowDxfId="18" dataCellStyle="Normal $ TO V">
      <calculatedColumnFormula>IF(OR(TO_2[[#This Row],[Catégorie]]="",TO_2[[#This Row],[Catégorie]]="-"),"",ROUNDUP(TO_2[[#This Row],[Quantité]]*TO_2[[#This Row],[Coût | Unitaire]],2))</calculatedColumnFormula>
    </tableColumn>
    <tableColumn id="16" xr3:uid="{84198BBD-AFA1-4DC2-9C0B-60968BF22D63}" name="Addenda" totalsRowDxfId="17" dataCellStyle="Normal CT TO"/>
    <tableColumn id="7" xr3:uid="{C805D6D5-0C85-4064-808C-6E4C22EBB015}" name="Quantité R." totalsRowDxfId="16" dataCellStyle="Normal NB TO"/>
    <tableColumn id="8" xr3:uid="{7D3A2947-5E4E-417E-8196-413327FFA631}" name="Coût | Unitaire R." totalsRowLabel="Sous-total" dataDxfId="15" totalsRowDxfId="14" dataCellStyle="Normal $ TO"/>
    <tableColumn id="9" xr3:uid="{46536DA8-AAD9-490B-98DA-8C0FB86C8749}" name="Total | Réel" totalsRowFunction="sum" totalsRowDxfId="13" dataCellStyle="Normal $ TO V">
      <calculatedColumnFormula>IF(OR(TO_2[[#This Row],[Total | Budgétaire]]="",TO_2[[#This Row],[Quantité R.]]=""),IF(TO_2[[#This Row],[Quantité R.]]&gt;0,ROUNDUP(TO_2[[#This Row],[Quantité R.]]*TO_2[[#This Row],[Coût | Unitaire R.]],2),""),ROUNDUP(TO_2[[#This Row],[Quantité R.]]*TO_2[[#This Row],[Coût | Unitaire R.]],2))</calculatedColumnFormula>
    </tableColumn>
    <tableColumn id="10" xr3:uid="{2818B554-1B0D-4B7A-AD96-8F668DD50EC2}" name="Résultat" totalsRowFunction="sum" totalsRowDxfId="12" dataCellStyle="Normal $ V">
      <calculatedColumnFormula>IFERROR(IF(TO_2[[#This Row],[Total | Réel]]="",0-TO_2[[#This Row],[Total | Budgétaire]],IF(TO_2[[#This Row],[Total | Budgétaire]]="",TO_2[[#This Row],[Total | Réel]],TO_2[[#This Row],[Total | Réel]]-TO_2[[#This Row],[Total | Budgétaire]])),"")</calculatedColumnFormula>
    </tableColumn>
  </tableColumns>
  <tableStyleInfo showFirstColumn="0" showLastColumn="0" showRowStripes="0" showColumnStripes="0"/>
</table>
</file>

<file path=xl/tables/table4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 xr:uid="{53250C05-F0E3-425D-9120-0B5DAC45387D}" name="TO_42" displayName="TO_42" ref="A380:A410" totalsRowShown="0" headerRowBorderDxfId="29" tableBorderDxfId="28" headerRowCellStyle="Titre TB" dataCellStyle="Normal # TO V">
  <autoFilter ref="A380:A410" xr:uid="{092C533E-C41C-4A0B-B2A8-480BE91A3F45}"/>
  <tableColumns count="1">
    <tableColumn id="1" xr3:uid="{838DEB4D-B76F-49A6-A930-AADB1DC64765}" name="#" dataCellStyle="Normal # TO V"/>
  </tableColumns>
  <tableStyleInfo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spDef>
      <a:spPr>
        <a:ln/>
      </a:spPr>
      <a:bodyPr vertOverflow="clip" horzOverflow="clip" rtlCol="0" anchor="t"/>
      <a:lstStyle>
        <a:defPPr algn="l">
          <a:defRPr sz="1100"/>
        </a:defPPr>
      </a:lstStyle>
      <a:style>
        <a:lnRef idx="0">
          <a:schemeClr val="accent6"/>
        </a:lnRef>
        <a:fillRef idx="3">
          <a:schemeClr val="accent6"/>
        </a:fillRef>
        <a:effectRef idx="3">
          <a:schemeClr val="accent6"/>
        </a:effectRef>
        <a:fontRef idx="minor">
          <a:schemeClr val="lt1"/>
        </a:fontRef>
      </a:style>
    </a:spDef>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table" Target="../tables/table11.xml"/><Relationship Id="rId18" Type="http://schemas.openxmlformats.org/officeDocument/2006/relationships/table" Target="../tables/table16.xml"/><Relationship Id="rId26" Type="http://schemas.openxmlformats.org/officeDocument/2006/relationships/table" Target="../tables/table24.xml"/><Relationship Id="rId39" Type="http://schemas.openxmlformats.org/officeDocument/2006/relationships/table" Target="../tables/table37.xml"/><Relationship Id="rId21" Type="http://schemas.openxmlformats.org/officeDocument/2006/relationships/table" Target="../tables/table19.xml"/><Relationship Id="rId34" Type="http://schemas.openxmlformats.org/officeDocument/2006/relationships/table" Target="../tables/table32.xml"/><Relationship Id="rId42" Type="http://schemas.openxmlformats.org/officeDocument/2006/relationships/table" Target="../tables/table40.xml"/><Relationship Id="rId7" Type="http://schemas.openxmlformats.org/officeDocument/2006/relationships/table" Target="../tables/table5.xml"/><Relationship Id="rId2" Type="http://schemas.openxmlformats.org/officeDocument/2006/relationships/drawing" Target="../drawings/drawing1.xml"/><Relationship Id="rId16" Type="http://schemas.openxmlformats.org/officeDocument/2006/relationships/table" Target="../tables/table14.xml"/><Relationship Id="rId20" Type="http://schemas.openxmlformats.org/officeDocument/2006/relationships/table" Target="../tables/table18.xml"/><Relationship Id="rId29" Type="http://schemas.openxmlformats.org/officeDocument/2006/relationships/table" Target="../tables/table27.xml"/><Relationship Id="rId41" Type="http://schemas.openxmlformats.org/officeDocument/2006/relationships/table" Target="../tables/table39.xml"/><Relationship Id="rId1" Type="http://schemas.openxmlformats.org/officeDocument/2006/relationships/printerSettings" Target="../printerSettings/printerSettings1.bin"/><Relationship Id="rId6" Type="http://schemas.openxmlformats.org/officeDocument/2006/relationships/table" Target="../tables/table4.xml"/><Relationship Id="rId11" Type="http://schemas.openxmlformats.org/officeDocument/2006/relationships/table" Target="../tables/table9.xml"/><Relationship Id="rId24" Type="http://schemas.openxmlformats.org/officeDocument/2006/relationships/table" Target="../tables/table22.xml"/><Relationship Id="rId32" Type="http://schemas.openxmlformats.org/officeDocument/2006/relationships/table" Target="../tables/table30.xml"/><Relationship Id="rId37" Type="http://schemas.openxmlformats.org/officeDocument/2006/relationships/table" Target="../tables/table35.xml"/><Relationship Id="rId40" Type="http://schemas.openxmlformats.org/officeDocument/2006/relationships/table" Target="../tables/table38.xml"/><Relationship Id="rId5" Type="http://schemas.openxmlformats.org/officeDocument/2006/relationships/table" Target="../tables/table3.xml"/><Relationship Id="rId15" Type="http://schemas.openxmlformats.org/officeDocument/2006/relationships/table" Target="../tables/table13.xml"/><Relationship Id="rId23" Type="http://schemas.openxmlformats.org/officeDocument/2006/relationships/table" Target="../tables/table21.xml"/><Relationship Id="rId28" Type="http://schemas.openxmlformats.org/officeDocument/2006/relationships/table" Target="../tables/table26.xml"/><Relationship Id="rId36" Type="http://schemas.openxmlformats.org/officeDocument/2006/relationships/table" Target="../tables/table34.xml"/><Relationship Id="rId10" Type="http://schemas.openxmlformats.org/officeDocument/2006/relationships/table" Target="../tables/table8.xml"/><Relationship Id="rId19" Type="http://schemas.openxmlformats.org/officeDocument/2006/relationships/table" Target="../tables/table17.xml"/><Relationship Id="rId31" Type="http://schemas.openxmlformats.org/officeDocument/2006/relationships/table" Target="../tables/table29.xml"/><Relationship Id="rId44" Type="http://schemas.openxmlformats.org/officeDocument/2006/relationships/table" Target="../tables/table42.xml"/><Relationship Id="rId4" Type="http://schemas.openxmlformats.org/officeDocument/2006/relationships/table" Target="../tables/table2.xml"/><Relationship Id="rId9" Type="http://schemas.openxmlformats.org/officeDocument/2006/relationships/table" Target="../tables/table7.xml"/><Relationship Id="rId14" Type="http://schemas.openxmlformats.org/officeDocument/2006/relationships/table" Target="../tables/table12.xml"/><Relationship Id="rId22" Type="http://schemas.openxmlformats.org/officeDocument/2006/relationships/table" Target="../tables/table20.xml"/><Relationship Id="rId27" Type="http://schemas.openxmlformats.org/officeDocument/2006/relationships/table" Target="../tables/table25.xml"/><Relationship Id="rId30" Type="http://schemas.openxmlformats.org/officeDocument/2006/relationships/table" Target="../tables/table28.xml"/><Relationship Id="rId35" Type="http://schemas.openxmlformats.org/officeDocument/2006/relationships/table" Target="../tables/table33.xml"/><Relationship Id="rId43" Type="http://schemas.openxmlformats.org/officeDocument/2006/relationships/table" Target="../tables/table41.xml"/><Relationship Id="rId8" Type="http://schemas.openxmlformats.org/officeDocument/2006/relationships/table" Target="../tables/table6.xml"/><Relationship Id="rId3" Type="http://schemas.openxmlformats.org/officeDocument/2006/relationships/table" Target="../tables/table1.xml"/><Relationship Id="rId12" Type="http://schemas.openxmlformats.org/officeDocument/2006/relationships/table" Target="../tables/table10.xml"/><Relationship Id="rId17" Type="http://schemas.openxmlformats.org/officeDocument/2006/relationships/table" Target="../tables/table15.xml"/><Relationship Id="rId25" Type="http://schemas.openxmlformats.org/officeDocument/2006/relationships/table" Target="../tables/table23.xml"/><Relationship Id="rId33" Type="http://schemas.openxmlformats.org/officeDocument/2006/relationships/table" Target="../tables/table31.xml"/><Relationship Id="rId38" Type="http://schemas.openxmlformats.org/officeDocument/2006/relationships/table" Target="../tables/table36.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0860273-7DCF-4825-9253-2E1C7F5C079B}">
  <sheetPr codeName="Feuil21">
    <tabColor rgb="FFFF0000"/>
  </sheetPr>
  <dimension ref="A1:L410"/>
  <sheetViews>
    <sheetView showGridLines="0" tabSelected="1" topLeftCell="A37" zoomScaleNormal="100" workbookViewId="0">
      <selection activeCell="F43" sqref="F43"/>
    </sheetView>
  </sheetViews>
  <sheetFormatPr baseColWidth="10" defaultColWidth="11.42578125" defaultRowHeight="12" x14ac:dyDescent="0.2"/>
  <cols>
    <col min="1" max="1" width="12" customWidth="1"/>
    <col min="2" max="2" width="40.7109375" customWidth="1"/>
    <col min="3" max="3" width="10.5703125" customWidth="1"/>
    <col min="4" max="4" width="12" customWidth="1"/>
    <col min="5" max="5" width="7.28515625" style="4" customWidth="1"/>
    <col min="6" max="7" width="17.85546875" customWidth="1"/>
    <col min="8" max="8" width="9.140625" customWidth="1"/>
    <col min="9" max="9" width="12" customWidth="1"/>
    <col min="10" max="11" width="17.85546875" style="4" customWidth="1"/>
    <col min="12" max="12" width="17.85546875" customWidth="1"/>
  </cols>
  <sheetData>
    <row r="1" spans="1:12" s="4" customFormat="1" ht="12.75" customHeight="1" x14ac:dyDescent="0.2">
      <c r="A1" s="1" t="s">
        <v>1</v>
      </c>
      <c r="B1" s="2" t="s">
        <v>136</v>
      </c>
      <c r="C1" s="15"/>
      <c r="D1" s="1" t="s">
        <v>159</v>
      </c>
      <c r="E1" s="15"/>
      <c r="F1" s="50" t="s">
        <v>131</v>
      </c>
      <c r="G1" s="40"/>
      <c r="H1" s="1" t="s">
        <v>90</v>
      </c>
      <c r="I1" s="43"/>
      <c r="J1" s="43">
        <f>IFERROR(NETWORKDAYS($F$1,$F$2),0)</f>
        <v>0</v>
      </c>
      <c r="K1" s="17" t="s">
        <v>13</v>
      </c>
      <c r="L1" s="5" t="s">
        <v>4</v>
      </c>
    </row>
    <row r="2" spans="1:12" s="4" customFormat="1" ht="12.75" customHeight="1" x14ac:dyDescent="0.2">
      <c r="B2" s="2" t="s">
        <v>2</v>
      </c>
      <c r="C2" s="15"/>
      <c r="D2" s="1" t="s">
        <v>160</v>
      </c>
      <c r="E2" s="15"/>
      <c r="F2" s="50" t="s">
        <v>131</v>
      </c>
      <c r="G2" s="40"/>
      <c r="H2" s="1" t="s">
        <v>93</v>
      </c>
      <c r="I2" s="43"/>
      <c r="J2" s="43">
        <f>IFERROR(ROUNDUP(J1/5,0),0)</f>
        <v>0</v>
      </c>
      <c r="K2" s="17" t="s">
        <v>17</v>
      </c>
      <c r="L2" s="5" t="s">
        <v>4</v>
      </c>
    </row>
    <row r="3" spans="1:12" s="15" customFormat="1" ht="12.75" x14ac:dyDescent="0.2">
      <c r="B3" s="2" t="s">
        <v>3</v>
      </c>
      <c r="G3" s="40"/>
      <c r="H3" s="1" t="s">
        <v>137</v>
      </c>
      <c r="I3" s="45"/>
      <c r="J3" s="45">
        <f>IFERROR(IF(DATEDIF($F$1,$F$2,"m")=0,1,DATEDIF($F$1,$F$2,"m")),0)</f>
        <v>0</v>
      </c>
      <c r="K3" s="17" t="s">
        <v>49</v>
      </c>
      <c r="L3" s="17" t="str">
        <f>"DE-"&amp;L1</f>
        <v>DE-0000-0000</v>
      </c>
    </row>
    <row r="4" spans="1:12" s="15" customFormat="1" x14ac:dyDescent="0.2">
      <c r="A4" s="16" t="s">
        <v>7</v>
      </c>
    </row>
    <row r="5" spans="1:12" s="15" customFormat="1" ht="12.75" customHeight="1" x14ac:dyDescent="0.2">
      <c r="A5" s="1" t="s">
        <v>92</v>
      </c>
      <c r="B5" s="52" t="s">
        <v>131</v>
      </c>
      <c r="C5" s="1"/>
      <c r="D5" s="1" t="s">
        <v>143</v>
      </c>
      <c r="E5" s="40"/>
      <c r="F5" s="72" t="s">
        <v>43</v>
      </c>
      <c r="G5" s="72"/>
      <c r="H5" s="72"/>
    </row>
    <row r="6" spans="1:12" s="15" customFormat="1" ht="12.75" customHeight="1" x14ac:dyDescent="0.2">
      <c r="A6" s="1" t="s">
        <v>91</v>
      </c>
      <c r="B6" s="51">
        <f ca="1">TODAY()</f>
        <v>44650</v>
      </c>
      <c r="C6" s="1"/>
      <c r="D6" s="1" t="s">
        <v>44</v>
      </c>
      <c r="E6" s="40"/>
      <c r="F6" s="72" t="s">
        <v>43</v>
      </c>
      <c r="G6" s="72"/>
      <c r="H6" s="72"/>
    </row>
    <row r="7" spans="1:12" s="15" customFormat="1" x14ac:dyDescent="0.2">
      <c r="A7" s="16" t="s">
        <v>7</v>
      </c>
    </row>
    <row r="8" spans="1:12" s="15" customFormat="1" ht="15" x14ac:dyDescent="0.2">
      <c r="A8" s="41" t="s">
        <v>45</v>
      </c>
      <c r="B8" s="41"/>
      <c r="C8" s="69" t="s">
        <v>138</v>
      </c>
      <c r="D8" s="70"/>
      <c r="E8" s="70"/>
      <c r="F8" s="70"/>
      <c r="G8" s="71"/>
      <c r="H8" s="69" t="s">
        <v>139</v>
      </c>
      <c r="I8" s="70"/>
      <c r="J8" s="70"/>
      <c r="K8" s="71"/>
      <c r="L8" s="47" t="s">
        <v>140</v>
      </c>
    </row>
    <row r="9" spans="1:12" s="15" customFormat="1" ht="12.75" x14ac:dyDescent="0.2">
      <c r="B9" s="20" t="s">
        <v>0</v>
      </c>
      <c r="D9" s="20" t="s">
        <v>5</v>
      </c>
      <c r="G9" s="20" t="s">
        <v>46</v>
      </c>
      <c r="I9" s="20" t="s">
        <v>21</v>
      </c>
      <c r="K9" s="20" t="s">
        <v>47</v>
      </c>
      <c r="L9" s="20" t="s">
        <v>19</v>
      </c>
    </row>
    <row r="10" spans="1:12" s="15" customFormat="1" ht="12.75" x14ac:dyDescent="0.2">
      <c r="B10" s="34" t="str">
        <f>$B$65</f>
        <v>Contremaître</v>
      </c>
      <c r="D10" s="24">
        <f>$D65</f>
        <v>0</v>
      </c>
      <c r="E10" s="8" t="s">
        <v>14</v>
      </c>
      <c r="G10" s="36">
        <f>$G65</f>
        <v>0</v>
      </c>
      <c r="I10" s="24">
        <f>$I65</f>
        <v>0</v>
      </c>
      <c r="J10" s="8" t="s">
        <v>14</v>
      </c>
      <c r="K10" s="36">
        <f>IF($K65="",0,$K65)</f>
        <v>0</v>
      </c>
      <c r="L10" s="23">
        <f>K10-G10</f>
        <v>0</v>
      </c>
    </row>
    <row r="11" spans="1:12" s="15" customFormat="1" ht="12.75" x14ac:dyDescent="0.2">
      <c r="B11" s="34" t="str">
        <f>$B$66</f>
        <v>Surintendant</v>
      </c>
      <c r="D11" s="24">
        <f t="shared" ref="D11:D14" si="0">$D66</f>
        <v>0</v>
      </c>
      <c r="E11" s="8" t="s">
        <v>14</v>
      </c>
      <c r="G11" s="36">
        <f t="shared" ref="G11:G14" si="1">$G66</f>
        <v>0</v>
      </c>
      <c r="I11" s="24">
        <f t="shared" ref="I11:I14" si="2">$I66</f>
        <v>0</v>
      </c>
      <c r="J11" s="8" t="s">
        <v>14</v>
      </c>
      <c r="K11" s="36">
        <f t="shared" ref="K11:K14" si="3">IF($K66="",0,$K66)</f>
        <v>0</v>
      </c>
      <c r="L11" s="23">
        <f t="shared" ref="L11:L15" si="4">K11-G11</f>
        <v>0</v>
      </c>
    </row>
    <row r="12" spans="1:12" s="15" customFormat="1" ht="12.75" x14ac:dyDescent="0.2">
      <c r="B12" s="34" t="str">
        <f>$B$67</f>
        <v>Chargé de projets</v>
      </c>
      <c r="D12" s="24">
        <f t="shared" si="0"/>
        <v>0</v>
      </c>
      <c r="E12" s="8" t="s">
        <v>14</v>
      </c>
      <c r="G12" s="36">
        <f t="shared" si="1"/>
        <v>0</v>
      </c>
      <c r="I12" s="24">
        <f t="shared" si="2"/>
        <v>0</v>
      </c>
      <c r="J12" s="8" t="s">
        <v>14</v>
      </c>
      <c r="K12" s="36">
        <f t="shared" si="3"/>
        <v>0</v>
      </c>
      <c r="L12" s="23">
        <f t="shared" si="4"/>
        <v>0</v>
      </c>
    </row>
    <row r="13" spans="1:12" s="15" customFormat="1" ht="12.75" x14ac:dyDescent="0.2">
      <c r="B13" s="34" t="str">
        <f>$B$68</f>
        <v>Commissionnaire</v>
      </c>
      <c r="D13" s="24">
        <f t="shared" si="0"/>
        <v>0</v>
      </c>
      <c r="E13" s="8" t="s">
        <v>14</v>
      </c>
      <c r="G13" s="36">
        <f t="shared" si="1"/>
        <v>0</v>
      </c>
      <c r="I13" s="24">
        <f t="shared" si="2"/>
        <v>0</v>
      </c>
      <c r="J13" s="8" t="s">
        <v>14</v>
      </c>
      <c r="K13" s="36">
        <f t="shared" si="3"/>
        <v>0</v>
      </c>
      <c r="L13" s="23">
        <f t="shared" si="4"/>
        <v>0</v>
      </c>
    </row>
    <row r="14" spans="1:12" s="15" customFormat="1" ht="12.75" x14ac:dyDescent="0.2">
      <c r="B14" s="34" t="str">
        <f>$B$69</f>
        <v>Manœuvre</v>
      </c>
      <c r="D14" s="24">
        <f t="shared" si="0"/>
        <v>0</v>
      </c>
      <c r="E14" s="8" t="s">
        <v>14</v>
      </c>
      <c r="G14" s="36">
        <f t="shared" si="1"/>
        <v>0</v>
      </c>
      <c r="I14" s="24">
        <f t="shared" si="2"/>
        <v>0</v>
      </c>
      <c r="J14" s="8" t="s">
        <v>14</v>
      </c>
      <c r="K14" s="36">
        <f t="shared" si="3"/>
        <v>0</v>
      </c>
      <c r="L14" s="23">
        <f t="shared" si="4"/>
        <v>0</v>
      </c>
    </row>
    <row r="15" spans="1:12" s="15" customFormat="1" ht="12.75" x14ac:dyDescent="0.2">
      <c r="B15" s="28" t="s">
        <v>119</v>
      </c>
      <c r="D15" s="24">
        <f>SUMIFS(D:D,C:C,"M.-d'œuvre",B:B,"&lt;&gt;*Contremaître",B:B,"&lt;&gt;*Surintendant",B:B,"&lt;&gt;*Chargé de projets",B:B,"&lt;&gt;*Commissionnaire",B:B,"&lt;&gt;*Manœuvre")</f>
        <v>0</v>
      </c>
      <c r="E15" s="8" t="s">
        <v>14</v>
      </c>
      <c r="G15" s="36">
        <f>SUMIFS(G:G,C:C,"M.-d'œuvre",B:B,"&lt;&gt;*Contremaître",B:B,"&lt;&gt;*Surintendant",B:B,"&lt;&gt;*Chargé de projets",B:B,"&lt;&gt;*Commissionnaire",B:B,"&lt;&gt;*Manœuvre")</f>
        <v>0</v>
      </c>
      <c r="I15" s="24">
        <f>SUMIFS(I:I,C:C,"M.-d'œuvre",B:B,"&lt;&gt;*Contremaître",B:B,"&lt;&gt;*Surintendant",B:B,"&lt;&gt;*Chargé de projets",B:B,"&lt;&gt;*Commissionnaire",B:B,"&lt;&gt;*Manœuvre")</f>
        <v>0</v>
      </c>
      <c r="J15" s="8" t="s">
        <v>14</v>
      </c>
      <c r="K15" s="36">
        <f>SUMIFS(K:K,C:C,"M.-d'œuvre",B:B,"&lt;&gt;*Contremaître",B:B,"&lt;&gt;*Surintendant",B:B,"&lt;&gt;*Chargé de projets",B:B,"&lt;&gt;*Commissionnaire",B:B,"&lt;&gt;*Manœuvre")</f>
        <v>0</v>
      </c>
      <c r="L15" s="23">
        <f t="shared" si="4"/>
        <v>0</v>
      </c>
    </row>
    <row r="16" spans="1:12" s="15" customFormat="1" x14ac:dyDescent="0.2">
      <c r="A16" s="16" t="s">
        <v>7</v>
      </c>
      <c r="G16" s="37"/>
      <c r="K16" s="37"/>
    </row>
    <row r="17" spans="1:12" s="15" customFormat="1" ht="12.75" x14ac:dyDescent="0.2">
      <c r="B17" s="29" t="s">
        <v>18</v>
      </c>
      <c r="G17" s="36">
        <f>SUMIFS(G:G,C:C,"Matériaux")</f>
        <v>0</v>
      </c>
      <c r="K17" s="36">
        <f>SUMIFS(K:K,C:C,"Matériaux")</f>
        <v>0</v>
      </c>
      <c r="L17" s="23">
        <f t="shared" ref="L17" si="5">K17-G17</f>
        <v>0</v>
      </c>
    </row>
    <row r="18" spans="1:12" s="40" customFormat="1" x14ac:dyDescent="0.2">
      <c r="A18" s="16" t="s">
        <v>7</v>
      </c>
      <c r="G18" s="37"/>
      <c r="K18" s="37"/>
    </row>
    <row r="19" spans="1:12" s="40" customFormat="1" ht="12.75" x14ac:dyDescent="0.2">
      <c r="B19" s="28" t="s">
        <v>130</v>
      </c>
      <c r="G19" s="36">
        <f>SUMIFS(G:G,C:C,"Équipement")</f>
        <v>0</v>
      </c>
      <c r="K19" s="36">
        <f>SUMIFS(K:K,C:C,"Équipement")</f>
        <v>0</v>
      </c>
      <c r="L19" s="23">
        <f t="shared" ref="L19" si="6">K19-G19</f>
        <v>0</v>
      </c>
    </row>
    <row r="20" spans="1:12" s="15" customFormat="1" x14ac:dyDescent="0.2">
      <c r="A20" s="16" t="s">
        <v>7</v>
      </c>
      <c r="G20" s="37"/>
      <c r="K20" s="37"/>
    </row>
    <row r="21" spans="1:12" s="40" customFormat="1" ht="12.75" x14ac:dyDescent="0.2">
      <c r="B21" s="28" t="s">
        <v>142</v>
      </c>
      <c r="G21" s="36">
        <f>SUMIFS(G:G,C:C,"Location")</f>
        <v>0</v>
      </c>
      <c r="K21" s="36">
        <f>SUMIFS(K:K,C:C,"Location")</f>
        <v>0</v>
      </c>
      <c r="L21" s="23">
        <f t="shared" ref="L21" si="7">K21-G21</f>
        <v>0</v>
      </c>
    </row>
    <row r="22" spans="1:12" s="40" customFormat="1" x14ac:dyDescent="0.2">
      <c r="A22" s="16" t="s">
        <v>7</v>
      </c>
      <c r="G22" s="37"/>
      <c r="K22" s="37"/>
    </row>
    <row r="23" spans="1:12" s="15" customFormat="1" ht="12.75" x14ac:dyDescent="0.2">
      <c r="B23" s="29" t="s">
        <v>53</v>
      </c>
      <c r="G23" s="36">
        <f>SUMIFS(G:G,C:C,"S.-traitant")</f>
        <v>5000</v>
      </c>
      <c r="K23" s="36">
        <f>SUMIFS(K:K,C:C,"S.-traitant")</f>
        <v>0</v>
      </c>
      <c r="L23" s="23">
        <f t="shared" ref="L23" si="8">K23-G23</f>
        <v>-5000</v>
      </c>
    </row>
    <row r="24" spans="1:12" s="15" customFormat="1" x14ac:dyDescent="0.2">
      <c r="A24" s="16" t="s">
        <v>7</v>
      </c>
      <c r="G24" s="37"/>
      <c r="K24" s="37"/>
    </row>
    <row r="25" spans="1:12" s="15" customFormat="1" ht="12.75" x14ac:dyDescent="0.2">
      <c r="B25" s="28" t="s">
        <v>158</v>
      </c>
      <c r="G25" s="37"/>
      <c r="K25" s="36">
        <f>SUMIFS(K:K,H:H,"&lt;&gt;",I:I,"&gt;0")</f>
        <v>0</v>
      </c>
      <c r="L25" s="23">
        <f>K25</f>
        <v>0</v>
      </c>
    </row>
    <row r="26" spans="1:12" s="15" customFormat="1" ht="12.75" thickBot="1" x14ac:dyDescent="0.25">
      <c r="A26" s="16" t="s">
        <v>7</v>
      </c>
      <c r="G26" s="37"/>
      <c r="H26" s="40"/>
      <c r="I26" s="40"/>
      <c r="J26" s="40"/>
      <c r="K26" s="37"/>
    </row>
    <row r="27" spans="1:12" s="15" customFormat="1" ht="13.5" thickTop="1" x14ac:dyDescent="0.2">
      <c r="A27" s="25"/>
      <c r="B27" s="26" t="s">
        <v>54</v>
      </c>
      <c r="C27" s="27"/>
      <c r="D27" s="30">
        <f>SUM(D10:D26)</f>
        <v>0</v>
      </c>
      <c r="E27" s="27" t="s">
        <v>14</v>
      </c>
      <c r="F27" s="27"/>
      <c r="G27" s="25">
        <f>SUM(G10:G26)</f>
        <v>5000</v>
      </c>
      <c r="H27" s="25"/>
      <c r="I27" s="30">
        <f>SUM(I10:I26)</f>
        <v>0</v>
      </c>
      <c r="J27" s="27" t="s">
        <v>14</v>
      </c>
      <c r="K27" s="25">
        <f>SUM(K10:K26)</f>
        <v>0</v>
      </c>
      <c r="L27" s="25">
        <f t="shared" ref="L27" si="9">K27-G27</f>
        <v>-5000</v>
      </c>
    </row>
    <row r="28" spans="1:12" s="15" customFormat="1" x14ac:dyDescent="0.2">
      <c r="A28" s="16" t="s">
        <v>7</v>
      </c>
      <c r="G28" s="37"/>
      <c r="H28" s="40"/>
      <c r="I28" s="40"/>
      <c r="J28" s="40"/>
      <c r="K28" s="37"/>
    </row>
    <row r="29" spans="1:12" s="15" customFormat="1" ht="12.75" x14ac:dyDescent="0.2">
      <c r="B29" s="28" t="s">
        <v>55</v>
      </c>
      <c r="D29" s="48">
        <v>0</v>
      </c>
      <c r="G29" s="36">
        <f>$G$27/1000*$D29</f>
        <v>0</v>
      </c>
      <c r="K29" s="42">
        <v>0</v>
      </c>
      <c r="L29" s="23">
        <f t="shared" ref="L29:L30" si="10">K29-G29</f>
        <v>0</v>
      </c>
    </row>
    <row r="30" spans="1:12" s="15" customFormat="1" ht="12.75" x14ac:dyDescent="0.2">
      <c r="B30" s="28" t="s">
        <v>114</v>
      </c>
      <c r="D30" s="48">
        <v>0</v>
      </c>
      <c r="G30" s="36">
        <f>$G$27/1000*$D30</f>
        <v>0</v>
      </c>
      <c r="K30" s="42">
        <v>0</v>
      </c>
      <c r="L30" s="23">
        <f t="shared" si="10"/>
        <v>0</v>
      </c>
    </row>
    <row r="31" spans="1:12" s="15" customFormat="1" x14ac:dyDescent="0.2">
      <c r="A31" s="16" t="s">
        <v>7</v>
      </c>
      <c r="G31" s="37"/>
      <c r="K31" s="37"/>
    </row>
    <row r="32" spans="1:12" s="15" customFormat="1" ht="12.75" x14ac:dyDescent="0.2">
      <c r="B32" s="28" t="s">
        <v>56</v>
      </c>
      <c r="D32" s="49">
        <v>0.1</v>
      </c>
      <c r="G32" s="36">
        <f>($G$29+$G$30+$G$27)*D32</f>
        <v>500</v>
      </c>
      <c r="K32" s="37"/>
    </row>
    <row r="33" spans="1:12" s="15" customFormat="1" ht="12.75" x14ac:dyDescent="0.2">
      <c r="B33" s="28" t="s">
        <v>57</v>
      </c>
      <c r="D33" s="49">
        <v>0.05</v>
      </c>
      <c r="G33" s="36">
        <f>($G$29+$G$30+$G$27)*D33</f>
        <v>250</v>
      </c>
      <c r="K33" s="37"/>
    </row>
    <row r="34" spans="1:12" s="15" customFormat="1" ht="12.75" thickBot="1" x14ac:dyDescent="0.25">
      <c r="A34" s="16" t="s">
        <v>7</v>
      </c>
      <c r="G34" s="37"/>
      <c r="H34" s="40"/>
      <c r="I34" s="40"/>
      <c r="J34" s="40"/>
      <c r="K34" s="37"/>
    </row>
    <row r="35" spans="1:12" s="15" customFormat="1" ht="13.5" thickTop="1" x14ac:dyDescent="0.2">
      <c r="A35" s="25"/>
      <c r="B35" s="26" t="s">
        <v>58</v>
      </c>
      <c r="C35" s="27"/>
      <c r="D35" s="27"/>
      <c r="E35" s="27"/>
      <c r="F35" s="27"/>
      <c r="G35" s="25">
        <f>SUM(G27:G34)</f>
        <v>5750</v>
      </c>
      <c r="H35" s="25"/>
      <c r="I35" s="25"/>
      <c r="J35" s="25"/>
      <c r="K35" s="25">
        <f>SUM(K27:K34)</f>
        <v>0</v>
      </c>
      <c r="L35" s="25">
        <f t="shared" ref="L35" si="11">K35-G35</f>
        <v>-5750</v>
      </c>
    </row>
    <row r="36" spans="1:12" s="15" customFormat="1" ht="12.75" x14ac:dyDescent="0.2">
      <c r="B36" s="31" t="s">
        <v>60</v>
      </c>
      <c r="D36" s="35">
        <v>0.05</v>
      </c>
      <c r="G36" s="38">
        <f>$G35*$D36</f>
        <v>287.5</v>
      </c>
      <c r="K36" s="38"/>
    </row>
    <row r="37" spans="1:12" s="15" customFormat="1" ht="13.5" thickBot="1" x14ac:dyDescent="0.25">
      <c r="B37" s="31" t="s">
        <v>59</v>
      </c>
      <c r="D37" s="35">
        <v>9.9750000000000005E-2</v>
      </c>
      <c r="G37" s="39">
        <f>$G36*$D37</f>
        <v>28.678125000000001</v>
      </c>
      <c r="K37" s="39"/>
    </row>
    <row r="38" spans="1:12" s="15" customFormat="1" ht="13.5" thickTop="1" x14ac:dyDescent="0.2">
      <c r="A38" s="25"/>
      <c r="B38" s="26" t="s">
        <v>115</v>
      </c>
      <c r="C38" s="27"/>
      <c r="D38" s="27"/>
      <c r="E38" s="27"/>
      <c r="F38" s="27"/>
      <c r="G38" s="25">
        <f>SUM(G35:G37)</f>
        <v>6066.1781250000004</v>
      </c>
      <c r="H38" s="25"/>
      <c r="I38" s="25"/>
      <c r="J38" s="25"/>
      <c r="K38" s="25"/>
      <c r="L38" s="25">
        <f>SUM(L35:L37)</f>
        <v>-5750</v>
      </c>
    </row>
    <row r="39" spans="1:12" s="15" customFormat="1" x14ac:dyDescent="0.2">
      <c r="A39" s="16" t="s">
        <v>7</v>
      </c>
    </row>
    <row r="40" spans="1:12" s="15" customFormat="1" ht="15" x14ac:dyDescent="0.2">
      <c r="A40" s="41" t="s">
        <v>50</v>
      </c>
      <c r="B40" s="41"/>
      <c r="C40" s="69" t="str">
        <f>$C$8</f>
        <v>BUDGÉTAIRE</v>
      </c>
      <c r="D40" s="70"/>
      <c r="E40" s="70"/>
      <c r="F40" s="70"/>
      <c r="G40" s="71"/>
      <c r="H40" s="69" t="str">
        <f>$H$8</f>
        <v>RÉEL</v>
      </c>
      <c r="I40" s="70"/>
      <c r="J40" s="70"/>
      <c r="K40" s="71"/>
      <c r="L40" s="47" t="str">
        <f>$L$8</f>
        <v>RÉSULTAT</v>
      </c>
    </row>
    <row r="41" spans="1:12" s="15" customFormat="1" ht="12.75" x14ac:dyDescent="0.2">
      <c r="A41" s="6" t="s">
        <v>15</v>
      </c>
      <c r="B41" s="6" t="s">
        <v>0</v>
      </c>
      <c r="C41" s="6" t="s">
        <v>121</v>
      </c>
      <c r="D41" s="6" t="s">
        <v>5</v>
      </c>
      <c r="E41" s="6" t="s">
        <v>25</v>
      </c>
      <c r="F41" s="6" t="s">
        <v>122</v>
      </c>
      <c r="G41" s="6" t="s">
        <v>26</v>
      </c>
      <c r="H41" s="6" t="s">
        <v>28</v>
      </c>
      <c r="I41" s="6" t="s">
        <v>21</v>
      </c>
      <c r="J41" s="6" t="s">
        <v>123</v>
      </c>
      <c r="K41" s="6" t="s">
        <v>29</v>
      </c>
      <c r="L41" s="6" t="s">
        <v>19</v>
      </c>
    </row>
    <row r="42" spans="1:12" s="15" customFormat="1" x14ac:dyDescent="0.2">
      <c r="A42" s="9">
        <v>1001</v>
      </c>
      <c r="B42" s="12" t="s">
        <v>65</v>
      </c>
      <c r="C42" s="9" t="s">
        <v>20</v>
      </c>
      <c r="D42" s="13">
        <v>1</v>
      </c>
      <c r="E42" s="9" t="s">
        <v>27</v>
      </c>
      <c r="F42" s="14">
        <v>5000</v>
      </c>
      <c r="G42" s="10">
        <f>IF(OR(TO_1[[#This Row],[Catégorie]]="",TO_1[[#This Row],[Catégorie]]="-"),"",ROUNDUP(TO_1[[#This Row],[Quantité]]*TO_1[[#This Row],[Coût | Unitaire]],2))</f>
        <v>5000</v>
      </c>
      <c r="H42" s="9"/>
      <c r="I42" s="13"/>
      <c r="J42" s="14"/>
      <c r="K42" s="10" t="str">
        <f>IF(OR(TO_1[[#This Row],[Total | Budgétaire]]="",TO_1[[#This Row],[Quantité R.]]=""),IF(TO_1[[#This Row],[Quantité R.]]&gt;0,ROUNDUP(TO_1[[#This Row],[Quantité R.]]*TO_1[[#This Row],[Coût | Unitaire R.]],2),""),ROUNDUP(TO_1[[#This Row],[Quantité R.]]*TO_1[[#This Row],[Coût | Unitaire R.]],2))</f>
        <v/>
      </c>
      <c r="L42" s="46">
        <f>IFERROR(IF(TO_1[[#This Row],[Total | Réel]]="",0-TO_1[[#This Row],[Total | Budgétaire]],IF(TO_1[[#This Row],[Total | Budgétaire]]="",TO_1[[#This Row],[Total | Réel]],TO_1[[#This Row],[Total | Réel]]-TO_1[[#This Row],[Total | Budgétaire]])),"")</f>
        <v>-5000</v>
      </c>
    </row>
    <row r="43" spans="1:12" s="15" customFormat="1" x14ac:dyDescent="0.2">
      <c r="A43" s="9">
        <v>1002</v>
      </c>
      <c r="B43" s="12" t="s">
        <v>66</v>
      </c>
      <c r="C43" s="9" t="s">
        <v>20</v>
      </c>
      <c r="D43" s="13"/>
      <c r="E43" s="9" t="s">
        <v>27</v>
      </c>
      <c r="F43" s="14"/>
      <c r="G43" s="10">
        <f>IF(OR(TO_1[[#This Row],[Catégorie]]="",TO_1[[#This Row],[Catégorie]]="-"),"",ROUNDUP(TO_1[[#This Row],[Quantité]]*TO_1[[#This Row],[Coût | Unitaire]],2))</f>
        <v>0</v>
      </c>
      <c r="H43" s="32"/>
      <c r="I43" s="13"/>
      <c r="J43" s="14"/>
      <c r="K43" s="10" t="str">
        <f>IF(OR(TO_1[[#This Row],[Total | Budgétaire]]="",TO_1[[#This Row],[Quantité R.]]=""),IF(TO_1[[#This Row],[Quantité R.]]&gt;0,ROUNDUP(TO_1[[#This Row],[Quantité R.]]*TO_1[[#This Row],[Coût | Unitaire R.]],2),""),ROUNDUP(TO_1[[#This Row],[Quantité R.]]*TO_1[[#This Row],[Coût | Unitaire R.]],2))</f>
        <v/>
      </c>
      <c r="L43" s="46">
        <f>IFERROR(IF(TO_1[[#This Row],[Total | Réel]]="",0-TO_1[[#This Row],[Total | Budgétaire]],IF(TO_1[[#This Row],[Total | Budgétaire]]="",TO_1[[#This Row],[Total | Réel]],TO_1[[#This Row],[Total | Réel]]-TO_1[[#This Row],[Total | Budgétaire]])),"")</f>
        <v>0</v>
      </c>
    </row>
    <row r="44" spans="1:12" s="15" customFormat="1" x14ac:dyDescent="0.2">
      <c r="A44" s="9">
        <v>1003</v>
      </c>
      <c r="B44" s="12" t="s">
        <v>67</v>
      </c>
      <c r="C44" s="9" t="s">
        <v>20</v>
      </c>
      <c r="D44" s="13"/>
      <c r="E44" s="9" t="s">
        <v>27</v>
      </c>
      <c r="F44" s="14"/>
      <c r="G44" s="10">
        <f>IF(OR(TO_1[[#This Row],[Catégorie]]="",TO_1[[#This Row],[Catégorie]]="-"),"",ROUNDUP(TO_1[[#This Row],[Quantité]]*TO_1[[#This Row],[Coût | Unitaire]],2))</f>
        <v>0</v>
      </c>
      <c r="H44" s="32"/>
      <c r="I44" s="13"/>
      <c r="J44" s="14"/>
      <c r="K44" s="10" t="str">
        <f>IF(OR(TO_1[[#This Row],[Total | Budgétaire]]="",TO_1[[#This Row],[Quantité R.]]=""),IF(TO_1[[#This Row],[Quantité R.]]&gt;0,ROUNDUP(TO_1[[#This Row],[Quantité R.]]*TO_1[[#This Row],[Coût | Unitaire R.]],2),""),ROUNDUP(TO_1[[#This Row],[Quantité R.]]*TO_1[[#This Row],[Coût | Unitaire R.]],2))</f>
        <v/>
      </c>
      <c r="L44" s="46">
        <f>IFERROR(IF(TO_1[[#This Row],[Total | Réel]]="",0-TO_1[[#This Row],[Total | Budgétaire]],IF(TO_1[[#This Row],[Total | Budgétaire]]="",TO_1[[#This Row],[Total | Réel]],TO_1[[#This Row],[Total | Réel]]-TO_1[[#This Row],[Total | Budgétaire]])),"")</f>
        <v>0</v>
      </c>
    </row>
    <row r="45" spans="1:12" x14ac:dyDescent="0.2">
      <c r="A45" s="9">
        <v>1004</v>
      </c>
      <c r="B45" s="12" t="s">
        <v>68</v>
      </c>
      <c r="C45" s="9" t="s">
        <v>20</v>
      </c>
      <c r="D45" s="13"/>
      <c r="E45" s="9" t="s">
        <v>27</v>
      </c>
      <c r="F45" s="14"/>
      <c r="G45" s="10">
        <f>IF(OR(TO_1[[#This Row],[Catégorie]]="",TO_1[[#This Row],[Catégorie]]="-"),"",ROUNDUP(TO_1[[#This Row],[Quantité]]*TO_1[[#This Row],[Coût | Unitaire]],2))</f>
        <v>0</v>
      </c>
      <c r="H45" s="32"/>
      <c r="I45" s="13"/>
      <c r="J45" s="14"/>
      <c r="K45" s="10" t="str">
        <f>IF(OR(TO_1[[#This Row],[Total | Budgétaire]]="",TO_1[[#This Row],[Quantité R.]]=""),IF(TO_1[[#This Row],[Quantité R.]]&gt;0,ROUNDUP(TO_1[[#This Row],[Quantité R.]]*TO_1[[#This Row],[Coût | Unitaire R.]],2),""),ROUNDUP(TO_1[[#This Row],[Quantité R.]]*TO_1[[#This Row],[Coût | Unitaire R.]],2))</f>
        <v/>
      </c>
      <c r="L45" s="46">
        <f>IFERROR(IF(TO_1[[#This Row],[Total | Réel]]="",0-TO_1[[#This Row],[Total | Budgétaire]],IF(TO_1[[#This Row],[Total | Budgétaire]]="",TO_1[[#This Row],[Total | Réel]],TO_1[[#This Row],[Total | Réel]]-TO_1[[#This Row],[Total | Budgétaire]])),"")</f>
        <v>0</v>
      </c>
    </row>
    <row r="46" spans="1:12" x14ac:dyDescent="0.2">
      <c r="A46" s="9">
        <v>1005</v>
      </c>
      <c r="B46" s="12" t="s">
        <v>69</v>
      </c>
      <c r="C46" s="9" t="s">
        <v>20</v>
      </c>
      <c r="D46" s="13"/>
      <c r="E46" s="9" t="s">
        <v>27</v>
      </c>
      <c r="F46" s="14"/>
      <c r="G46" s="10">
        <f>IF(OR(TO_1[[#This Row],[Catégorie]]="",TO_1[[#This Row],[Catégorie]]="-"),"",ROUNDUP(TO_1[[#This Row],[Quantité]]*TO_1[[#This Row],[Coût | Unitaire]],2))</f>
        <v>0</v>
      </c>
      <c r="H46" s="32"/>
      <c r="I46" s="13"/>
      <c r="J46" s="14"/>
      <c r="K46" s="10" t="str">
        <f>IF(OR(TO_1[[#This Row],[Total | Budgétaire]]="",TO_1[[#This Row],[Quantité R.]]=""),IF(TO_1[[#This Row],[Quantité R.]]&gt;0,ROUNDUP(TO_1[[#This Row],[Quantité R.]]*TO_1[[#This Row],[Coût | Unitaire R.]],2),""),ROUNDUP(TO_1[[#This Row],[Quantité R.]]*TO_1[[#This Row],[Coût | Unitaire R.]],2))</f>
        <v/>
      </c>
      <c r="L46" s="46">
        <f>IFERROR(IF(TO_1[[#This Row],[Total | Réel]]="",0-TO_1[[#This Row],[Total | Budgétaire]],IF(TO_1[[#This Row],[Total | Budgétaire]]="",TO_1[[#This Row],[Total | Réel]],TO_1[[#This Row],[Total | Réel]]-TO_1[[#This Row],[Total | Budgétaire]])),"")</f>
        <v>0</v>
      </c>
    </row>
    <row r="47" spans="1:12" s="15" customFormat="1" x14ac:dyDescent="0.2">
      <c r="A47" s="9">
        <v>1006</v>
      </c>
      <c r="B47" s="12" t="s">
        <v>70</v>
      </c>
      <c r="C47" s="9" t="s">
        <v>20</v>
      </c>
      <c r="D47" s="13"/>
      <c r="E47" s="9" t="s">
        <v>27</v>
      </c>
      <c r="F47" s="14"/>
      <c r="G47" s="10">
        <f>IF(OR(TO_1[[#This Row],[Catégorie]]="",TO_1[[#This Row],[Catégorie]]="-"),"",ROUNDUP(TO_1[[#This Row],[Quantité]]*TO_1[[#This Row],[Coût | Unitaire]],2))</f>
        <v>0</v>
      </c>
      <c r="H47" s="32"/>
      <c r="I47" s="13"/>
      <c r="J47" s="14"/>
      <c r="K47" s="10" t="str">
        <f>IF(OR(TO_1[[#This Row],[Total | Budgétaire]]="",TO_1[[#This Row],[Quantité R.]]=""),IF(TO_1[[#This Row],[Quantité R.]]&gt;0,ROUNDUP(TO_1[[#This Row],[Quantité R.]]*TO_1[[#This Row],[Coût | Unitaire R.]],2),""),ROUNDUP(TO_1[[#This Row],[Quantité R.]]*TO_1[[#This Row],[Coût | Unitaire R.]],2))</f>
        <v/>
      </c>
      <c r="L47" s="46">
        <f>IFERROR(IF(TO_1[[#This Row],[Total | Réel]]="",0-TO_1[[#This Row],[Total | Budgétaire]],IF(TO_1[[#This Row],[Total | Budgétaire]]="",TO_1[[#This Row],[Total | Réel]],TO_1[[#This Row],[Total | Réel]]-TO_1[[#This Row],[Total | Budgétaire]])),"")</f>
        <v>0</v>
      </c>
    </row>
    <row r="48" spans="1:12" s="15" customFormat="1" x14ac:dyDescent="0.2">
      <c r="A48" s="9">
        <v>1007</v>
      </c>
      <c r="B48" s="12" t="s">
        <v>71</v>
      </c>
      <c r="C48" s="9" t="s">
        <v>20</v>
      </c>
      <c r="D48" s="13"/>
      <c r="E48" s="9" t="s">
        <v>27</v>
      </c>
      <c r="F48" s="14"/>
      <c r="G48" s="10">
        <f>IF(OR(TO_1[[#This Row],[Catégorie]]="",TO_1[[#This Row],[Catégorie]]="-"),"",ROUNDUP(TO_1[[#This Row],[Quantité]]*TO_1[[#This Row],[Coût | Unitaire]],2))</f>
        <v>0</v>
      </c>
      <c r="H48" s="32"/>
      <c r="I48" s="13"/>
      <c r="J48" s="14"/>
      <c r="K48" s="10" t="str">
        <f>IF(OR(TO_1[[#This Row],[Total | Budgétaire]]="",TO_1[[#This Row],[Quantité R.]]=""),IF(TO_1[[#This Row],[Quantité R.]]&gt;0,ROUNDUP(TO_1[[#This Row],[Quantité R.]]*TO_1[[#This Row],[Coût | Unitaire R.]],2),""),ROUNDUP(TO_1[[#This Row],[Quantité R.]]*TO_1[[#This Row],[Coût | Unitaire R.]],2))</f>
        <v/>
      </c>
      <c r="L48" s="46">
        <f>IFERROR(IF(TO_1[[#This Row],[Total | Réel]]="",0-TO_1[[#This Row],[Total | Budgétaire]],IF(TO_1[[#This Row],[Total | Budgétaire]]="",TO_1[[#This Row],[Total | Réel]],TO_1[[#This Row],[Total | Réel]]-TO_1[[#This Row],[Total | Budgétaire]])),"")</f>
        <v>0</v>
      </c>
    </row>
    <row r="49" spans="1:12" s="15" customFormat="1" x14ac:dyDescent="0.2">
      <c r="A49" s="9">
        <v>1008</v>
      </c>
      <c r="B49" s="12" t="s">
        <v>94</v>
      </c>
      <c r="C49" s="9" t="s">
        <v>20</v>
      </c>
      <c r="D49" s="13"/>
      <c r="E49" s="9" t="s">
        <v>27</v>
      </c>
      <c r="F49" s="14"/>
      <c r="G49" s="10">
        <f>IF(OR(TO_1[[#This Row],[Catégorie]]="",TO_1[[#This Row],[Catégorie]]="-"),"",ROUNDUP(TO_1[[#This Row],[Quantité]]*TO_1[[#This Row],[Coût | Unitaire]],2))</f>
        <v>0</v>
      </c>
      <c r="H49" s="32"/>
      <c r="I49" s="13"/>
      <c r="J49" s="14"/>
      <c r="K49" s="10" t="str">
        <f>IF(OR(TO_1[[#This Row],[Total | Budgétaire]]="",TO_1[[#This Row],[Quantité R.]]=""),IF(TO_1[[#This Row],[Quantité R.]]&gt;0,ROUNDUP(TO_1[[#This Row],[Quantité R.]]*TO_1[[#This Row],[Coût | Unitaire R.]],2),""),ROUNDUP(TO_1[[#This Row],[Quantité R.]]*TO_1[[#This Row],[Coût | Unitaire R.]],2))</f>
        <v/>
      </c>
      <c r="L49" s="46">
        <f>IFERROR(IF(TO_1[[#This Row],[Total | Réel]]="",0-TO_1[[#This Row],[Total | Budgétaire]],IF(TO_1[[#This Row],[Total | Budgétaire]]="",TO_1[[#This Row],[Total | Réel]],TO_1[[#This Row],[Total | Réel]]-TO_1[[#This Row],[Total | Budgétaire]])),"")</f>
        <v>0</v>
      </c>
    </row>
    <row r="50" spans="1:12" s="15" customFormat="1" x14ac:dyDescent="0.2">
      <c r="A50" s="9">
        <v>1009</v>
      </c>
      <c r="B50" s="12" t="s">
        <v>134</v>
      </c>
      <c r="C50" s="9" t="s">
        <v>20</v>
      </c>
      <c r="D50" s="13"/>
      <c r="E50" s="9" t="s">
        <v>27</v>
      </c>
      <c r="F50" s="14"/>
      <c r="G50" s="10">
        <f>IF(OR(TO_1[[#This Row],[Catégorie]]="",TO_1[[#This Row],[Catégorie]]="-"),"",ROUNDUP(TO_1[[#This Row],[Quantité]]*TO_1[[#This Row],[Coût | Unitaire]],2))</f>
        <v>0</v>
      </c>
      <c r="H50" s="32"/>
      <c r="I50" s="13"/>
      <c r="J50" s="14"/>
      <c r="K50" s="10" t="str">
        <f>IF(OR(TO_1[[#This Row],[Total | Budgétaire]]="",TO_1[[#This Row],[Quantité R.]]=""),IF(TO_1[[#This Row],[Quantité R.]]&gt;0,ROUNDUP(TO_1[[#This Row],[Quantité R.]]*TO_1[[#This Row],[Coût | Unitaire R.]],2),""),ROUNDUP(TO_1[[#This Row],[Quantité R.]]*TO_1[[#This Row],[Coût | Unitaire R.]],2))</f>
        <v/>
      </c>
      <c r="L50" s="46">
        <f>IFERROR(IF(TO_1[[#This Row],[Total | Réel]]="",0-TO_1[[#This Row],[Total | Budgétaire]],IF(TO_1[[#This Row],[Total | Budgétaire]]="",TO_1[[#This Row],[Total | Réel]],TO_1[[#This Row],[Total | Réel]]-TO_1[[#This Row],[Total | Budgétaire]])),"")</f>
        <v>0</v>
      </c>
    </row>
    <row r="51" spans="1:12" s="15" customFormat="1" x14ac:dyDescent="0.2">
      <c r="A51" s="9">
        <v>1010</v>
      </c>
      <c r="B51" s="12" t="s">
        <v>135</v>
      </c>
      <c r="C51" s="9" t="s">
        <v>20</v>
      </c>
      <c r="D51" s="13"/>
      <c r="E51" s="9" t="s">
        <v>27</v>
      </c>
      <c r="F51" s="14"/>
      <c r="G51" s="10">
        <f>IF(OR(TO_1[[#This Row],[Catégorie]]="",TO_1[[#This Row],[Catégorie]]="-"),"",ROUNDUP(TO_1[[#This Row],[Quantité]]*TO_1[[#This Row],[Coût | Unitaire]],2))</f>
        <v>0</v>
      </c>
      <c r="H51" s="32"/>
      <c r="I51" s="13"/>
      <c r="J51" s="14"/>
      <c r="K51" s="10" t="str">
        <f>IF(OR(TO_1[[#This Row],[Total | Budgétaire]]="",TO_1[[#This Row],[Quantité R.]]=""),IF(TO_1[[#This Row],[Quantité R.]]&gt;0,ROUNDUP(TO_1[[#This Row],[Quantité R.]]*TO_1[[#This Row],[Coût | Unitaire R.]],2),""),ROUNDUP(TO_1[[#This Row],[Quantité R.]]*TO_1[[#This Row],[Coût | Unitaire R.]],2))</f>
        <v/>
      </c>
      <c r="L51" s="46">
        <f>IFERROR(IF(TO_1[[#This Row],[Total | Réel]]="",0-TO_1[[#This Row],[Total | Budgétaire]],IF(TO_1[[#This Row],[Total | Budgétaire]]="",TO_1[[#This Row],[Total | Réel]],TO_1[[#This Row],[Total | Réel]]-TO_1[[#This Row],[Total | Budgétaire]])),"")</f>
        <v>0</v>
      </c>
    </row>
    <row r="52" spans="1:12" x14ac:dyDescent="0.2">
      <c r="A52" s="9">
        <v>1011</v>
      </c>
      <c r="B52" s="12" t="s">
        <v>95</v>
      </c>
      <c r="C52" s="9" t="s">
        <v>20</v>
      </c>
      <c r="D52" s="13"/>
      <c r="E52" s="9" t="s">
        <v>27</v>
      </c>
      <c r="F52" s="14"/>
      <c r="G52" s="10">
        <f>IF(OR(TO_1[[#This Row],[Catégorie]]="",TO_1[[#This Row],[Catégorie]]="-"),"",ROUNDUP(TO_1[[#This Row],[Quantité]]*TO_1[[#This Row],[Coût | Unitaire]],2))</f>
        <v>0</v>
      </c>
      <c r="H52" s="32"/>
      <c r="I52" s="13"/>
      <c r="J52" s="14"/>
      <c r="K52" s="10" t="str">
        <f>IF(OR(TO_1[[#This Row],[Total | Budgétaire]]="",TO_1[[#This Row],[Quantité R.]]=""),IF(TO_1[[#This Row],[Quantité R.]]&gt;0,ROUNDUP(TO_1[[#This Row],[Quantité R.]]*TO_1[[#This Row],[Coût | Unitaire R.]],2),""),ROUNDUP(TO_1[[#This Row],[Quantité R.]]*TO_1[[#This Row],[Coût | Unitaire R.]],2))</f>
        <v/>
      </c>
      <c r="L52" s="46">
        <f>IFERROR(IF(TO_1[[#This Row],[Total | Réel]]="",0-TO_1[[#This Row],[Total | Budgétaire]],IF(TO_1[[#This Row],[Total | Budgétaire]]="",TO_1[[#This Row],[Total | Réel]],TO_1[[#This Row],[Total | Réel]]-TO_1[[#This Row],[Total | Budgétaire]])),"")</f>
        <v>0</v>
      </c>
    </row>
    <row r="53" spans="1:12" x14ac:dyDescent="0.2">
      <c r="A53" s="9">
        <v>1012</v>
      </c>
      <c r="B53" s="12" t="s">
        <v>96</v>
      </c>
      <c r="C53" s="9" t="s">
        <v>20</v>
      </c>
      <c r="D53" s="13"/>
      <c r="E53" s="9" t="s">
        <v>27</v>
      </c>
      <c r="F53" s="14"/>
      <c r="G53" s="10">
        <f>IF(OR(TO_1[[#This Row],[Catégorie]]="",TO_1[[#This Row],[Catégorie]]="-"),"",ROUNDUP(TO_1[[#This Row],[Quantité]]*TO_1[[#This Row],[Coût | Unitaire]],2))</f>
        <v>0</v>
      </c>
      <c r="H53" s="32"/>
      <c r="I53" s="13"/>
      <c r="J53" s="14"/>
      <c r="K53" s="10" t="str">
        <f>IF(OR(TO_1[[#This Row],[Total | Budgétaire]]="",TO_1[[#This Row],[Quantité R.]]=""),IF(TO_1[[#This Row],[Quantité R.]]&gt;0,ROUNDUP(TO_1[[#This Row],[Quantité R.]]*TO_1[[#This Row],[Coût | Unitaire R.]],2),""),ROUNDUP(TO_1[[#This Row],[Quantité R.]]*TO_1[[#This Row],[Coût | Unitaire R.]],2))</f>
        <v/>
      </c>
      <c r="L53" s="46">
        <f>IFERROR(IF(TO_1[[#This Row],[Total | Réel]]="",0-TO_1[[#This Row],[Total | Budgétaire]],IF(TO_1[[#This Row],[Total | Budgétaire]]="",TO_1[[#This Row],[Total | Réel]],TO_1[[#This Row],[Total | Réel]]-TO_1[[#This Row],[Total | Budgétaire]])),"")</f>
        <v>0</v>
      </c>
    </row>
    <row r="54" spans="1:12" x14ac:dyDescent="0.2">
      <c r="A54" s="9">
        <v>1013</v>
      </c>
      <c r="B54" s="12" t="s">
        <v>97</v>
      </c>
      <c r="C54" s="9" t="s">
        <v>20</v>
      </c>
      <c r="D54" s="13"/>
      <c r="E54" s="9" t="s">
        <v>27</v>
      </c>
      <c r="F54" s="14"/>
      <c r="G54" s="10">
        <f>IF(OR(TO_1[[#This Row],[Catégorie]]="",TO_1[[#This Row],[Catégorie]]="-"),"",ROUNDUP(TO_1[[#This Row],[Quantité]]*TO_1[[#This Row],[Coût | Unitaire]],2))</f>
        <v>0</v>
      </c>
      <c r="H54" s="32"/>
      <c r="I54" s="13"/>
      <c r="J54" s="14"/>
      <c r="K54" s="10" t="str">
        <f>IF(OR(TO_1[[#This Row],[Total | Budgétaire]]="",TO_1[[#This Row],[Quantité R.]]=""),IF(TO_1[[#This Row],[Quantité R.]]&gt;0,ROUNDUP(TO_1[[#This Row],[Quantité R.]]*TO_1[[#This Row],[Coût | Unitaire R.]],2),""),ROUNDUP(TO_1[[#This Row],[Quantité R.]]*TO_1[[#This Row],[Coût | Unitaire R.]],2))</f>
        <v/>
      </c>
      <c r="L54" s="46">
        <f>IFERROR(IF(TO_1[[#This Row],[Total | Réel]]="",0-TO_1[[#This Row],[Total | Budgétaire]],IF(TO_1[[#This Row],[Total | Budgétaire]]="",TO_1[[#This Row],[Total | Réel]],TO_1[[#This Row],[Total | Réel]]-TO_1[[#This Row],[Total | Budgétaire]])),"")</f>
        <v>0</v>
      </c>
    </row>
    <row r="55" spans="1:12" x14ac:dyDescent="0.2">
      <c r="A55" s="9">
        <v>1014</v>
      </c>
      <c r="B55" s="12" t="s">
        <v>106</v>
      </c>
      <c r="C55" s="9" t="s">
        <v>20</v>
      </c>
      <c r="D55" s="13"/>
      <c r="E55" s="9" t="s">
        <v>27</v>
      </c>
      <c r="F55" s="14"/>
      <c r="G55" s="10">
        <f>IF(OR(TO_1[[#This Row],[Catégorie]]="",TO_1[[#This Row],[Catégorie]]="-"),"",ROUNDUP(TO_1[[#This Row],[Quantité]]*TO_1[[#This Row],[Coût | Unitaire]],2))</f>
        <v>0</v>
      </c>
      <c r="H55" s="32"/>
      <c r="I55" s="13"/>
      <c r="J55" s="14"/>
      <c r="K55" s="10" t="str">
        <f>IF(OR(TO_1[[#This Row],[Total | Budgétaire]]="",TO_1[[#This Row],[Quantité R.]]=""),IF(TO_1[[#This Row],[Quantité R.]]&gt;0,ROUNDUP(TO_1[[#This Row],[Quantité R.]]*TO_1[[#This Row],[Coût | Unitaire R.]],2),""),ROUNDUP(TO_1[[#This Row],[Quantité R.]]*TO_1[[#This Row],[Coût | Unitaire R.]],2))</f>
        <v/>
      </c>
      <c r="L55" s="46">
        <f>IFERROR(IF(TO_1[[#This Row],[Total | Réel]]="",0-TO_1[[#This Row],[Total | Budgétaire]],IF(TO_1[[#This Row],[Total | Budgétaire]]="",TO_1[[#This Row],[Total | Réel]],TO_1[[#This Row],[Total | Réel]]-TO_1[[#This Row],[Total | Budgétaire]])),"")</f>
        <v>0</v>
      </c>
    </row>
    <row r="56" spans="1:12" x14ac:dyDescent="0.2">
      <c r="A56" s="9">
        <v>1015</v>
      </c>
      <c r="B56" s="12" t="s">
        <v>129</v>
      </c>
      <c r="C56" s="32" t="s">
        <v>20</v>
      </c>
      <c r="D56" s="13"/>
      <c r="E56" s="32" t="s">
        <v>27</v>
      </c>
      <c r="F56" s="14"/>
      <c r="G56" s="10">
        <f>IF(OR(TO_1[[#This Row],[Catégorie]]="",TO_1[[#This Row],[Catégorie]]="-"),"",ROUNDUP(TO_1[[#This Row],[Quantité]]*TO_1[[#This Row],[Coût | Unitaire]],2))</f>
        <v>0</v>
      </c>
      <c r="H56" s="32"/>
      <c r="I56" s="13"/>
      <c r="J56" s="14"/>
      <c r="K56" s="10" t="str">
        <f>IF(OR(TO_1[[#This Row],[Total | Budgétaire]]="",TO_1[[#This Row],[Quantité R.]]=""),IF(TO_1[[#This Row],[Quantité R.]]&gt;0,ROUNDUP(TO_1[[#This Row],[Quantité R.]]*TO_1[[#This Row],[Coût | Unitaire R.]],2),""),ROUNDUP(TO_1[[#This Row],[Quantité R.]]*TO_1[[#This Row],[Coût | Unitaire R.]],2))</f>
        <v/>
      </c>
      <c r="L56" s="46">
        <f>IFERROR(IF(TO_1[[#This Row],[Total | Réel]]="",0-TO_1[[#This Row],[Total | Budgétaire]],IF(TO_1[[#This Row],[Total | Budgétaire]]="",TO_1[[#This Row],[Total | Réel]],TO_1[[#This Row],[Total | Réel]]-TO_1[[#This Row],[Total | Budgétaire]])),"")</f>
        <v>0</v>
      </c>
    </row>
    <row r="57" spans="1:12" x14ac:dyDescent="0.2">
      <c r="A57" s="9">
        <v>1016</v>
      </c>
      <c r="B57" s="12" t="s">
        <v>85</v>
      </c>
      <c r="C57" s="32" t="s">
        <v>20</v>
      </c>
      <c r="D57" s="13"/>
      <c r="E57" s="32" t="s">
        <v>27</v>
      </c>
      <c r="F57" s="14"/>
      <c r="G57" s="10">
        <f>IF(OR(TO_1[[#This Row],[Catégorie]]="",TO_1[[#This Row],[Catégorie]]="-"),"",ROUNDUP(TO_1[[#This Row],[Quantité]]*TO_1[[#This Row],[Coût | Unitaire]],2))</f>
        <v>0</v>
      </c>
      <c r="H57" s="32"/>
      <c r="I57" s="13"/>
      <c r="J57" s="14"/>
      <c r="K57" s="10" t="str">
        <f>IF(OR(TO_1[[#This Row],[Total | Budgétaire]]="",TO_1[[#This Row],[Quantité R.]]=""),IF(TO_1[[#This Row],[Quantité R.]]&gt;0,ROUNDUP(TO_1[[#This Row],[Quantité R.]]*TO_1[[#This Row],[Coût | Unitaire R.]],2),""),ROUNDUP(TO_1[[#This Row],[Quantité R.]]*TO_1[[#This Row],[Coût | Unitaire R.]],2))</f>
        <v/>
      </c>
      <c r="L57" s="46">
        <f>IFERROR(IF(TO_1[[#This Row],[Total | Réel]]="",0-TO_1[[#This Row],[Total | Budgétaire]],IF(TO_1[[#This Row],[Total | Budgétaire]]="",TO_1[[#This Row],[Total | Réel]],TO_1[[#This Row],[Total | Réel]]-TO_1[[#This Row],[Total | Budgétaire]])),"")</f>
        <v>0</v>
      </c>
    </row>
    <row r="58" spans="1:12" ht="12.75" thickBot="1" x14ac:dyDescent="0.25">
      <c r="A58" s="9">
        <v>1017</v>
      </c>
      <c r="B58" s="12" t="s">
        <v>107</v>
      </c>
      <c r="C58" s="32" t="s">
        <v>20</v>
      </c>
      <c r="D58" s="13"/>
      <c r="E58" s="32" t="s">
        <v>27</v>
      </c>
      <c r="F58" s="14"/>
      <c r="G58" s="10">
        <f>IF(OR(TO_1[[#This Row],[Catégorie]]="",TO_1[[#This Row],[Catégorie]]="-"),"",ROUNDUP(TO_1[[#This Row],[Quantité]]*TO_1[[#This Row],[Coût | Unitaire]],2))</f>
        <v>0</v>
      </c>
      <c r="H58" s="32"/>
      <c r="I58" s="13"/>
      <c r="J58" s="14"/>
      <c r="K58" s="10" t="str">
        <f>IF(OR(TO_1[[#This Row],[Total | Budgétaire]]="",TO_1[[#This Row],[Quantité R.]]=""),IF(TO_1[[#This Row],[Quantité R.]]&gt;0,ROUNDUP(TO_1[[#This Row],[Quantité R.]]*TO_1[[#This Row],[Coût | Unitaire R.]],2),""),ROUNDUP(TO_1[[#This Row],[Quantité R.]]*TO_1[[#This Row],[Coût | Unitaire R.]],2))</f>
        <v/>
      </c>
      <c r="L58" s="46">
        <f>IFERROR(IF(TO_1[[#This Row],[Total | Réel]]="",0-TO_1[[#This Row],[Total | Budgétaire]],IF(TO_1[[#This Row],[Total | Budgétaire]]="",TO_1[[#This Row],[Total | Réel]],TO_1[[#This Row],[Total | Réel]]-TO_1[[#This Row],[Total | Budgétaire]])),"")</f>
        <v>0</v>
      </c>
    </row>
    <row r="59" spans="1:12" s="15" customFormat="1" ht="13.5" thickTop="1" x14ac:dyDescent="0.2">
      <c r="A59" s="11"/>
      <c r="B59" s="11"/>
      <c r="C59" s="11"/>
      <c r="D59" s="11"/>
      <c r="E59" s="11"/>
      <c r="F59" s="19" t="s">
        <v>54</v>
      </c>
      <c r="G59" s="44">
        <f>SUBTOTAL(109,TO_1[Total | Budgétaire])</f>
        <v>5000</v>
      </c>
      <c r="H59" s="11"/>
      <c r="I59" s="11"/>
      <c r="J59" s="19" t="s">
        <v>54</v>
      </c>
      <c r="K59" s="44">
        <f>SUBTOTAL(109,TO_1[Total | Réel])</f>
        <v>0</v>
      </c>
      <c r="L59" s="44">
        <f>SUBTOTAL(109,TO_1[Résultat])</f>
        <v>-5000</v>
      </c>
    </row>
    <row r="60" spans="1:12" s="15" customFormat="1" ht="12.75" thickBot="1" x14ac:dyDescent="0.25">
      <c r="A60" s="16" t="s">
        <v>7</v>
      </c>
      <c r="G60" s="10"/>
      <c r="K60" s="10"/>
    </row>
    <row r="61" spans="1:12" s="15" customFormat="1" ht="13.5" thickTop="1" x14ac:dyDescent="0.2">
      <c r="F61" s="7" t="s">
        <v>116</v>
      </c>
      <c r="G61" s="7">
        <f>SUMIFS(TO_1[Quantité],TO_1[Catégorie],"M.-d'œuvre",TO_1[Unité],"Heure",TO_1[Coût | Unitaire],"&gt;0")</f>
        <v>0</v>
      </c>
      <c r="H61" s="7"/>
      <c r="I61" s="7"/>
      <c r="J61" s="7" t="str">
        <f>$F$61</f>
        <v>Nombre d'heure</v>
      </c>
      <c r="K61" s="7">
        <f>SUMIFS(TO_1[Quantité R.],TO_1[Catégorie],"M.-d'œuvre",TO_1[Unité],"Heure")</f>
        <v>0</v>
      </c>
      <c r="L61" s="7">
        <f>$K61-$G61</f>
        <v>0</v>
      </c>
    </row>
    <row r="62" spans="1:12" s="15" customFormat="1" x14ac:dyDescent="0.2">
      <c r="A62" s="16" t="s">
        <v>7</v>
      </c>
    </row>
    <row r="63" spans="1:12" s="15" customFormat="1" ht="15" x14ac:dyDescent="0.2">
      <c r="A63" s="41" t="s">
        <v>16</v>
      </c>
      <c r="B63" s="41"/>
      <c r="C63" s="69" t="str">
        <f>$C$8</f>
        <v>BUDGÉTAIRE</v>
      </c>
      <c r="D63" s="70"/>
      <c r="E63" s="70"/>
      <c r="F63" s="70"/>
      <c r="G63" s="71"/>
      <c r="H63" s="69" t="str">
        <f>$H$8</f>
        <v>RÉEL</v>
      </c>
      <c r="I63" s="70"/>
      <c r="J63" s="70"/>
      <c r="K63" s="71"/>
      <c r="L63" s="47" t="str">
        <f>$L$8</f>
        <v>RÉSULTAT</v>
      </c>
    </row>
    <row r="64" spans="1:12" s="15" customFormat="1" ht="12.75" x14ac:dyDescent="0.2">
      <c r="A64" s="6" t="s">
        <v>15</v>
      </c>
      <c r="B64" s="6" t="s">
        <v>0</v>
      </c>
      <c r="C64" s="6" t="s">
        <v>121</v>
      </c>
      <c r="D64" s="6" t="s">
        <v>5</v>
      </c>
      <c r="E64" s="6" t="s">
        <v>25</v>
      </c>
      <c r="F64" s="6" t="s">
        <v>122</v>
      </c>
      <c r="G64" s="6" t="s">
        <v>26</v>
      </c>
      <c r="H64" s="6" t="s">
        <v>28</v>
      </c>
      <c r="I64" s="6" t="s">
        <v>21</v>
      </c>
      <c r="J64" s="6" t="s">
        <v>123</v>
      </c>
      <c r="K64" s="6" t="s">
        <v>29</v>
      </c>
      <c r="L64" s="6" t="s">
        <v>19</v>
      </c>
    </row>
    <row r="65" spans="1:12" s="15" customFormat="1" x14ac:dyDescent="0.2">
      <c r="A65" s="9">
        <v>1101</v>
      </c>
      <c r="B65" s="3" t="s">
        <v>52</v>
      </c>
      <c r="C65" s="9" t="s">
        <v>23</v>
      </c>
      <c r="D65" s="13"/>
      <c r="E65" s="9" t="s">
        <v>14</v>
      </c>
      <c r="F65" s="14">
        <v>98</v>
      </c>
      <c r="G65" s="10">
        <f>IF(OR(TO_2[[#This Row],[Catégorie]]="",TO_2[[#This Row],[Catégorie]]="-"),"",ROUNDUP(TO_2[[#This Row],[Quantité]]*TO_2[[#This Row],[Coût | Unitaire]],2))</f>
        <v>0</v>
      </c>
      <c r="H65" s="9"/>
      <c r="I65" s="13"/>
      <c r="J65" s="14"/>
      <c r="K65" s="10" t="str">
        <f>IF(OR(TO_2[[#This Row],[Total | Budgétaire]]="",TO_2[[#This Row],[Quantité R.]]=""),IF(TO_2[[#This Row],[Quantité R.]]&gt;0,ROUNDUP(TO_2[[#This Row],[Quantité R.]]*TO_2[[#This Row],[Coût | Unitaire R.]],2),""),ROUNDUP(TO_2[[#This Row],[Quantité R.]]*TO_2[[#This Row],[Coût | Unitaire R.]],2))</f>
        <v/>
      </c>
      <c r="L65" s="46">
        <f>IFERROR(IF(TO_2[[#This Row],[Total | Réel]]="",0-TO_2[[#This Row],[Total | Budgétaire]],IF(TO_2[[#This Row],[Total | Budgétaire]]="",TO_2[[#This Row],[Total | Réel]],TO_2[[#This Row],[Total | Réel]]-TO_2[[#This Row],[Total | Budgétaire]])),"")</f>
        <v>0</v>
      </c>
    </row>
    <row r="66" spans="1:12" x14ac:dyDescent="0.2">
      <c r="A66" s="9">
        <v>1102</v>
      </c>
      <c r="B66" s="3" t="s">
        <v>51</v>
      </c>
      <c r="C66" s="32" t="s">
        <v>23</v>
      </c>
      <c r="D66" s="13"/>
      <c r="E66" s="32" t="s">
        <v>14</v>
      </c>
      <c r="F66" s="14">
        <v>105</v>
      </c>
      <c r="G66" s="10">
        <f>IF(OR(TO_2[[#This Row],[Catégorie]]="",TO_2[[#This Row],[Catégorie]]="-"),"",ROUNDUP(TO_2[[#This Row],[Quantité]]*TO_2[[#This Row],[Coût | Unitaire]],2))</f>
        <v>0</v>
      </c>
      <c r="H66" s="32"/>
      <c r="I66" s="13"/>
      <c r="J66" s="14"/>
      <c r="K66" s="10" t="str">
        <f>IF(OR(TO_2[[#This Row],[Total | Budgétaire]]="",TO_2[[#This Row],[Quantité R.]]=""),IF(TO_2[[#This Row],[Quantité R.]]&gt;0,ROUNDUP(TO_2[[#This Row],[Quantité R.]]*TO_2[[#This Row],[Coût | Unitaire R.]],2),""),ROUNDUP(TO_2[[#This Row],[Quantité R.]]*TO_2[[#This Row],[Coût | Unitaire R.]],2))</f>
        <v/>
      </c>
      <c r="L66" s="46">
        <f>IFERROR(IF(TO_2[[#This Row],[Total | Réel]]="",0-TO_2[[#This Row],[Total | Budgétaire]],IF(TO_2[[#This Row],[Total | Budgétaire]]="",TO_2[[#This Row],[Total | Réel]],TO_2[[#This Row],[Total | Réel]]-TO_2[[#This Row],[Total | Budgétaire]])),"")</f>
        <v>0</v>
      </c>
    </row>
    <row r="67" spans="1:12" x14ac:dyDescent="0.2">
      <c r="A67" s="9">
        <v>1103</v>
      </c>
      <c r="B67" s="3" t="s">
        <v>89</v>
      </c>
      <c r="C67" s="32" t="s">
        <v>23</v>
      </c>
      <c r="D67" s="13"/>
      <c r="E67" s="32" t="s">
        <v>14</v>
      </c>
      <c r="F67" s="14">
        <v>125</v>
      </c>
      <c r="G67" s="10">
        <f>IF(OR(TO_2[[#This Row],[Catégorie]]="",TO_2[[#This Row],[Catégorie]]="-"),"",ROUNDUP(TO_2[[#This Row],[Quantité]]*TO_2[[#This Row],[Coût | Unitaire]],2))</f>
        <v>0</v>
      </c>
      <c r="H67" s="32"/>
      <c r="I67" s="13"/>
      <c r="J67" s="14"/>
      <c r="K67" s="10" t="str">
        <f>IF(OR(TO_2[[#This Row],[Total | Budgétaire]]="",TO_2[[#This Row],[Quantité R.]]=""),IF(TO_2[[#This Row],[Quantité R.]]&gt;0,ROUNDUP(TO_2[[#This Row],[Quantité R.]]*TO_2[[#This Row],[Coût | Unitaire R.]],2),""),ROUNDUP(TO_2[[#This Row],[Quantité R.]]*TO_2[[#This Row],[Coût | Unitaire R.]],2))</f>
        <v/>
      </c>
      <c r="L67" s="46">
        <f>IFERROR(IF(TO_2[[#This Row],[Total | Réel]]="",0-TO_2[[#This Row],[Total | Budgétaire]],IF(TO_2[[#This Row],[Total | Budgétaire]]="",TO_2[[#This Row],[Total | Réel]],TO_2[[#This Row],[Total | Réel]]-TO_2[[#This Row],[Total | Budgétaire]])),"")</f>
        <v>0</v>
      </c>
    </row>
    <row r="68" spans="1:12" x14ac:dyDescent="0.2">
      <c r="A68" s="9">
        <v>1104</v>
      </c>
      <c r="B68" s="3" t="s">
        <v>61</v>
      </c>
      <c r="C68" s="32" t="s">
        <v>23</v>
      </c>
      <c r="D68" s="13"/>
      <c r="E68" s="32" t="s">
        <v>14</v>
      </c>
      <c r="F68" s="14">
        <v>40</v>
      </c>
      <c r="G68" s="10">
        <f>IF(OR(TO_2[[#This Row],[Catégorie]]="",TO_2[[#This Row],[Catégorie]]="-"),"",ROUNDUP(TO_2[[#This Row],[Quantité]]*TO_2[[#This Row],[Coût | Unitaire]],2))</f>
        <v>0</v>
      </c>
      <c r="H68" s="32"/>
      <c r="I68" s="13"/>
      <c r="J68" s="14"/>
      <c r="K68" s="10" t="str">
        <f>IF(OR(TO_2[[#This Row],[Total | Budgétaire]]="",TO_2[[#This Row],[Quantité R.]]=""),IF(TO_2[[#This Row],[Quantité R.]]&gt;0,ROUNDUP(TO_2[[#This Row],[Quantité R.]]*TO_2[[#This Row],[Coût | Unitaire R.]],2),""),ROUNDUP(TO_2[[#This Row],[Quantité R.]]*TO_2[[#This Row],[Coût | Unitaire R.]],2))</f>
        <v/>
      </c>
      <c r="L68" s="46">
        <f>IFERROR(IF(TO_2[[#This Row],[Total | Réel]]="",0-TO_2[[#This Row],[Total | Budgétaire]],IF(TO_2[[#This Row],[Total | Budgétaire]]="",TO_2[[#This Row],[Total | Réel]],TO_2[[#This Row],[Total | Réel]]-TO_2[[#This Row],[Total | Budgétaire]])),"")</f>
        <v>0</v>
      </c>
    </row>
    <row r="69" spans="1:12" x14ac:dyDescent="0.2">
      <c r="A69" s="9">
        <v>1105</v>
      </c>
      <c r="B69" s="3" t="s">
        <v>98</v>
      </c>
      <c r="C69" s="32" t="s">
        <v>23</v>
      </c>
      <c r="D69" s="13"/>
      <c r="E69" s="32" t="s">
        <v>14</v>
      </c>
      <c r="F69" s="14">
        <v>70</v>
      </c>
      <c r="G69" s="10">
        <f>IF(OR(TO_2[[#This Row],[Catégorie]]="",TO_2[[#This Row],[Catégorie]]="-"),"",ROUNDUP(TO_2[[#This Row],[Quantité]]*TO_2[[#This Row],[Coût | Unitaire]],2))</f>
        <v>0</v>
      </c>
      <c r="H69" s="32"/>
      <c r="I69" s="13"/>
      <c r="J69" s="14"/>
      <c r="K69" s="10" t="str">
        <f>IF(OR(TO_2[[#This Row],[Total | Budgétaire]]="",TO_2[[#This Row],[Quantité R.]]=""),IF(TO_2[[#This Row],[Quantité R.]]&gt;0,ROUNDUP(TO_2[[#This Row],[Quantité R.]]*TO_2[[#This Row],[Coût | Unitaire R.]],2),""),ROUNDUP(TO_2[[#This Row],[Quantité R.]]*TO_2[[#This Row],[Coût | Unitaire R.]],2))</f>
        <v/>
      </c>
      <c r="L69" s="46">
        <f>IFERROR(IF(TO_2[[#This Row],[Total | Réel]]="",0-TO_2[[#This Row],[Total | Budgétaire]],IF(TO_2[[#This Row],[Total | Budgétaire]]="",TO_2[[#This Row],[Total | Réel]],TO_2[[#This Row],[Total | Réel]]-TO_2[[#This Row],[Total | Budgétaire]])),"")</f>
        <v>0</v>
      </c>
    </row>
    <row r="70" spans="1:12" x14ac:dyDescent="0.2">
      <c r="A70" s="9">
        <v>1106</v>
      </c>
      <c r="B70" s="12" t="s">
        <v>62</v>
      </c>
      <c r="C70" s="32" t="s">
        <v>18</v>
      </c>
      <c r="D70" s="13"/>
      <c r="E70" s="32" t="s">
        <v>25</v>
      </c>
      <c r="F70" s="14"/>
      <c r="G70" s="10">
        <f>IF(OR(TO_2[[#This Row],[Catégorie]]="",TO_2[[#This Row],[Catégorie]]="-"),"",ROUNDUP(TO_2[[#This Row],[Quantité]]*TO_2[[#This Row],[Coût | Unitaire]],2))</f>
        <v>0</v>
      </c>
      <c r="H70" s="32"/>
      <c r="I70" s="13"/>
      <c r="J70" s="14"/>
      <c r="K70" s="10" t="str">
        <f>IF(OR(TO_2[[#This Row],[Total | Budgétaire]]="",TO_2[[#This Row],[Quantité R.]]=""),IF(TO_2[[#This Row],[Quantité R.]]&gt;0,ROUNDUP(TO_2[[#This Row],[Quantité R.]]*TO_2[[#This Row],[Coût | Unitaire R.]],2),""),ROUNDUP(TO_2[[#This Row],[Quantité R.]]*TO_2[[#This Row],[Coût | Unitaire R.]],2))</f>
        <v/>
      </c>
      <c r="L70" s="46">
        <f>IFERROR(IF(TO_2[[#This Row],[Total | Réel]]="",0-TO_2[[#This Row],[Total | Budgétaire]],IF(TO_2[[#This Row],[Total | Budgétaire]]="",TO_2[[#This Row],[Total | Réel]],TO_2[[#This Row],[Total | Réel]]-TO_2[[#This Row],[Total | Budgétaire]])),"")</f>
        <v>0</v>
      </c>
    </row>
    <row r="71" spans="1:12" s="15" customFormat="1" x14ac:dyDescent="0.2">
      <c r="A71" s="9">
        <v>1107</v>
      </c>
      <c r="B71" s="12" t="s">
        <v>63</v>
      </c>
      <c r="C71" s="32" t="s">
        <v>18</v>
      </c>
      <c r="D71" s="13"/>
      <c r="E71" s="32" t="s">
        <v>25</v>
      </c>
      <c r="F71" s="14"/>
      <c r="G71" s="10">
        <f>IF(OR(TO_2[[#This Row],[Catégorie]]="",TO_2[[#This Row],[Catégorie]]="-"),"",ROUNDUP(TO_2[[#This Row],[Quantité]]*TO_2[[#This Row],[Coût | Unitaire]],2))</f>
        <v>0</v>
      </c>
      <c r="H71" s="32"/>
      <c r="I71" s="13"/>
      <c r="J71" s="14"/>
      <c r="K71" s="10" t="str">
        <f>IF(OR(TO_2[[#This Row],[Total | Budgétaire]]="",TO_2[[#This Row],[Quantité R.]]=""),IF(TO_2[[#This Row],[Quantité R.]]&gt;0,ROUNDUP(TO_2[[#This Row],[Quantité R.]]*TO_2[[#This Row],[Coût | Unitaire R.]],2),""),ROUNDUP(TO_2[[#This Row],[Quantité R.]]*TO_2[[#This Row],[Coût | Unitaire R.]],2))</f>
        <v/>
      </c>
      <c r="L71" s="46">
        <f>IFERROR(IF(TO_2[[#This Row],[Total | Réel]]="",0-TO_2[[#This Row],[Total | Budgétaire]],IF(TO_2[[#This Row],[Total | Budgétaire]]="",TO_2[[#This Row],[Total | Réel]],TO_2[[#This Row],[Total | Réel]]-TO_2[[#This Row],[Total | Budgétaire]])),"")</f>
        <v>0</v>
      </c>
    </row>
    <row r="72" spans="1:12" x14ac:dyDescent="0.2">
      <c r="A72" s="9">
        <v>1108</v>
      </c>
      <c r="B72" s="12" t="s">
        <v>64</v>
      </c>
      <c r="C72" s="32" t="s">
        <v>18</v>
      </c>
      <c r="D72" s="13"/>
      <c r="E72" s="32" t="s">
        <v>25</v>
      </c>
      <c r="F72" s="14"/>
      <c r="G72" s="10">
        <f>IF(OR(TO_2[[#This Row],[Catégorie]]="",TO_2[[#This Row],[Catégorie]]="-"),"",ROUNDUP(TO_2[[#This Row],[Quantité]]*TO_2[[#This Row],[Coût | Unitaire]],2))</f>
        <v>0</v>
      </c>
      <c r="H72" s="32"/>
      <c r="I72" s="13"/>
      <c r="J72" s="14"/>
      <c r="K72" s="10" t="str">
        <f>IF(OR(TO_2[[#This Row],[Total | Budgétaire]]="",TO_2[[#This Row],[Quantité R.]]=""),IF(TO_2[[#This Row],[Quantité R.]]&gt;0,ROUNDUP(TO_2[[#This Row],[Quantité R.]]*TO_2[[#This Row],[Coût | Unitaire R.]],2),""),ROUNDUP(TO_2[[#This Row],[Quantité R.]]*TO_2[[#This Row],[Coût | Unitaire R.]],2))</f>
        <v/>
      </c>
      <c r="L72" s="46">
        <f>IFERROR(IF(TO_2[[#This Row],[Total | Réel]]="",0-TO_2[[#This Row],[Total | Budgétaire]],IF(TO_2[[#This Row],[Total | Budgétaire]]="",TO_2[[#This Row],[Total | Réel]],TO_2[[#This Row],[Total | Réel]]-TO_2[[#This Row],[Total | Budgétaire]])),"")</f>
        <v>0</v>
      </c>
    </row>
    <row r="73" spans="1:12" x14ac:dyDescent="0.2">
      <c r="A73" s="9">
        <v>1109</v>
      </c>
      <c r="B73" s="12" t="s">
        <v>99</v>
      </c>
      <c r="C73" s="32" t="s">
        <v>120</v>
      </c>
      <c r="D73" s="13"/>
      <c r="E73" s="32" t="s">
        <v>24</v>
      </c>
      <c r="F73" s="14"/>
      <c r="G73" s="10">
        <f>IF(OR(TO_2[[#This Row],[Catégorie]]="",TO_2[[#This Row],[Catégorie]]="-"),"",ROUNDUP(TO_2[[#This Row],[Quantité]]*TO_2[[#This Row],[Coût | Unitaire]],2))</f>
        <v>0</v>
      </c>
      <c r="H73" s="32"/>
      <c r="I73" s="13"/>
      <c r="J73" s="14"/>
      <c r="K73" s="10" t="str">
        <f>IF(OR(TO_2[[#This Row],[Total | Budgétaire]]="",TO_2[[#This Row],[Quantité R.]]=""),IF(TO_2[[#This Row],[Quantité R.]]&gt;0,ROUNDUP(TO_2[[#This Row],[Quantité R.]]*TO_2[[#This Row],[Coût | Unitaire R.]],2),""),ROUNDUP(TO_2[[#This Row],[Quantité R.]]*TO_2[[#This Row],[Coût | Unitaire R.]],2))</f>
        <v/>
      </c>
      <c r="L73" s="46">
        <f>IFERROR(IF(TO_2[[#This Row],[Total | Réel]]="",0-TO_2[[#This Row],[Total | Budgétaire]],IF(TO_2[[#This Row],[Total | Budgétaire]]="",TO_2[[#This Row],[Total | Réel]],TO_2[[#This Row],[Total | Réel]]-TO_2[[#This Row],[Total | Budgétaire]])),"")</f>
        <v>0</v>
      </c>
    </row>
    <row r="74" spans="1:12" x14ac:dyDescent="0.2">
      <c r="A74" s="9">
        <v>1110</v>
      </c>
      <c r="B74" s="12" t="s">
        <v>72</v>
      </c>
      <c r="C74" s="32" t="s">
        <v>120</v>
      </c>
      <c r="D74" s="13"/>
      <c r="E74" s="32" t="s">
        <v>25</v>
      </c>
      <c r="F74" s="14"/>
      <c r="G74" s="10">
        <f>IF(OR(TO_2[[#This Row],[Catégorie]]="",TO_2[[#This Row],[Catégorie]]="-"),"",ROUNDUP(TO_2[[#This Row],[Quantité]]*TO_2[[#This Row],[Coût | Unitaire]],2))</f>
        <v>0</v>
      </c>
      <c r="H74" s="32"/>
      <c r="I74" s="13"/>
      <c r="J74" s="14"/>
      <c r="K74" s="10" t="str">
        <f>IF(OR(TO_2[[#This Row],[Total | Budgétaire]]="",TO_2[[#This Row],[Quantité R.]]=""),IF(TO_2[[#This Row],[Quantité R.]]&gt;0,ROUNDUP(TO_2[[#This Row],[Quantité R.]]*TO_2[[#This Row],[Coût | Unitaire R.]],2),""),ROUNDUP(TO_2[[#This Row],[Quantité R.]]*TO_2[[#This Row],[Coût | Unitaire R.]],2))</f>
        <v/>
      </c>
      <c r="L74" s="46">
        <f>IFERROR(IF(TO_2[[#This Row],[Total | Réel]]="",0-TO_2[[#This Row],[Total | Budgétaire]],IF(TO_2[[#This Row],[Total | Budgétaire]]="",TO_2[[#This Row],[Total | Réel]],TO_2[[#This Row],[Total | Réel]]-TO_2[[#This Row],[Total | Budgétaire]])),"")</f>
        <v>0</v>
      </c>
    </row>
    <row r="75" spans="1:12" x14ac:dyDescent="0.2">
      <c r="A75" s="9">
        <v>1111</v>
      </c>
      <c r="B75" s="12" t="s">
        <v>73</v>
      </c>
      <c r="C75" s="32" t="s">
        <v>120</v>
      </c>
      <c r="D75" s="13"/>
      <c r="E75" s="32" t="s">
        <v>25</v>
      </c>
      <c r="F75" s="14"/>
      <c r="G75" s="10">
        <f>IF(OR(TO_2[[#This Row],[Catégorie]]="",TO_2[[#This Row],[Catégorie]]="-"),"",ROUNDUP(TO_2[[#This Row],[Quantité]]*TO_2[[#This Row],[Coût | Unitaire]],2))</f>
        <v>0</v>
      </c>
      <c r="H75" s="32"/>
      <c r="I75" s="13"/>
      <c r="J75" s="14"/>
      <c r="K75" s="10" t="str">
        <f>IF(OR(TO_2[[#This Row],[Total | Budgétaire]]="",TO_2[[#This Row],[Quantité R.]]=""),IF(TO_2[[#This Row],[Quantité R.]]&gt;0,ROUNDUP(TO_2[[#This Row],[Quantité R.]]*TO_2[[#This Row],[Coût | Unitaire R.]],2),""),ROUNDUP(TO_2[[#This Row],[Quantité R.]]*TO_2[[#This Row],[Coût | Unitaire R.]],2))</f>
        <v/>
      </c>
      <c r="L75" s="46">
        <f>IFERROR(IF(TO_2[[#This Row],[Total | Réel]]="",0-TO_2[[#This Row],[Total | Budgétaire]],IF(TO_2[[#This Row],[Total | Budgétaire]]="",TO_2[[#This Row],[Total | Réel]],TO_2[[#This Row],[Total | Réel]]-TO_2[[#This Row],[Total | Budgétaire]])),"")</f>
        <v>0</v>
      </c>
    </row>
    <row r="76" spans="1:12" x14ac:dyDescent="0.2">
      <c r="A76" s="9">
        <v>1112</v>
      </c>
      <c r="B76" s="12" t="s">
        <v>133</v>
      </c>
      <c r="C76" s="32" t="s">
        <v>20</v>
      </c>
      <c r="D76" s="13"/>
      <c r="E76" s="32" t="s">
        <v>25</v>
      </c>
      <c r="F76" s="14">
        <v>650</v>
      </c>
      <c r="G76" s="10">
        <f>IF(OR(TO_2[[#This Row],[Catégorie]]="",TO_2[[#This Row],[Catégorie]]="-"),"",ROUNDUP(TO_2[[#This Row],[Quantité]]*TO_2[[#This Row],[Coût | Unitaire]],2))</f>
        <v>0</v>
      </c>
      <c r="H76" s="32"/>
      <c r="I76" s="13"/>
      <c r="J76" s="14"/>
      <c r="K76" s="10" t="str">
        <f>IF(OR(TO_2[[#This Row],[Total | Budgétaire]]="",TO_2[[#This Row],[Quantité R.]]=""),IF(TO_2[[#This Row],[Quantité R.]]&gt;0,ROUNDUP(TO_2[[#This Row],[Quantité R.]]*TO_2[[#This Row],[Coût | Unitaire R.]],2),""),ROUNDUP(TO_2[[#This Row],[Quantité R.]]*TO_2[[#This Row],[Coût | Unitaire R.]],2))</f>
        <v/>
      </c>
      <c r="L76" s="46">
        <f>IFERROR(IF(TO_2[[#This Row],[Total | Réel]]="",0-TO_2[[#This Row],[Total | Budgétaire]],IF(TO_2[[#This Row],[Total | Budgétaire]]="",TO_2[[#This Row],[Total | Réel]],TO_2[[#This Row],[Total | Réel]]-TO_2[[#This Row],[Total | Budgétaire]])),"")</f>
        <v>0</v>
      </c>
    </row>
    <row r="77" spans="1:12" x14ac:dyDescent="0.2">
      <c r="A77" s="9">
        <v>1113</v>
      </c>
      <c r="B77" s="12" t="s">
        <v>132</v>
      </c>
      <c r="C77" s="32" t="s">
        <v>120</v>
      </c>
      <c r="D77" s="13"/>
      <c r="E77" s="32" t="s">
        <v>25</v>
      </c>
      <c r="F77" s="14">
        <v>500</v>
      </c>
      <c r="G77" s="10">
        <f>IF(OR(TO_2[[#This Row],[Catégorie]]="",TO_2[[#This Row],[Catégorie]]="-"),"",ROUNDUP(TO_2[[#This Row],[Quantité]]*TO_2[[#This Row],[Coût | Unitaire]],2))</f>
        <v>0</v>
      </c>
      <c r="H77" s="32"/>
      <c r="I77" s="13"/>
      <c r="J77" s="14"/>
      <c r="K77" s="10" t="str">
        <f>IF(OR(TO_2[[#This Row],[Total | Budgétaire]]="",TO_2[[#This Row],[Quantité R.]]=""),IF(TO_2[[#This Row],[Quantité R.]]&gt;0,ROUNDUP(TO_2[[#This Row],[Quantité R.]]*TO_2[[#This Row],[Coût | Unitaire R.]],2),""),ROUNDUP(TO_2[[#This Row],[Quantité R.]]*TO_2[[#This Row],[Coût | Unitaire R.]],2))</f>
        <v/>
      </c>
      <c r="L77" s="46">
        <f>IFERROR(IF(TO_2[[#This Row],[Total | Réel]]="",0-TO_2[[#This Row],[Total | Budgétaire]],IF(TO_2[[#This Row],[Total | Budgétaire]]="",TO_2[[#This Row],[Total | Réel]],TO_2[[#This Row],[Total | Réel]]-TO_2[[#This Row],[Total | Budgétaire]])),"")</f>
        <v>0</v>
      </c>
    </row>
    <row r="78" spans="1:12" x14ac:dyDescent="0.2">
      <c r="A78" s="9">
        <v>1114</v>
      </c>
      <c r="B78" s="12" t="s">
        <v>100</v>
      </c>
      <c r="C78" s="32" t="s">
        <v>120</v>
      </c>
      <c r="D78" s="13"/>
      <c r="E78" s="32" t="s">
        <v>14</v>
      </c>
      <c r="F78" s="14"/>
      <c r="G78" s="10">
        <f>IF(OR(TO_2[[#This Row],[Catégorie]]="",TO_2[[#This Row],[Catégorie]]="-"),"",ROUNDUP(TO_2[[#This Row],[Quantité]]*TO_2[[#This Row],[Coût | Unitaire]],2))</f>
        <v>0</v>
      </c>
      <c r="H78" s="32"/>
      <c r="I78" s="13"/>
      <c r="J78" s="14"/>
      <c r="K78" s="10" t="str">
        <f>IF(OR(TO_2[[#This Row],[Total | Budgétaire]]="",TO_2[[#This Row],[Quantité R.]]=""),IF(TO_2[[#This Row],[Quantité R.]]&gt;0,ROUNDUP(TO_2[[#This Row],[Quantité R.]]*TO_2[[#This Row],[Coût | Unitaire R.]],2),""),ROUNDUP(TO_2[[#This Row],[Quantité R.]]*TO_2[[#This Row],[Coût | Unitaire R.]],2))</f>
        <v/>
      </c>
      <c r="L78" s="46">
        <f>IFERROR(IF(TO_2[[#This Row],[Total | Réel]]="",0-TO_2[[#This Row],[Total | Budgétaire]],IF(TO_2[[#This Row],[Total | Budgétaire]]="",TO_2[[#This Row],[Total | Réel]],TO_2[[#This Row],[Total | Réel]]-TO_2[[#This Row],[Total | Budgétaire]])),"")</f>
        <v>0</v>
      </c>
    </row>
    <row r="79" spans="1:12" x14ac:dyDescent="0.2">
      <c r="A79" s="9">
        <v>1115</v>
      </c>
      <c r="B79" s="12" t="s">
        <v>74</v>
      </c>
      <c r="C79" s="32" t="s">
        <v>20</v>
      </c>
      <c r="D79" s="13"/>
      <c r="E79" s="32" t="s">
        <v>27</v>
      </c>
      <c r="F79" s="14"/>
      <c r="G79" s="10">
        <f>IF(OR(TO_2[[#This Row],[Catégorie]]="",TO_2[[#This Row],[Catégorie]]="-"),"",ROUNDUP(TO_2[[#This Row],[Quantité]]*TO_2[[#This Row],[Coût | Unitaire]],2))</f>
        <v>0</v>
      </c>
      <c r="H79" s="32"/>
      <c r="I79" s="13"/>
      <c r="J79" s="14"/>
      <c r="K79" s="10" t="str">
        <f>IF(OR(TO_2[[#This Row],[Total | Budgétaire]]="",TO_2[[#This Row],[Quantité R.]]=""),IF(TO_2[[#This Row],[Quantité R.]]&gt;0,ROUNDUP(TO_2[[#This Row],[Quantité R.]]*TO_2[[#This Row],[Coût | Unitaire R.]],2),""),ROUNDUP(TO_2[[#This Row],[Quantité R.]]*TO_2[[#This Row],[Coût | Unitaire R.]],2))</f>
        <v/>
      </c>
      <c r="L79" s="46">
        <f>IFERROR(IF(TO_2[[#This Row],[Total | Réel]]="",0-TO_2[[#This Row],[Total | Budgétaire]],IF(TO_2[[#This Row],[Total | Budgétaire]]="",TO_2[[#This Row],[Total | Réel]],TO_2[[#This Row],[Total | Réel]]-TO_2[[#This Row],[Total | Budgétaire]])),"")</f>
        <v>0</v>
      </c>
    </row>
    <row r="80" spans="1:12" x14ac:dyDescent="0.2">
      <c r="A80" s="9">
        <v>1116</v>
      </c>
      <c r="B80" s="12" t="s">
        <v>75</v>
      </c>
      <c r="C80" s="32" t="s">
        <v>20</v>
      </c>
      <c r="D80" s="13"/>
      <c r="E80" s="32" t="s">
        <v>27</v>
      </c>
      <c r="F80" s="14"/>
      <c r="G80" s="10">
        <f>IF(OR(TO_2[[#This Row],[Catégorie]]="",TO_2[[#This Row],[Catégorie]]="-"),"",ROUNDUP(TO_2[[#This Row],[Quantité]]*TO_2[[#This Row],[Coût | Unitaire]],2))</f>
        <v>0</v>
      </c>
      <c r="H80" s="32"/>
      <c r="I80" s="13"/>
      <c r="J80" s="14"/>
      <c r="K80" s="10" t="str">
        <f>IF(OR(TO_2[[#This Row],[Total | Budgétaire]]="",TO_2[[#This Row],[Quantité R.]]=""),IF(TO_2[[#This Row],[Quantité R.]]&gt;0,ROUNDUP(TO_2[[#This Row],[Quantité R.]]*TO_2[[#This Row],[Coût | Unitaire R.]],2),""),ROUNDUP(TO_2[[#This Row],[Quantité R.]]*TO_2[[#This Row],[Coût | Unitaire R.]],2))</f>
        <v/>
      </c>
      <c r="L80" s="46">
        <f>IFERROR(IF(TO_2[[#This Row],[Total | Réel]]="",0-TO_2[[#This Row],[Total | Budgétaire]],IF(TO_2[[#This Row],[Total | Budgétaire]]="",TO_2[[#This Row],[Total | Réel]],TO_2[[#This Row],[Total | Réel]]-TO_2[[#This Row],[Total | Budgétaire]])),"")</f>
        <v>0</v>
      </c>
    </row>
    <row r="81" spans="1:12" x14ac:dyDescent="0.2">
      <c r="A81" s="9">
        <v>1117</v>
      </c>
      <c r="B81" s="12" t="s">
        <v>76</v>
      </c>
      <c r="C81" s="32" t="s">
        <v>20</v>
      </c>
      <c r="D81" s="13"/>
      <c r="E81" s="32" t="s">
        <v>25</v>
      </c>
      <c r="F81" s="14"/>
      <c r="G81" s="10">
        <f>IF(OR(TO_2[[#This Row],[Catégorie]]="",TO_2[[#This Row],[Catégorie]]="-"),"",ROUNDUP(TO_2[[#This Row],[Quantité]]*TO_2[[#This Row],[Coût | Unitaire]],2))</f>
        <v>0</v>
      </c>
      <c r="H81" s="32"/>
      <c r="I81" s="13"/>
      <c r="J81" s="14"/>
      <c r="K81" s="10" t="str">
        <f>IF(OR(TO_2[[#This Row],[Total | Budgétaire]]="",TO_2[[#This Row],[Quantité R.]]=""),IF(TO_2[[#This Row],[Quantité R.]]&gt;0,ROUNDUP(TO_2[[#This Row],[Quantité R.]]*TO_2[[#This Row],[Coût | Unitaire R.]],2),""),ROUNDUP(TO_2[[#This Row],[Quantité R.]]*TO_2[[#This Row],[Coût | Unitaire R.]],2))</f>
        <v/>
      </c>
      <c r="L81" s="46">
        <f>IFERROR(IF(TO_2[[#This Row],[Total | Réel]]="",0-TO_2[[#This Row],[Total | Budgétaire]],IF(TO_2[[#This Row],[Total | Budgétaire]]="",TO_2[[#This Row],[Total | Réel]],TO_2[[#This Row],[Total | Réel]]-TO_2[[#This Row],[Total | Budgétaire]])),"")</f>
        <v>0</v>
      </c>
    </row>
    <row r="82" spans="1:12" x14ac:dyDescent="0.2">
      <c r="A82" s="9">
        <v>1118</v>
      </c>
      <c r="B82" s="12" t="s">
        <v>101</v>
      </c>
      <c r="C82" s="32" t="s">
        <v>120</v>
      </c>
      <c r="D82" s="13"/>
      <c r="E82" s="32" t="s">
        <v>27</v>
      </c>
      <c r="F82" s="14"/>
      <c r="G82" s="10">
        <f>IF(OR(TO_2[[#This Row],[Catégorie]]="",TO_2[[#This Row],[Catégorie]]="-"),"",ROUNDUP(TO_2[[#This Row],[Quantité]]*TO_2[[#This Row],[Coût | Unitaire]],2))</f>
        <v>0</v>
      </c>
      <c r="H82" s="32"/>
      <c r="I82" s="13"/>
      <c r="J82" s="14"/>
      <c r="K82" s="10" t="str">
        <f>IF(OR(TO_2[[#This Row],[Total | Budgétaire]]="",TO_2[[#This Row],[Quantité R.]]=""),IF(TO_2[[#This Row],[Quantité R.]]&gt;0,ROUNDUP(TO_2[[#This Row],[Quantité R.]]*TO_2[[#This Row],[Coût | Unitaire R.]],2),""),ROUNDUP(TO_2[[#This Row],[Quantité R.]]*TO_2[[#This Row],[Coût | Unitaire R.]],2))</f>
        <v/>
      </c>
      <c r="L82" s="46">
        <f>IFERROR(IF(TO_2[[#This Row],[Total | Réel]]="",0-TO_2[[#This Row],[Total | Budgétaire]],IF(TO_2[[#This Row],[Total | Budgétaire]]="",TO_2[[#This Row],[Total | Réel]],TO_2[[#This Row],[Total | Réel]]-TO_2[[#This Row],[Total | Budgétaire]])),"")</f>
        <v>0</v>
      </c>
    </row>
    <row r="83" spans="1:12" x14ac:dyDescent="0.2">
      <c r="A83" s="9">
        <v>1119</v>
      </c>
      <c r="B83" s="12" t="s">
        <v>77</v>
      </c>
      <c r="C83" s="32" t="s">
        <v>20</v>
      </c>
      <c r="D83" s="13"/>
      <c r="E83" s="32" t="s">
        <v>25</v>
      </c>
      <c r="F83" s="14"/>
      <c r="G83" s="10">
        <f>IF(OR(TO_2[[#This Row],[Catégorie]]="",TO_2[[#This Row],[Catégorie]]="-"),"",ROUNDUP(TO_2[[#This Row],[Quantité]]*TO_2[[#This Row],[Coût | Unitaire]],2))</f>
        <v>0</v>
      </c>
      <c r="H83" s="32"/>
      <c r="I83" s="13"/>
      <c r="J83" s="14"/>
      <c r="K83" s="10" t="str">
        <f>IF(OR(TO_2[[#This Row],[Total | Budgétaire]]="",TO_2[[#This Row],[Quantité R.]]=""),IF(TO_2[[#This Row],[Quantité R.]]&gt;0,ROUNDUP(TO_2[[#This Row],[Quantité R.]]*TO_2[[#This Row],[Coût | Unitaire R.]],2),""),ROUNDUP(TO_2[[#This Row],[Quantité R.]]*TO_2[[#This Row],[Coût | Unitaire R.]],2))</f>
        <v/>
      </c>
      <c r="L83" s="46">
        <f>IFERROR(IF(TO_2[[#This Row],[Total | Réel]]="",0-TO_2[[#This Row],[Total | Budgétaire]],IF(TO_2[[#This Row],[Total | Budgétaire]]="",TO_2[[#This Row],[Total | Réel]],TO_2[[#This Row],[Total | Réel]]-TO_2[[#This Row],[Total | Budgétaire]])),"")</f>
        <v>0</v>
      </c>
    </row>
    <row r="84" spans="1:12" x14ac:dyDescent="0.2">
      <c r="A84" s="9">
        <v>1120</v>
      </c>
      <c r="B84" s="12" t="s">
        <v>78</v>
      </c>
      <c r="C84" s="32" t="s">
        <v>120</v>
      </c>
      <c r="D84" s="13"/>
      <c r="E84" s="32" t="s">
        <v>14</v>
      </c>
      <c r="F84" s="14"/>
      <c r="G84" s="10">
        <f>IF(OR(TO_2[[#This Row],[Catégorie]]="",TO_2[[#This Row],[Catégorie]]="-"),"",ROUNDUP(TO_2[[#This Row],[Quantité]]*TO_2[[#This Row],[Coût | Unitaire]],2))</f>
        <v>0</v>
      </c>
      <c r="H84" s="32"/>
      <c r="I84" s="13"/>
      <c r="J84" s="14"/>
      <c r="K84" s="10" t="str">
        <f>IF(OR(TO_2[[#This Row],[Total | Budgétaire]]="",TO_2[[#This Row],[Quantité R.]]=""),IF(TO_2[[#This Row],[Quantité R.]]&gt;0,ROUNDUP(TO_2[[#This Row],[Quantité R.]]*TO_2[[#This Row],[Coût | Unitaire R.]],2),""),ROUNDUP(TO_2[[#This Row],[Quantité R.]]*TO_2[[#This Row],[Coût | Unitaire R.]],2))</f>
        <v/>
      </c>
      <c r="L84" s="46">
        <f>IFERROR(IF(TO_2[[#This Row],[Total | Réel]]="",0-TO_2[[#This Row],[Total | Budgétaire]],IF(TO_2[[#This Row],[Total | Budgétaire]]="",TO_2[[#This Row],[Total | Réel]],TO_2[[#This Row],[Total | Réel]]-TO_2[[#This Row],[Total | Budgétaire]])),"")</f>
        <v>0</v>
      </c>
    </row>
    <row r="85" spans="1:12" x14ac:dyDescent="0.2">
      <c r="A85" s="9">
        <v>1121</v>
      </c>
      <c r="B85" s="12" t="s">
        <v>79</v>
      </c>
      <c r="C85" s="32" t="s">
        <v>23</v>
      </c>
      <c r="D85" s="13"/>
      <c r="E85" s="32" t="s">
        <v>25</v>
      </c>
      <c r="F85" s="14"/>
      <c r="G85" s="10">
        <f>IF(OR(TO_2[[#This Row],[Catégorie]]="",TO_2[[#This Row],[Catégorie]]="-"),"",ROUNDUP(TO_2[[#This Row],[Quantité]]*TO_2[[#This Row],[Coût | Unitaire]],2))</f>
        <v>0</v>
      </c>
      <c r="H85" s="32"/>
      <c r="I85" s="13"/>
      <c r="J85" s="14"/>
      <c r="K85" s="10" t="str">
        <f>IF(OR(TO_2[[#This Row],[Total | Budgétaire]]="",TO_2[[#This Row],[Quantité R.]]=""),IF(TO_2[[#This Row],[Quantité R.]]&gt;0,ROUNDUP(TO_2[[#This Row],[Quantité R.]]*TO_2[[#This Row],[Coût | Unitaire R.]],2),""),ROUNDUP(TO_2[[#This Row],[Quantité R.]]*TO_2[[#This Row],[Coût | Unitaire R.]],2))</f>
        <v/>
      </c>
      <c r="L85" s="46">
        <f>IFERROR(IF(TO_2[[#This Row],[Total | Réel]]="",0-TO_2[[#This Row],[Total | Budgétaire]],IF(TO_2[[#This Row],[Total | Budgétaire]]="",TO_2[[#This Row],[Total | Réel]],TO_2[[#This Row],[Total | Réel]]-TO_2[[#This Row],[Total | Budgétaire]])),"")</f>
        <v>0</v>
      </c>
    </row>
    <row r="86" spans="1:12" x14ac:dyDescent="0.2">
      <c r="A86" s="9">
        <v>1122</v>
      </c>
      <c r="B86" s="12" t="s">
        <v>80</v>
      </c>
      <c r="C86" s="32" t="s">
        <v>127</v>
      </c>
      <c r="D86" s="13"/>
      <c r="E86" s="32" t="s">
        <v>25</v>
      </c>
      <c r="F86" s="14"/>
      <c r="G86" s="10">
        <f>IF(OR(TO_2[[#This Row],[Catégorie]]="",TO_2[[#This Row],[Catégorie]]="-"),"",ROUNDUP(TO_2[[#This Row],[Quantité]]*TO_2[[#This Row],[Coût | Unitaire]],2))</f>
        <v>0</v>
      </c>
      <c r="H86" s="32"/>
      <c r="I86" s="13"/>
      <c r="J86" s="14"/>
      <c r="K86" s="10" t="str">
        <f>IF(OR(TO_2[[#This Row],[Total | Budgétaire]]="",TO_2[[#This Row],[Quantité R.]]=""),IF(TO_2[[#This Row],[Quantité R.]]&gt;0,ROUNDUP(TO_2[[#This Row],[Quantité R.]]*TO_2[[#This Row],[Coût | Unitaire R.]],2),""),ROUNDUP(TO_2[[#This Row],[Quantité R.]]*TO_2[[#This Row],[Coût | Unitaire R.]],2))</f>
        <v/>
      </c>
      <c r="L86" s="46">
        <f>IFERROR(IF(TO_2[[#This Row],[Total | Réel]]="",0-TO_2[[#This Row],[Total | Budgétaire]],IF(TO_2[[#This Row],[Total | Budgétaire]]="",TO_2[[#This Row],[Total | Réel]],TO_2[[#This Row],[Total | Réel]]-TO_2[[#This Row],[Total | Budgétaire]])),"")</f>
        <v>0</v>
      </c>
    </row>
    <row r="87" spans="1:12" x14ac:dyDescent="0.2">
      <c r="A87" s="9">
        <v>1123</v>
      </c>
      <c r="B87" s="12" t="s">
        <v>81</v>
      </c>
      <c r="C87" s="32" t="s">
        <v>127</v>
      </c>
      <c r="D87" s="13"/>
      <c r="E87" s="32" t="s">
        <v>25</v>
      </c>
      <c r="F87" s="14"/>
      <c r="G87" s="10">
        <f>IF(OR(TO_2[[#This Row],[Catégorie]]="",TO_2[[#This Row],[Catégorie]]="-"),"",ROUNDUP(TO_2[[#This Row],[Quantité]]*TO_2[[#This Row],[Coût | Unitaire]],2))</f>
        <v>0</v>
      </c>
      <c r="H87" s="32"/>
      <c r="I87" s="13"/>
      <c r="J87" s="14"/>
      <c r="K87" s="10" t="str">
        <f>IF(OR(TO_2[[#This Row],[Total | Budgétaire]]="",TO_2[[#This Row],[Quantité R.]]=""),IF(TO_2[[#This Row],[Quantité R.]]&gt;0,ROUNDUP(TO_2[[#This Row],[Quantité R.]]*TO_2[[#This Row],[Coût | Unitaire R.]],2),""),ROUNDUP(TO_2[[#This Row],[Quantité R.]]*TO_2[[#This Row],[Coût | Unitaire R.]],2))</f>
        <v/>
      </c>
      <c r="L87" s="46">
        <f>IFERROR(IF(TO_2[[#This Row],[Total | Réel]]="",0-TO_2[[#This Row],[Total | Budgétaire]],IF(TO_2[[#This Row],[Total | Budgétaire]]="",TO_2[[#This Row],[Total | Réel]],TO_2[[#This Row],[Total | Réel]]-TO_2[[#This Row],[Total | Budgétaire]])),"")</f>
        <v>0</v>
      </c>
    </row>
    <row r="88" spans="1:12" x14ac:dyDescent="0.2">
      <c r="A88" s="9">
        <v>1124</v>
      </c>
      <c r="B88" s="12" t="s">
        <v>102</v>
      </c>
      <c r="C88" s="32" t="s">
        <v>127</v>
      </c>
      <c r="D88" s="13"/>
      <c r="E88" s="32" t="s">
        <v>25</v>
      </c>
      <c r="F88" s="14"/>
      <c r="G88" s="10">
        <f>IF(OR(TO_2[[#This Row],[Catégorie]]="",TO_2[[#This Row],[Catégorie]]="-"),"",ROUNDUP(TO_2[[#This Row],[Quantité]]*TO_2[[#This Row],[Coût | Unitaire]],2))</f>
        <v>0</v>
      </c>
      <c r="H88" s="32"/>
      <c r="I88" s="13"/>
      <c r="J88" s="14"/>
      <c r="K88" s="10" t="str">
        <f>IF(OR(TO_2[[#This Row],[Total | Budgétaire]]="",TO_2[[#This Row],[Quantité R.]]=""),IF(TO_2[[#This Row],[Quantité R.]]&gt;0,ROUNDUP(TO_2[[#This Row],[Quantité R.]]*TO_2[[#This Row],[Coût | Unitaire R.]],2),""),ROUNDUP(TO_2[[#This Row],[Quantité R.]]*TO_2[[#This Row],[Coût | Unitaire R.]],2))</f>
        <v/>
      </c>
      <c r="L88" s="46">
        <f>IFERROR(IF(TO_2[[#This Row],[Total | Réel]]="",0-TO_2[[#This Row],[Total | Budgétaire]],IF(TO_2[[#This Row],[Total | Budgétaire]]="",TO_2[[#This Row],[Total | Réel]],TO_2[[#This Row],[Total | Réel]]-TO_2[[#This Row],[Total | Budgétaire]])),"")</f>
        <v>0</v>
      </c>
    </row>
    <row r="89" spans="1:12" x14ac:dyDescent="0.2">
      <c r="A89" s="9">
        <v>1125</v>
      </c>
      <c r="B89" s="12" t="s">
        <v>82</v>
      </c>
      <c r="C89" s="32" t="s">
        <v>20</v>
      </c>
      <c r="D89" s="13"/>
      <c r="E89" s="32" t="s">
        <v>25</v>
      </c>
      <c r="F89" s="14"/>
      <c r="G89" s="10">
        <f>IF(OR(TO_2[[#This Row],[Catégorie]]="",TO_2[[#This Row],[Catégorie]]="-"),"",ROUNDUP(TO_2[[#This Row],[Quantité]]*TO_2[[#This Row],[Coût | Unitaire]],2))</f>
        <v>0</v>
      </c>
      <c r="H89" s="32"/>
      <c r="I89" s="13"/>
      <c r="J89" s="14"/>
      <c r="K89" s="10" t="str">
        <f>IF(OR(TO_2[[#This Row],[Total | Budgétaire]]="",TO_2[[#This Row],[Quantité R.]]=""),IF(TO_2[[#This Row],[Quantité R.]]&gt;0,ROUNDUP(TO_2[[#This Row],[Quantité R.]]*TO_2[[#This Row],[Coût | Unitaire R.]],2),""),ROUNDUP(TO_2[[#This Row],[Quantité R.]]*TO_2[[#This Row],[Coût | Unitaire R.]],2))</f>
        <v/>
      </c>
      <c r="L89" s="46">
        <f>IFERROR(IF(TO_2[[#This Row],[Total | Réel]]="",0-TO_2[[#This Row],[Total | Budgétaire]],IF(TO_2[[#This Row],[Total | Budgétaire]]="",TO_2[[#This Row],[Total | Réel]],TO_2[[#This Row],[Total | Réel]]-TO_2[[#This Row],[Total | Budgétaire]])),"")</f>
        <v>0</v>
      </c>
    </row>
    <row r="90" spans="1:12" x14ac:dyDescent="0.2">
      <c r="A90" s="9">
        <v>1126</v>
      </c>
      <c r="B90" s="12" t="s">
        <v>103</v>
      </c>
      <c r="C90" s="32" t="s">
        <v>20</v>
      </c>
      <c r="D90" s="13"/>
      <c r="E90" s="32" t="s">
        <v>27</v>
      </c>
      <c r="F90" s="14"/>
      <c r="G90" s="10">
        <f>IF(OR(TO_2[[#This Row],[Catégorie]]="",TO_2[[#This Row],[Catégorie]]="-"),"",ROUNDUP(TO_2[[#This Row],[Quantité]]*TO_2[[#This Row],[Coût | Unitaire]],2))</f>
        <v>0</v>
      </c>
      <c r="H90" s="32"/>
      <c r="I90" s="13"/>
      <c r="J90" s="14"/>
      <c r="K90" s="10" t="str">
        <f>IF(OR(TO_2[[#This Row],[Total | Budgétaire]]="",TO_2[[#This Row],[Quantité R.]]=""),IF(TO_2[[#This Row],[Quantité R.]]&gt;0,ROUNDUP(TO_2[[#This Row],[Quantité R.]]*TO_2[[#This Row],[Coût | Unitaire R.]],2),""),ROUNDUP(TO_2[[#This Row],[Quantité R.]]*TO_2[[#This Row],[Coût | Unitaire R.]],2))</f>
        <v/>
      </c>
      <c r="L90" s="46">
        <f>IFERROR(IF(TO_2[[#This Row],[Total | Réel]]="",0-TO_2[[#This Row],[Total | Budgétaire]],IF(TO_2[[#This Row],[Total | Budgétaire]]="",TO_2[[#This Row],[Total | Réel]],TO_2[[#This Row],[Total | Réel]]-TO_2[[#This Row],[Total | Budgétaire]])),"")</f>
        <v>0</v>
      </c>
    </row>
    <row r="91" spans="1:12" x14ac:dyDescent="0.2">
      <c r="A91" s="9">
        <v>1127</v>
      </c>
      <c r="B91" s="12" t="s">
        <v>117</v>
      </c>
      <c r="C91" s="32" t="s">
        <v>20</v>
      </c>
      <c r="D91" s="13"/>
      <c r="E91" s="32" t="s">
        <v>27</v>
      </c>
      <c r="F91" s="14"/>
      <c r="G91" s="10">
        <f>IF(OR(TO_2[[#This Row],[Catégorie]]="",TO_2[[#This Row],[Catégorie]]="-"),"",ROUNDUP(TO_2[[#This Row],[Quantité]]*TO_2[[#This Row],[Coût | Unitaire]],2))</f>
        <v>0</v>
      </c>
      <c r="H91" s="32"/>
      <c r="I91" s="13"/>
      <c r="J91" s="14"/>
      <c r="K91" s="10" t="str">
        <f>IF(OR(TO_2[[#This Row],[Total | Budgétaire]]="",TO_2[[#This Row],[Quantité R.]]=""),IF(TO_2[[#This Row],[Quantité R.]]&gt;0,ROUNDUP(TO_2[[#This Row],[Quantité R.]]*TO_2[[#This Row],[Coût | Unitaire R.]],2),""),ROUNDUP(TO_2[[#This Row],[Quantité R.]]*TO_2[[#This Row],[Coût | Unitaire R.]],2))</f>
        <v/>
      </c>
      <c r="L91" s="46">
        <f>IFERROR(IF(TO_2[[#This Row],[Total | Réel]]="",0-TO_2[[#This Row],[Total | Budgétaire]],IF(TO_2[[#This Row],[Total | Budgétaire]]="",TO_2[[#This Row],[Total | Réel]],TO_2[[#This Row],[Total | Réel]]-TO_2[[#This Row],[Total | Budgétaire]])),"")</f>
        <v>0</v>
      </c>
    </row>
    <row r="92" spans="1:12" x14ac:dyDescent="0.2">
      <c r="A92" s="9">
        <v>1128</v>
      </c>
      <c r="B92" s="12" t="s">
        <v>118</v>
      </c>
      <c r="C92" s="32" t="s">
        <v>20</v>
      </c>
      <c r="D92" s="13"/>
      <c r="E92" s="32" t="s">
        <v>27</v>
      </c>
      <c r="F92" s="14"/>
      <c r="G92" s="10">
        <f>IF(OR(TO_2[[#This Row],[Catégorie]]="",TO_2[[#This Row],[Catégorie]]="-"),"",ROUNDUP(TO_2[[#This Row],[Quantité]]*TO_2[[#This Row],[Coût | Unitaire]],2))</f>
        <v>0</v>
      </c>
      <c r="H92" s="32"/>
      <c r="I92" s="13"/>
      <c r="J92" s="14"/>
      <c r="K92" s="10" t="str">
        <f>IF(OR(TO_2[[#This Row],[Total | Budgétaire]]="",TO_2[[#This Row],[Quantité R.]]=""),IF(TO_2[[#This Row],[Quantité R.]]&gt;0,ROUNDUP(TO_2[[#This Row],[Quantité R.]]*TO_2[[#This Row],[Coût | Unitaire R.]],2),""),ROUNDUP(TO_2[[#This Row],[Quantité R.]]*TO_2[[#This Row],[Coût | Unitaire R.]],2))</f>
        <v/>
      </c>
      <c r="L92" s="46">
        <f>IFERROR(IF(TO_2[[#This Row],[Total | Réel]]="",0-TO_2[[#This Row],[Total | Budgétaire]],IF(TO_2[[#This Row],[Total | Budgétaire]]="",TO_2[[#This Row],[Total | Réel]],TO_2[[#This Row],[Total | Réel]]-TO_2[[#This Row],[Total | Budgétaire]])),"")</f>
        <v>0</v>
      </c>
    </row>
    <row r="93" spans="1:12" x14ac:dyDescent="0.2">
      <c r="A93" s="9">
        <v>1129</v>
      </c>
      <c r="B93" s="12" t="s">
        <v>83</v>
      </c>
      <c r="C93" s="32" t="s">
        <v>20</v>
      </c>
      <c r="D93" s="13"/>
      <c r="E93" s="32" t="s">
        <v>27</v>
      </c>
      <c r="F93" s="14"/>
      <c r="G93" s="10">
        <f>IF(OR(TO_2[[#This Row],[Catégorie]]="",TO_2[[#This Row],[Catégorie]]="-"),"",ROUNDUP(TO_2[[#This Row],[Quantité]]*TO_2[[#This Row],[Coût | Unitaire]],2))</f>
        <v>0</v>
      </c>
      <c r="H93" s="32"/>
      <c r="I93" s="13"/>
      <c r="J93" s="14"/>
      <c r="K93" s="10" t="str">
        <f>IF(OR(TO_2[[#This Row],[Total | Budgétaire]]="",TO_2[[#This Row],[Quantité R.]]=""),IF(TO_2[[#This Row],[Quantité R.]]&gt;0,ROUNDUP(TO_2[[#This Row],[Quantité R.]]*TO_2[[#This Row],[Coût | Unitaire R.]],2),""),ROUNDUP(TO_2[[#This Row],[Quantité R.]]*TO_2[[#This Row],[Coût | Unitaire R.]],2))</f>
        <v/>
      </c>
      <c r="L93" s="46">
        <f>IFERROR(IF(TO_2[[#This Row],[Total | Réel]]="",0-TO_2[[#This Row],[Total | Budgétaire]],IF(TO_2[[#This Row],[Total | Budgétaire]]="",TO_2[[#This Row],[Total | Réel]],TO_2[[#This Row],[Total | Réel]]-TO_2[[#This Row],[Total | Budgétaire]])),"")</f>
        <v>0</v>
      </c>
    </row>
    <row r="94" spans="1:12" x14ac:dyDescent="0.2">
      <c r="A94" s="9">
        <v>1130</v>
      </c>
      <c r="B94" s="12" t="s">
        <v>84</v>
      </c>
      <c r="C94" s="32" t="s">
        <v>20</v>
      </c>
      <c r="D94" s="13"/>
      <c r="E94" s="32" t="s">
        <v>27</v>
      </c>
      <c r="F94" s="14"/>
      <c r="G94" s="10">
        <f>IF(OR(TO_2[[#This Row],[Catégorie]]="",TO_2[[#This Row],[Catégorie]]="-"),"",ROUNDUP(TO_2[[#This Row],[Quantité]]*TO_2[[#This Row],[Coût | Unitaire]],2))</f>
        <v>0</v>
      </c>
      <c r="H94" s="32"/>
      <c r="I94" s="13"/>
      <c r="J94" s="14"/>
      <c r="K94" s="10" t="str">
        <f>IF(OR(TO_2[[#This Row],[Total | Budgétaire]]="",TO_2[[#This Row],[Quantité R.]]=""),IF(TO_2[[#This Row],[Quantité R.]]&gt;0,ROUNDUP(TO_2[[#This Row],[Quantité R.]]*TO_2[[#This Row],[Coût | Unitaire R.]],2),""),ROUNDUP(TO_2[[#This Row],[Quantité R.]]*TO_2[[#This Row],[Coût | Unitaire R.]],2))</f>
        <v/>
      </c>
      <c r="L94" s="46">
        <f>IFERROR(IF(TO_2[[#This Row],[Total | Réel]]="",0-TO_2[[#This Row],[Total | Budgétaire]],IF(TO_2[[#This Row],[Total | Budgétaire]]="",TO_2[[#This Row],[Total | Réel]],TO_2[[#This Row],[Total | Réel]]-TO_2[[#This Row],[Total | Budgétaire]])),"")</f>
        <v>0</v>
      </c>
    </row>
    <row r="95" spans="1:12" s="15" customFormat="1" x14ac:dyDescent="0.2">
      <c r="A95" s="9">
        <v>1131</v>
      </c>
      <c r="B95" s="12" t="s">
        <v>85</v>
      </c>
      <c r="C95" s="32" t="s">
        <v>20</v>
      </c>
      <c r="D95" s="13"/>
      <c r="E95" s="32" t="s">
        <v>27</v>
      </c>
      <c r="F95" s="14"/>
      <c r="G95" s="10">
        <f>IF(OR(TO_2[[#This Row],[Catégorie]]="",TO_2[[#This Row],[Catégorie]]="-"),"",ROUNDUP(TO_2[[#This Row],[Quantité]]*TO_2[[#This Row],[Coût | Unitaire]],2))</f>
        <v>0</v>
      </c>
      <c r="H95" s="32"/>
      <c r="I95" s="13"/>
      <c r="J95" s="14"/>
      <c r="K95" s="10" t="str">
        <f>IF(OR(TO_2[[#This Row],[Total | Budgétaire]]="",TO_2[[#This Row],[Quantité R.]]=""),IF(TO_2[[#This Row],[Quantité R.]]&gt;0,ROUNDUP(TO_2[[#This Row],[Quantité R.]]*TO_2[[#This Row],[Coût | Unitaire R.]],2),""),ROUNDUP(TO_2[[#This Row],[Quantité R.]]*TO_2[[#This Row],[Coût | Unitaire R.]],2))</f>
        <v/>
      </c>
      <c r="L95" s="46">
        <f>IFERROR(IF(TO_2[[#This Row],[Total | Réel]]="",0-TO_2[[#This Row],[Total | Budgétaire]],IF(TO_2[[#This Row],[Total | Budgétaire]]="",TO_2[[#This Row],[Total | Réel]],TO_2[[#This Row],[Total | Réel]]-TO_2[[#This Row],[Total | Budgétaire]])),"")</f>
        <v>0</v>
      </c>
    </row>
    <row r="96" spans="1:12" s="15" customFormat="1" x14ac:dyDescent="0.2">
      <c r="A96" s="9">
        <v>1132</v>
      </c>
      <c r="B96" s="12" t="s">
        <v>86</v>
      </c>
      <c r="C96" s="32" t="s">
        <v>20</v>
      </c>
      <c r="D96" s="13"/>
      <c r="E96" s="32" t="s">
        <v>27</v>
      </c>
      <c r="F96" s="14"/>
      <c r="G96" s="10">
        <f>IF(OR(TO_2[[#This Row],[Catégorie]]="",TO_2[[#This Row],[Catégorie]]="-"),"",ROUNDUP(TO_2[[#This Row],[Quantité]]*TO_2[[#This Row],[Coût | Unitaire]],2))</f>
        <v>0</v>
      </c>
      <c r="H96" s="32"/>
      <c r="I96" s="13"/>
      <c r="J96" s="14"/>
      <c r="K96" s="10" t="str">
        <f>IF(OR(TO_2[[#This Row],[Total | Budgétaire]]="",TO_2[[#This Row],[Quantité R.]]=""),IF(TO_2[[#This Row],[Quantité R.]]&gt;0,ROUNDUP(TO_2[[#This Row],[Quantité R.]]*TO_2[[#This Row],[Coût | Unitaire R.]],2),""),ROUNDUP(TO_2[[#This Row],[Quantité R.]]*TO_2[[#This Row],[Coût | Unitaire R.]],2))</f>
        <v/>
      </c>
      <c r="L96" s="46">
        <f>IFERROR(IF(TO_2[[#This Row],[Total | Réel]]="",0-TO_2[[#This Row],[Total | Budgétaire]],IF(TO_2[[#This Row],[Total | Budgétaire]]="",TO_2[[#This Row],[Total | Réel]],TO_2[[#This Row],[Total | Réel]]-TO_2[[#This Row],[Total | Budgétaire]])),"")</f>
        <v>0</v>
      </c>
    </row>
    <row r="97" spans="1:12" s="15" customFormat="1" x14ac:dyDescent="0.2">
      <c r="A97" s="9">
        <v>1133</v>
      </c>
      <c r="B97" s="12" t="s">
        <v>113</v>
      </c>
      <c r="C97" s="32" t="s">
        <v>20</v>
      </c>
      <c r="D97" s="13"/>
      <c r="E97" s="32" t="s">
        <v>27</v>
      </c>
      <c r="F97" s="14"/>
      <c r="G97" s="10">
        <f>IF(OR(TO_2[[#This Row],[Catégorie]]="",TO_2[[#This Row],[Catégorie]]="-"),"",ROUNDUP(TO_2[[#This Row],[Quantité]]*TO_2[[#This Row],[Coût | Unitaire]],2))</f>
        <v>0</v>
      </c>
      <c r="H97" s="32"/>
      <c r="I97" s="13"/>
      <c r="J97" s="14"/>
      <c r="K97" s="10" t="str">
        <f>IF(OR(TO_2[[#This Row],[Total | Budgétaire]]="",TO_2[[#This Row],[Quantité R.]]=""),IF(TO_2[[#This Row],[Quantité R.]]&gt;0,ROUNDUP(TO_2[[#This Row],[Quantité R.]]*TO_2[[#This Row],[Coût | Unitaire R.]],2),""),ROUNDUP(TO_2[[#This Row],[Quantité R.]]*TO_2[[#This Row],[Coût | Unitaire R.]],2))</f>
        <v/>
      </c>
      <c r="L97" s="46">
        <f>IFERROR(IF(TO_2[[#This Row],[Total | Réel]]="",0-TO_2[[#This Row],[Total | Budgétaire]],IF(TO_2[[#This Row],[Total | Budgétaire]]="",TO_2[[#This Row],[Total | Réel]],TO_2[[#This Row],[Total | Réel]]-TO_2[[#This Row],[Total | Budgétaire]])),"")</f>
        <v>0</v>
      </c>
    </row>
    <row r="98" spans="1:12" s="15" customFormat="1" x14ac:dyDescent="0.2">
      <c r="A98" s="9">
        <v>1134</v>
      </c>
      <c r="B98" s="12" t="s">
        <v>87</v>
      </c>
      <c r="C98" s="32" t="s">
        <v>20</v>
      </c>
      <c r="D98" s="13"/>
      <c r="E98" s="32" t="s">
        <v>27</v>
      </c>
      <c r="F98" s="14"/>
      <c r="G98" s="10">
        <f>IF(OR(TO_2[[#This Row],[Catégorie]]="",TO_2[[#This Row],[Catégorie]]="-"),"",ROUNDUP(TO_2[[#This Row],[Quantité]]*TO_2[[#This Row],[Coût | Unitaire]],2))</f>
        <v>0</v>
      </c>
      <c r="H98" s="32"/>
      <c r="I98" s="13"/>
      <c r="J98" s="14"/>
      <c r="K98" s="10" t="str">
        <f>IF(OR(TO_2[[#This Row],[Total | Budgétaire]]="",TO_2[[#This Row],[Quantité R.]]=""),IF(TO_2[[#This Row],[Quantité R.]]&gt;0,ROUNDUP(TO_2[[#This Row],[Quantité R.]]*TO_2[[#This Row],[Coût | Unitaire R.]],2),""),ROUNDUP(TO_2[[#This Row],[Quantité R.]]*TO_2[[#This Row],[Coût | Unitaire R.]],2))</f>
        <v/>
      </c>
      <c r="L98" s="46">
        <f>IFERROR(IF(TO_2[[#This Row],[Total | Réel]]="",0-TO_2[[#This Row],[Total | Budgétaire]],IF(TO_2[[#This Row],[Total | Budgétaire]]="",TO_2[[#This Row],[Total | Réel]],TO_2[[#This Row],[Total | Réel]]-TO_2[[#This Row],[Total | Budgétaire]])),"")</f>
        <v>0</v>
      </c>
    </row>
    <row r="99" spans="1:12" s="15" customFormat="1" x14ac:dyDescent="0.2">
      <c r="A99" s="9">
        <v>1135</v>
      </c>
      <c r="B99" s="12" t="s">
        <v>88</v>
      </c>
      <c r="C99" s="32" t="s">
        <v>20</v>
      </c>
      <c r="D99" s="13"/>
      <c r="E99" s="32" t="s">
        <v>27</v>
      </c>
      <c r="F99" s="14"/>
      <c r="G99" s="10">
        <f>IF(OR(TO_2[[#This Row],[Catégorie]]="",TO_2[[#This Row],[Catégorie]]="-"),"",ROUNDUP(TO_2[[#This Row],[Quantité]]*TO_2[[#This Row],[Coût | Unitaire]],2))</f>
        <v>0</v>
      </c>
      <c r="H99" s="32"/>
      <c r="I99" s="13"/>
      <c r="J99" s="14"/>
      <c r="K99" s="10" t="str">
        <f>IF(OR(TO_2[[#This Row],[Total | Budgétaire]]="",TO_2[[#This Row],[Quantité R.]]=""),IF(TO_2[[#This Row],[Quantité R.]]&gt;0,ROUNDUP(TO_2[[#This Row],[Quantité R.]]*TO_2[[#This Row],[Coût | Unitaire R.]],2),""),ROUNDUP(TO_2[[#This Row],[Quantité R.]]*TO_2[[#This Row],[Coût | Unitaire R.]],2))</f>
        <v/>
      </c>
      <c r="L99" s="46">
        <f>IFERROR(IF(TO_2[[#This Row],[Total | Réel]]="",0-TO_2[[#This Row],[Total | Budgétaire]],IF(TO_2[[#This Row],[Total | Budgétaire]]="",TO_2[[#This Row],[Total | Réel]],TO_2[[#This Row],[Total | Réel]]-TO_2[[#This Row],[Total | Budgétaire]])),"")</f>
        <v>0</v>
      </c>
    </row>
    <row r="100" spans="1:12" x14ac:dyDescent="0.2">
      <c r="A100" s="9">
        <v>1136</v>
      </c>
      <c r="B100" s="12" t="s">
        <v>128</v>
      </c>
      <c r="C100" s="32" t="s">
        <v>20</v>
      </c>
      <c r="D100" s="13"/>
      <c r="E100" s="32" t="s">
        <v>27</v>
      </c>
      <c r="F100" s="14"/>
      <c r="G100" s="10">
        <f>IF(OR(TO_2[[#This Row],[Catégorie]]="",TO_2[[#This Row],[Catégorie]]="-"),"",ROUNDUP(TO_2[[#This Row],[Quantité]]*TO_2[[#This Row],[Coût | Unitaire]],2))</f>
        <v>0</v>
      </c>
      <c r="H100" s="32"/>
      <c r="I100" s="13"/>
      <c r="J100" s="14"/>
      <c r="K100" s="10" t="str">
        <f>IF(OR(TO_2[[#This Row],[Total | Budgétaire]]="",TO_2[[#This Row],[Quantité R.]]=""),IF(TO_2[[#This Row],[Quantité R.]]&gt;0,ROUNDUP(TO_2[[#This Row],[Quantité R.]]*TO_2[[#This Row],[Coût | Unitaire R.]],2),""),ROUNDUP(TO_2[[#This Row],[Quantité R.]]*TO_2[[#This Row],[Coût | Unitaire R.]],2))</f>
        <v/>
      </c>
      <c r="L100" s="46">
        <f>IFERROR(IF(TO_2[[#This Row],[Total | Réel]]="",0-TO_2[[#This Row],[Total | Budgétaire]],IF(TO_2[[#This Row],[Total | Budgétaire]]="",TO_2[[#This Row],[Total | Réel]],TO_2[[#This Row],[Total | Réel]]-TO_2[[#This Row],[Total | Budgétaire]])),"")</f>
        <v>0</v>
      </c>
    </row>
    <row r="101" spans="1:12" ht="12.75" thickBot="1" x14ac:dyDescent="0.25">
      <c r="A101" s="9">
        <v>1137</v>
      </c>
      <c r="B101" s="12" t="s">
        <v>104</v>
      </c>
      <c r="C101" s="32" t="s">
        <v>20</v>
      </c>
      <c r="D101" s="13"/>
      <c r="E101" s="32" t="s">
        <v>27</v>
      </c>
      <c r="F101" s="14"/>
      <c r="G101" s="10">
        <f>IF(OR(TO_2[[#This Row],[Catégorie]]="",TO_2[[#This Row],[Catégorie]]="-"),"",ROUNDUP(TO_2[[#This Row],[Quantité]]*TO_2[[#This Row],[Coût | Unitaire]],2))</f>
        <v>0</v>
      </c>
      <c r="H101" s="32"/>
      <c r="I101" s="13"/>
      <c r="J101" s="14"/>
      <c r="K101" s="10" t="str">
        <f>IF(OR(TO_2[[#This Row],[Total | Budgétaire]]="",TO_2[[#This Row],[Quantité R.]]=""),IF(TO_2[[#This Row],[Quantité R.]]&gt;0,ROUNDUP(TO_2[[#This Row],[Quantité R.]]*TO_2[[#This Row],[Coût | Unitaire R.]],2),""),ROUNDUP(TO_2[[#This Row],[Quantité R.]]*TO_2[[#This Row],[Coût | Unitaire R.]],2))</f>
        <v/>
      </c>
      <c r="L101" s="46">
        <f>IFERROR(IF(TO_2[[#This Row],[Total | Réel]]="",0-TO_2[[#This Row],[Total | Budgétaire]],IF(TO_2[[#This Row],[Total | Budgétaire]]="",TO_2[[#This Row],[Total | Réel]],TO_2[[#This Row],[Total | Réel]]-TO_2[[#This Row],[Total | Budgétaire]])),"")</f>
        <v>0</v>
      </c>
    </row>
    <row r="102" spans="1:12" ht="13.5" thickTop="1" x14ac:dyDescent="0.2">
      <c r="A102" s="11"/>
      <c r="B102" s="11"/>
      <c r="C102" s="11"/>
      <c r="D102" s="11"/>
      <c r="E102" s="11"/>
      <c r="F102" s="19" t="s">
        <v>54</v>
      </c>
      <c r="G102" s="44">
        <f>SUBTOTAL(109,TO_2[Total | Budgétaire])</f>
        <v>0</v>
      </c>
      <c r="H102" s="11"/>
      <c r="I102" s="11"/>
      <c r="J102" s="19" t="s">
        <v>54</v>
      </c>
      <c r="K102" s="44">
        <f>SUBTOTAL(109,TO_2[Total | Réel])</f>
        <v>0</v>
      </c>
      <c r="L102" s="44">
        <f>SUBTOTAL(109,TO_2[Résultat])</f>
        <v>0</v>
      </c>
    </row>
    <row r="103" spans="1:12" ht="12.75" thickBot="1" x14ac:dyDescent="0.25">
      <c r="A103" s="16" t="s">
        <v>7</v>
      </c>
      <c r="B103" s="15"/>
      <c r="C103" s="15"/>
      <c r="D103" s="15"/>
      <c r="E103" s="15"/>
      <c r="F103" s="15"/>
      <c r="G103" s="10"/>
      <c r="H103" s="15"/>
      <c r="I103" s="15"/>
      <c r="J103" s="15"/>
      <c r="K103" s="10"/>
      <c r="L103" s="15"/>
    </row>
    <row r="104" spans="1:12" ht="13.5" thickTop="1" x14ac:dyDescent="0.2">
      <c r="A104" s="15"/>
      <c r="B104" s="15"/>
      <c r="C104" s="15"/>
      <c r="D104" s="15"/>
      <c r="E104" s="15"/>
      <c r="F104" s="7" t="str">
        <f>$F$61</f>
        <v>Nombre d'heure</v>
      </c>
      <c r="G104" s="7">
        <f>SUMIFS(TO_2[Quantité],TO_2[Catégorie],"M.-d'œuvre",TO_2[Unité],"Heure",TO_2[Coût | Unitaire],"&gt;0")</f>
        <v>0</v>
      </c>
      <c r="H104" s="7"/>
      <c r="I104" s="7"/>
      <c r="J104" s="7" t="str">
        <f>$F$61</f>
        <v>Nombre d'heure</v>
      </c>
      <c r="K104" s="7">
        <f>SUMIFS(TO_2[Quantité R.],TO_2[Catégorie],"M.-d'œuvre",TO_2[Unité],"Heure")</f>
        <v>0</v>
      </c>
      <c r="L104" s="7">
        <f>$K104-$G104</f>
        <v>0</v>
      </c>
    </row>
    <row r="105" spans="1:12" x14ac:dyDescent="0.2">
      <c r="A105" s="16" t="s">
        <v>7</v>
      </c>
      <c r="B105" s="15"/>
      <c r="C105" s="15"/>
      <c r="D105" s="15"/>
      <c r="E105" s="15"/>
      <c r="F105" s="15"/>
      <c r="G105" s="15"/>
      <c r="H105" s="15"/>
      <c r="I105" s="15"/>
      <c r="J105" s="15"/>
      <c r="K105" s="15"/>
      <c r="L105" s="15"/>
    </row>
    <row r="106" spans="1:12" ht="15" x14ac:dyDescent="0.2">
      <c r="A106" s="41" t="s">
        <v>30</v>
      </c>
      <c r="B106" s="41"/>
      <c r="C106" s="69" t="str">
        <f>$C$8</f>
        <v>BUDGÉTAIRE</v>
      </c>
      <c r="D106" s="70"/>
      <c r="E106" s="70"/>
      <c r="F106" s="70"/>
      <c r="G106" s="71"/>
      <c r="H106" s="69" t="str">
        <f>$H$8</f>
        <v>RÉEL</v>
      </c>
      <c r="I106" s="70"/>
      <c r="J106" s="70"/>
      <c r="K106" s="71"/>
      <c r="L106" s="47" t="str">
        <f>$L$8</f>
        <v>RÉSULTAT</v>
      </c>
    </row>
    <row r="107" spans="1:12" ht="12.75" x14ac:dyDescent="0.2">
      <c r="A107" s="6" t="s">
        <v>15</v>
      </c>
      <c r="B107" s="6" t="s">
        <v>0</v>
      </c>
      <c r="C107" s="6" t="s">
        <v>121</v>
      </c>
      <c r="D107" s="6" t="s">
        <v>5</v>
      </c>
      <c r="E107" s="6" t="s">
        <v>25</v>
      </c>
      <c r="F107" s="6" t="s">
        <v>122</v>
      </c>
      <c r="G107" s="6" t="s">
        <v>26</v>
      </c>
      <c r="H107" s="6" t="s">
        <v>28</v>
      </c>
      <c r="I107" s="6" t="s">
        <v>21</v>
      </c>
      <c r="J107" s="6" t="s">
        <v>123</v>
      </c>
      <c r="K107" s="6" t="s">
        <v>29</v>
      </c>
      <c r="L107" s="6" t="s">
        <v>19</v>
      </c>
    </row>
    <row r="108" spans="1:12" ht="12.75" thickBot="1" x14ac:dyDescent="0.25">
      <c r="A108" s="9" t="s">
        <v>7</v>
      </c>
      <c r="B108" s="12"/>
      <c r="C108" s="9"/>
      <c r="D108" s="13"/>
      <c r="E108" s="9"/>
      <c r="F108" s="14"/>
      <c r="G108" s="10" t="str">
        <f>IF(OR(TO_3[[#This Row],[Catégorie]]="",TO_3[[#This Row],[Catégorie]]="-"),"",ROUNDUP(TO_3[[#This Row],[Quantité]]*TO_3[[#This Row],[Coût | Unitaire]],2))</f>
        <v/>
      </c>
      <c r="H108" s="9"/>
      <c r="I108" s="13"/>
      <c r="J108" s="14"/>
      <c r="K108" s="10" t="str">
        <f>IF(OR(TO_3[[#This Row],[Total | Budgétaire]]="",TO_3[[#This Row],[Quantité R.]]=""),IF(TO_3[[#This Row],[Quantité R.]]&gt;0,ROUNDUP(TO_3[[#This Row],[Quantité R.]]*TO_3[[#This Row],[Coût | Unitaire R.]],2),""),ROUNDUP(TO_3[[#This Row],[Quantité R.]]*TO_3[[#This Row],[Coût | Unitaire R.]],2))</f>
        <v/>
      </c>
      <c r="L108" s="46" t="str">
        <f>IFERROR(IF(TO_3[[#This Row],[Total | Réel]]="",0-TO_3[[#This Row],[Total | Budgétaire]],IF(TO_3[[#This Row],[Total | Budgétaire]]="",TO_3[[#This Row],[Total | Réel]],TO_3[[#This Row],[Total | Réel]]-TO_3[[#This Row],[Total | Budgétaire]])),"")</f>
        <v/>
      </c>
    </row>
    <row r="109" spans="1:12" ht="13.5" thickTop="1" x14ac:dyDescent="0.2">
      <c r="A109" s="11"/>
      <c r="B109" s="11"/>
      <c r="C109" s="11"/>
      <c r="D109" s="11"/>
      <c r="E109" s="11"/>
      <c r="F109" s="19" t="s">
        <v>54</v>
      </c>
      <c r="G109" s="44">
        <f>SUBTOTAL(109,TO_3[Total | Budgétaire])</f>
        <v>0</v>
      </c>
      <c r="H109" s="11"/>
      <c r="I109" s="11"/>
      <c r="J109" s="19" t="s">
        <v>54</v>
      </c>
      <c r="K109" s="44">
        <f>SUBTOTAL(109,TO_3[Total | Réel])</f>
        <v>0</v>
      </c>
      <c r="L109" s="44">
        <f>SUBTOTAL(109,TO_3[Résultat])</f>
        <v>0</v>
      </c>
    </row>
    <row r="110" spans="1:12" ht="12.75" thickBot="1" x14ac:dyDescent="0.25">
      <c r="A110" s="16" t="s">
        <v>7</v>
      </c>
      <c r="B110" s="15"/>
      <c r="C110" s="15"/>
      <c r="D110" s="15"/>
      <c r="E110" s="15"/>
      <c r="F110" s="15"/>
      <c r="G110" s="10"/>
      <c r="H110" s="15"/>
      <c r="I110" s="15"/>
      <c r="J110" s="15"/>
      <c r="K110" s="10"/>
      <c r="L110" s="15"/>
    </row>
    <row r="111" spans="1:12" ht="13.5" thickTop="1" x14ac:dyDescent="0.2">
      <c r="A111" s="15"/>
      <c r="B111" s="15"/>
      <c r="C111" s="15"/>
      <c r="D111" s="15"/>
      <c r="E111" s="15"/>
      <c r="F111" s="7" t="str">
        <f>$F$61</f>
        <v>Nombre d'heure</v>
      </c>
      <c r="G111" s="7">
        <f>SUMIFS(TO_3[Quantité],TO_3[Catégorie],"M.-d'œuvre",TO_3[Unité],"Heure",TO_3[Coût | Unitaire],"&gt;0")</f>
        <v>0</v>
      </c>
      <c r="H111" s="7"/>
      <c r="I111" s="7"/>
      <c r="J111" s="7" t="str">
        <f>$F$61</f>
        <v>Nombre d'heure</v>
      </c>
      <c r="K111" s="7">
        <f>SUMIFS(TO_3[Quantité R.],TO_3[Catégorie],"M.-d'œuvre",TO_3[Unité],"Heure")</f>
        <v>0</v>
      </c>
      <c r="L111" s="7">
        <f>$K111-$G111</f>
        <v>0</v>
      </c>
    </row>
    <row r="112" spans="1:12" x14ac:dyDescent="0.2">
      <c r="A112" s="16" t="s">
        <v>7</v>
      </c>
      <c r="B112" s="15"/>
      <c r="C112" s="15"/>
      <c r="D112" s="15"/>
      <c r="E112" s="15"/>
      <c r="F112" s="15"/>
      <c r="G112" s="15"/>
      <c r="H112" s="15"/>
      <c r="I112" s="15"/>
      <c r="J112" s="15"/>
      <c r="K112" s="15"/>
      <c r="L112" s="15"/>
    </row>
    <row r="113" spans="1:12" ht="15" x14ac:dyDescent="0.2">
      <c r="A113" s="41" t="s">
        <v>31</v>
      </c>
      <c r="B113" s="41"/>
      <c r="C113" s="69" t="str">
        <f>$C$8</f>
        <v>BUDGÉTAIRE</v>
      </c>
      <c r="D113" s="70"/>
      <c r="E113" s="70"/>
      <c r="F113" s="70"/>
      <c r="G113" s="71"/>
      <c r="H113" s="69" t="str">
        <f>$H$8</f>
        <v>RÉEL</v>
      </c>
      <c r="I113" s="70"/>
      <c r="J113" s="70"/>
      <c r="K113" s="71"/>
      <c r="L113" s="47" t="str">
        <f>$L$8</f>
        <v>RÉSULTAT</v>
      </c>
    </row>
    <row r="114" spans="1:12" ht="12.75" x14ac:dyDescent="0.2">
      <c r="A114" s="6" t="s">
        <v>15</v>
      </c>
      <c r="B114" s="6" t="s">
        <v>0</v>
      </c>
      <c r="C114" s="6" t="s">
        <v>121</v>
      </c>
      <c r="D114" s="6" t="s">
        <v>5</v>
      </c>
      <c r="E114" s="6" t="s">
        <v>25</v>
      </c>
      <c r="F114" s="6" t="s">
        <v>122</v>
      </c>
      <c r="G114" s="6" t="s">
        <v>26</v>
      </c>
      <c r="H114" s="6" t="s">
        <v>28</v>
      </c>
      <c r="I114" s="6" t="s">
        <v>21</v>
      </c>
      <c r="J114" s="6" t="s">
        <v>123</v>
      </c>
      <c r="K114" s="6" t="s">
        <v>29</v>
      </c>
      <c r="L114" s="6" t="s">
        <v>19</v>
      </c>
    </row>
    <row r="115" spans="1:12" ht="12.75" thickBot="1" x14ac:dyDescent="0.25">
      <c r="A115" s="9" t="s">
        <v>7</v>
      </c>
      <c r="B115" s="12"/>
      <c r="C115" s="9"/>
      <c r="D115" s="13"/>
      <c r="E115" s="9"/>
      <c r="F115" s="14"/>
      <c r="G115" s="10" t="str">
        <f>IF(OR(TO_4[[#This Row],[Catégorie]]="",TO_4[[#This Row],[Catégorie]]="-"),"",ROUNDUP(TO_4[[#This Row],[Quantité]]*TO_4[[#This Row],[Coût | Unitaire]],2))</f>
        <v/>
      </c>
      <c r="H115" s="9"/>
      <c r="I115" s="13"/>
      <c r="J115" s="14"/>
      <c r="K115" s="10" t="str">
        <f>IF(OR(TO_4[[#This Row],[Total | Budgétaire]]="",TO_4[[#This Row],[Quantité R.]]=""),IF(TO_4[[#This Row],[Quantité R.]]&gt;0,ROUNDUP(TO_4[[#This Row],[Quantité R.]]*TO_4[[#This Row],[Coût | Unitaire R.]],2),""),ROUNDUP(TO_4[[#This Row],[Quantité R.]]*TO_4[[#This Row],[Coût | Unitaire R.]],2))</f>
        <v/>
      </c>
      <c r="L115" s="46" t="str">
        <f>IFERROR(IF(TO_4[[#This Row],[Total | Réel]]="",0-TO_4[[#This Row],[Total | Budgétaire]],IF(TO_4[[#This Row],[Total | Budgétaire]]="",TO_4[[#This Row],[Total | Réel]],TO_4[[#This Row],[Total | Réel]]-TO_4[[#This Row],[Total | Budgétaire]])),"")</f>
        <v/>
      </c>
    </row>
    <row r="116" spans="1:12" ht="13.5" thickTop="1" x14ac:dyDescent="0.2">
      <c r="A116" s="11"/>
      <c r="B116" s="11"/>
      <c r="C116" s="11"/>
      <c r="D116" s="11"/>
      <c r="E116" s="11"/>
      <c r="F116" s="19" t="s">
        <v>54</v>
      </c>
      <c r="G116" s="44">
        <f>SUBTOTAL(109,TO_4[Total | Budgétaire])</f>
        <v>0</v>
      </c>
      <c r="H116" s="11"/>
      <c r="I116" s="11"/>
      <c r="J116" s="19" t="s">
        <v>54</v>
      </c>
      <c r="K116" s="44">
        <f>SUBTOTAL(109,TO_4[Total | Réel])</f>
        <v>0</v>
      </c>
      <c r="L116" s="44">
        <f>SUBTOTAL(109,TO_4[Résultat])</f>
        <v>0</v>
      </c>
    </row>
    <row r="117" spans="1:12" ht="12.75" thickBot="1" x14ac:dyDescent="0.25">
      <c r="A117" s="16" t="s">
        <v>7</v>
      </c>
      <c r="B117" s="15"/>
      <c r="C117" s="15"/>
      <c r="D117" s="15"/>
      <c r="E117" s="15"/>
      <c r="F117" s="15"/>
      <c r="G117" s="10"/>
      <c r="H117" s="15"/>
      <c r="I117" s="15"/>
      <c r="J117" s="15"/>
      <c r="K117" s="10"/>
      <c r="L117" s="15"/>
    </row>
    <row r="118" spans="1:12" ht="13.5" thickTop="1" x14ac:dyDescent="0.2">
      <c r="A118" s="15"/>
      <c r="B118" s="15"/>
      <c r="C118" s="15"/>
      <c r="D118" s="15"/>
      <c r="E118" s="15"/>
      <c r="F118" s="7" t="str">
        <f>$F$61</f>
        <v>Nombre d'heure</v>
      </c>
      <c r="G118" s="7">
        <f>SUMIFS(TO_4[Quantité],TO_4[Catégorie],"M.-d'œuvre",TO_4[Unité],"Heure",TO_4[Coût | Unitaire],"&gt;0")</f>
        <v>0</v>
      </c>
      <c r="H118" s="7"/>
      <c r="I118" s="7"/>
      <c r="J118" s="7" t="str">
        <f>$F$61</f>
        <v>Nombre d'heure</v>
      </c>
      <c r="K118" s="7">
        <f>SUMIFS(TO_4[Quantité R.],TO_4[Catégorie],"M.-d'œuvre",TO_4[Unité],"Heure")</f>
        <v>0</v>
      </c>
      <c r="L118" s="7">
        <f>$K118-$G118</f>
        <v>0</v>
      </c>
    </row>
    <row r="119" spans="1:12" x14ac:dyDescent="0.2">
      <c r="A119" s="16" t="s">
        <v>7</v>
      </c>
      <c r="B119" s="15"/>
      <c r="C119" s="15"/>
      <c r="D119" s="15"/>
      <c r="E119" s="15"/>
      <c r="F119" s="15"/>
      <c r="G119" s="15"/>
      <c r="H119" s="15"/>
      <c r="I119" s="15"/>
      <c r="J119" s="15"/>
      <c r="K119" s="15"/>
      <c r="L119" s="15"/>
    </row>
    <row r="120" spans="1:12" ht="15" x14ac:dyDescent="0.2">
      <c r="A120" s="41" t="s">
        <v>153</v>
      </c>
      <c r="B120" s="41"/>
      <c r="C120" s="69" t="str">
        <f>$C$8</f>
        <v>BUDGÉTAIRE</v>
      </c>
      <c r="D120" s="70"/>
      <c r="E120" s="70"/>
      <c r="F120" s="70"/>
      <c r="G120" s="71"/>
      <c r="H120" s="69" t="str">
        <f>$H$8</f>
        <v>RÉEL</v>
      </c>
      <c r="I120" s="70"/>
      <c r="J120" s="70"/>
      <c r="K120" s="71"/>
      <c r="L120" s="47" t="str">
        <f>$L$8</f>
        <v>RÉSULTAT</v>
      </c>
    </row>
    <row r="121" spans="1:12" ht="12.75" x14ac:dyDescent="0.2">
      <c r="A121" s="6" t="s">
        <v>15</v>
      </c>
      <c r="B121" s="6" t="s">
        <v>0</v>
      </c>
      <c r="C121" s="6" t="s">
        <v>121</v>
      </c>
      <c r="D121" s="6" t="s">
        <v>5</v>
      </c>
      <c r="E121" s="6" t="s">
        <v>25</v>
      </c>
      <c r="F121" s="6" t="s">
        <v>122</v>
      </c>
      <c r="G121" s="6" t="s">
        <v>26</v>
      </c>
      <c r="H121" s="6" t="s">
        <v>28</v>
      </c>
      <c r="I121" s="6" t="s">
        <v>21</v>
      </c>
      <c r="J121" s="6" t="s">
        <v>123</v>
      </c>
      <c r="K121" s="6" t="s">
        <v>29</v>
      </c>
      <c r="L121" s="6" t="s">
        <v>19</v>
      </c>
    </row>
    <row r="122" spans="1:12" ht="12.75" thickBot="1" x14ac:dyDescent="0.25">
      <c r="A122" s="9" t="s">
        <v>7</v>
      </c>
      <c r="B122" s="12"/>
      <c r="C122" s="32"/>
      <c r="D122" s="13"/>
      <c r="E122" s="32"/>
      <c r="F122" s="14"/>
      <c r="G122" s="10" t="str">
        <f>IF(OR(TO_5[[#This Row],[Catégorie]]="",TO_5[[#This Row],[Catégorie]]="-"),"",ROUNDUP(TO_5[[#This Row],[Quantité]]*TO_5[[#This Row],[Coût | Unitaire]],2))</f>
        <v/>
      </c>
      <c r="H122" s="32"/>
      <c r="I122" s="13"/>
      <c r="J122" s="14"/>
      <c r="K122" s="10" t="str">
        <f>IF(OR(TO_5[[#This Row],[Total | Budgétaire]]="",TO_5[[#This Row],[Quantité R.]]=""),IF(TO_5[[#This Row],[Quantité R.]]&gt;0,ROUNDUP(TO_5[[#This Row],[Quantité R.]]*TO_5[[#This Row],[Coût | Unitaire R.]],2),""),ROUNDUP(TO_5[[#This Row],[Quantité R.]]*TO_5[[#This Row],[Coût | Unitaire R.]],2))</f>
        <v/>
      </c>
      <c r="L122" s="46" t="str">
        <f>IFERROR(IF(TO_5[[#This Row],[Total | Réel]]="",0-TO_5[[#This Row],[Total | Budgétaire]],IF(TO_5[[#This Row],[Total | Budgétaire]]="",TO_5[[#This Row],[Total | Réel]],TO_5[[#This Row],[Total | Réel]]-TO_5[[#This Row],[Total | Budgétaire]])),"")</f>
        <v/>
      </c>
    </row>
    <row r="123" spans="1:12" ht="13.5" thickTop="1" x14ac:dyDescent="0.2">
      <c r="A123" s="11"/>
      <c r="B123" s="11"/>
      <c r="C123" s="11"/>
      <c r="D123" s="11"/>
      <c r="E123" s="11"/>
      <c r="F123" s="19" t="s">
        <v>54</v>
      </c>
      <c r="G123" s="44">
        <f>SUBTOTAL(109,TO_5[Total | Budgétaire])</f>
        <v>0</v>
      </c>
      <c r="H123" s="11"/>
      <c r="I123" s="11"/>
      <c r="J123" s="19" t="s">
        <v>54</v>
      </c>
      <c r="K123" s="44">
        <f>SUBTOTAL(109,TO_5[Total | Réel])</f>
        <v>0</v>
      </c>
      <c r="L123" s="44">
        <f>SUBTOTAL(109,TO_7[Résultat])</f>
        <v>0</v>
      </c>
    </row>
    <row r="124" spans="1:12" ht="12.75" thickBot="1" x14ac:dyDescent="0.25">
      <c r="A124" s="16" t="s">
        <v>7</v>
      </c>
      <c r="B124" s="15"/>
      <c r="C124" s="15"/>
      <c r="D124" s="15"/>
      <c r="E124" s="15"/>
      <c r="F124" s="15"/>
      <c r="G124" s="10"/>
      <c r="H124" s="15"/>
      <c r="I124" s="15"/>
      <c r="J124" s="15"/>
      <c r="K124" s="10"/>
      <c r="L124" s="15"/>
    </row>
    <row r="125" spans="1:12" ht="13.5" thickTop="1" x14ac:dyDescent="0.2">
      <c r="A125" s="15"/>
      <c r="B125" s="15"/>
      <c r="C125" s="15"/>
      <c r="D125" s="15"/>
      <c r="E125" s="15"/>
      <c r="F125" s="7" t="str">
        <f>$F$61</f>
        <v>Nombre d'heure</v>
      </c>
      <c r="G125" s="7">
        <f>SUMIFS(TO_5[Quantité],TO_5[Catégorie],"M.-d'œuvre",TO_5[Unité],"Heure",TO_5[Coût | Unitaire],"&gt;0")</f>
        <v>0</v>
      </c>
      <c r="H125" s="7"/>
      <c r="I125" s="7"/>
      <c r="J125" s="7" t="str">
        <f>$F$61</f>
        <v>Nombre d'heure</v>
      </c>
      <c r="K125" s="7">
        <f>SUMIFS(TO_5[Quantité R.],TO_5[Catégorie],"M.-d'œuvre",TO_5[Unité],"Heure")</f>
        <v>0</v>
      </c>
      <c r="L125" s="7">
        <f>$K125-$G125</f>
        <v>0</v>
      </c>
    </row>
    <row r="126" spans="1:12" x14ac:dyDescent="0.2">
      <c r="A126" s="16" t="s">
        <v>7</v>
      </c>
      <c r="B126" s="15"/>
      <c r="C126" s="15"/>
      <c r="D126" s="15"/>
      <c r="E126" s="15"/>
      <c r="F126" s="15"/>
      <c r="G126" s="15"/>
      <c r="H126" s="15"/>
      <c r="I126" s="15"/>
      <c r="J126" s="15"/>
      <c r="K126" s="15"/>
      <c r="L126" s="15"/>
    </row>
    <row r="127" spans="1:12" ht="15" x14ac:dyDescent="0.2">
      <c r="A127" s="41" t="s">
        <v>105</v>
      </c>
      <c r="B127" s="41"/>
      <c r="C127" s="69" t="str">
        <f>$C$8</f>
        <v>BUDGÉTAIRE</v>
      </c>
      <c r="D127" s="70"/>
      <c r="E127" s="70"/>
      <c r="F127" s="70"/>
      <c r="G127" s="71"/>
      <c r="H127" s="69" t="str">
        <f>$H$8</f>
        <v>RÉEL</v>
      </c>
      <c r="I127" s="70"/>
      <c r="J127" s="70"/>
      <c r="K127" s="71"/>
      <c r="L127" s="47" t="str">
        <f>$L$8</f>
        <v>RÉSULTAT</v>
      </c>
    </row>
    <row r="128" spans="1:12" ht="12.75" x14ac:dyDescent="0.2">
      <c r="A128" s="6" t="s">
        <v>15</v>
      </c>
      <c r="B128" s="6" t="s">
        <v>0</v>
      </c>
      <c r="C128" s="6" t="s">
        <v>121</v>
      </c>
      <c r="D128" s="6" t="s">
        <v>5</v>
      </c>
      <c r="E128" s="6" t="s">
        <v>25</v>
      </c>
      <c r="F128" s="6" t="s">
        <v>122</v>
      </c>
      <c r="G128" s="6" t="s">
        <v>26</v>
      </c>
      <c r="H128" s="6" t="s">
        <v>28</v>
      </c>
      <c r="I128" s="6" t="s">
        <v>21</v>
      </c>
      <c r="J128" s="6" t="s">
        <v>123</v>
      </c>
      <c r="K128" s="6" t="s">
        <v>29</v>
      </c>
      <c r="L128" s="6" t="s">
        <v>19</v>
      </c>
    </row>
    <row r="129" spans="1:12" ht="12.75" thickBot="1" x14ac:dyDescent="0.25">
      <c r="A129" s="9" t="s">
        <v>7</v>
      </c>
      <c r="B129" s="12"/>
      <c r="C129" s="9"/>
      <c r="D129" s="13"/>
      <c r="E129" s="9"/>
      <c r="F129" s="14"/>
      <c r="G129" s="10" t="str">
        <f>IF(OR(TO_6[[#This Row],[Catégorie]]="",TO_6[[#This Row],[Catégorie]]="-"),"",ROUNDUP(TO_6[[#This Row],[Quantité]]*TO_6[[#This Row],[Coût | Unitaire]],2))</f>
        <v/>
      </c>
      <c r="H129" s="9"/>
      <c r="I129" s="13"/>
      <c r="J129" s="14"/>
      <c r="K129" s="10" t="str">
        <f>IF(OR(TO_6[[#This Row],[Total | Budgétaire]]="",TO_6[[#This Row],[Quantité R.]]=""),IF(TO_6[[#This Row],[Quantité R.]]&gt;0,ROUNDUP(TO_6[[#This Row],[Quantité R.]]*TO_6[[#This Row],[Coût | Unitaire R.]],2),""),ROUNDUP(TO_6[[#This Row],[Quantité R.]]*TO_6[[#This Row],[Coût | Unitaire R.]],2))</f>
        <v/>
      </c>
      <c r="L129" s="46" t="str">
        <f>IFERROR(IF(TO_6[[#This Row],[Total | Réel]]="",0-TO_6[[#This Row],[Total | Budgétaire]],IF(TO_6[[#This Row],[Total | Budgétaire]]="",TO_6[[#This Row],[Total | Réel]],TO_6[[#This Row],[Total | Réel]]-TO_6[[#This Row],[Total | Budgétaire]])),"")</f>
        <v/>
      </c>
    </row>
    <row r="130" spans="1:12" ht="13.5" thickTop="1" x14ac:dyDescent="0.2">
      <c r="A130" s="11"/>
      <c r="B130" s="11"/>
      <c r="C130" s="11"/>
      <c r="D130" s="11"/>
      <c r="E130" s="11"/>
      <c r="F130" s="19" t="s">
        <v>54</v>
      </c>
      <c r="G130" s="44">
        <f>SUBTOTAL(109,TO_6[Total | Budgétaire])</f>
        <v>0</v>
      </c>
      <c r="H130" s="11"/>
      <c r="I130" s="11"/>
      <c r="J130" s="19" t="s">
        <v>54</v>
      </c>
      <c r="K130" s="44">
        <f>SUBTOTAL(109,TO_6[Total | Réel])</f>
        <v>0</v>
      </c>
      <c r="L130" s="44">
        <f>SUBTOTAL(109,TO_6[Résultat])</f>
        <v>0</v>
      </c>
    </row>
    <row r="131" spans="1:12" ht="12.75" thickBot="1" x14ac:dyDescent="0.25">
      <c r="A131" s="16" t="s">
        <v>7</v>
      </c>
      <c r="B131" s="15"/>
      <c r="C131" s="15"/>
      <c r="D131" s="15"/>
      <c r="E131" s="15"/>
      <c r="F131" s="15"/>
      <c r="G131" s="10"/>
      <c r="H131" s="15"/>
      <c r="I131" s="15"/>
      <c r="J131" s="15"/>
      <c r="K131" s="10"/>
      <c r="L131" s="15"/>
    </row>
    <row r="132" spans="1:12" ht="13.5" thickTop="1" x14ac:dyDescent="0.2">
      <c r="A132" s="15"/>
      <c r="B132" s="15"/>
      <c r="C132" s="15"/>
      <c r="D132" s="15"/>
      <c r="E132" s="15"/>
      <c r="F132" s="7" t="str">
        <f>$F$61</f>
        <v>Nombre d'heure</v>
      </c>
      <c r="G132" s="7">
        <f>SUMIFS(TO_6[Quantité],TO_6[Catégorie],"M.-d'œuvre",TO_6[Unité],"Heure",TO_6[Coût | Unitaire],"&gt;0")</f>
        <v>0</v>
      </c>
      <c r="H132" s="7"/>
      <c r="I132" s="7"/>
      <c r="J132" s="7" t="str">
        <f>$F$61</f>
        <v>Nombre d'heure</v>
      </c>
      <c r="K132" s="7">
        <f>SUMIFS(TO_6[Quantité R.],TO_6[Catégorie],"M.-d'œuvre",TO_6[Unité],"Heure")</f>
        <v>0</v>
      </c>
      <c r="L132" s="7">
        <f>$K132-$G132</f>
        <v>0</v>
      </c>
    </row>
    <row r="133" spans="1:12" x14ac:dyDescent="0.2">
      <c r="A133" s="16" t="s">
        <v>7</v>
      </c>
      <c r="B133" s="15"/>
      <c r="C133" s="15"/>
      <c r="D133" s="15"/>
      <c r="E133" s="15"/>
      <c r="F133" s="15"/>
      <c r="G133" s="15"/>
      <c r="H133" s="15"/>
      <c r="I133" s="15"/>
      <c r="J133" s="15"/>
      <c r="K133" s="15"/>
      <c r="L133" s="15"/>
    </row>
    <row r="134" spans="1:12" ht="15" x14ac:dyDescent="0.2">
      <c r="A134" s="41" t="s">
        <v>108</v>
      </c>
      <c r="B134" s="41"/>
      <c r="C134" s="69" t="str">
        <f>$C$8</f>
        <v>BUDGÉTAIRE</v>
      </c>
      <c r="D134" s="70"/>
      <c r="E134" s="70"/>
      <c r="F134" s="70"/>
      <c r="G134" s="71"/>
      <c r="H134" s="69" t="str">
        <f>$H$8</f>
        <v>RÉEL</v>
      </c>
      <c r="I134" s="70"/>
      <c r="J134" s="70"/>
      <c r="K134" s="71"/>
      <c r="L134" s="47" t="str">
        <f>$L$8</f>
        <v>RÉSULTAT</v>
      </c>
    </row>
    <row r="135" spans="1:12" ht="12.75" x14ac:dyDescent="0.2">
      <c r="A135" s="6" t="s">
        <v>15</v>
      </c>
      <c r="B135" s="6" t="s">
        <v>0</v>
      </c>
      <c r="C135" s="6" t="s">
        <v>121</v>
      </c>
      <c r="D135" s="6" t="s">
        <v>5</v>
      </c>
      <c r="E135" s="6" t="s">
        <v>25</v>
      </c>
      <c r="F135" s="6" t="s">
        <v>122</v>
      </c>
      <c r="G135" s="6" t="s">
        <v>26</v>
      </c>
      <c r="H135" s="6" t="s">
        <v>28</v>
      </c>
      <c r="I135" s="6" t="s">
        <v>21</v>
      </c>
      <c r="J135" s="6" t="s">
        <v>123</v>
      </c>
      <c r="K135" s="6" t="s">
        <v>29</v>
      </c>
      <c r="L135" s="6" t="s">
        <v>19</v>
      </c>
    </row>
    <row r="136" spans="1:12" ht="12.75" thickBot="1" x14ac:dyDescent="0.25">
      <c r="A136" s="9" t="s">
        <v>7</v>
      </c>
      <c r="B136" s="12"/>
      <c r="C136" s="9"/>
      <c r="D136" s="13"/>
      <c r="E136" s="9"/>
      <c r="F136" s="14"/>
      <c r="G136" s="10" t="str">
        <f>IF(OR(TO_7[[#This Row],[Catégorie]]="",TO_7[[#This Row],[Catégorie]]="-"),"",ROUNDUP(TO_7[[#This Row],[Quantité]]*TO_7[[#This Row],[Coût | Unitaire]],2))</f>
        <v/>
      </c>
      <c r="H136" s="9"/>
      <c r="I136" s="13"/>
      <c r="J136" s="14"/>
      <c r="K136" s="10" t="str">
        <f>IF(OR(TO_7[[#This Row],[Total | Budgétaire]]="",TO_7[[#This Row],[Quantité R.]]=""),IF(TO_7[[#This Row],[Quantité R.]]&gt;0,ROUNDUP(TO_7[[#This Row],[Quantité R.]]*TO_7[[#This Row],[Coût | Unitaire R.]],2),""),ROUNDUP(TO_7[[#This Row],[Quantité R.]]*TO_7[[#This Row],[Coût | Unitaire R.]],2))</f>
        <v/>
      </c>
      <c r="L136" s="46" t="str">
        <f>IFERROR(IF(TO_7[[#This Row],[Total | Réel]]="",0-TO_7[[#This Row],[Total | Budgétaire]],IF(TO_7[[#This Row],[Total | Budgétaire]]="",TO_7[[#This Row],[Total | Réel]],TO_7[[#This Row],[Total | Réel]]-TO_7[[#This Row],[Total | Budgétaire]])),"")</f>
        <v/>
      </c>
    </row>
    <row r="137" spans="1:12" ht="13.5" thickTop="1" x14ac:dyDescent="0.2">
      <c r="A137" s="11"/>
      <c r="B137" s="11"/>
      <c r="C137" s="11"/>
      <c r="D137" s="11"/>
      <c r="E137" s="11"/>
      <c r="F137" s="19" t="s">
        <v>54</v>
      </c>
      <c r="G137" s="44">
        <f>SUBTOTAL(109,TO_7[Total | Budgétaire])</f>
        <v>0</v>
      </c>
      <c r="H137" s="11"/>
      <c r="I137" s="11"/>
      <c r="J137" s="19" t="s">
        <v>54</v>
      </c>
      <c r="K137" s="44">
        <f>SUBTOTAL(109,TO_7[Total | Réel])</f>
        <v>0</v>
      </c>
      <c r="L137" s="44">
        <f>SUBTOTAL(109,TO_7[Résultat])</f>
        <v>0</v>
      </c>
    </row>
    <row r="138" spans="1:12" ht="12.75" thickBot="1" x14ac:dyDescent="0.25">
      <c r="A138" s="16" t="s">
        <v>7</v>
      </c>
      <c r="B138" s="15"/>
      <c r="C138" s="15"/>
      <c r="D138" s="15"/>
      <c r="E138" s="15"/>
      <c r="F138" s="15"/>
      <c r="G138" s="10"/>
      <c r="H138" s="15"/>
      <c r="I138" s="15"/>
      <c r="J138" s="15"/>
      <c r="K138" s="10"/>
      <c r="L138" s="15"/>
    </row>
    <row r="139" spans="1:12" ht="13.5" thickTop="1" x14ac:dyDescent="0.2">
      <c r="A139" s="15"/>
      <c r="B139" s="15"/>
      <c r="C139" s="15"/>
      <c r="D139" s="15"/>
      <c r="E139" s="15"/>
      <c r="F139" s="7" t="str">
        <f>$F$61</f>
        <v>Nombre d'heure</v>
      </c>
      <c r="G139" s="7">
        <f>SUMIFS(TO_7[Quantité],TO_7[Catégorie],"M.-d'œuvre",TO_7[Unité],"Heure",TO_7[Coût | Unitaire],"&gt;0")</f>
        <v>0</v>
      </c>
      <c r="H139" s="7"/>
      <c r="I139" s="7"/>
      <c r="J139" s="7" t="str">
        <f>$F$61</f>
        <v>Nombre d'heure</v>
      </c>
      <c r="K139" s="7">
        <f>SUMIFS(TO_7[Quantité R.],TO_7[Catégorie],"M.-d'œuvre",TO_7[Unité],"Heure")</f>
        <v>0</v>
      </c>
      <c r="L139" s="7">
        <f>$K139-$G139</f>
        <v>0</v>
      </c>
    </row>
    <row r="140" spans="1:12" s="15" customFormat="1" x14ac:dyDescent="0.2">
      <c r="A140" s="16" t="s">
        <v>7</v>
      </c>
    </row>
    <row r="141" spans="1:12" ht="15" x14ac:dyDescent="0.2">
      <c r="A141" s="41" t="s">
        <v>32</v>
      </c>
      <c r="B141" s="41"/>
      <c r="C141" s="69" t="str">
        <f>$C$8</f>
        <v>BUDGÉTAIRE</v>
      </c>
      <c r="D141" s="70"/>
      <c r="E141" s="70"/>
      <c r="F141" s="70"/>
      <c r="G141" s="71"/>
      <c r="H141" s="69" t="str">
        <f>$H$8</f>
        <v>RÉEL</v>
      </c>
      <c r="I141" s="70"/>
      <c r="J141" s="70"/>
      <c r="K141" s="71"/>
      <c r="L141" s="47" t="str">
        <f>$L$8</f>
        <v>RÉSULTAT</v>
      </c>
    </row>
    <row r="142" spans="1:12" ht="12.75" x14ac:dyDescent="0.2">
      <c r="A142" s="6" t="s">
        <v>15</v>
      </c>
      <c r="B142" s="6" t="s">
        <v>0</v>
      </c>
      <c r="C142" s="6" t="s">
        <v>121</v>
      </c>
      <c r="D142" s="6" t="s">
        <v>5</v>
      </c>
      <c r="E142" s="6" t="s">
        <v>25</v>
      </c>
      <c r="F142" s="6" t="s">
        <v>122</v>
      </c>
      <c r="G142" s="6" t="s">
        <v>26</v>
      </c>
      <c r="H142" s="6" t="s">
        <v>28</v>
      </c>
      <c r="I142" s="6" t="s">
        <v>21</v>
      </c>
      <c r="J142" s="6" t="s">
        <v>123</v>
      </c>
      <c r="K142" s="6" t="s">
        <v>29</v>
      </c>
      <c r="L142" s="6" t="s">
        <v>19</v>
      </c>
    </row>
    <row r="143" spans="1:12" ht="12.75" thickBot="1" x14ac:dyDescent="0.25">
      <c r="A143" s="9" t="s">
        <v>7</v>
      </c>
      <c r="B143" s="12"/>
      <c r="C143" s="9"/>
      <c r="D143" s="13"/>
      <c r="E143" s="9"/>
      <c r="F143" s="14"/>
      <c r="G143" s="10" t="str">
        <f>IF(OR(TO_8[[#This Row],[Catégorie]]="",TO_8[[#This Row],[Catégorie]]="-"),"",ROUNDUP(TO_8[[#This Row],[Quantité]]*TO_8[[#This Row],[Coût | Unitaire]],2))</f>
        <v/>
      </c>
      <c r="H143" s="9"/>
      <c r="I143" s="13"/>
      <c r="J143" s="14"/>
      <c r="K143" s="10" t="str">
        <f>IF(OR(TO_8[[#This Row],[Total | Budgétaire]]="",TO_8[[#This Row],[Quantité R.]]=""),IF(TO_8[[#This Row],[Quantité R.]]&gt;0,ROUNDUP(TO_8[[#This Row],[Quantité R.]]*TO_8[[#This Row],[Coût | Unitaire R.]],2),""),ROUNDUP(TO_8[[#This Row],[Quantité R.]]*TO_8[[#This Row],[Coût | Unitaire R.]],2))</f>
        <v/>
      </c>
      <c r="L143" s="46" t="str">
        <f>IFERROR(IF(TO_8[[#This Row],[Total | Réel]]="",0-TO_8[[#This Row],[Total | Budgétaire]],IF(TO_8[[#This Row],[Total | Budgétaire]]="",TO_8[[#This Row],[Total | Réel]],TO_8[[#This Row],[Total | Réel]]-TO_8[[#This Row],[Total | Budgétaire]])),"")</f>
        <v/>
      </c>
    </row>
    <row r="144" spans="1:12" ht="13.5" thickTop="1" x14ac:dyDescent="0.2">
      <c r="A144" s="11"/>
      <c r="B144" s="11"/>
      <c r="C144" s="11"/>
      <c r="D144" s="11"/>
      <c r="E144" s="11"/>
      <c r="F144" s="19" t="s">
        <v>54</v>
      </c>
      <c r="G144" s="44">
        <f>SUBTOTAL(109,TO_8[Total | Budgétaire])</f>
        <v>0</v>
      </c>
      <c r="H144" s="11"/>
      <c r="I144" s="11"/>
      <c r="J144" s="19" t="s">
        <v>54</v>
      </c>
      <c r="K144" s="44">
        <f>SUBTOTAL(109,TO_8[Total | Réel])</f>
        <v>0</v>
      </c>
      <c r="L144" s="44">
        <f>SUBTOTAL(109,TO_8[Résultat])</f>
        <v>0</v>
      </c>
    </row>
    <row r="145" spans="1:12" ht="12.75" thickBot="1" x14ac:dyDescent="0.25">
      <c r="A145" s="16" t="s">
        <v>7</v>
      </c>
      <c r="B145" s="15"/>
      <c r="C145" s="15"/>
      <c r="D145" s="15"/>
      <c r="E145" s="15"/>
      <c r="F145" s="15"/>
      <c r="G145" s="10"/>
      <c r="H145" s="15"/>
      <c r="I145" s="15"/>
      <c r="J145" s="15"/>
      <c r="K145" s="10"/>
      <c r="L145" s="15"/>
    </row>
    <row r="146" spans="1:12" ht="13.5" thickTop="1" x14ac:dyDescent="0.2">
      <c r="A146" s="15"/>
      <c r="B146" s="15"/>
      <c r="C146" s="15"/>
      <c r="D146" s="15"/>
      <c r="E146" s="15"/>
      <c r="F146" s="7" t="str">
        <f>$F$61</f>
        <v>Nombre d'heure</v>
      </c>
      <c r="G146" s="7">
        <f>SUMIFS(TO_8[Quantité],TO_8[Catégorie],"M.-d'œuvre",TO_8[Unité],"Heure",TO_8[Coût | Unitaire],"&gt;0")</f>
        <v>0</v>
      </c>
      <c r="H146" s="7"/>
      <c r="I146" s="7"/>
      <c r="J146" s="7" t="str">
        <f>$F$61</f>
        <v>Nombre d'heure</v>
      </c>
      <c r="K146" s="7">
        <f>SUMIFS(TO_8[Quantité R.],TO_8[Catégorie],"M.-d'œuvre",TO_8[Unité],"Heure")</f>
        <v>0</v>
      </c>
      <c r="L146" s="7">
        <f>$K146-$G146</f>
        <v>0</v>
      </c>
    </row>
    <row r="147" spans="1:12" x14ac:dyDescent="0.2">
      <c r="A147" s="16" t="s">
        <v>7</v>
      </c>
      <c r="B147" s="15"/>
      <c r="C147" s="15"/>
      <c r="D147" s="15"/>
      <c r="E147" s="15"/>
      <c r="F147" s="15"/>
      <c r="G147" s="15"/>
      <c r="H147" s="15"/>
      <c r="I147" s="15"/>
      <c r="J147" s="15"/>
      <c r="K147" s="15"/>
      <c r="L147" s="15"/>
    </row>
    <row r="148" spans="1:12" ht="15" x14ac:dyDescent="0.2">
      <c r="A148" s="41" t="s">
        <v>109</v>
      </c>
      <c r="B148" s="41"/>
      <c r="C148" s="69" t="str">
        <f>$C$8</f>
        <v>BUDGÉTAIRE</v>
      </c>
      <c r="D148" s="70"/>
      <c r="E148" s="70"/>
      <c r="F148" s="70"/>
      <c r="G148" s="71"/>
      <c r="H148" s="69" t="str">
        <f>$H$8</f>
        <v>RÉEL</v>
      </c>
      <c r="I148" s="70"/>
      <c r="J148" s="70"/>
      <c r="K148" s="71"/>
      <c r="L148" s="47" t="str">
        <f>$L$8</f>
        <v>RÉSULTAT</v>
      </c>
    </row>
    <row r="149" spans="1:12" ht="12.75" x14ac:dyDescent="0.2">
      <c r="A149" s="6" t="s">
        <v>15</v>
      </c>
      <c r="B149" s="6" t="s">
        <v>0</v>
      </c>
      <c r="C149" s="6" t="s">
        <v>121</v>
      </c>
      <c r="D149" s="6" t="s">
        <v>5</v>
      </c>
      <c r="E149" s="6" t="s">
        <v>25</v>
      </c>
      <c r="F149" s="6" t="s">
        <v>122</v>
      </c>
      <c r="G149" s="6" t="s">
        <v>26</v>
      </c>
      <c r="H149" s="6" t="s">
        <v>28</v>
      </c>
      <c r="I149" s="6" t="s">
        <v>21</v>
      </c>
      <c r="J149" s="6" t="s">
        <v>123</v>
      </c>
      <c r="K149" s="6" t="s">
        <v>29</v>
      </c>
      <c r="L149" s="6" t="s">
        <v>19</v>
      </c>
    </row>
    <row r="150" spans="1:12" ht="12.75" thickBot="1" x14ac:dyDescent="0.25">
      <c r="A150" s="9" t="s">
        <v>7</v>
      </c>
      <c r="B150" s="12"/>
      <c r="C150" s="9"/>
      <c r="D150" s="13"/>
      <c r="E150" s="9"/>
      <c r="F150" s="14"/>
      <c r="G150" s="10" t="str">
        <f>IF(OR(TO_9[[#This Row],[Catégorie]]="",TO_9[[#This Row],[Catégorie]]="-"),"",ROUNDUP(TO_9[[#This Row],[Quantité]]*TO_9[[#This Row],[Coût | Unitaire]],2))</f>
        <v/>
      </c>
      <c r="H150" s="9"/>
      <c r="I150" s="13"/>
      <c r="J150" s="14"/>
      <c r="K150" s="10" t="str">
        <f>IF(OR(TO_9[[#This Row],[Total | Budgétaire]]="",TO_9[[#This Row],[Quantité R.]]=""),IF(TO_9[[#This Row],[Quantité R.]]&gt;0,ROUNDUP(TO_9[[#This Row],[Quantité R.]]*TO_9[[#This Row],[Coût | Unitaire R.]],2),""),ROUNDUP(TO_9[[#This Row],[Quantité R.]]*TO_9[[#This Row],[Coût | Unitaire R.]],2))</f>
        <v/>
      </c>
      <c r="L150" s="46" t="str">
        <f>IFERROR(IF(TO_9[[#This Row],[Total | Réel]]="",0-TO_9[[#This Row],[Total | Budgétaire]],IF(TO_9[[#This Row],[Total | Budgétaire]]="",TO_9[[#This Row],[Total | Réel]],TO_9[[#This Row],[Total | Réel]]-TO_9[[#This Row],[Total | Budgétaire]])),"")</f>
        <v/>
      </c>
    </row>
    <row r="151" spans="1:12" ht="13.5" thickTop="1" x14ac:dyDescent="0.2">
      <c r="A151" s="11"/>
      <c r="B151" s="11"/>
      <c r="C151" s="11"/>
      <c r="D151" s="11"/>
      <c r="E151" s="11"/>
      <c r="F151" s="19" t="s">
        <v>54</v>
      </c>
      <c r="G151" s="44">
        <f>SUBTOTAL(109,TO_9[Total | Budgétaire])</f>
        <v>0</v>
      </c>
      <c r="H151" s="11"/>
      <c r="I151" s="11"/>
      <c r="J151" s="19" t="s">
        <v>54</v>
      </c>
      <c r="K151" s="44">
        <f>SUBTOTAL(109,TO_9[Total | Réel])</f>
        <v>0</v>
      </c>
      <c r="L151" s="44">
        <f>SUBTOTAL(109,TO_9[Résultat])</f>
        <v>0</v>
      </c>
    </row>
    <row r="152" spans="1:12" ht="12.75" thickBot="1" x14ac:dyDescent="0.25">
      <c r="A152" s="16" t="s">
        <v>7</v>
      </c>
      <c r="B152" s="15"/>
      <c r="C152" s="15"/>
      <c r="D152" s="15"/>
      <c r="E152" s="15"/>
      <c r="F152" s="15"/>
      <c r="G152" s="10"/>
      <c r="H152" s="15"/>
      <c r="I152" s="15"/>
      <c r="J152" s="15"/>
      <c r="K152" s="10"/>
      <c r="L152" s="15"/>
    </row>
    <row r="153" spans="1:12" ht="13.5" thickTop="1" x14ac:dyDescent="0.2">
      <c r="A153" s="15"/>
      <c r="B153" s="15"/>
      <c r="C153" s="15"/>
      <c r="D153" s="15"/>
      <c r="E153" s="15"/>
      <c r="F153" s="7" t="str">
        <f>$F$61</f>
        <v>Nombre d'heure</v>
      </c>
      <c r="G153" s="7">
        <f>SUMIFS(TO_9[Quantité],TO_9[Catégorie],"M.-d'œuvre",TO_9[Unité],"Heure",TO_9[Coût | Unitaire],"&gt;0")</f>
        <v>0</v>
      </c>
      <c r="H153" s="7"/>
      <c r="I153" s="7"/>
      <c r="J153" s="7" t="str">
        <f>$F$61</f>
        <v>Nombre d'heure</v>
      </c>
      <c r="K153" s="7">
        <f>SUMIFS(TO_9[Quantité R.],TO_9[Catégorie],"M.-d'œuvre",TO_9[Unité],"Heure")</f>
        <v>0</v>
      </c>
      <c r="L153" s="7">
        <f>$K153-$G153</f>
        <v>0</v>
      </c>
    </row>
    <row r="154" spans="1:12" x14ac:dyDescent="0.2">
      <c r="A154" s="16" t="s">
        <v>7</v>
      </c>
      <c r="B154" s="15"/>
      <c r="C154" s="15"/>
      <c r="D154" s="15"/>
      <c r="E154" s="15"/>
      <c r="F154" s="15"/>
      <c r="G154" s="15"/>
      <c r="H154" s="15"/>
      <c r="I154" s="15"/>
      <c r="J154" s="15"/>
      <c r="K154" s="15"/>
      <c r="L154" s="15"/>
    </row>
    <row r="155" spans="1:12" ht="15" x14ac:dyDescent="0.2">
      <c r="A155" s="41" t="s">
        <v>8</v>
      </c>
      <c r="B155" s="41"/>
      <c r="C155" s="69" t="str">
        <f>$C$8</f>
        <v>BUDGÉTAIRE</v>
      </c>
      <c r="D155" s="70"/>
      <c r="E155" s="70"/>
      <c r="F155" s="70"/>
      <c r="G155" s="71"/>
      <c r="H155" s="69" t="str">
        <f>$H$8</f>
        <v>RÉEL</v>
      </c>
      <c r="I155" s="70"/>
      <c r="J155" s="70"/>
      <c r="K155" s="71"/>
      <c r="L155" s="47" t="str">
        <f>$L$8</f>
        <v>RÉSULTAT</v>
      </c>
    </row>
    <row r="156" spans="1:12" ht="12.75" x14ac:dyDescent="0.2">
      <c r="A156" s="6" t="s">
        <v>15</v>
      </c>
      <c r="B156" s="6" t="s">
        <v>0</v>
      </c>
      <c r="C156" s="6" t="s">
        <v>121</v>
      </c>
      <c r="D156" s="6" t="s">
        <v>5</v>
      </c>
      <c r="E156" s="6" t="s">
        <v>25</v>
      </c>
      <c r="F156" s="6" t="s">
        <v>122</v>
      </c>
      <c r="G156" s="6" t="s">
        <v>26</v>
      </c>
      <c r="H156" s="6" t="s">
        <v>28</v>
      </c>
      <c r="I156" s="6" t="s">
        <v>21</v>
      </c>
      <c r="J156" s="6" t="s">
        <v>123</v>
      </c>
      <c r="K156" s="6" t="s">
        <v>29</v>
      </c>
      <c r="L156" s="6" t="s">
        <v>19</v>
      </c>
    </row>
    <row r="157" spans="1:12" ht="12.75" thickBot="1" x14ac:dyDescent="0.25">
      <c r="A157" s="9" t="s">
        <v>7</v>
      </c>
      <c r="B157" s="12"/>
      <c r="C157" s="9"/>
      <c r="D157" s="13"/>
      <c r="E157" s="9"/>
      <c r="F157" s="14"/>
      <c r="G157" s="10" t="str">
        <f>IF(OR(TO_10[[#This Row],[Catégorie]]="",TO_10[[#This Row],[Catégorie]]="-"),"",ROUNDUP(TO_10[[#This Row],[Quantité]]*TO_10[[#This Row],[Coût | Unitaire]],2))</f>
        <v/>
      </c>
      <c r="H157" s="9"/>
      <c r="I157" s="13"/>
      <c r="J157" s="14"/>
      <c r="K157" s="10" t="str">
        <f>IF(OR(TO_10[[#This Row],[Total | Budgétaire]]="",TO_10[[#This Row],[Quantité R.]]=""),IF(TO_10[[#This Row],[Quantité R.]]&gt;0,ROUNDUP(TO_10[[#This Row],[Quantité R.]]*TO_10[[#This Row],[Coût | Unitaire R.]],2),""),ROUNDUP(TO_10[[#This Row],[Quantité R.]]*TO_10[[#This Row],[Coût | Unitaire R.]],2))</f>
        <v/>
      </c>
      <c r="L157" s="46" t="str">
        <f>IFERROR(IF(TO_10[[#This Row],[Total | Réel]]="",0-TO_10[[#This Row],[Total | Budgétaire]],IF(TO_10[[#This Row],[Total | Budgétaire]]="",TO_10[[#This Row],[Total | Réel]],TO_10[[#This Row],[Total | Réel]]-TO_10[[#This Row],[Total | Budgétaire]])),"")</f>
        <v/>
      </c>
    </row>
    <row r="158" spans="1:12" ht="13.5" thickTop="1" x14ac:dyDescent="0.2">
      <c r="A158" s="11"/>
      <c r="B158" s="11"/>
      <c r="C158" s="11"/>
      <c r="D158" s="11"/>
      <c r="E158" s="11"/>
      <c r="F158" s="19" t="s">
        <v>54</v>
      </c>
      <c r="G158" s="44">
        <f>SUBTOTAL(109,TO_10[Total | Budgétaire])</f>
        <v>0</v>
      </c>
      <c r="H158" s="11"/>
      <c r="I158" s="11"/>
      <c r="J158" s="19" t="s">
        <v>54</v>
      </c>
      <c r="K158" s="44">
        <f>SUBTOTAL(109,TO_10[Total | Réel])</f>
        <v>0</v>
      </c>
      <c r="L158" s="44">
        <f>SUBTOTAL(109,TO_10[Résultat])</f>
        <v>0</v>
      </c>
    </row>
    <row r="159" spans="1:12" ht="12.75" thickBot="1" x14ac:dyDescent="0.25">
      <c r="A159" s="16" t="s">
        <v>7</v>
      </c>
      <c r="B159" s="15"/>
      <c r="C159" s="15"/>
      <c r="D159" s="15"/>
      <c r="E159" s="15"/>
      <c r="F159" s="15"/>
      <c r="G159" s="10"/>
      <c r="H159" s="15"/>
      <c r="I159" s="15"/>
      <c r="J159" s="15"/>
      <c r="K159" s="10"/>
      <c r="L159" s="15"/>
    </row>
    <row r="160" spans="1:12" ht="13.5" thickTop="1" x14ac:dyDescent="0.2">
      <c r="A160" s="15"/>
      <c r="B160" s="15"/>
      <c r="C160" s="15"/>
      <c r="D160" s="15"/>
      <c r="E160" s="15"/>
      <c r="F160" s="7" t="str">
        <f>$F$61</f>
        <v>Nombre d'heure</v>
      </c>
      <c r="G160" s="7">
        <f>SUMIFS(TO_10[Quantité],TO_10[Catégorie],"M.-d'œuvre",TO_10[Unité],"Heure",TO_10[Coût | Unitaire],"&gt;0")</f>
        <v>0</v>
      </c>
      <c r="H160" s="7"/>
      <c r="I160" s="7"/>
      <c r="J160" s="7" t="str">
        <f>$F$61</f>
        <v>Nombre d'heure</v>
      </c>
      <c r="K160" s="7">
        <f>SUMIFS(TO_10[Quantité R.],TO_10[Catégorie],"M.-d'œuvre",TO_10[Unité],"Heure")</f>
        <v>0</v>
      </c>
      <c r="L160" s="7">
        <f>$K160-$G160</f>
        <v>0</v>
      </c>
    </row>
    <row r="161" spans="1:12" x14ac:dyDescent="0.2">
      <c r="A161" s="16" t="s">
        <v>7</v>
      </c>
      <c r="B161" s="15"/>
      <c r="C161" s="15"/>
      <c r="D161" s="15"/>
      <c r="E161" s="15"/>
      <c r="F161" s="15"/>
      <c r="G161" s="15"/>
      <c r="H161" s="15"/>
      <c r="I161" s="15"/>
      <c r="J161" s="15"/>
      <c r="K161" s="15"/>
      <c r="L161" s="15"/>
    </row>
    <row r="162" spans="1:12" ht="15" x14ac:dyDescent="0.2">
      <c r="A162" s="41" t="s">
        <v>39</v>
      </c>
      <c r="B162" s="41"/>
      <c r="C162" s="69" t="str">
        <f>$C$8</f>
        <v>BUDGÉTAIRE</v>
      </c>
      <c r="D162" s="70"/>
      <c r="E162" s="70"/>
      <c r="F162" s="70"/>
      <c r="G162" s="71"/>
      <c r="H162" s="69" t="str">
        <f>$H$8</f>
        <v>RÉEL</v>
      </c>
      <c r="I162" s="70"/>
      <c r="J162" s="70"/>
      <c r="K162" s="71"/>
      <c r="L162" s="47" t="str">
        <f>$L$8</f>
        <v>RÉSULTAT</v>
      </c>
    </row>
    <row r="163" spans="1:12" ht="12.75" x14ac:dyDescent="0.2">
      <c r="A163" s="6" t="s">
        <v>15</v>
      </c>
      <c r="B163" s="6" t="s">
        <v>0</v>
      </c>
      <c r="C163" s="6" t="s">
        <v>121</v>
      </c>
      <c r="D163" s="6" t="s">
        <v>5</v>
      </c>
      <c r="E163" s="6" t="s">
        <v>25</v>
      </c>
      <c r="F163" s="6" t="s">
        <v>122</v>
      </c>
      <c r="G163" s="6" t="s">
        <v>26</v>
      </c>
      <c r="H163" s="6" t="s">
        <v>28</v>
      </c>
      <c r="I163" s="6" t="s">
        <v>21</v>
      </c>
      <c r="J163" s="6" t="s">
        <v>123</v>
      </c>
      <c r="K163" s="6" t="s">
        <v>29</v>
      </c>
      <c r="L163" s="6" t="s">
        <v>19</v>
      </c>
    </row>
    <row r="164" spans="1:12" ht="12.75" thickBot="1" x14ac:dyDescent="0.25">
      <c r="A164" s="9" t="s">
        <v>7</v>
      </c>
      <c r="B164" s="12"/>
      <c r="C164" s="9"/>
      <c r="D164" s="13"/>
      <c r="E164" s="9"/>
      <c r="F164" s="14"/>
      <c r="G164" s="10" t="str">
        <f>IF(OR(TO_11[[#This Row],[Catégorie]]="",TO_11[[#This Row],[Catégorie]]="-"),"",ROUNDUP(TO_11[[#This Row],[Quantité]]*TO_11[[#This Row],[Coût | Unitaire]],2))</f>
        <v/>
      </c>
      <c r="H164" s="9"/>
      <c r="I164" s="13"/>
      <c r="J164" s="14"/>
      <c r="K164" s="10" t="str">
        <f>IF(OR(TO_11[[#This Row],[Total | Budgétaire]]="",TO_11[[#This Row],[Quantité R.]]=""),IF(TO_11[[#This Row],[Quantité R.]]&gt;0,ROUNDUP(TO_11[[#This Row],[Quantité R.]]*TO_11[[#This Row],[Coût | Unitaire R.]],2),""),ROUNDUP(TO_11[[#This Row],[Quantité R.]]*TO_11[[#This Row],[Coût | Unitaire R.]],2))</f>
        <v/>
      </c>
      <c r="L164" s="46" t="str">
        <f>IFERROR(IF(TO_11[[#This Row],[Total | Réel]]="",0-TO_11[[#This Row],[Total | Budgétaire]],IF(TO_11[[#This Row],[Total | Budgétaire]]="",TO_11[[#This Row],[Total | Réel]],TO_11[[#This Row],[Total | Réel]]-TO_11[[#This Row],[Total | Budgétaire]])),"")</f>
        <v/>
      </c>
    </row>
    <row r="165" spans="1:12" ht="13.5" thickTop="1" x14ac:dyDescent="0.2">
      <c r="A165" s="11"/>
      <c r="B165" s="11"/>
      <c r="C165" s="11"/>
      <c r="D165" s="11"/>
      <c r="E165" s="11"/>
      <c r="F165" s="19" t="s">
        <v>54</v>
      </c>
      <c r="G165" s="44">
        <f>SUBTOTAL(109,TO_11[Total | Budgétaire])</f>
        <v>0</v>
      </c>
      <c r="H165" s="11"/>
      <c r="I165" s="11"/>
      <c r="J165" s="19" t="s">
        <v>54</v>
      </c>
      <c r="K165" s="44">
        <f>SUBTOTAL(109,TO_11[Total | Réel])</f>
        <v>0</v>
      </c>
      <c r="L165" s="44">
        <f>SUBTOTAL(109,TO_11[Résultat])</f>
        <v>0</v>
      </c>
    </row>
    <row r="166" spans="1:12" ht="12.75" thickBot="1" x14ac:dyDescent="0.25">
      <c r="A166" s="16" t="s">
        <v>7</v>
      </c>
      <c r="B166" s="15"/>
      <c r="C166" s="15"/>
      <c r="D166" s="15"/>
      <c r="E166" s="15"/>
      <c r="F166" s="15"/>
      <c r="G166" s="10"/>
      <c r="H166" s="15"/>
      <c r="I166" s="15"/>
      <c r="J166" s="15"/>
      <c r="K166" s="10"/>
      <c r="L166" s="15"/>
    </row>
    <row r="167" spans="1:12" ht="13.5" thickTop="1" x14ac:dyDescent="0.2">
      <c r="A167" s="15"/>
      <c r="B167" s="15"/>
      <c r="C167" s="15"/>
      <c r="D167" s="15"/>
      <c r="E167" s="15"/>
      <c r="F167" s="7" t="str">
        <f>$F$61</f>
        <v>Nombre d'heure</v>
      </c>
      <c r="G167" s="7">
        <f>SUMIFS(TO_11[Quantité],TO_11[Catégorie],"M.-d'œuvre",TO_11[Unité],"Heure",TO_11[Coût | Unitaire],"&gt;0")</f>
        <v>0</v>
      </c>
      <c r="H167" s="7"/>
      <c r="I167" s="7"/>
      <c r="J167" s="7" t="str">
        <f>$F$61</f>
        <v>Nombre d'heure</v>
      </c>
      <c r="K167" s="7">
        <f>SUMIFS(TO_11[Quantité R.],TO_11[Catégorie],"M.-d'œuvre",TO_11[Unité],"Heure")</f>
        <v>0</v>
      </c>
      <c r="L167" s="7">
        <f>$K167-$G167</f>
        <v>0</v>
      </c>
    </row>
    <row r="168" spans="1:12" s="15" customFormat="1" x14ac:dyDescent="0.2">
      <c r="A168" s="16" t="s">
        <v>7</v>
      </c>
    </row>
    <row r="169" spans="1:12" s="15" customFormat="1" ht="15" x14ac:dyDescent="0.2">
      <c r="A169" s="41" t="s">
        <v>33</v>
      </c>
      <c r="B169" s="41"/>
      <c r="C169" s="69" t="str">
        <f>$C$8</f>
        <v>BUDGÉTAIRE</v>
      </c>
      <c r="D169" s="70"/>
      <c r="E169" s="70"/>
      <c r="F169" s="70"/>
      <c r="G169" s="71"/>
      <c r="H169" s="69" t="str">
        <f>$H$8</f>
        <v>RÉEL</v>
      </c>
      <c r="I169" s="70"/>
      <c r="J169" s="70"/>
      <c r="K169" s="71"/>
      <c r="L169" s="47" t="str">
        <f>$L$8</f>
        <v>RÉSULTAT</v>
      </c>
    </row>
    <row r="170" spans="1:12" s="15" customFormat="1" ht="12.75" x14ac:dyDescent="0.2">
      <c r="A170" s="6" t="s">
        <v>15</v>
      </c>
      <c r="B170" s="6" t="s">
        <v>0</v>
      </c>
      <c r="C170" s="6" t="s">
        <v>121</v>
      </c>
      <c r="D170" s="6" t="s">
        <v>5</v>
      </c>
      <c r="E170" s="6" t="s">
        <v>25</v>
      </c>
      <c r="F170" s="6" t="s">
        <v>122</v>
      </c>
      <c r="G170" s="6" t="s">
        <v>26</v>
      </c>
      <c r="H170" s="6" t="s">
        <v>28</v>
      </c>
      <c r="I170" s="6" t="s">
        <v>21</v>
      </c>
      <c r="J170" s="6" t="s">
        <v>123</v>
      </c>
      <c r="K170" s="6" t="s">
        <v>29</v>
      </c>
      <c r="L170" s="6" t="s">
        <v>19</v>
      </c>
    </row>
    <row r="171" spans="1:12" s="15" customFormat="1" ht="12.75" thickBot="1" x14ac:dyDescent="0.25">
      <c r="A171" s="9" t="s">
        <v>7</v>
      </c>
      <c r="B171" s="12"/>
      <c r="C171" s="9"/>
      <c r="D171" s="13"/>
      <c r="E171" s="9"/>
      <c r="F171" s="14"/>
      <c r="G171" s="10" t="str">
        <f>IF(OR(TO_12[[#This Row],[Catégorie]]="",TO_12[[#This Row],[Catégorie]]="-"),"",ROUNDUP(TO_12[[#This Row],[Quantité]]*TO_12[[#This Row],[Coût | Unitaire]],2))</f>
        <v/>
      </c>
      <c r="H171" s="9"/>
      <c r="I171" s="13"/>
      <c r="J171" s="14"/>
      <c r="K171" s="10" t="str">
        <f>IF(OR(TO_12[[#This Row],[Total | Budgétaire]]="",TO_12[[#This Row],[Quantité R.]]=""),IF(TO_12[[#This Row],[Quantité R.]]&gt;0,ROUNDUP(TO_12[[#This Row],[Quantité R.]]*TO_12[[#This Row],[Coût | Unitaire R.]],2),""),ROUNDUP(TO_12[[#This Row],[Quantité R.]]*TO_12[[#This Row],[Coût | Unitaire R.]],2))</f>
        <v/>
      </c>
      <c r="L171" s="46" t="str">
        <f>IFERROR(IF(TO_12[[#This Row],[Total | Réel]]="",0-TO_12[[#This Row],[Total | Budgétaire]],IF(TO_12[[#This Row],[Total | Budgétaire]]="",TO_12[[#This Row],[Total | Réel]],TO_12[[#This Row],[Total | Réel]]-TO_12[[#This Row],[Total | Budgétaire]])),"")</f>
        <v/>
      </c>
    </row>
    <row r="172" spans="1:12" ht="13.5" thickTop="1" x14ac:dyDescent="0.2">
      <c r="A172" s="11"/>
      <c r="B172" s="11"/>
      <c r="C172" s="11"/>
      <c r="D172" s="11"/>
      <c r="E172" s="11"/>
      <c r="F172" s="19" t="s">
        <v>54</v>
      </c>
      <c r="G172" s="44">
        <f>SUBTOTAL(109,TO_12[Total | Budgétaire])</f>
        <v>0</v>
      </c>
      <c r="H172" s="11"/>
      <c r="I172" s="11"/>
      <c r="J172" s="19" t="s">
        <v>54</v>
      </c>
      <c r="K172" s="44">
        <f>SUBTOTAL(109,TO_12[Total | Réel])</f>
        <v>0</v>
      </c>
      <c r="L172" s="44">
        <f>SUBTOTAL(109,TO_12[Résultat])</f>
        <v>0</v>
      </c>
    </row>
    <row r="173" spans="1:12" ht="12.75" thickBot="1" x14ac:dyDescent="0.25">
      <c r="A173" s="16" t="s">
        <v>7</v>
      </c>
      <c r="B173" s="15"/>
      <c r="C173" s="15"/>
      <c r="D173" s="15"/>
      <c r="E173" s="15"/>
      <c r="F173" s="15"/>
      <c r="G173" s="10"/>
      <c r="H173" s="15"/>
      <c r="I173" s="15"/>
      <c r="J173" s="15"/>
      <c r="K173" s="10"/>
      <c r="L173" s="15"/>
    </row>
    <row r="174" spans="1:12" ht="13.5" thickTop="1" x14ac:dyDescent="0.2">
      <c r="A174" s="15"/>
      <c r="B174" s="15"/>
      <c r="C174" s="15"/>
      <c r="D174" s="15"/>
      <c r="E174" s="15"/>
      <c r="F174" s="7" t="str">
        <f>$F$61</f>
        <v>Nombre d'heure</v>
      </c>
      <c r="G174" s="7">
        <f>SUMIFS(TO_12[Quantité],TO_12[Catégorie],"M.-d'œuvre",TO_12[Unité],"Heure",TO_12[Coût | Unitaire],"&gt;0")</f>
        <v>0</v>
      </c>
      <c r="H174" s="7"/>
      <c r="I174" s="7"/>
      <c r="J174" s="7" t="str">
        <f>$F$61</f>
        <v>Nombre d'heure</v>
      </c>
      <c r="K174" s="7">
        <f>SUMIFS(TO_12[Quantité R.],TO_12[Catégorie],"M.-d'œuvre",TO_12[Unité],"Heure")</f>
        <v>0</v>
      </c>
      <c r="L174" s="7">
        <f>$K174-$G174</f>
        <v>0</v>
      </c>
    </row>
    <row r="175" spans="1:12" x14ac:dyDescent="0.2">
      <c r="A175" s="16" t="s">
        <v>7</v>
      </c>
      <c r="B175" s="15"/>
      <c r="C175" s="15"/>
      <c r="D175" s="15"/>
      <c r="E175" s="15"/>
      <c r="F175" s="15"/>
      <c r="G175" s="15"/>
      <c r="H175" s="15"/>
      <c r="I175" s="15"/>
      <c r="J175" s="15"/>
      <c r="K175" s="15"/>
      <c r="L175" s="15"/>
    </row>
    <row r="176" spans="1:12" ht="15" x14ac:dyDescent="0.2">
      <c r="A176" s="41" t="s">
        <v>110</v>
      </c>
      <c r="B176" s="41"/>
      <c r="C176" s="69" t="str">
        <f>$C$8</f>
        <v>BUDGÉTAIRE</v>
      </c>
      <c r="D176" s="70"/>
      <c r="E176" s="70"/>
      <c r="F176" s="70"/>
      <c r="G176" s="71"/>
      <c r="H176" s="69" t="str">
        <f>$H$8</f>
        <v>RÉEL</v>
      </c>
      <c r="I176" s="70"/>
      <c r="J176" s="70"/>
      <c r="K176" s="71"/>
      <c r="L176" s="47" t="str">
        <f>$L$8</f>
        <v>RÉSULTAT</v>
      </c>
    </row>
    <row r="177" spans="1:12" ht="12.75" x14ac:dyDescent="0.2">
      <c r="A177" s="6" t="s">
        <v>15</v>
      </c>
      <c r="B177" s="6" t="s">
        <v>0</v>
      </c>
      <c r="C177" s="6" t="s">
        <v>121</v>
      </c>
      <c r="D177" s="6" t="s">
        <v>5</v>
      </c>
      <c r="E177" s="6" t="s">
        <v>25</v>
      </c>
      <c r="F177" s="6" t="s">
        <v>122</v>
      </c>
      <c r="G177" s="6" t="s">
        <v>26</v>
      </c>
      <c r="H177" s="6" t="s">
        <v>28</v>
      </c>
      <c r="I177" s="6" t="s">
        <v>21</v>
      </c>
      <c r="J177" s="6" t="s">
        <v>123</v>
      </c>
      <c r="K177" s="6" t="s">
        <v>29</v>
      </c>
      <c r="L177" s="6" t="s">
        <v>19</v>
      </c>
    </row>
    <row r="178" spans="1:12" ht="12.75" thickBot="1" x14ac:dyDescent="0.25">
      <c r="A178" s="9" t="s">
        <v>7</v>
      </c>
      <c r="B178" s="12"/>
      <c r="C178" s="9"/>
      <c r="D178" s="13"/>
      <c r="E178" s="9"/>
      <c r="F178" s="14"/>
      <c r="G178" s="10" t="str">
        <f>IF(OR(TO_13[[#This Row],[Catégorie]]="",TO_13[[#This Row],[Catégorie]]="-"),"",ROUNDUP(TO_13[[#This Row],[Quantité]]*TO_13[[#This Row],[Coût | Unitaire]],2))</f>
        <v/>
      </c>
      <c r="H178" s="9"/>
      <c r="I178" s="13"/>
      <c r="J178" s="14"/>
      <c r="K178" s="10" t="str">
        <f>IF(OR(TO_13[[#This Row],[Total | Budgétaire]]="",TO_13[[#This Row],[Quantité R.]]=""),IF(TO_13[[#This Row],[Quantité R.]]&gt;0,ROUNDUP(TO_13[[#This Row],[Quantité R.]]*TO_13[[#This Row],[Coût | Unitaire R.]],2),""),ROUNDUP(TO_13[[#This Row],[Quantité R.]]*TO_13[[#This Row],[Coût | Unitaire R.]],2))</f>
        <v/>
      </c>
      <c r="L178" s="46" t="str">
        <f>IFERROR(IF(TO_13[[#This Row],[Total | Réel]]="",0-TO_13[[#This Row],[Total | Budgétaire]],IF(TO_13[[#This Row],[Total | Budgétaire]]="",TO_13[[#This Row],[Total | Réel]],TO_13[[#This Row],[Total | Réel]]-TO_13[[#This Row],[Total | Budgétaire]])),"")</f>
        <v/>
      </c>
    </row>
    <row r="179" spans="1:12" ht="13.5" thickTop="1" x14ac:dyDescent="0.2">
      <c r="A179" s="11"/>
      <c r="B179" s="11"/>
      <c r="C179" s="11"/>
      <c r="D179" s="11"/>
      <c r="E179" s="11"/>
      <c r="F179" s="19" t="s">
        <v>54</v>
      </c>
      <c r="G179" s="44">
        <f>SUBTOTAL(109,TO_13[Total | Budgétaire])</f>
        <v>0</v>
      </c>
      <c r="H179" s="11"/>
      <c r="I179" s="11"/>
      <c r="J179" s="19" t="s">
        <v>54</v>
      </c>
      <c r="K179" s="44">
        <f>SUBTOTAL(109,TO_13[Total | Réel])</f>
        <v>0</v>
      </c>
      <c r="L179" s="44">
        <f>SUBTOTAL(109,TO_13[Résultat])</f>
        <v>0</v>
      </c>
    </row>
    <row r="180" spans="1:12" ht="12.75" thickBot="1" x14ac:dyDescent="0.25">
      <c r="A180" s="16" t="s">
        <v>7</v>
      </c>
      <c r="B180" s="15"/>
      <c r="C180" s="15"/>
      <c r="D180" s="15"/>
      <c r="E180" s="15"/>
      <c r="F180" s="15"/>
      <c r="G180" s="10"/>
      <c r="H180" s="15"/>
      <c r="I180" s="15"/>
      <c r="J180" s="15"/>
      <c r="K180" s="10"/>
      <c r="L180" s="15"/>
    </row>
    <row r="181" spans="1:12" ht="13.5" thickTop="1" x14ac:dyDescent="0.2">
      <c r="A181" s="15"/>
      <c r="B181" s="15"/>
      <c r="C181" s="15"/>
      <c r="D181" s="15"/>
      <c r="E181" s="15"/>
      <c r="F181" s="7" t="str">
        <f>$F$61</f>
        <v>Nombre d'heure</v>
      </c>
      <c r="G181" s="7">
        <f>SUMIFS(TO_13[Quantité],TO_13[Catégorie],"M.-d'œuvre",TO_13[Unité],"Heure",TO_13[Coût | Unitaire],"&gt;0")</f>
        <v>0</v>
      </c>
      <c r="H181" s="7"/>
      <c r="I181" s="7"/>
      <c r="J181" s="7" t="str">
        <f>$F$61</f>
        <v>Nombre d'heure</v>
      </c>
      <c r="K181" s="7">
        <f>SUMIFS(TO_13[Quantité R.],TO_13[Catégorie],"M.-d'œuvre",TO_13[Unité],"Heure")</f>
        <v>0</v>
      </c>
      <c r="L181" s="7">
        <f>$K181-$G181</f>
        <v>0</v>
      </c>
    </row>
    <row r="182" spans="1:12" x14ac:dyDescent="0.2">
      <c r="A182" s="16" t="s">
        <v>7</v>
      </c>
      <c r="B182" s="15"/>
      <c r="C182" s="15"/>
      <c r="D182" s="15"/>
      <c r="E182" s="15"/>
      <c r="F182" s="15"/>
      <c r="G182" s="15"/>
      <c r="H182" s="15"/>
      <c r="I182" s="15"/>
      <c r="J182" s="15"/>
      <c r="K182" s="15"/>
      <c r="L182" s="15"/>
    </row>
    <row r="183" spans="1:12" ht="15" x14ac:dyDescent="0.2">
      <c r="A183" s="41" t="s">
        <v>9</v>
      </c>
      <c r="B183" s="41"/>
      <c r="C183" s="69" t="str">
        <f>$C$8</f>
        <v>BUDGÉTAIRE</v>
      </c>
      <c r="D183" s="70"/>
      <c r="E183" s="70"/>
      <c r="F183" s="70"/>
      <c r="G183" s="71"/>
      <c r="H183" s="69" t="str">
        <f>$H$8</f>
        <v>RÉEL</v>
      </c>
      <c r="I183" s="70"/>
      <c r="J183" s="70"/>
      <c r="K183" s="71"/>
      <c r="L183" s="47" t="str">
        <f>$L$8</f>
        <v>RÉSULTAT</v>
      </c>
    </row>
    <row r="184" spans="1:12" ht="12.75" x14ac:dyDescent="0.2">
      <c r="A184" s="6" t="s">
        <v>15</v>
      </c>
      <c r="B184" s="6" t="s">
        <v>0</v>
      </c>
      <c r="C184" s="6" t="s">
        <v>121</v>
      </c>
      <c r="D184" s="6" t="s">
        <v>5</v>
      </c>
      <c r="E184" s="6" t="s">
        <v>22</v>
      </c>
      <c r="F184" s="6" t="s">
        <v>122</v>
      </c>
      <c r="G184" s="6" t="s">
        <v>26</v>
      </c>
      <c r="H184" s="6" t="s">
        <v>28</v>
      </c>
      <c r="I184" s="6" t="s">
        <v>21</v>
      </c>
      <c r="J184" s="6" t="s">
        <v>123</v>
      </c>
      <c r="K184" s="6" t="s">
        <v>29</v>
      </c>
      <c r="L184" s="6" t="s">
        <v>19</v>
      </c>
    </row>
    <row r="185" spans="1:12" ht="12.75" thickBot="1" x14ac:dyDescent="0.25">
      <c r="A185" s="9" t="s">
        <v>7</v>
      </c>
      <c r="B185" s="12"/>
      <c r="C185" s="9"/>
      <c r="D185" s="13"/>
      <c r="E185" s="9"/>
      <c r="F185" s="14"/>
      <c r="G185" s="10" t="str">
        <f>IF(OR(TO_14[[#This Row],[Catégorie]]="",TO_14[[#This Row],[Catégorie]]="-"),"",ROUNDUP(TO_14[[#This Row],[Quantité]]*TO_14[[#This Row],[Coût | Unitaire]],2))</f>
        <v/>
      </c>
      <c r="H185" s="9"/>
      <c r="I185" s="13"/>
      <c r="J185" s="14"/>
      <c r="K185" s="10" t="str">
        <f>IF(OR(TO_14[[#This Row],[Total | Budgétaire]]="",TO_14[[#This Row],[Quantité R.]]=""),IF(TO_14[[#This Row],[Quantité R.]]&gt;0,ROUNDUP(TO_14[[#This Row],[Quantité R.]]*TO_14[[#This Row],[Coût | Unitaire R.]],2),""),ROUNDUP(TO_14[[#This Row],[Quantité R.]]*TO_14[[#This Row],[Coût | Unitaire R.]],2))</f>
        <v/>
      </c>
      <c r="L185" s="46" t="str">
        <f>IFERROR(IF(TO_14[[#This Row],[Total | Réel]]="",0-TO_14[[#This Row],[Total | Budgétaire]],IF(TO_14[[#This Row],[Total | Budgétaire]]="",TO_14[[#This Row],[Total | Réel]],TO_14[[#This Row],[Total | Réel]]-TO_14[[#This Row],[Total | Budgétaire]])),"")</f>
        <v/>
      </c>
    </row>
    <row r="186" spans="1:12" ht="13.5" thickTop="1" x14ac:dyDescent="0.2">
      <c r="A186" s="11"/>
      <c r="B186" s="11"/>
      <c r="C186" s="11"/>
      <c r="D186" s="11"/>
      <c r="E186" s="11"/>
      <c r="F186" s="19" t="s">
        <v>54</v>
      </c>
      <c r="G186" s="44">
        <f>SUBTOTAL(109,TO_14[Total | Budgétaire])</f>
        <v>0</v>
      </c>
      <c r="H186" s="11"/>
      <c r="I186" s="11"/>
      <c r="J186" s="19" t="s">
        <v>54</v>
      </c>
      <c r="K186" s="44">
        <f>SUBTOTAL(109,TO_14[Total | Réel])</f>
        <v>0</v>
      </c>
      <c r="L186" s="44">
        <f>SUBTOTAL(109,TO_14[Résultat])</f>
        <v>0</v>
      </c>
    </row>
    <row r="187" spans="1:12" ht="12.75" thickBot="1" x14ac:dyDescent="0.25">
      <c r="A187" s="16" t="s">
        <v>7</v>
      </c>
      <c r="B187" s="15"/>
      <c r="C187" s="15"/>
      <c r="D187" s="15"/>
      <c r="E187" s="15"/>
      <c r="F187" s="15"/>
      <c r="G187" s="10"/>
      <c r="H187" s="15"/>
      <c r="I187" s="15"/>
      <c r="J187" s="15"/>
      <c r="K187" s="10"/>
      <c r="L187" s="15"/>
    </row>
    <row r="188" spans="1:12" ht="13.5" thickTop="1" x14ac:dyDescent="0.2">
      <c r="A188" s="15"/>
      <c r="B188" s="15"/>
      <c r="C188" s="15"/>
      <c r="D188" s="15"/>
      <c r="E188" s="15"/>
      <c r="F188" s="7" t="str">
        <f>$F$61</f>
        <v>Nombre d'heure</v>
      </c>
      <c r="G188" s="7">
        <f>SUMIFS(TO_14[Quantité],TO_14[Catégorie],"M.-d'œuvre",TO_14[Mesure],"Heure",TO_14[Coût | Unitaire],"&gt;0")</f>
        <v>0</v>
      </c>
      <c r="H188" s="7"/>
      <c r="I188" s="7"/>
      <c r="J188" s="7" t="str">
        <f>$F$61</f>
        <v>Nombre d'heure</v>
      </c>
      <c r="K188" s="7">
        <f>SUMIFS(TO_14[Quantité R.],TO_14[Catégorie],"M.-d'œuvre",TO_14[Mesure],"Heure")</f>
        <v>0</v>
      </c>
      <c r="L188" s="7">
        <f>$K188-$G188</f>
        <v>0</v>
      </c>
    </row>
    <row r="189" spans="1:12" x14ac:dyDescent="0.2">
      <c r="A189" s="16" t="s">
        <v>7</v>
      </c>
      <c r="B189" s="15"/>
      <c r="C189" s="15"/>
      <c r="D189" s="15"/>
      <c r="E189" s="15"/>
      <c r="F189" s="15"/>
      <c r="G189" s="15"/>
      <c r="H189" s="15"/>
      <c r="I189" s="15"/>
      <c r="J189" s="15"/>
      <c r="K189" s="15"/>
      <c r="L189" s="15"/>
    </row>
    <row r="190" spans="1:12" ht="15" x14ac:dyDescent="0.2">
      <c r="A190" s="41" t="s">
        <v>35</v>
      </c>
      <c r="B190" s="41"/>
      <c r="C190" s="69" t="str">
        <f>$C$8</f>
        <v>BUDGÉTAIRE</v>
      </c>
      <c r="D190" s="70"/>
      <c r="E190" s="70"/>
      <c r="F190" s="70"/>
      <c r="G190" s="71"/>
      <c r="H190" s="69" t="str">
        <f>$H$8</f>
        <v>RÉEL</v>
      </c>
      <c r="I190" s="70"/>
      <c r="J190" s="70"/>
      <c r="K190" s="71"/>
      <c r="L190" s="47" t="str">
        <f>$L$8</f>
        <v>RÉSULTAT</v>
      </c>
    </row>
    <row r="191" spans="1:12" ht="12.75" x14ac:dyDescent="0.2">
      <c r="A191" s="6" t="s">
        <v>15</v>
      </c>
      <c r="B191" s="6" t="s">
        <v>0</v>
      </c>
      <c r="C191" s="6" t="s">
        <v>121</v>
      </c>
      <c r="D191" s="6" t="s">
        <v>5</v>
      </c>
      <c r="E191" s="6" t="s">
        <v>25</v>
      </c>
      <c r="F191" s="6" t="s">
        <v>122</v>
      </c>
      <c r="G191" s="6" t="s">
        <v>26</v>
      </c>
      <c r="H191" s="6" t="s">
        <v>28</v>
      </c>
      <c r="I191" s="6" t="s">
        <v>21</v>
      </c>
      <c r="J191" s="6" t="s">
        <v>123</v>
      </c>
      <c r="K191" s="6" t="s">
        <v>29</v>
      </c>
      <c r="L191" s="6" t="s">
        <v>19</v>
      </c>
    </row>
    <row r="192" spans="1:12" ht="12.75" thickBot="1" x14ac:dyDescent="0.25">
      <c r="A192" s="9" t="s">
        <v>7</v>
      </c>
      <c r="B192" s="12"/>
      <c r="C192" s="9"/>
      <c r="D192" s="13"/>
      <c r="E192" s="9"/>
      <c r="F192" s="14"/>
      <c r="G192" s="10" t="str">
        <f>IF(OR(TO_15[[#This Row],[Catégorie]]="",TO_15[[#This Row],[Catégorie]]="-"),"",ROUNDUP(TO_15[[#This Row],[Quantité]]*TO_15[[#This Row],[Coût | Unitaire]],2))</f>
        <v/>
      </c>
      <c r="H192" s="9"/>
      <c r="I192" s="13"/>
      <c r="J192" s="14"/>
      <c r="K192" s="10" t="str">
        <f>IF(OR(TO_15[[#This Row],[Total | Budgétaire]]="",TO_15[[#This Row],[Quantité R.]]=""),IF(TO_15[[#This Row],[Quantité R.]]&gt;0,ROUNDUP(TO_15[[#This Row],[Quantité R.]]*TO_15[[#This Row],[Coût | Unitaire R.]],2),""),ROUNDUP(TO_15[[#This Row],[Quantité R.]]*TO_15[[#This Row],[Coût | Unitaire R.]],2))</f>
        <v/>
      </c>
      <c r="L192" s="46" t="str">
        <f>IFERROR(IF(TO_15[[#This Row],[Total | Réel]]="",0-TO_15[[#This Row],[Total | Budgétaire]],IF(TO_15[[#This Row],[Total | Budgétaire]]="",TO_15[[#This Row],[Total | Réel]],TO_15[[#This Row],[Total | Réel]]-TO_15[[#This Row],[Total | Budgétaire]])),"")</f>
        <v/>
      </c>
    </row>
    <row r="193" spans="1:12" ht="13.5" thickTop="1" x14ac:dyDescent="0.2">
      <c r="A193" s="11"/>
      <c r="B193" s="11"/>
      <c r="C193" s="11"/>
      <c r="D193" s="11"/>
      <c r="E193" s="11"/>
      <c r="F193" s="19" t="s">
        <v>54</v>
      </c>
      <c r="G193" s="44">
        <f>SUBTOTAL(109,TO_15[Total | Budgétaire])</f>
        <v>0</v>
      </c>
      <c r="H193" s="11"/>
      <c r="I193" s="11"/>
      <c r="J193" s="19" t="s">
        <v>54</v>
      </c>
      <c r="K193" s="44">
        <f>SUBTOTAL(109,TO_15[Total | Réel])</f>
        <v>0</v>
      </c>
      <c r="L193" s="44">
        <f>SUBTOTAL(109,TO_15[Résultat])</f>
        <v>0</v>
      </c>
    </row>
    <row r="194" spans="1:12" ht="12.75" thickBot="1" x14ac:dyDescent="0.25">
      <c r="A194" s="16" t="s">
        <v>7</v>
      </c>
      <c r="B194" s="15"/>
      <c r="C194" s="15"/>
      <c r="D194" s="15"/>
      <c r="E194" s="15"/>
      <c r="F194" s="15"/>
      <c r="G194" s="10"/>
      <c r="H194" s="15"/>
      <c r="I194" s="15"/>
      <c r="J194" s="15"/>
      <c r="K194" s="10"/>
      <c r="L194" s="15"/>
    </row>
    <row r="195" spans="1:12" ht="13.5" thickTop="1" x14ac:dyDescent="0.2">
      <c r="A195" s="15"/>
      <c r="B195" s="15"/>
      <c r="C195" s="15"/>
      <c r="D195" s="15"/>
      <c r="E195" s="15"/>
      <c r="F195" s="7" t="str">
        <f>$F$61</f>
        <v>Nombre d'heure</v>
      </c>
      <c r="G195" s="7">
        <f>SUMIFS(TO_15[Quantité],TO_15[Catégorie],"M.-d'œuvre",TO_15[Unité],"Heure",TO_15[Coût | Unitaire],"&gt;0")</f>
        <v>0</v>
      </c>
      <c r="H195" s="7"/>
      <c r="I195" s="7"/>
      <c r="J195" s="7" t="str">
        <f>$F$61</f>
        <v>Nombre d'heure</v>
      </c>
      <c r="K195" s="7">
        <f>SUMIFS(TO_15[Quantité R.],TO_15[Catégorie],"M.-d'œuvre",TO_15[Unité],"Heure")</f>
        <v>0</v>
      </c>
      <c r="L195" s="7">
        <f>$K195-$G195</f>
        <v>0</v>
      </c>
    </row>
    <row r="196" spans="1:12" x14ac:dyDescent="0.2">
      <c r="A196" s="16" t="s">
        <v>7</v>
      </c>
      <c r="B196" s="15"/>
      <c r="C196" s="15"/>
      <c r="D196" s="15"/>
      <c r="E196" s="15"/>
      <c r="F196" s="15"/>
      <c r="G196" s="15"/>
      <c r="H196" s="15"/>
      <c r="I196" s="15"/>
      <c r="J196" s="15"/>
      <c r="K196" s="15"/>
      <c r="L196" s="15"/>
    </row>
    <row r="197" spans="1:12" ht="15" x14ac:dyDescent="0.2">
      <c r="A197" s="41" t="s">
        <v>36</v>
      </c>
      <c r="B197" s="41"/>
      <c r="C197" s="69" t="str">
        <f>$C$8</f>
        <v>BUDGÉTAIRE</v>
      </c>
      <c r="D197" s="70"/>
      <c r="E197" s="70"/>
      <c r="F197" s="70"/>
      <c r="G197" s="71"/>
      <c r="H197" s="69" t="str">
        <f>$H$8</f>
        <v>RÉEL</v>
      </c>
      <c r="I197" s="70"/>
      <c r="J197" s="70"/>
      <c r="K197" s="71"/>
      <c r="L197" s="47" t="str">
        <f>$L$8</f>
        <v>RÉSULTAT</v>
      </c>
    </row>
    <row r="198" spans="1:12" ht="12.75" x14ac:dyDescent="0.2">
      <c r="A198" s="6" t="s">
        <v>15</v>
      </c>
      <c r="B198" s="6" t="s">
        <v>0</v>
      </c>
      <c r="C198" s="6" t="s">
        <v>121</v>
      </c>
      <c r="D198" s="6" t="s">
        <v>5</v>
      </c>
      <c r="E198" s="6" t="s">
        <v>25</v>
      </c>
      <c r="F198" s="6" t="s">
        <v>122</v>
      </c>
      <c r="G198" s="6" t="s">
        <v>26</v>
      </c>
      <c r="H198" s="6" t="s">
        <v>28</v>
      </c>
      <c r="I198" s="6" t="s">
        <v>21</v>
      </c>
      <c r="J198" s="6" t="s">
        <v>123</v>
      </c>
      <c r="K198" s="6" t="s">
        <v>29</v>
      </c>
      <c r="L198" s="6" t="s">
        <v>19</v>
      </c>
    </row>
    <row r="199" spans="1:12" ht="12.75" thickBot="1" x14ac:dyDescent="0.25">
      <c r="A199" s="9" t="s">
        <v>7</v>
      </c>
      <c r="B199" s="12"/>
      <c r="C199" s="9"/>
      <c r="D199" s="13"/>
      <c r="E199" s="9"/>
      <c r="F199" s="14"/>
      <c r="G199" s="10" t="str">
        <f>IF(OR(TO_16[[#This Row],[Catégorie]]="",TO_16[[#This Row],[Catégorie]]="-"),"",ROUNDUP(TO_16[[#This Row],[Quantité]]*TO_16[[#This Row],[Coût | Unitaire]],2))</f>
        <v/>
      </c>
      <c r="H199" s="9"/>
      <c r="I199" s="13"/>
      <c r="J199" s="14"/>
      <c r="K199" s="10" t="str">
        <f>IF(OR(TO_16[[#This Row],[Total | Budgétaire]]="",TO_16[[#This Row],[Quantité R.]]=""),IF(TO_16[[#This Row],[Quantité R.]]&gt;0,ROUNDUP(TO_16[[#This Row],[Quantité R.]]*TO_16[[#This Row],[Coût | Unitaire R.]],2),""),ROUNDUP(TO_16[[#This Row],[Quantité R.]]*TO_16[[#This Row],[Coût | Unitaire R.]],2))</f>
        <v/>
      </c>
      <c r="L199" s="46" t="str">
        <f>IFERROR(IF(TO_16[[#This Row],[Total | Réel]]="",0-TO_16[[#This Row],[Total | Budgétaire]],IF(TO_16[[#This Row],[Total | Budgétaire]]="",TO_16[[#This Row],[Total | Réel]],TO_16[[#This Row],[Total | Réel]]-TO_16[[#This Row],[Total | Budgétaire]])),"")</f>
        <v/>
      </c>
    </row>
    <row r="200" spans="1:12" ht="13.5" thickTop="1" x14ac:dyDescent="0.2">
      <c r="A200" s="11"/>
      <c r="B200" s="11"/>
      <c r="C200" s="11"/>
      <c r="D200" s="11"/>
      <c r="E200" s="11"/>
      <c r="F200" s="19" t="s">
        <v>54</v>
      </c>
      <c r="G200" s="44">
        <f>SUBTOTAL(109,TO_16[Total | Budgétaire])</f>
        <v>0</v>
      </c>
      <c r="H200" s="11"/>
      <c r="I200" s="11"/>
      <c r="J200" s="19" t="s">
        <v>54</v>
      </c>
      <c r="K200" s="44">
        <f>SUBTOTAL(109,TO_16[Total | Réel])</f>
        <v>0</v>
      </c>
      <c r="L200" s="44">
        <f>SUBTOTAL(109,TO_16[Résultat])</f>
        <v>0</v>
      </c>
    </row>
    <row r="201" spans="1:12" ht="12.75" thickBot="1" x14ac:dyDescent="0.25">
      <c r="A201" s="16" t="s">
        <v>7</v>
      </c>
      <c r="B201" s="15"/>
      <c r="C201" s="15"/>
      <c r="D201" s="15"/>
      <c r="E201" s="15"/>
      <c r="F201" s="15"/>
      <c r="G201" s="10"/>
      <c r="H201" s="15"/>
      <c r="I201" s="15"/>
      <c r="J201" s="15"/>
      <c r="K201" s="10"/>
      <c r="L201" s="15"/>
    </row>
    <row r="202" spans="1:12" ht="13.5" thickTop="1" x14ac:dyDescent="0.2">
      <c r="A202" s="15"/>
      <c r="B202" s="15"/>
      <c r="C202" s="15"/>
      <c r="D202" s="15"/>
      <c r="E202" s="15"/>
      <c r="F202" s="7" t="str">
        <f>$F$61</f>
        <v>Nombre d'heure</v>
      </c>
      <c r="G202" s="7">
        <f>SUMIFS(TO_16[Quantité],TO_16[Catégorie],"M.-d'œuvre",TO_16[Unité],"Heure",TO_16[Coût | Unitaire],"&gt;0")</f>
        <v>0</v>
      </c>
      <c r="H202" s="7"/>
      <c r="I202" s="7"/>
      <c r="J202" s="7" t="str">
        <f>$F$61</f>
        <v>Nombre d'heure</v>
      </c>
      <c r="K202" s="7">
        <f>SUMIFS(TO_16[Quantité R.],TO_16[Catégorie],"M.-d'œuvre",TO_16[Unité],"Heure")</f>
        <v>0</v>
      </c>
      <c r="L202" s="7">
        <f>$K202-$G202</f>
        <v>0</v>
      </c>
    </row>
    <row r="203" spans="1:12" x14ac:dyDescent="0.2">
      <c r="A203" s="16" t="s">
        <v>7</v>
      </c>
      <c r="B203" s="15"/>
      <c r="C203" s="15"/>
      <c r="D203" s="15"/>
      <c r="E203" s="15"/>
      <c r="F203" s="15"/>
      <c r="G203" s="15"/>
      <c r="H203" s="15"/>
      <c r="I203" s="15"/>
      <c r="J203" s="15"/>
      <c r="K203" s="15"/>
      <c r="L203" s="15"/>
    </row>
    <row r="204" spans="1:12" ht="15" x14ac:dyDescent="0.2">
      <c r="A204" s="41" t="s">
        <v>34</v>
      </c>
      <c r="B204" s="41"/>
      <c r="C204" s="69" t="str">
        <f>$C$8</f>
        <v>BUDGÉTAIRE</v>
      </c>
      <c r="D204" s="70"/>
      <c r="E204" s="70"/>
      <c r="F204" s="70"/>
      <c r="G204" s="71"/>
      <c r="H204" s="69" t="str">
        <f>$H$8</f>
        <v>RÉEL</v>
      </c>
      <c r="I204" s="70"/>
      <c r="J204" s="70"/>
      <c r="K204" s="71"/>
      <c r="L204" s="47" t="str">
        <f>$L$8</f>
        <v>RÉSULTAT</v>
      </c>
    </row>
    <row r="205" spans="1:12" ht="12.75" x14ac:dyDescent="0.2">
      <c r="A205" s="6" t="s">
        <v>15</v>
      </c>
      <c r="B205" s="6" t="s">
        <v>0</v>
      </c>
      <c r="C205" s="6" t="s">
        <v>121</v>
      </c>
      <c r="D205" s="6" t="s">
        <v>5</v>
      </c>
      <c r="E205" s="6" t="s">
        <v>25</v>
      </c>
      <c r="F205" s="6" t="s">
        <v>122</v>
      </c>
      <c r="G205" s="6" t="s">
        <v>26</v>
      </c>
      <c r="H205" s="6" t="s">
        <v>28</v>
      </c>
      <c r="I205" s="6" t="s">
        <v>21</v>
      </c>
      <c r="J205" s="6" t="s">
        <v>123</v>
      </c>
      <c r="K205" s="6" t="s">
        <v>29</v>
      </c>
      <c r="L205" s="6" t="s">
        <v>19</v>
      </c>
    </row>
    <row r="206" spans="1:12" ht="12.75" thickBot="1" x14ac:dyDescent="0.25">
      <c r="A206" s="9" t="s">
        <v>7</v>
      </c>
      <c r="B206" s="12"/>
      <c r="C206" s="9"/>
      <c r="D206" s="13"/>
      <c r="E206" s="9"/>
      <c r="F206" s="14"/>
      <c r="G206" s="10" t="str">
        <f>IF(OR(TO_17[[#This Row],[Catégorie]]="",TO_17[[#This Row],[Catégorie]]="-"),"",ROUNDUP(TO_17[[#This Row],[Quantité]]*TO_17[[#This Row],[Coût | Unitaire]],2))</f>
        <v/>
      </c>
      <c r="H206" s="9"/>
      <c r="I206" s="13"/>
      <c r="J206" s="14"/>
      <c r="K206" s="10" t="str">
        <f>IF(OR(TO_17[[#This Row],[Total | Budgétaire]]="",TO_17[[#This Row],[Quantité R.]]=""),IF(TO_17[[#This Row],[Quantité R.]]&gt;0,ROUNDUP(TO_17[[#This Row],[Quantité R.]]*TO_17[[#This Row],[Coût | Unitaire R.]],2),""),ROUNDUP(TO_17[[#This Row],[Quantité R.]]*TO_17[[#This Row],[Coût | Unitaire R.]],2))</f>
        <v/>
      </c>
      <c r="L206" s="46" t="str">
        <f>IFERROR(IF(TO_17[[#This Row],[Total | Réel]]="",0-TO_17[[#This Row],[Total | Budgétaire]],IF(TO_17[[#This Row],[Total | Budgétaire]]="",TO_17[[#This Row],[Total | Réel]],TO_17[[#This Row],[Total | Réel]]-TO_17[[#This Row],[Total | Budgétaire]])),"")</f>
        <v/>
      </c>
    </row>
    <row r="207" spans="1:12" ht="13.5" thickTop="1" x14ac:dyDescent="0.2">
      <c r="A207" s="11"/>
      <c r="B207" s="11"/>
      <c r="C207" s="11"/>
      <c r="D207" s="11"/>
      <c r="E207" s="11"/>
      <c r="F207" s="19" t="s">
        <v>54</v>
      </c>
      <c r="G207" s="44">
        <f>SUBTOTAL(109,TO_17[Total | Budgétaire])</f>
        <v>0</v>
      </c>
      <c r="H207" s="11"/>
      <c r="I207" s="11"/>
      <c r="J207" s="19" t="s">
        <v>54</v>
      </c>
      <c r="K207" s="44">
        <f>SUBTOTAL(109,TO_17[Total | Réel])</f>
        <v>0</v>
      </c>
      <c r="L207" s="44">
        <f>SUBTOTAL(109,TO_17[Résultat])</f>
        <v>0</v>
      </c>
    </row>
    <row r="208" spans="1:12" ht="12.75" thickBot="1" x14ac:dyDescent="0.25">
      <c r="A208" s="16" t="s">
        <v>7</v>
      </c>
      <c r="B208" s="15"/>
      <c r="C208" s="15"/>
      <c r="D208" s="15"/>
      <c r="E208" s="15"/>
      <c r="F208" s="15"/>
      <c r="G208" s="10"/>
      <c r="H208" s="15"/>
      <c r="I208" s="15"/>
      <c r="J208" s="15"/>
      <c r="K208" s="10"/>
      <c r="L208" s="15"/>
    </row>
    <row r="209" spans="1:12" ht="13.5" thickTop="1" x14ac:dyDescent="0.2">
      <c r="A209" s="15"/>
      <c r="B209" s="15"/>
      <c r="C209" s="15"/>
      <c r="D209" s="15"/>
      <c r="E209" s="15"/>
      <c r="F209" s="7" t="str">
        <f>$F$61</f>
        <v>Nombre d'heure</v>
      </c>
      <c r="G209" s="7">
        <f>SUMIFS(TO_17[Quantité],TO_17[Catégorie],"M.-d'œuvre",TO_17[Unité],"Heure",TO_17[Coût | Unitaire],"&gt;0")</f>
        <v>0</v>
      </c>
      <c r="H209" s="7"/>
      <c r="I209" s="7"/>
      <c r="J209" s="7" t="str">
        <f>$F$61</f>
        <v>Nombre d'heure</v>
      </c>
      <c r="K209" s="7">
        <f>SUMIFS(TO_17[Quantité R.],TO_17[Catégorie],"M.-d'œuvre",TO_17[Unité],"Heure")</f>
        <v>0</v>
      </c>
      <c r="L209" s="7">
        <f>$K209-$G209</f>
        <v>0</v>
      </c>
    </row>
    <row r="210" spans="1:12" x14ac:dyDescent="0.2">
      <c r="A210" s="16" t="s">
        <v>7</v>
      </c>
      <c r="B210" s="15"/>
      <c r="C210" s="15"/>
      <c r="D210" s="15"/>
      <c r="E210" s="15"/>
      <c r="F210" s="15"/>
      <c r="G210" s="15"/>
      <c r="H210" s="15"/>
      <c r="I210" s="15"/>
      <c r="J210" s="15"/>
      <c r="K210" s="15"/>
      <c r="L210" s="15"/>
    </row>
    <row r="211" spans="1:12" ht="15" x14ac:dyDescent="0.2">
      <c r="A211" s="41" t="s">
        <v>154</v>
      </c>
      <c r="B211" s="41"/>
      <c r="C211" s="69" t="str">
        <f>$C$8</f>
        <v>BUDGÉTAIRE</v>
      </c>
      <c r="D211" s="70"/>
      <c r="E211" s="70"/>
      <c r="F211" s="70"/>
      <c r="G211" s="71"/>
      <c r="H211" s="69" t="str">
        <f>$H$8</f>
        <v>RÉEL</v>
      </c>
      <c r="I211" s="70"/>
      <c r="J211" s="70"/>
      <c r="K211" s="71"/>
      <c r="L211" s="47" t="str">
        <f>$L$8</f>
        <v>RÉSULTAT</v>
      </c>
    </row>
    <row r="212" spans="1:12" ht="12.75" x14ac:dyDescent="0.2">
      <c r="A212" s="6" t="s">
        <v>15</v>
      </c>
      <c r="B212" s="6" t="s">
        <v>0</v>
      </c>
      <c r="C212" s="6" t="s">
        <v>121</v>
      </c>
      <c r="D212" s="6" t="s">
        <v>5</v>
      </c>
      <c r="E212" s="6" t="s">
        <v>25</v>
      </c>
      <c r="F212" s="6" t="s">
        <v>122</v>
      </c>
      <c r="G212" s="6" t="s">
        <v>26</v>
      </c>
      <c r="H212" s="6" t="s">
        <v>28</v>
      </c>
      <c r="I212" s="6" t="s">
        <v>21</v>
      </c>
      <c r="J212" s="6" t="s">
        <v>123</v>
      </c>
      <c r="K212" s="6" t="s">
        <v>29</v>
      </c>
      <c r="L212" s="6" t="s">
        <v>19</v>
      </c>
    </row>
    <row r="213" spans="1:12" ht="12.75" thickBot="1" x14ac:dyDescent="0.25">
      <c r="A213" s="9" t="s">
        <v>7</v>
      </c>
      <c r="B213" s="12"/>
      <c r="C213" s="9"/>
      <c r="D213" s="13"/>
      <c r="E213" s="9"/>
      <c r="F213" s="14"/>
      <c r="G213" s="10" t="str">
        <f>IF(OR(TO_18[[#This Row],[Catégorie]]="",TO_18[[#This Row],[Catégorie]]="-"),"",ROUNDUP(TO_18[[#This Row],[Quantité]]*TO_18[[#This Row],[Coût | Unitaire]],2))</f>
        <v/>
      </c>
      <c r="H213" s="9"/>
      <c r="I213" s="13"/>
      <c r="J213" s="14"/>
      <c r="K213" s="10" t="str">
        <f>IF(OR(TO_18[[#This Row],[Total | Budgétaire]]="",TO_18[[#This Row],[Quantité R.]]=""),IF(TO_18[[#This Row],[Quantité R.]]&gt;0,ROUNDUP(TO_18[[#This Row],[Quantité R.]]*TO_18[[#This Row],[Coût | Unitaire R.]],2),""),ROUNDUP(TO_18[[#This Row],[Quantité R.]]*TO_18[[#This Row],[Coût | Unitaire R.]],2))</f>
        <v/>
      </c>
      <c r="L213" s="46" t="str">
        <f>IFERROR(IF(TO_18[[#This Row],[Total | Réel]]="",0-TO_18[[#This Row],[Total | Budgétaire]],IF(TO_18[[#This Row],[Total | Budgétaire]]="",TO_18[[#This Row],[Total | Réel]],TO_18[[#This Row],[Total | Réel]]-TO_18[[#This Row],[Total | Budgétaire]])),"")</f>
        <v/>
      </c>
    </row>
    <row r="214" spans="1:12" ht="13.5" thickTop="1" x14ac:dyDescent="0.2">
      <c r="A214" s="11"/>
      <c r="B214" s="11"/>
      <c r="C214" s="11"/>
      <c r="D214" s="11"/>
      <c r="E214" s="11"/>
      <c r="F214" s="19" t="s">
        <v>54</v>
      </c>
      <c r="G214" s="44">
        <f>SUBTOTAL(109,TO_18[Total | Budgétaire])</f>
        <v>0</v>
      </c>
      <c r="H214" s="11"/>
      <c r="I214" s="11"/>
      <c r="J214" s="19" t="s">
        <v>54</v>
      </c>
      <c r="K214" s="44">
        <f>SUBTOTAL(109,TO_18[Total | Réel])</f>
        <v>0</v>
      </c>
      <c r="L214" s="44">
        <f>SUBTOTAL(109,TO_18[Résultat])</f>
        <v>0</v>
      </c>
    </row>
    <row r="215" spans="1:12" ht="12.75" thickBot="1" x14ac:dyDescent="0.25">
      <c r="A215" s="16" t="s">
        <v>7</v>
      </c>
      <c r="B215" s="15"/>
      <c r="C215" s="15"/>
      <c r="D215" s="15"/>
      <c r="E215" s="15"/>
      <c r="F215" s="15"/>
      <c r="G215" s="10"/>
      <c r="H215" s="15"/>
      <c r="I215" s="15"/>
      <c r="J215" s="15"/>
      <c r="K215" s="10"/>
      <c r="L215" s="15"/>
    </row>
    <row r="216" spans="1:12" ht="13.5" thickTop="1" x14ac:dyDescent="0.2">
      <c r="A216" s="15"/>
      <c r="B216" s="15"/>
      <c r="C216" s="15"/>
      <c r="D216" s="15"/>
      <c r="E216" s="15"/>
      <c r="F216" s="7" t="str">
        <f>$F$61</f>
        <v>Nombre d'heure</v>
      </c>
      <c r="G216" s="7">
        <f>SUMIFS(TO_18[Quantité],TO_18[Catégorie],"M.-d'œuvre",TO_18[Unité],"Heure",TO_18[Coût | Unitaire],"&gt;0")</f>
        <v>0</v>
      </c>
      <c r="H216" s="7"/>
      <c r="I216" s="7"/>
      <c r="J216" s="7" t="str">
        <f>$F$61</f>
        <v>Nombre d'heure</v>
      </c>
      <c r="K216" s="7">
        <f>SUMIFS(TO_18[Quantité R.],TO_18[Catégorie],"M.-d'œuvre",TO_18[Unité],"Heure")</f>
        <v>0</v>
      </c>
      <c r="L216" s="7">
        <f>$K216-$G216</f>
        <v>0</v>
      </c>
    </row>
    <row r="217" spans="1:12" x14ac:dyDescent="0.2">
      <c r="A217" s="16" t="s">
        <v>7</v>
      </c>
      <c r="B217" s="15"/>
      <c r="C217" s="15"/>
      <c r="D217" s="15"/>
      <c r="E217" s="15"/>
      <c r="F217" s="15"/>
      <c r="G217" s="15"/>
      <c r="H217" s="15"/>
      <c r="I217" s="15"/>
      <c r="J217" s="15"/>
      <c r="K217" s="15"/>
      <c r="L217" s="15"/>
    </row>
    <row r="218" spans="1:12" ht="15" x14ac:dyDescent="0.2">
      <c r="A218" s="41" t="s">
        <v>155</v>
      </c>
      <c r="B218" s="41"/>
      <c r="C218" s="69" t="str">
        <f>$C$8</f>
        <v>BUDGÉTAIRE</v>
      </c>
      <c r="D218" s="70"/>
      <c r="E218" s="70"/>
      <c r="F218" s="70"/>
      <c r="G218" s="71"/>
      <c r="H218" s="69" t="str">
        <f>$H$8</f>
        <v>RÉEL</v>
      </c>
      <c r="I218" s="70"/>
      <c r="J218" s="70"/>
      <c r="K218" s="71"/>
      <c r="L218" s="47" t="str">
        <f>$L$8</f>
        <v>RÉSULTAT</v>
      </c>
    </row>
    <row r="219" spans="1:12" ht="12.75" x14ac:dyDescent="0.2">
      <c r="A219" s="6" t="s">
        <v>15</v>
      </c>
      <c r="B219" s="6" t="s">
        <v>0</v>
      </c>
      <c r="C219" s="6" t="s">
        <v>121</v>
      </c>
      <c r="D219" s="6" t="s">
        <v>5</v>
      </c>
      <c r="E219" s="6" t="s">
        <v>25</v>
      </c>
      <c r="F219" s="6" t="s">
        <v>122</v>
      </c>
      <c r="G219" s="6" t="s">
        <v>26</v>
      </c>
      <c r="H219" s="6" t="s">
        <v>28</v>
      </c>
      <c r="I219" s="6" t="s">
        <v>21</v>
      </c>
      <c r="J219" s="6" t="s">
        <v>123</v>
      </c>
      <c r="K219" s="6" t="s">
        <v>29</v>
      </c>
      <c r="L219" s="6" t="s">
        <v>19</v>
      </c>
    </row>
    <row r="220" spans="1:12" ht="12.75" thickBot="1" x14ac:dyDescent="0.25">
      <c r="A220" s="9" t="s">
        <v>7</v>
      </c>
      <c r="B220" s="12"/>
      <c r="C220" s="9"/>
      <c r="D220" s="13"/>
      <c r="E220" s="9"/>
      <c r="F220" s="14"/>
      <c r="G220" s="10" t="str">
        <f>IF(OR(TO_19[[#This Row],[Catégorie]]="",TO_19[[#This Row],[Catégorie]]="-"),"",ROUNDUP(TO_19[[#This Row],[Quantité]]*TO_19[[#This Row],[Coût | Unitaire]],2))</f>
        <v/>
      </c>
      <c r="H220" s="9"/>
      <c r="I220" s="13"/>
      <c r="J220" s="14"/>
      <c r="K220" s="10" t="str">
        <f>IF(OR(TO_19[[#This Row],[Total | Budgétaire]]="",TO_19[[#This Row],[Quantité R.]]=""),IF(TO_19[[#This Row],[Quantité R.]]&gt;0,ROUNDUP(TO_19[[#This Row],[Quantité R.]]*TO_19[[#This Row],[Coût | Unitaire R.]],2),""),ROUNDUP(TO_19[[#This Row],[Quantité R.]]*TO_19[[#This Row],[Coût | Unitaire R.]],2))</f>
        <v/>
      </c>
      <c r="L220" s="46" t="str">
        <f>IFERROR(IF(TO_19[[#This Row],[Total | Réel]]="",0-TO_19[[#This Row],[Total | Budgétaire]],IF(TO_19[[#This Row],[Total | Budgétaire]]="",TO_19[[#This Row],[Total | Réel]],TO_19[[#This Row],[Total | Réel]]-TO_19[[#This Row],[Total | Budgétaire]])),"")</f>
        <v/>
      </c>
    </row>
    <row r="221" spans="1:12" ht="13.5" thickTop="1" x14ac:dyDescent="0.2">
      <c r="A221" s="11"/>
      <c r="B221" s="11"/>
      <c r="C221" s="11"/>
      <c r="D221" s="11"/>
      <c r="E221" s="11"/>
      <c r="F221" s="19" t="s">
        <v>54</v>
      </c>
      <c r="G221" s="44">
        <f>SUBTOTAL(109,TO_19[Total | Budgétaire])</f>
        <v>0</v>
      </c>
      <c r="H221" s="11"/>
      <c r="I221" s="11"/>
      <c r="J221" s="19" t="s">
        <v>54</v>
      </c>
      <c r="K221" s="44">
        <f>SUBTOTAL(109,TO_19[Total | Réel])</f>
        <v>0</v>
      </c>
      <c r="L221" s="44">
        <f>SUBTOTAL(109,TO_19[Résultat])</f>
        <v>0</v>
      </c>
    </row>
    <row r="222" spans="1:12" ht="12.75" thickBot="1" x14ac:dyDescent="0.25">
      <c r="A222" s="16" t="s">
        <v>7</v>
      </c>
      <c r="B222" s="15"/>
      <c r="C222" s="15"/>
      <c r="D222" s="15"/>
      <c r="E222" s="15"/>
      <c r="F222" s="15"/>
      <c r="G222" s="10"/>
      <c r="H222" s="15"/>
      <c r="I222" s="15"/>
      <c r="J222" s="15"/>
      <c r="K222" s="10"/>
      <c r="L222" s="15"/>
    </row>
    <row r="223" spans="1:12" ht="13.5" thickTop="1" x14ac:dyDescent="0.2">
      <c r="A223" s="15"/>
      <c r="B223" s="15"/>
      <c r="C223" s="15"/>
      <c r="D223" s="15"/>
      <c r="E223" s="15"/>
      <c r="F223" s="7" t="str">
        <f>$F$61</f>
        <v>Nombre d'heure</v>
      </c>
      <c r="G223" s="7">
        <f>SUMIFS(TO_19[Quantité],TO_19[Catégorie],"M.-d'œuvre",TO_19[Unité],"Heure",TO_19[Coût | Unitaire],"&gt;0")</f>
        <v>0</v>
      </c>
      <c r="H223" s="7"/>
      <c r="I223" s="7"/>
      <c r="J223" s="7" t="str">
        <f>$F$61</f>
        <v>Nombre d'heure</v>
      </c>
      <c r="K223" s="7">
        <f>SUMIFS(TO_19[Quantité R.],TO_19[Catégorie],"M.-d'œuvre",TO_19[Unité],"Heure")</f>
        <v>0</v>
      </c>
      <c r="L223" s="7">
        <f>$K223-$G223</f>
        <v>0</v>
      </c>
    </row>
    <row r="224" spans="1:12" x14ac:dyDescent="0.2">
      <c r="A224" s="16" t="s">
        <v>7</v>
      </c>
      <c r="B224" s="15"/>
      <c r="C224" s="15"/>
      <c r="D224" s="15"/>
      <c r="E224" s="15"/>
      <c r="F224" s="15"/>
      <c r="G224" s="15"/>
      <c r="H224" s="15"/>
      <c r="I224" s="15"/>
      <c r="J224" s="15"/>
      <c r="K224" s="15"/>
      <c r="L224" s="15"/>
    </row>
    <row r="225" spans="1:12" ht="15" x14ac:dyDescent="0.2">
      <c r="A225" s="41" t="s">
        <v>111</v>
      </c>
      <c r="B225" s="41"/>
      <c r="C225" s="69" t="str">
        <f>$C$8</f>
        <v>BUDGÉTAIRE</v>
      </c>
      <c r="D225" s="70"/>
      <c r="E225" s="70"/>
      <c r="F225" s="70"/>
      <c r="G225" s="71"/>
      <c r="H225" s="69" t="str">
        <f>$H$8</f>
        <v>RÉEL</v>
      </c>
      <c r="I225" s="70"/>
      <c r="J225" s="70"/>
      <c r="K225" s="71"/>
      <c r="L225" s="47" t="str">
        <f>$L$8</f>
        <v>RÉSULTAT</v>
      </c>
    </row>
    <row r="226" spans="1:12" ht="12.75" x14ac:dyDescent="0.2">
      <c r="A226" s="6" t="s">
        <v>15</v>
      </c>
      <c r="B226" s="6" t="s">
        <v>0</v>
      </c>
      <c r="C226" s="6" t="s">
        <v>121</v>
      </c>
      <c r="D226" s="6" t="s">
        <v>5</v>
      </c>
      <c r="E226" s="6" t="s">
        <v>25</v>
      </c>
      <c r="F226" s="6" t="s">
        <v>122</v>
      </c>
      <c r="G226" s="6" t="s">
        <v>26</v>
      </c>
      <c r="H226" s="6" t="s">
        <v>28</v>
      </c>
      <c r="I226" s="6" t="s">
        <v>21</v>
      </c>
      <c r="J226" s="6" t="s">
        <v>123</v>
      </c>
      <c r="K226" s="6" t="s">
        <v>29</v>
      </c>
      <c r="L226" s="6" t="s">
        <v>19</v>
      </c>
    </row>
    <row r="227" spans="1:12" ht="12.75" thickBot="1" x14ac:dyDescent="0.25">
      <c r="A227" s="9" t="s">
        <v>7</v>
      </c>
      <c r="B227" s="12"/>
      <c r="C227" s="9"/>
      <c r="D227" s="13"/>
      <c r="E227" s="9"/>
      <c r="F227" s="14"/>
      <c r="G227" s="10" t="str">
        <f>IF(OR(TO_20[[#This Row],[Catégorie]]="",TO_20[[#This Row],[Catégorie]]="-"),"",ROUNDUP(TO_20[[#This Row],[Quantité]]*TO_20[[#This Row],[Coût | Unitaire]],2))</f>
        <v/>
      </c>
      <c r="H227" s="9"/>
      <c r="I227" s="13"/>
      <c r="J227" s="14"/>
      <c r="K227" s="10" t="str">
        <f>IF(OR(TO_20[[#This Row],[Total | Budgétaire]]="",TO_20[[#This Row],[Quantité R.]]=""),IF(TO_20[[#This Row],[Quantité R.]]&gt;0,ROUNDUP(TO_20[[#This Row],[Quantité R.]]*TO_20[[#This Row],[Coût | Unitaire R.]],2),""),ROUNDUP(TO_20[[#This Row],[Quantité R.]]*TO_20[[#This Row],[Coût | Unitaire R.]],2))</f>
        <v/>
      </c>
      <c r="L227" s="46" t="str">
        <f>IFERROR(IF(TO_20[[#This Row],[Total | Réel]]="",0-TO_20[[#This Row],[Total | Budgétaire]],IF(TO_20[[#This Row],[Total | Budgétaire]]="",TO_20[[#This Row],[Total | Réel]],TO_20[[#This Row],[Total | Réel]]-TO_20[[#This Row],[Total | Budgétaire]])),"")</f>
        <v/>
      </c>
    </row>
    <row r="228" spans="1:12" ht="13.5" thickTop="1" x14ac:dyDescent="0.2">
      <c r="A228" s="11"/>
      <c r="B228" s="11"/>
      <c r="C228" s="11"/>
      <c r="D228" s="11"/>
      <c r="E228" s="11"/>
      <c r="F228" s="19" t="s">
        <v>54</v>
      </c>
      <c r="G228" s="44">
        <f>SUBTOTAL(109,TO_20[Total | Budgétaire])</f>
        <v>0</v>
      </c>
      <c r="H228" s="11"/>
      <c r="I228" s="11"/>
      <c r="J228" s="19" t="s">
        <v>54</v>
      </c>
      <c r="K228" s="44">
        <f>SUBTOTAL(109,TO_20[Total | Réel])</f>
        <v>0</v>
      </c>
      <c r="L228" s="44">
        <f>SUBTOTAL(109,TO_20[Résultat])</f>
        <v>0</v>
      </c>
    </row>
    <row r="229" spans="1:12" ht="12.75" thickBot="1" x14ac:dyDescent="0.25">
      <c r="A229" s="16" t="s">
        <v>7</v>
      </c>
      <c r="B229" s="15"/>
      <c r="C229" s="15"/>
      <c r="D229" s="15"/>
      <c r="E229" s="15"/>
      <c r="F229" s="15"/>
      <c r="G229" s="10"/>
      <c r="H229" s="15"/>
      <c r="I229" s="15"/>
      <c r="J229" s="15"/>
      <c r="K229" s="10"/>
      <c r="L229" s="15"/>
    </row>
    <row r="230" spans="1:12" ht="13.5" thickTop="1" x14ac:dyDescent="0.2">
      <c r="A230" s="15"/>
      <c r="B230" s="15"/>
      <c r="C230" s="15"/>
      <c r="D230" s="15"/>
      <c r="E230" s="15"/>
      <c r="F230" s="7" t="str">
        <f>$F$61</f>
        <v>Nombre d'heure</v>
      </c>
      <c r="G230" s="7">
        <f>SUMIFS(TO_20[Quantité],TO_20[Catégorie],"M.-d'œuvre",TO_20[Unité],"Heure",TO_20[Coût | Unitaire],"&gt;0")</f>
        <v>0</v>
      </c>
      <c r="H230" s="7"/>
      <c r="I230" s="7"/>
      <c r="J230" s="7" t="str">
        <f>$F$61</f>
        <v>Nombre d'heure</v>
      </c>
      <c r="K230" s="7">
        <f>SUMIFS(TO_20[Quantité R.],TO_20[Catégorie],"M.-d'œuvre",TO_20[Unité],"Heure")</f>
        <v>0</v>
      </c>
      <c r="L230" s="7">
        <f>$K230-$G230</f>
        <v>0</v>
      </c>
    </row>
    <row r="231" spans="1:12" x14ac:dyDescent="0.2">
      <c r="A231" s="16" t="s">
        <v>7</v>
      </c>
      <c r="B231" s="15"/>
      <c r="C231" s="15"/>
      <c r="D231" s="15"/>
      <c r="E231" s="15"/>
      <c r="F231" s="15"/>
      <c r="G231" s="15"/>
      <c r="H231" s="15"/>
      <c r="I231" s="15"/>
      <c r="J231" s="15"/>
      <c r="K231" s="15"/>
      <c r="L231" s="15"/>
    </row>
    <row r="232" spans="1:12" ht="15" x14ac:dyDescent="0.2">
      <c r="A232" s="41" t="s">
        <v>144</v>
      </c>
      <c r="B232" s="41"/>
      <c r="C232" s="69" t="str">
        <f>$C$8</f>
        <v>BUDGÉTAIRE</v>
      </c>
      <c r="D232" s="70"/>
      <c r="E232" s="70"/>
      <c r="F232" s="70"/>
      <c r="G232" s="71"/>
      <c r="H232" s="69" t="str">
        <f>$H$8</f>
        <v>RÉEL</v>
      </c>
      <c r="I232" s="70"/>
      <c r="J232" s="70"/>
      <c r="K232" s="71"/>
      <c r="L232" s="47" t="str">
        <f>$L$8</f>
        <v>RÉSULTAT</v>
      </c>
    </row>
    <row r="233" spans="1:12" ht="12.75" x14ac:dyDescent="0.2">
      <c r="A233" s="6" t="s">
        <v>15</v>
      </c>
      <c r="B233" s="6" t="s">
        <v>0</v>
      </c>
      <c r="C233" s="6" t="s">
        <v>121</v>
      </c>
      <c r="D233" s="6" t="s">
        <v>5</v>
      </c>
      <c r="E233" s="6" t="s">
        <v>25</v>
      </c>
      <c r="F233" s="6" t="s">
        <v>122</v>
      </c>
      <c r="G233" s="6" t="s">
        <v>26</v>
      </c>
      <c r="H233" s="6" t="s">
        <v>28</v>
      </c>
      <c r="I233" s="6" t="s">
        <v>21</v>
      </c>
      <c r="J233" s="6" t="s">
        <v>123</v>
      </c>
      <c r="K233" s="6" t="s">
        <v>29</v>
      </c>
      <c r="L233" s="6" t="s">
        <v>19</v>
      </c>
    </row>
    <row r="234" spans="1:12" ht="12.75" thickBot="1" x14ac:dyDescent="0.25">
      <c r="A234" s="9" t="s">
        <v>7</v>
      </c>
      <c r="B234" s="12"/>
      <c r="C234" s="9"/>
      <c r="D234" s="13"/>
      <c r="E234" s="9"/>
      <c r="F234" s="14"/>
      <c r="G234" s="10" t="str">
        <f>IF(OR(TO_21[[#This Row],[Catégorie]]="",TO_21[[#This Row],[Catégorie]]="-"),"",ROUNDUP(TO_21[[#This Row],[Quantité]]*TO_21[[#This Row],[Coût | Unitaire]],2))</f>
        <v/>
      </c>
      <c r="H234" s="9"/>
      <c r="I234" s="13"/>
      <c r="J234" s="14"/>
      <c r="K234" s="10" t="str">
        <f>IF(OR(TO_21[[#This Row],[Total | Budgétaire]]="",TO_21[[#This Row],[Quantité R.]]=""),IF(TO_21[[#This Row],[Quantité R.]]&gt;0,ROUNDUP(TO_21[[#This Row],[Quantité R.]]*TO_21[[#This Row],[Coût | Unitaire R.]],2),""),ROUNDUP(TO_21[[#This Row],[Quantité R.]]*TO_21[[#This Row],[Coût | Unitaire R.]],2))</f>
        <v/>
      </c>
      <c r="L234" s="46" t="str">
        <f>IFERROR(IF(TO_21[[#This Row],[Total | Réel]]="",0-TO_21[[#This Row],[Total | Budgétaire]],IF(TO_21[[#This Row],[Total | Budgétaire]]="",TO_21[[#This Row],[Total | Réel]],TO_21[[#This Row],[Total | Réel]]-TO_21[[#This Row],[Total | Budgétaire]])),"")</f>
        <v/>
      </c>
    </row>
    <row r="235" spans="1:12" ht="13.5" thickTop="1" x14ac:dyDescent="0.2">
      <c r="A235" s="11"/>
      <c r="B235" s="11"/>
      <c r="C235" s="11"/>
      <c r="D235" s="11"/>
      <c r="E235" s="11"/>
      <c r="F235" s="19" t="s">
        <v>54</v>
      </c>
      <c r="G235" s="44">
        <f>SUBTOTAL(109,TO_21[Total | Budgétaire])</f>
        <v>0</v>
      </c>
      <c r="H235" s="11"/>
      <c r="I235" s="11"/>
      <c r="J235" s="19" t="s">
        <v>54</v>
      </c>
      <c r="K235" s="44">
        <f>SUBTOTAL(109,TO_21[Total | Réel])</f>
        <v>0</v>
      </c>
      <c r="L235" s="44">
        <f>SUBTOTAL(109,TO_21[Résultat])</f>
        <v>0</v>
      </c>
    </row>
    <row r="236" spans="1:12" ht="12.75" thickBot="1" x14ac:dyDescent="0.25">
      <c r="A236" s="16" t="s">
        <v>7</v>
      </c>
      <c r="B236" s="15"/>
      <c r="C236" s="15"/>
      <c r="D236" s="15"/>
      <c r="E236" s="15"/>
      <c r="F236" s="15"/>
      <c r="G236" s="10"/>
      <c r="H236" s="15"/>
      <c r="I236" s="15"/>
      <c r="J236" s="15"/>
      <c r="K236" s="10"/>
      <c r="L236" s="15"/>
    </row>
    <row r="237" spans="1:12" ht="13.5" thickTop="1" x14ac:dyDescent="0.2">
      <c r="A237" s="15"/>
      <c r="B237" s="15"/>
      <c r="C237" s="15"/>
      <c r="D237" s="15"/>
      <c r="E237" s="15"/>
      <c r="F237" s="7" t="str">
        <f>$F$61</f>
        <v>Nombre d'heure</v>
      </c>
      <c r="G237" s="7">
        <f>SUMIFS(TO_21[Quantité],TO_21[Catégorie],"M.-d'œuvre",TO_21[Unité],"Heure",TO_21[Coût | Unitaire],"&gt;0")</f>
        <v>0</v>
      </c>
      <c r="H237" s="7"/>
      <c r="I237" s="7"/>
      <c r="J237" s="7" t="str">
        <f>$F$61</f>
        <v>Nombre d'heure</v>
      </c>
      <c r="K237" s="7">
        <f>SUMIFS(TO_21[Quantité R.],TO_21[Catégorie],"M.-d'œuvre",TO_21[Unité],"Heure")</f>
        <v>0</v>
      </c>
      <c r="L237" s="7">
        <f>$K237-$G237</f>
        <v>0</v>
      </c>
    </row>
    <row r="238" spans="1:12" x14ac:dyDescent="0.2">
      <c r="A238" s="16" t="s">
        <v>7</v>
      </c>
      <c r="B238" s="15"/>
      <c r="C238" s="15"/>
      <c r="D238" s="15"/>
      <c r="E238" s="15"/>
      <c r="F238" s="15"/>
      <c r="G238" s="15"/>
      <c r="H238" s="15"/>
      <c r="I238" s="15"/>
      <c r="J238" s="15"/>
      <c r="K238" s="15"/>
      <c r="L238" s="15"/>
    </row>
    <row r="239" spans="1:12" ht="15" x14ac:dyDescent="0.2">
      <c r="A239" s="41" t="s">
        <v>37</v>
      </c>
      <c r="B239" s="41"/>
      <c r="C239" s="69" t="str">
        <f>$C$8</f>
        <v>BUDGÉTAIRE</v>
      </c>
      <c r="D239" s="70"/>
      <c r="E239" s="70"/>
      <c r="F239" s="70"/>
      <c r="G239" s="71"/>
      <c r="H239" s="69" t="str">
        <f>$H$8</f>
        <v>RÉEL</v>
      </c>
      <c r="I239" s="70"/>
      <c r="J239" s="70"/>
      <c r="K239" s="71"/>
      <c r="L239" s="47" t="str">
        <f>$L$8</f>
        <v>RÉSULTAT</v>
      </c>
    </row>
    <row r="240" spans="1:12" ht="12.75" x14ac:dyDescent="0.2">
      <c r="A240" s="6" t="s">
        <v>15</v>
      </c>
      <c r="B240" s="6" t="s">
        <v>0</v>
      </c>
      <c r="C240" s="6" t="s">
        <v>121</v>
      </c>
      <c r="D240" s="6" t="s">
        <v>5</v>
      </c>
      <c r="E240" s="6" t="s">
        <v>25</v>
      </c>
      <c r="F240" s="6" t="s">
        <v>122</v>
      </c>
      <c r="G240" s="6" t="s">
        <v>26</v>
      </c>
      <c r="H240" s="6" t="s">
        <v>28</v>
      </c>
      <c r="I240" s="6" t="s">
        <v>21</v>
      </c>
      <c r="J240" s="6" t="s">
        <v>123</v>
      </c>
      <c r="K240" s="6" t="s">
        <v>29</v>
      </c>
      <c r="L240" s="6" t="s">
        <v>19</v>
      </c>
    </row>
    <row r="241" spans="1:12" ht="12.75" thickBot="1" x14ac:dyDescent="0.25">
      <c r="A241" s="9" t="s">
        <v>7</v>
      </c>
      <c r="B241" s="12"/>
      <c r="C241" s="9"/>
      <c r="D241" s="13"/>
      <c r="E241" s="9"/>
      <c r="F241" s="14"/>
      <c r="G241" s="10" t="str">
        <f>IF(OR(TO_22[[#This Row],[Catégorie]]="",TO_22[[#This Row],[Catégorie]]="-"),"",ROUNDUP(TO_22[[#This Row],[Quantité]]*TO_22[[#This Row],[Coût | Unitaire]],2))</f>
        <v/>
      </c>
      <c r="H241" s="9"/>
      <c r="I241" s="13"/>
      <c r="J241" s="14"/>
      <c r="K241" s="10" t="str">
        <f>IF(OR(TO_22[[#This Row],[Total | Budgétaire]]="",TO_22[[#This Row],[Quantité R.]]=""),IF(TO_22[[#This Row],[Quantité R.]]&gt;0,ROUNDUP(TO_22[[#This Row],[Quantité R.]]*TO_22[[#This Row],[Coût | Unitaire R.]],2),""),ROUNDUP(TO_22[[#This Row],[Quantité R.]]*TO_22[[#This Row],[Coût | Unitaire R.]],2))</f>
        <v/>
      </c>
      <c r="L241" s="46" t="str">
        <f>IFERROR(IF(TO_22[[#This Row],[Total | Réel]]="",0-TO_22[[#This Row],[Total | Budgétaire]],IF(TO_22[[#This Row],[Total | Budgétaire]]="",TO_22[[#This Row],[Total | Réel]],TO_22[[#This Row],[Total | Réel]]-TO_22[[#This Row],[Total | Budgétaire]])),"")</f>
        <v/>
      </c>
    </row>
    <row r="242" spans="1:12" ht="13.5" thickTop="1" x14ac:dyDescent="0.2">
      <c r="A242" s="11"/>
      <c r="B242" s="11"/>
      <c r="C242" s="11"/>
      <c r="D242" s="11"/>
      <c r="E242" s="11"/>
      <c r="F242" s="19" t="s">
        <v>54</v>
      </c>
      <c r="G242" s="44">
        <f>SUBTOTAL(109,TO_22[Total | Budgétaire])</f>
        <v>0</v>
      </c>
      <c r="H242" s="11"/>
      <c r="I242" s="11"/>
      <c r="J242" s="19" t="s">
        <v>54</v>
      </c>
      <c r="K242" s="44">
        <f>SUBTOTAL(109,TO_22[Total | Réel])</f>
        <v>0</v>
      </c>
      <c r="L242" s="44">
        <f>SUBTOTAL(109,TO_22[Résultat])</f>
        <v>0</v>
      </c>
    </row>
    <row r="243" spans="1:12" ht="12.75" thickBot="1" x14ac:dyDescent="0.25">
      <c r="A243" s="16" t="s">
        <v>7</v>
      </c>
      <c r="B243" s="15"/>
      <c r="C243" s="15"/>
      <c r="D243" s="15"/>
      <c r="E243" s="15"/>
      <c r="F243" s="15"/>
      <c r="G243" s="10"/>
      <c r="H243" s="15"/>
      <c r="I243" s="15"/>
      <c r="J243" s="15"/>
      <c r="K243" s="10"/>
      <c r="L243" s="15"/>
    </row>
    <row r="244" spans="1:12" ht="13.5" thickTop="1" x14ac:dyDescent="0.2">
      <c r="A244" s="15"/>
      <c r="B244" s="15"/>
      <c r="C244" s="15"/>
      <c r="D244" s="15"/>
      <c r="E244" s="15"/>
      <c r="F244" s="7" t="str">
        <f>$F$61</f>
        <v>Nombre d'heure</v>
      </c>
      <c r="G244" s="7">
        <f>SUMIFS(TO_22[Quantité],TO_22[Catégorie],"M.-d'œuvre",TO_22[Unité],"Heure",TO_22[Coût | Unitaire],"&gt;0")</f>
        <v>0</v>
      </c>
      <c r="H244" s="7"/>
      <c r="I244" s="7"/>
      <c r="J244" s="7" t="str">
        <f>$F$61</f>
        <v>Nombre d'heure</v>
      </c>
      <c r="K244" s="7">
        <f>SUMIFS(TO_22[Quantité R.],TO_22[Catégorie],"M.-d'œuvre",TO_22[Unité],"Heure")</f>
        <v>0</v>
      </c>
      <c r="L244" s="7">
        <f>$K244-$G244</f>
        <v>0</v>
      </c>
    </row>
    <row r="245" spans="1:12" x14ac:dyDescent="0.2">
      <c r="A245" s="16" t="s">
        <v>7</v>
      </c>
      <c r="B245" s="15"/>
      <c r="C245" s="15"/>
      <c r="D245" s="15"/>
      <c r="E245" s="15"/>
      <c r="F245" s="15"/>
      <c r="G245" s="15"/>
      <c r="H245" s="15"/>
      <c r="I245" s="15"/>
      <c r="J245" s="15"/>
      <c r="K245" s="15"/>
      <c r="L245" s="15"/>
    </row>
    <row r="246" spans="1:12" ht="15" x14ac:dyDescent="0.2">
      <c r="A246" s="41" t="s">
        <v>145</v>
      </c>
      <c r="B246" s="41"/>
      <c r="C246" s="69" t="str">
        <f>$C$8</f>
        <v>BUDGÉTAIRE</v>
      </c>
      <c r="D246" s="70"/>
      <c r="E246" s="70"/>
      <c r="F246" s="70"/>
      <c r="G246" s="71"/>
      <c r="H246" s="69" t="str">
        <f>$H$8</f>
        <v>RÉEL</v>
      </c>
      <c r="I246" s="70"/>
      <c r="J246" s="70"/>
      <c r="K246" s="71"/>
      <c r="L246" s="47" t="str">
        <f>$L$8</f>
        <v>RÉSULTAT</v>
      </c>
    </row>
    <row r="247" spans="1:12" ht="12.75" x14ac:dyDescent="0.2">
      <c r="A247" s="6" t="s">
        <v>15</v>
      </c>
      <c r="B247" s="6" t="s">
        <v>0</v>
      </c>
      <c r="C247" s="6" t="s">
        <v>121</v>
      </c>
      <c r="D247" s="6" t="s">
        <v>5</v>
      </c>
      <c r="E247" s="6" t="s">
        <v>25</v>
      </c>
      <c r="F247" s="6" t="s">
        <v>122</v>
      </c>
      <c r="G247" s="6" t="s">
        <v>26</v>
      </c>
      <c r="H247" s="6" t="s">
        <v>28</v>
      </c>
      <c r="I247" s="6" t="s">
        <v>21</v>
      </c>
      <c r="J247" s="6" t="s">
        <v>123</v>
      </c>
      <c r="K247" s="6" t="s">
        <v>29</v>
      </c>
      <c r="L247" s="6" t="s">
        <v>19</v>
      </c>
    </row>
    <row r="248" spans="1:12" ht="12.75" thickBot="1" x14ac:dyDescent="0.25">
      <c r="A248" s="9" t="s">
        <v>7</v>
      </c>
      <c r="B248" s="12"/>
      <c r="C248" s="9"/>
      <c r="D248" s="13"/>
      <c r="E248" s="9"/>
      <c r="F248" s="14"/>
      <c r="G248" s="10" t="str">
        <f>IF(OR(TO_23[[#This Row],[Catégorie]]="",TO_23[[#This Row],[Catégorie]]="-"),"",ROUNDUP(TO_23[[#This Row],[Quantité]]*TO_23[[#This Row],[Coût | Unitaire]],2))</f>
        <v/>
      </c>
      <c r="H248" s="9"/>
      <c r="I248" s="13"/>
      <c r="J248" s="14"/>
      <c r="K248" s="10" t="str">
        <f>IF(OR(TO_23[[#This Row],[Total | Budgétaire]]="",TO_23[[#This Row],[Quantité R.]]=""),IF(TO_23[[#This Row],[Quantité R.]]&gt;0,ROUNDUP(TO_23[[#This Row],[Quantité R.]]*TO_23[[#This Row],[Coût | Unitaire R.]],2),""),ROUNDUP(TO_23[[#This Row],[Quantité R.]]*TO_23[[#This Row],[Coût | Unitaire R.]],2))</f>
        <v/>
      </c>
      <c r="L248" s="46" t="str">
        <f>IFERROR(IF(TO_23[[#This Row],[Total | Réel]]="",0-TO_23[[#This Row],[Total | Budgétaire]],IF(TO_23[[#This Row],[Total | Budgétaire]]="",TO_23[[#This Row],[Total | Réel]],TO_23[[#This Row],[Total | Réel]]-TO_23[[#This Row],[Total | Budgétaire]])),"")</f>
        <v/>
      </c>
    </row>
    <row r="249" spans="1:12" ht="13.5" thickTop="1" x14ac:dyDescent="0.2">
      <c r="A249" s="11"/>
      <c r="B249" s="11"/>
      <c r="C249" s="11"/>
      <c r="D249" s="11"/>
      <c r="E249" s="11"/>
      <c r="F249" s="19" t="s">
        <v>54</v>
      </c>
      <c r="G249" s="44">
        <f>SUBTOTAL(109,TO_23[Total | Budgétaire])</f>
        <v>0</v>
      </c>
      <c r="H249" s="11"/>
      <c r="I249" s="11"/>
      <c r="J249" s="19" t="s">
        <v>54</v>
      </c>
      <c r="K249" s="44">
        <f>SUBTOTAL(109,TO_23[Total | Réel])</f>
        <v>0</v>
      </c>
      <c r="L249" s="44">
        <f>SUBTOTAL(109,TO_23[Résultat])</f>
        <v>0</v>
      </c>
    </row>
    <row r="250" spans="1:12" ht="12.75" thickBot="1" x14ac:dyDescent="0.25">
      <c r="A250" s="16" t="s">
        <v>7</v>
      </c>
      <c r="B250" s="15"/>
      <c r="C250" s="15"/>
      <c r="D250" s="15"/>
      <c r="E250" s="15"/>
      <c r="F250" s="15"/>
      <c r="G250" s="10"/>
      <c r="H250" s="15"/>
      <c r="I250" s="15"/>
      <c r="J250" s="15"/>
      <c r="K250" s="10"/>
      <c r="L250" s="15"/>
    </row>
    <row r="251" spans="1:12" ht="13.5" thickTop="1" x14ac:dyDescent="0.2">
      <c r="A251" s="15"/>
      <c r="B251" s="15"/>
      <c r="C251" s="15"/>
      <c r="D251" s="15"/>
      <c r="E251" s="15"/>
      <c r="F251" s="7" t="str">
        <f>$F$61</f>
        <v>Nombre d'heure</v>
      </c>
      <c r="G251" s="7">
        <f>SUMIFS(TO_23[Quantité],TO_23[Catégorie],"M.-d'œuvre",TO_23[Unité],"Heure",TO_23[Coût | Unitaire],"&gt;0")</f>
        <v>0</v>
      </c>
      <c r="H251" s="7"/>
      <c r="I251" s="7"/>
      <c r="J251" s="7" t="str">
        <f>$F$61</f>
        <v>Nombre d'heure</v>
      </c>
      <c r="K251" s="7">
        <f>SUMIFS(TO_23[Quantité R.],TO_23[Catégorie],"M.-d'œuvre",TO_23[Unité],"Heure")</f>
        <v>0</v>
      </c>
      <c r="L251" s="7">
        <f>$K251-$G251</f>
        <v>0</v>
      </c>
    </row>
    <row r="252" spans="1:12" x14ac:dyDescent="0.2">
      <c r="A252" s="16" t="s">
        <v>7</v>
      </c>
      <c r="B252" s="15"/>
      <c r="C252" s="15"/>
      <c r="D252" s="15"/>
      <c r="E252" s="15"/>
      <c r="F252" s="15"/>
      <c r="G252" s="15"/>
      <c r="H252" s="15"/>
      <c r="I252" s="15"/>
      <c r="J252" s="15"/>
      <c r="K252" s="15"/>
      <c r="L252" s="15"/>
    </row>
    <row r="253" spans="1:12" ht="15" x14ac:dyDescent="0.2">
      <c r="A253" s="41" t="s">
        <v>148</v>
      </c>
      <c r="B253" s="41"/>
      <c r="C253" s="69" t="str">
        <f>$C$8</f>
        <v>BUDGÉTAIRE</v>
      </c>
      <c r="D253" s="70"/>
      <c r="E253" s="70"/>
      <c r="F253" s="70"/>
      <c r="G253" s="71"/>
      <c r="H253" s="69" t="str">
        <f>$H$8</f>
        <v>RÉEL</v>
      </c>
      <c r="I253" s="70"/>
      <c r="J253" s="70"/>
      <c r="K253" s="71"/>
      <c r="L253" s="47" t="str">
        <f>$L$8</f>
        <v>RÉSULTAT</v>
      </c>
    </row>
    <row r="254" spans="1:12" ht="12.75" x14ac:dyDescent="0.2">
      <c r="A254" s="6" t="s">
        <v>15</v>
      </c>
      <c r="B254" s="6" t="s">
        <v>0</v>
      </c>
      <c r="C254" s="6" t="s">
        <v>121</v>
      </c>
      <c r="D254" s="6" t="s">
        <v>5</v>
      </c>
      <c r="E254" s="6" t="s">
        <v>25</v>
      </c>
      <c r="F254" s="6" t="s">
        <v>122</v>
      </c>
      <c r="G254" s="6" t="s">
        <v>26</v>
      </c>
      <c r="H254" s="6" t="s">
        <v>28</v>
      </c>
      <c r="I254" s="6" t="s">
        <v>21</v>
      </c>
      <c r="J254" s="6" t="s">
        <v>123</v>
      </c>
      <c r="K254" s="6" t="s">
        <v>29</v>
      </c>
      <c r="L254" s="6" t="s">
        <v>19</v>
      </c>
    </row>
    <row r="255" spans="1:12" ht="12.75" thickBot="1" x14ac:dyDescent="0.25">
      <c r="A255" s="9" t="s">
        <v>7</v>
      </c>
      <c r="B255" s="12"/>
      <c r="C255" s="9"/>
      <c r="D255" s="13"/>
      <c r="E255" s="9"/>
      <c r="F255" s="14"/>
      <c r="G255" s="10" t="str">
        <f>IF(OR(TO_24[[#This Row],[Catégorie]]="",TO_24[[#This Row],[Catégorie]]="-"),"",ROUNDUP(TO_24[[#This Row],[Quantité]]*TO_24[[#This Row],[Coût | Unitaire]],2))</f>
        <v/>
      </c>
      <c r="H255" s="9"/>
      <c r="I255" s="13"/>
      <c r="J255" s="14"/>
      <c r="K255" s="10" t="str">
        <f>IF(OR(TO_24[[#This Row],[Total | Budgétaire]]="",TO_24[[#This Row],[Quantité R.]]=""),IF(TO_24[[#This Row],[Quantité R.]]&gt;0,ROUNDUP(TO_24[[#This Row],[Quantité R.]]*TO_24[[#This Row],[Coût | Unitaire R.]],2),""),ROUNDUP(TO_24[[#This Row],[Quantité R.]]*TO_24[[#This Row],[Coût | Unitaire R.]],2))</f>
        <v/>
      </c>
      <c r="L255" s="46" t="str">
        <f>IFERROR(IF(TO_24[[#This Row],[Total | Réel]]="",0-TO_24[[#This Row],[Total | Budgétaire]],IF(TO_24[[#This Row],[Total | Budgétaire]]="",TO_24[[#This Row],[Total | Réel]],TO_24[[#This Row],[Total | Réel]]-TO_24[[#This Row],[Total | Budgétaire]])),"")</f>
        <v/>
      </c>
    </row>
    <row r="256" spans="1:12" ht="13.5" thickTop="1" x14ac:dyDescent="0.2">
      <c r="A256" s="11"/>
      <c r="B256" s="11"/>
      <c r="C256" s="11"/>
      <c r="D256" s="11"/>
      <c r="E256" s="11"/>
      <c r="F256" s="19" t="s">
        <v>54</v>
      </c>
      <c r="G256" s="44">
        <f>SUBTOTAL(109,TO_24[Total | Budgétaire])</f>
        <v>0</v>
      </c>
      <c r="H256" s="11"/>
      <c r="I256" s="11"/>
      <c r="J256" s="19" t="s">
        <v>54</v>
      </c>
      <c r="K256" s="44">
        <f>SUBTOTAL(109,TO_24[Total | Réel])</f>
        <v>0</v>
      </c>
      <c r="L256" s="44">
        <f>SUBTOTAL(109,TO_24[Résultat])</f>
        <v>0</v>
      </c>
    </row>
    <row r="257" spans="1:12" ht="12.75" thickBot="1" x14ac:dyDescent="0.25">
      <c r="A257" s="16" t="s">
        <v>7</v>
      </c>
      <c r="B257" s="15"/>
      <c r="C257" s="15"/>
      <c r="D257" s="15"/>
      <c r="E257" s="15"/>
      <c r="F257" s="15"/>
      <c r="G257" s="10"/>
      <c r="H257" s="15"/>
      <c r="I257" s="15"/>
      <c r="J257" s="15"/>
      <c r="K257" s="10"/>
      <c r="L257" s="15"/>
    </row>
    <row r="258" spans="1:12" ht="13.5" thickTop="1" x14ac:dyDescent="0.2">
      <c r="A258" s="15"/>
      <c r="B258" s="15"/>
      <c r="C258" s="15"/>
      <c r="D258" s="15"/>
      <c r="E258" s="15"/>
      <c r="F258" s="7" t="str">
        <f>$F$61</f>
        <v>Nombre d'heure</v>
      </c>
      <c r="G258" s="7">
        <f>SUMIFS(TO_24[Quantité],TO_24[Catégorie],"M.-d'œuvre",TO_24[Unité],"Heure",TO_24[Coût | Unitaire],"&gt;0")</f>
        <v>0</v>
      </c>
      <c r="H258" s="7"/>
      <c r="I258" s="7"/>
      <c r="J258" s="7" t="str">
        <f>$F$61</f>
        <v>Nombre d'heure</v>
      </c>
      <c r="K258" s="7">
        <f>SUMIFS(TO_24[Quantité R.],TO_24[Catégorie],"M.-d'œuvre",TO_24[Unité],"Heure")</f>
        <v>0</v>
      </c>
      <c r="L258" s="7">
        <f>$K258-$G258</f>
        <v>0</v>
      </c>
    </row>
    <row r="259" spans="1:12" x14ac:dyDescent="0.2">
      <c r="A259" s="16" t="s">
        <v>7</v>
      </c>
      <c r="B259" s="15"/>
      <c r="C259" s="15"/>
      <c r="D259" s="15"/>
      <c r="E259" s="15"/>
      <c r="F259" s="15"/>
      <c r="G259" s="15"/>
      <c r="H259" s="15"/>
      <c r="I259" s="15"/>
      <c r="J259" s="15"/>
      <c r="K259" s="15"/>
      <c r="L259" s="15"/>
    </row>
    <row r="260" spans="1:12" ht="15" x14ac:dyDescent="0.2">
      <c r="A260" s="41" t="s">
        <v>146</v>
      </c>
      <c r="B260" s="41"/>
      <c r="C260" s="69" t="str">
        <f>$C$8</f>
        <v>BUDGÉTAIRE</v>
      </c>
      <c r="D260" s="70"/>
      <c r="E260" s="70"/>
      <c r="F260" s="70"/>
      <c r="G260" s="71"/>
      <c r="H260" s="69" t="str">
        <f>$H$8</f>
        <v>RÉEL</v>
      </c>
      <c r="I260" s="70"/>
      <c r="J260" s="70"/>
      <c r="K260" s="71"/>
      <c r="L260" s="47" t="str">
        <f>$L$8</f>
        <v>RÉSULTAT</v>
      </c>
    </row>
    <row r="261" spans="1:12" ht="12.75" x14ac:dyDescent="0.2">
      <c r="A261" s="6" t="s">
        <v>15</v>
      </c>
      <c r="B261" s="6" t="s">
        <v>0</v>
      </c>
      <c r="C261" s="6" t="s">
        <v>121</v>
      </c>
      <c r="D261" s="6" t="s">
        <v>5</v>
      </c>
      <c r="E261" s="6" t="s">
        <v>25</v>
      </c>
      <c r="F261" s="6" t="s">
        <v>122</v>
      </c>
      <c r="G261" s="6" t="s">
        <v>26</v>
      </c>
      <c r="H261" s="6" t="s">
        <v>28</v>
      </c>
      <c r="I261" s="6" t="s">
        <v>21</v>
      </c>
      <c r="J261" s="6" t="s">
        <v>123</v>
      </c>
      <c r="K261" s="6" t="s">
        <v>29</v>
      </c>
      <c r="L261" s="6" t="s">
        <v>19</v>
      </c>
    </row>
    <row r="262" spans="1:12" ht="12.75" thickBot="1" x14ac:dyDescent="0.25">
      <c r="A262" s="9" t="s">
        <v>7</v>
      </c>
      <c r="B262" s="12"/>
      <c r="C262" s="9"/>
      <c r="D262" s="13"/>
      <c r="E262" s="9"/>
      <c r="F262" s="14"/>
      <c r="G262" s="10" t="str">
        <f>IF(OR(TO_25[[#This Row],[Catégorie]]="",TO_25[[#This Row],[Catégorie]]="-"),"",ROUNDUP(TO_25[[#This Row],[Quantité]]*TO_25[[#This Row],[Coût | Unitaire]],2))</f>
        <v/>
      </c>
      <c r="H262" s="9"/>
      <c r="I262" s="13"/>
      <c r="J262" s="14"/>
      <c r="K262" s="10" t="str">
        <f>IF(OR(TO_25[[#This Row],[Total | Budgétaire]]="",TO_25[[#This Row],[Quantité R.]]=""),IF(TO_25[[#This Row],[Quantité R.]]&gt;0,ROUNDUP(TO_25[[#This Row],[Quantité R.]]*TO_25[[#This Row],[Coût | Unitaire R.]],2),""),ROUNDUP(TO_25[[#This Row],[Quantité R.]]*TO_25[[#This Row],[Coût | Unitaire R.]],2))</f>
        <v/>
      </c>
      <c r="L262" s="46" t="str">
        <f>IFERROR(IF(TO_25[[#This Row],[Total | Réel]]="",0-TO_25[[#This Row],[Total | Budgétaire]],IF(TO_25[[#This Row],[Total | Budgétaire]]="",TO_25[[#This Row],[Total | Réel]],TO_25[[#This Row],[Total | Réel]]-TO_25[[#This Row],[Total | Budgétaire]])),"")</f>
        <v/>
      </c>
    </row>
    <row r="263" spans="1:12" ht="13.5" thickTop="1" x14ac:dyDescent="0.2">
      <c r="A263" s="11"/>
      <c r="B263" s="11"/>
      <c r="C263" s="11"/>
      <c r="D263" s="11"/>
      <c r="E263" s="11"/>
      <c r="F263" s="19" t="s">
        <v>54</v>
      </c>
      <c r="G263" s="44">
        <f>SUBTOTAL(109,TO_25[Total | Budgétaire])</f>
        <v>0</v>
      </c>
      <c r="H263" s="11"/>
      <c r="I263" s="11"/>
      <c r="J263" s="19" t="s">
        <v>54</v>
      </c>
      <c r="K263" s="44">
        <f>SUBTOTAL(109,TO_25[Total | Réel])</f>
        <v>0</v>
      </c>
      <c r="L263" s="44">
        <f>SUBTOTAL(109,TO_25[Résultat])</f>
        <v>0</v>
      </c>
    </row>
    <row r="264" spans="1:12" ht="12.75" thickBot="1" x14ac:dyDescent="0.25">
      <c r="A264" s="16" t="s">
        <v>7</v>
      </c>
      <c r="B264" s="15"/>
      <c r="C264" s="15"/>
      <c r="D264" s="15"/>
      <c r="E264" s="15"/>
      <c r="F264" s="15"/>
      <c r="G264" s="10"/>
      <c r="H264" s="15"/>
      <c r="I264" s="15"/>
      <c r="J264" s="15"/>
      <c r="K264" s="10"/>
      <c r="L264" s="15"/>
    </row>
    <row r="265" spans="1:12" ht="13.5" thickTop="1" x14ac:dyDescent="0.2">
      <c r="A265" s="15"/>
      <c r="B265" s="15"/>
      <c r="C265" s="15"/>
      <c r="D265" s="15"/>
      <c r="E265" s="15"/>
      <c r="F265" s="7" t="str">
        <f>$F$61</f>
        <v>Nombre d'heure</v>
      </c>
      <c r="G265" s="7">
        <f>SUMIFS(TO_25[Quantité],TO_25[Catégorie],"M.-d'œuvre",TO_25[Unité],"Heure",TO_25[Coût | Unitaire],"&gt;0")</f>
        <v>0</v>
      </c>
      <c r="H265" s="7"/>
      <c r="I265" s="7"/>
      <c r="J265" s="7" t="str">
        <f>$F$61</f>
        <v>Nombre d'heure</v>
      </c>
      <c r="K265" s="7">
        <f>SUMIFS(TO_25[Quantité R.],TO_25[Catégorie],"M.-d'œuvre",TO_25[Unité],"Heure")</f>
        <v>0</v>
      </c>
      <c r="L265" s="7">
        <f>$K265-$G265</f>
        <v>0</v>
      </c>
    </row>
    <row r="266" spans="1:12" x14ac:dyDescent="0.2">
      <c r="A266" s="16" t="s">
        <v>7</v>
      </c>
      <c r="B266" s="15"/>
      <c r="C266" s="15"/>
      <c r="D266" s="15"/>
      <c r="E266" s="15"/>
      <c r="F266" s="15"/>
      <c r="G266" s="15"/>
      <c r="H266" s="15"/>
      <c r="I266" s="15"/>
      <c r="J266" s="15"/>
      <c r="K266" s="15"/>
      <c r="L266" s="15"/>
    </row>
    <row r="267" spans="1:12" ht="15" x14ac:dyDescent="0.2">
      <c r="A267" s="41" t="s">
        <v>147</v>
      </c>
      <c r="B267" s="41"/>
      <c r="C267" s="69" t="str">
        <f>$C$8</f>
        <v>BUDGÉTAIRE</v>
      </c>
      <c r="D267" s="70"/>
      <c r="E267" s="70"/>
      <c r="F267" s="70"/>
      <c r="G267" s="71"/>
      <c r="H267" s="69" t="str">
        <f>$H$8</f>
        <v>RÉEL</v>
      </c>
      <c r="I267" s="70"/>
      <c r="J267" s="70"/>
      <c r="K267" s="71"/>
      <c r="L267" s="47" t="str">
        <f>$L$8</f>
        <v>RÉSULTAT</v>
      </c>
    </row>
    <row r="268" spans="1:12" ht="12.75" x14ac:dyDescent="0.2">
      <c r="A268" s="6" t="s">
        <v>15</v>
      </c>
      <c r="B268" s="6" t="s">
        <v>0</v>
      </c>
      <c r="C268" s="6" t="s">
        <v>121</v>
      </c>
      <c r="D268" s="6" t="s">
        <v>5</v>
      </c>
      <c r="E268" s="6" t="s">
        <v>25</v>
      </c>
      <c r="F268" s="6" t="s">
        <v>122</v>
      </c>
      <c r="G268" s="6" t="s">
        <v>26</v>
      </c>
      <c r="H268" s="6" t="s">
        <v>28</v>
      </c>
      <c r="I268" s="6" t="s">
        <v>21</v>
      </c>
      <c r="J268" s="6" t="s">
        <v>123</v>
      </c>
      <c r="K268" s="6" t="s">
        <v>29</v>
      </c>
      <c r="L268" s="6" t="s">
        <v>19</v>
      </c>
    </row>
    <row r="269" spans="1:12" ht="12.75" thickBot="1" x14ac:dyDescent="0.25">
      <c r="A269" s="9" t="s">
        <v>7</v>
      </c>
      <c r="B269" s="12"/>
      <c r="C269" s="9"/>
      <c r="D269" s="13"/>
      <c r="E269" s="9"/>
      <c r="F269" s="14"/>
      <c r="G269" s="10" t="str">
        <f>IF(OR(TO_26[[#This Row],[Catégorie]]="",TO_26[[#This Row],[Catégorie]]="-"),"",ROUNDUP(TO_26[[#This Row],[Quantité]]*TO_26[[#This Row],[Coût | Unitaire]],2))</f>
        <v/>
      </c>
      <c r="H269" s="9"/>
      <c r="I269" s="13"/>
      <c r="J269" s="14"/>
      <c r="K269" s="10" t="str">
        <f>IF(OR(TO_26[[#This Row],[Total | Budgétaire]]="",TO_26[[#This Row],[Quantité R.]]=""),IF(TO_26[[#This Row],[Quantité R.]]&gt;0,ROUNDUP(TO_26[[#This Row],[Quantité R.]]*TO_26[[#This Row],[Coût | Unitaire R.]],2),""),ROUNDUP(TO_26[[#This Row],[Quantité R.]]*TO_26[[#This Row],[Coût | Unitaire R.]],2))</f>
        <v/>
      </c>
      <c r="L269" s="46" t="str">
        <f>IFERROR(IF(TO_26[[#This Row],[Total | Réel]]="",0-TO_26[[#This Row],[Total | Budgétaire]],IF(TO_26[[#This Row],[Total | Budgétaire]]="",TO_26[[#This Row],[Total | Réel]],TO_26[[#This Row],[Total | Réel]]-TO_26[[#This Row],[Total | Budgétaire]])),"")</f>
        <v/>
      </c>
    </row>
    <row r="270" spans="1:12" ht="13.5" thickTop="1" x14ac:dyDescent="0.2">
      <c r="A270" s="11"/>
      <c r="B270" s="11"/>
      <c r="C270" s="11"/>
      <c r="D270" s="11"/>
      <c r="E270" s="11"/>
      <c r="F270" s="19" t="s">
        <v>54</v>
      </c>
      <c r="G270" s="44">
        <f>SUBTOTAL(109,TO_26[Total | Budgétaire])</f>
        <v>0</v>
      </c>
      <c r="H270" s="11"/>
      <c r="I270" s="11"/>
      <c r="J270" s="19" t="s">
        <v>54</v>
      </c>
      <c r="K270" s="44">
        <f>SUBTOTAL(109,TO_26[Total | Réel])</f>
        <v>0</v>
      </c>
      <c r="L270" s="44">
        <f>SUBTOTAL(109,TO_26[Résultat])</f>
        <v>0</v>
      </c>
    </row>
    <row r="271" spans="1:12" ht="12.75" thickBot="1" x14ac:dyDescent="0.25">
      <c r="A271" s="16" t="s">
        <v>7</v>
      </c>
      <c r="B271" s="15"/>
      <c r="C271" s="15"/>
      <c r="D271" s="15"/>
      <c r="E271" s="15"/>
      <c r="F271" s="15"/>
      <c r="G271" s="10"/>
      <c r="H271" s="15"/>
      <c r="I271" s="15"/>
      <c r="J271" s="15"/>
      <c r="K271" s="10"/>
      <c r="L271" s="15"/>
    </row>
    <row r="272" spans="1:12" ht="13.5" thickTop="1" x14ac:dyDescent="0.2">
      <c r="A272" s="15"/>
      <c r="B272" s="15"/>
      <c r="C272" s="15"/>
      <c r="D272" s="15"/>
      <c r="E272" s="15"/>
      <c r="F272" s="7" t="str">
        <f>$F$61</f>
        <v>Nombre d'heure</v>
      </c>
      <c r="G272" s="7">
        <f>SUMIFS(TO_26[Quantité],TO_26[Catégorie],"M.-d'œuvre",TO_26[Unité],"Heure",TO_26[Coût | Unitaire],"&gt;0")</f>
        <v>0</v>
      </c>
      <c r="H272" s="7"/>
      <c r="I272" s="7"/>
      <c r="J272" s="7" t="str">
        <f>$F$61</f>
        <v>Nombre d'heure</v>
      </c>
      <c r="K272" s="7">
        <f>SUMIFS(TO_26[Quantité R.],TO_26[Catégorie],"M.-d'œuvre",TO_26[Unité],"Heure")</f>
        <v>0</v>
      </c>
      <c r="L272" s="7">
        <f>$K272-$G272</f>
        <v>0</v>
      </c>
    </row>
    <row r="273" spans="1:12" x14ac:dyDescent="0.2">
      <c r="A273" s="16" t="s">
        <v>7</v>
      </c>
      <c r="B273" s="15"/>
      <c r="C273" s="15"/>
      <c r="D273" s="15"/>
      <c r="E273" s="15"/>
      <c r="F273" s="15"/>
      <c r="G273" s="15"/>
      <c r="H273" s="15"/>
      <c r="I273" s="15"/>
      <c r="J273" s="15"/>
      <c r="K273" s="15"/>
      <c r="L273" s="15"/>
    </row>
    <row r="274" spans="1:12" ht="15" x14ac:dyDescent="0.2">
      <c r="A274" s="41" t="s">
        <v>38</v>
      </c>
      <c r="B274" s="41"/>
      <c r="C274" s="69" t="str">
        <f>$C$8</f>
        <v>BUDGÉTAIRE</v>
      </c>
      <c r="D274" s="70"/>
      <c r="E274" s="70"/>
      <c r="F274" s="70"/>
      <c r="G274" s="71"/>
      <c r="H274" s="69" t="str">
        <f>$H$8</f>
        <v>RÉEL</v>
      </c>
      <c r="I274" s="70"/>
      <c r="J274" s="70"/>
      <c r="K274" s="71"/>
      <c r="L274" s="47" t="str">
        <f>$L$8</f>
        <v>RÉSULTAT</v>
      </c>
    </row>
    <row r="275" spans="1:12" ht="12.75" x14ac:dyDescent="0.2">
      <c r="A275" s="6" t="s">
        <v>15</v>
      </c>
      <c r="B275" s="6" t="s">
        <v>0</v>
      </c>
      <c r="C275" s="6" t="s">
        <v>121</v>
      </c>
      <c r="D275" s="6" t="s">
        <v>5</v>
      </c>
      <c r="E275" s="6" t="s">
        <v>25</v>
      </c>
      <c r="F275" s="6" t="s">
        <v>122</v>
      </c>
      <c r="G275" s="6" t="s">
        <v>26</v>
      </c>
      <c r="H275" s="6" t="s">
        <v>28</v>
      </c>
      <c r="I275" s="6" t="s">
        <v>21</v>
      </c>
      <c r="J275" s="6" t="s">
        <v>123</v>
      </c>
      <c r="K275" s="6" t="s">
        <v>29</v>
      </c>
      <c r="L275" s="6" t="s">
        <v>19</v>
      </c>
    </row>
    <row r="276" spans="1:12" ht="12.75" thickBot="1" x14ac:dyDescent="0.25">
      <c r="A276" s="9" t="s">
        <v>7</v>
      </c>
      <c r="B276" s="12"/>
      <c r="C276" s="9"/>
      <c r="D276" s="13"/>
      <c r="E276" s="9"/>
      <c r="F276" s="14"/>
      <c r="G276" s="10" t="str">
        <f>IF(OR(TO_27[[#This Row],[Catégorie]]="",TO_27[[#This Row],[Catégorie]]="-"),"",ROUNDUP(TO_27[[#This Row],[Quantité]]*TO_27[[#This Row],[Coût | Unitaire]],2))</f>
        <v/>
      </c>
      <c r="H276" s="9"/>
      <c r="I276" s="13"/>
      <c r="J276" s="14"/>
      <c r="K276" s="10" t="str">
        <f>IF(OR(TO_27[[#This Row],[Total | Budgétaire]]="",TO_27[[#This Row],[Quantité R.]]=""),IF(TO_27[[#This Row],[Quantité R.]]&gt;0,ROUNDUP(TO_27[[#This Row],[Quantité R.]]*TO_27[[#This Row],[Coût | Unitaire R.]],2),""),ROUNDUP(TO_27[[#This Row],[Quantité R.]]*TO_27[[#This Row],[Coût | Unitaire R.]],2))</f>
        <v/>
      </c>
      <c r="L276" s="46" t="str">
        <f>IFERROR(IF(TO_27[[#This Row],[Total | Réel]]="",0-TO_27[[#This Row],[Total | Budgétaire]],IF(TO_27[[#This Row],[Total | Budgétaire]]="",TO_27[[#This Row],[Total | Réel]],TO_27[[#This Row],[Total | Réel]]-TO_27[[#This Row],[Total | Budgétaire]])),"")</f>
        <v/>
      </c>
    </row>
    <row r="277" spans="1:12" ht="13.5" thickTop="1" x14ac:dyDescent="0.2">
      <c r="A277" s="11"/>
      <c r="B277" s="11"/>
      <c r="C277" s="11"/>
      <c r="D277" s="11"/>
      <c r="E277" s="11"/>
      <c r="F277" s="19" t="s">
        <v>54</v>
      </c>
      <c r="G277" s="44">
        <f>SUBTOTAL(109,TO_27[Total | Budgétaire])</f>
        <v>0</v>
      </c>
      <c r="H277" s="11"/>
      <c r="I277" s="11"/>
      <c r="J277" s="19" t="s">
        <v>54</v>
      </c>
      <c r="K277" s="44">
        <f>SUBTOTAL(109,TO_27[Total | Réel])</f>
        <v>0</v>
      </c>
      <c r="L277" s="44">
        <f>SUBTOTAL(109,TO_27[Résultat])</f>
        <v>0</v>
      </c>
    </row>
    <row r="278" spans="1:12" ht="12.75" thickBot="1" x14ac:dyDescent="0.25">
      <c r="A278" s="16" t="s">
        <v>7</v>
      </c>
      <c r="B278" s="15"/>
      <c r="C278" s="15"/>
      <c r="D278" s="15"/>
      <c r="E278" s="15"/>
      <c r="F278" s="15"/>
      <c r="G278" s="10"/>
      <c r="H278" s="15"/>
      <c r="I278" s="15"/>
      <c r="J278" s="15"/>
      <c r="K278" s="10"/>
      <c r="L278" s="15"/>
    </row>
    <row r="279" spans="1:12" ht="13.5" thickTop="1" x14ac:dyDescent="0.2">
      <c r="A279" s="15"/>
      <c r="B279" s="15"/>
      <c r="C279" s="15"/>
      <c r="D279" s="15"/>
      <c r="E279" s="15"/>
      <c r="F279" s="7" t="str">
        <f>$F$61</f>
        <v>Nombre d'heure</v>
      </c>
      <c r="G279" s="7">
        <f>SUMIFS(TO_27[Quantité],TO_27[Catégorie],"M.-d'œuvre",TO_27[Unité],"Heure",TO_27[Coût | Unitaire],"&gt;0")</f>
        <v>0</v>
      </c>
      <c r="H279" s="7"/>
      <c r="I279" s="7"/>
      <c r="J279" s="7" t="str">
        <f>$F$61</f>
        <v>Nombre d'heure</v>
      </c>
      <c r="K279" s="7">
        <f>SUMIFS(TO_27[Quantité R.],TO_27[Catégorie],"M.-d'œuvre",TO_27[Unité],"Heure")</f>
        <v>0</v>
      </c>
      <c r="L279" s="7">
        <f>$K279-$G279</f>
        <v>0</v>
      </c>
    </row>
    <row r="280" spans="1:12" x14ac:dyDescent="0.2">
      <c r="A280" s="16" t="s">
        <v>7</v>
      </c>
      <c r="B280" s="15"/>
      <c r="C280" s="15"/>
      <c r="D280" s="15"/>
      <c r="E280" s="15"/>
      <c r="F280" s="15"/>
      <c r="G280" s="15"/>
      <c r="H280" s="15"/>
      <c r="I280" s="15"/>
      <c r="J280" s="15"/>
      <c r="K280" s="15"/>
      <c r="L280" s="15"/>
    </row>
    <row r="281" spans="1:12" ht="15" x14ac:dyDescent="0.2">
      <c r="A281" s="41" t="s">
        <v>126</v>
      </c>
      <c r="B281" s="41"/>
      <c r="C281" s="69" t="str">
        <f>$C$8</f>
        <v>BUDGÉTAIRE</v>
      </c>
      <c r="D281" s="70"/>
      <c r="E281" s="70"/>
      <c r="F281" s="70"/>
      <c r="G281" s="71"/>
      <c r="H281" s="69" t="str">
        <f>$H$8</f>
        <v>RÉEL</v>
      </c>
      <c r="I281" s="70"/>
      <c r="J281" s="70"/>
      <c r="K281" s="71"/>
      <c r="L281" s="47" t="str">
        <f>$L$8</f>
        <v>RÉSULTAT</v>
      </c>
    </row>
    <row r="282" spans="1:12" ht="12.75" x14ac:dyDescent="0.2">
      <c r="A282" s="6" t="s">
        <v>15</v>
      </c>
      <c r="B282" s="6" t="s">
        <v>0</v>
      </c>
      <c r="C282" s="6" t="s">
        <v>121</v>
      </c>
      <c r="D282" s="6" t="s">
        <v>5</v>
      </c>
      <c r="E282" s="6" t="s">
        <v>25</v>
      </c>
      <c r="F282" s="6" t="s">
        <v>122</v>
      </c>
      <c r="G282" s="6" t="s">
        <v>26</v>
      </c>
      <c r="H282" s="6" t="s">
        <v>28</v>
      </c>
      <c r="I282" s="6" t="s">
        <v>21</v>
      </c>
      <c r="J282" s="6" t="s">
        <v>123</v>
      </c>
      <c r="K282" s="6" t="s">
        <v>29</v>
      </c>
      <c r="L282" s="6" t="s">
        <v>19</v>
      </c>
    </row>
    <row r="283" spans="1:12" ht="12.75" thickBot="1" x14ac:dyDescent="0.25">
      <c r="A283" s="9" t="s">
        <v>7</v>
      </c>
      <c r="B283" s="12"/>
      <c r="C283" s="9"/>
      <c r="D283" s="13"/>
      <c r="E283" s="9"/>
      <c r="F283" s="14"/>
      <c r="G283" s="10" t="str">
        <f>IF(OR(TO_28[[#This Row],[Catégorie]]="",TO_28[[#This Row],[Catégorie]]="-"),"",ROUNDUP(TO_28[[#This Row],[Quantité]]*TO_28[[#This Row],[Coût | Unitaire]],2))</f>
        <v/>
      </c>
      <c r="H283" s="9"/>
      <c r="I283" s="13"/>
      <c r="J283" s="14"/>
      <c r="K283" s="10" t="str">
        <f>IF(OR(TO_28[[#This Row],[Total | Budgétaire]]="",TO_28[[#This Row],[Quantité R.]]=""),IF(TO_28[[#This Row],[Quantité R.]]&gt;0,ROUNDUP(TO_28[[#This Row],[Quantité R.]]*TO_28[[#This Row],[Coût | Unitaire R.]],2),""),ROUNDUP(TO_28[[#This Row],[Quantité R.]]*TO_28[[#This Row],[Coût | Unitaire R.]],2))</f>
        <v/>
      </c>
      <c r="L283" s="46" t="str">
        <f>IFERROR(IF(TO_28[[#This Row],[Total | Réel]]="",0-TO_28[[#This Row],[Total | Budgétaire]],IF(TO_28[[#This Row],[Total | Budgétaire]]="",TO_28[[#This Row],[Total | Réel]],TO_28[[#This Row],[Total | Réel]]-TO_28[[#This Row],[Total | Budgétaire]])),"")</f>
        <v/>
      </c>
    </row>
    <row r="284" spans="1:12" ht="13.5" thickTop="1" x14ac:dyDescent="0.2">
      <c r="A284" s="11"/>
      <c r="B284" s="11"/>
      <c r="C284" s="11"/>
      <c r="D284" s="11"/>
      <c r="E284" s="11"/>
      <c r="F284" s="19" t="s">
        <v>54</v>
      </c>
      <c r="G284" s="44">
        <f>SUBTOTAL(109,TO_28[Total | Budgétaire])</f>
        <v>0</v>
      </c>
      <c r="H284" s="11"/>
      <c r="I284" s="11"/>
      <c r="J284" s="19" t="s">
        <v>54</v>
      </c>
      <c r="K284" s="44">
        <f>SUBTOTAL(109,TO_28[Total | Réel])</f>
        <v>0</v>
      </c>
      <c r="L284" s="44">
        <f>SUBTOTAL(109,TO_28[Résultat])</f>
        <v>0</v>
      </c>
    </row>
    <row r="285" spans="1:12" ht="12.75" thickBot="1" x14ac:dyDescent="0.25">
      <c r="A285" s="16" t="s">
        <v>7</v>
      </c>
      <c r="B285" s="15"/>
      <c r="C285" s="15"/>
      <c r="D285" s="15"/>
      <c r="E285" s="15"/>
      <c r="F285" s="15"/>
      <c r="G285" s="10"/>
      <c r="H285" s="15"/>
      <c r="I285" s="15"/>
      <c r="J285" s="15"/>
      <c r="K285" s="10"/>
      <c r="L285" s="15"/>
    </row>
    <row r="286" spans="1:12" ht="13.5" thickTop="1" x14ac:dyDescent="0.2">
      <c r="A286" s="15"/>
      <c r="B286" s="15"/>
      <c r="C286" s="15"/>
      <c r="D286" s="15"/>
      <c r="E286" s="15"/>
      <c r="F286" s="7" t="str">
        <f>$F$61</f>
        <v>Nombre d'heure</v>
      </c>
      <c r="G286" s="7">
        <f>SUMIFS(TO_28[Quantité],TO_28[Catégorie],"M.-d'œuvre",TO_28[Unité],"Heure",TO_28[Coût | Unitaire],"&gt;0")</f>
        <v>0</v>
      </c>
      <c r="H286" s="7"/>
      <c r="I286" s="7"/>
      <c r="J286" s="7" t="str">
        <f>$F$61</f>
        <v>Nombre d'heure</v>
      </c>
      <c r="K286" s="7">
        <f>SUMIFS(TO_28[Quantité R.],TO_28[Catégorie],"M.-d'œuvre",TO_28[Unité],"Heure")</f>
        <v>0</v>
      </c>
      <c r="L286" s="7">
        <f>$K286-$G286</f>
        <v>0</v>
      </c>
    </row>
    <row r="287" spans="1:12" x14ac:dyDescent="0.2">
      <c r="A287" s="16" t="s">
        <v>7</v>
      </c>
      <c r="B287" s="15"/>
      <c r="C287" s="15"/>
      <c r="D287" s="15"/>
      <c r="E287" s="15"/>
      <c r="F287" s="15"/>
      <c r="G287" s="15"/>
      <c r="H287" s="15"/>
      <c r="I287" s="15"/>
      <c r="J287" s="15"/>
      <c r="K287" s="15"/>
      <c r="L287" s="15"/>
    </row>
    <row r="288" spans="1:12" ht="15" x14ac:dyDescent="0.2">
      <c r="A288" s="41" t="s">
        <v>112</v>
      </c>
      <c r="B288" s="41"/>
      <c r="C288" s="69" t="str">
        <f>$C$8</f>
        <v>BUDGÉTAIRE</v>
      </c>
      <c r="D288" s="70"/>
      <c r="E288" s="70"/>
      <c r="F288" s="70"/>
      <c r="G288" s="71"/>
      <c r="H288" s="69" t="str">
        <f>$H$8</f>
        <v>RÉEL</v>
      </c>
      <c r="I288" s="70"/>
      <c r="J288" s="70"/>
      <c r="K288" s="71"/>
      <c r="L288" s="47" t="str">
        <f>$L$8</f>
        <v>RÉSULTAT</v>
      </c>
    </row>
    <row r="289" spans="1:12" ht="12.75" x14ac:dyDescent="0.2">
      <c r="A289" s="6" t="s">
        <v>15</v>
      </c>
      <c r="B289" s="6" t="s">
        <v>0</v>
      </c>
      <c r="C289" s="6" t="s">
        <v>121</v>
      </c>
      <c r="D289" s="6" t="s">
        <v>5</v>
      </c>
      <c r="E289" s="6" t="s">
        <v>25</v>
      </c>
      <c r="F289" s="6" t="s">
        <v>122</v>
      </c>
      <c r="G289" s="6" t="s">
        <v>26</v>
      </c>
      <c r="H289" s="6" t="s">
        <v>28</v>
      </c>
      <c r="I289" s="6" t="s">
        <v>21</v>
      </c>
      <c r="J289" s="6" t="s">
        <v>123</v>
      </c>
      <c r="K289" s="6" t="s">
        <v>29</v>
      </c>
      <c r="L289" s="6" t="s">
        <v>19</v>
      </c>
    </row>
    <row r="290" spans="1:12" ht="12.75" thickBot="1" x14ac:dyDescent="0.25">
      <c r="A290" s="9" t="s">
        <v>7</v>
      </c>
      <c r="B290" s="12"/>
      <c r="C290" s="9"/>
      <c r="D290" s="13"/>
      <c r="E290" s="9"/>
      <c r="F290" s="14"/>
      <c r="G290" s="10" t="str">
        <f>IF(OR(TO_29[[#This Row],[Catégorie]]="",TO_29[[#This Row],[Catégorie]]="-"),"",ROUNDUP(TO_29[[#This Row],[Quantité]]*TO_29[[#This Row],[Coût | Unitaire]],2))</f>
        <v/>
      </c>
      <c r="H290" s="9"/>
      <c r="I290" s="13"/>
      <c r="J290" s="14"/>
      <c r="K290" s="10" t="str">
        <f>IF(OR(TO_29[[#This Row],[Total | Budgétaire]]="",TO_29[[#This Row],[Quantité R.]]=""),IF(TO_29[[#This Row],[Quantité R.]]&gt;0,ROUNDUP(TO_29[[#This Row],[Quantité R.]]*TO_29[[#This Row],[Coût | Unitaire R.]],2),""),ROUNDUP(TO_29[[#This Row],[Quantité R.]]*TO_29[[#This Row],[Coût | Unitaire R.]],2))</f>
        <v/>
      </c>
      <c r="L290" s="46" t="str">
        <f>IFERROR(IF(TO_29[[#This Row],[Total | Réel]]="",0-TO_29[[#This Row],[Total | Budgétaire]],IF(TO_29[[#This Row],[Total | Budgétaire]]="",TO_29[[#This Row],[Total | Réel]],TO_29[[#This Row],[Total | Réel]]-TO_29[[#This Row],[Total | Budgétaire]])),"")</f>
        <v/>
      </c>
    </row>
    <row r="291" spans="1:12" ht="13.5" thickTop="1" x14ac:dyDescent="0.2">
      <c r="A291" s="11"/>
      <c r="B291" s="11"/>
      <c r="C291" s="11"/>
      <c r="D291" s="11"/>
      <c r="E291" s="11"/>
      <c r="F291" s="19" t="s">
        <v>54</v>
      </c>
      <c r="G291" s="44">
        <f>SUBTOTAL(109,TO_29[Total | Budgétaire])</f>
        <v>0</v>
      </c>
      <c r="H291" s="11"/>
      <c r="I291" s="11"/>
      <c r="J291" s="19" t="s">
        <v>54</v>
      </c>
      <c r="K291" s="44">
        <f>SUBTOTAL(109,TO_29[Total | Réel])</f>
        <v>0</v>
      </c>
      <c r="L291" s="44">
        <f>SUBTOTAL(109,TO_29[Résultat])</f>
        <v>0</v>
      </c>
    </row>
    <row r="292" spans="1:12" ht="12.75" thickBot="1" x14ac:dyDescent="0.25">
      <c r="A292" s="16" t="s">
        <v>7</v>
      </c>
      <c r="B292" s="15"/>
      <c r="C292" s="15"/>
      <c r="D292" s="15"/>
      <c r="E292" s="15"/>
      <c r="F292" s="15"/>
      <c r="G292" s="10"/>
      <c r="H292" s="15"/>
      <c r="I292" s="15"/>
      <c r="J292" s="15"/>
      <c r="K292" s="10"/>
      <c r="L292" s="15"/>
    </row>
    <row r="293" spans="1:12" ht="13.5" thickTop="1" x14ac:dyDescent="0.2">
      <c r="A293" s="15"/>
      <c r="B293" s="15"/>
      <c r="C293" s="15"/>
      <c r="D293" s="15"/>
      <c r="E293" s="15"/>
      <c r="F293" s="7" t="str">
        <f>$F$61</f>
        <v>Nombre d'heure</v>
      </c>
      <c r="G293" s="7">
        <f>SUMIFS(TO_29[Quantité],TO_29[Catégorie],"M.-d'œuvre",TO_29[Unité],"Heure",TO_29[Coût | Unitaire],"&gt;0")</f>
        <v>0</v>
      </c>
      <c r="H293" s="7"/>
      <c r="I293" s="7"/>
      <c r="J293" s="7" t="str">
        <f>$F$61</f>
        <v>Nombre d'heure</v>
      </c>
      <c r="K293" s="7">
        <f>SUMIFS(TO_29[Quantité R.],TO_29[Catégorie],"M.-d'œuvre",TO_29[Unité],"Heure")</f>
        <v>0</v>
      </c>
      <c r="L293" s="7">
        <f>$K293-$G293</f>
        <v>0</v>
      </c>
    </row>
    <row r="294" spans="1:12" x14ac:dyDescent="0.2">
      <c r="A294" s="16" t="s">
        <v>7</v>
      </c>
      <c r="B294" s="15"/>
      <c r="C294" s="15"/>
      <c r="D294" s="15"/>
      <c r="E294" s="15"/>
      <c r="F294" s="15"/>
      <c r="G294" s="15"/>
      <c r="H294" s="15"/>
      <c r="I294" s="15"/>
      <c r="J294" s="15"/>
      <c r="K294" s="15"/>
      <c r="L294" s="15"/>
    </row>
    <row r="295" spans="1:12" ht="15" x14ac:dyDescent="0.2">
      <c r="A295" s="41" t="s">
        <v>10</v>
      </c>
      <c r="B295" s="41"/>
      <c r="C295" s="69" t="str">
        <f>$C$8</f>
        <v>BUDGÉTAIRE</v>
      </c>
      <c r="D295" s="70"/>
      <c r="E295" s="70"/>
      <c r="F295" s="70"/>
      <c r="G295" s="71"/>
      <c r="H295" s="69" t="str">
        <f>$H$8</f>
        <v>RÉEL</v>
      </c>
      <c r="I295" s="70"/>
      <c r="J295" s="70"/>
      <c r="K295" s="71"/>
      <c r="L295" s="47" t="str">
        <f>$L$8</f>
        <v>RÉSULTAT</v>
      </c>
    </row>
    <row r="296" spans="1:12" ht="12.75" x14ac:dyDescent="0.2">
      <c r="A296" s="6" t="s">
        <v>15</v>
      </c>
      <c r="B296" s="6" t="s">
        <v>0</v>
      </c>
      <c r="C296" s="6" t="s">
        <v>121</v>
      </c>
      <c r="D296" s="6" t="s">
        <v>5</v>
      </c>
      <c r="E296" s="6" t="s">
        <v>25</v>
      </c>
      <c r="F296" s="6" t="s">
        <v>122</v>
      </c>
      <c r="G296" s="6" t="s">
        <v>26</v>
      </c>
      <c r="H296" s="6" t="s">
        <v>28</v>
      </c>
      <c r="I296" s="6" t="s">
        <v>21</v>
      </c>
      <c r="J296" s="6" t="s">
        <v>123</v>
      </c>
      <c r="K296" s="6" t="s">
        <v>29</v>
      </c>
      <c r="L296" s="6" t="s">
        <v>19</v>
      </c>
    </row>
    <row r="297" spans="1:12" ht="12.75" thickBot="1" x14ac:dyDescent="0.25">
      <c r="A297" s="9" t="s">
        <v>7</v>
      </c>
      <c r="B297" s="12"/>
      <c r="C297" s="9"/>
      <c r="D297" s="13"/>
      <c r="E297" s="9"/>
      <c r="F297" s="14"/>
      <c r="G297" s="10" t="str">
        <f>IF(OR(TO_30[[#This Row],[Catégorie]]="",TO_30[[#This Row],[Catégorie]]="-"),"",ROUNDUP(TO_30[[#This Row],[Quantité]]*TO_30[[#This Row],[Coût | Unitaire]],2))</f>
        <v/>
      </c>
      <c r="H297" s="9"/>
      <c r="I297" s="13"/>
      <c r="J297" s="14"/>
      <c r="K297" s="10" t="str">
        <f>IF(OR(TO_30[[#This Row],[Total | Budgétaire]]="",TO_30[[#This Row],[Quantité R.]]=""),IF(TO_30[[#This Row],[Quantité R.]]&gt;0,ROUNDUP(TO_30[[#This Row],[Quantité R.]]*TO_30[[#This Row],[Coût | Unitaire R.]],2),""),ROUNDUP(TO_30[[#This Row],[Quantité R.]]*TO_30[[#This Row],[Coût | Unitaire R.]],2))</f>
        <v/>
      </c>
      <c r="L297" s="46" t="str">
        <f>IFERROR(IF(TO_30[[#This Row],[Total | Réel]]="",0-TO_30[[#This Row],[Total | Budgétaire]],IF(TO_30[[#This Row],[Total | Budgétaire]]="",TO_30[[#This Row],[Total | Réel]],TO_30[[#This Row],[Total | Réel]]-TO_30[[#This Row],[Total | Budgétaire]])),"")</f>
        <v/>
      </c>
    </row>
    <row r="298" spans="1:12" ht="13.5" thickTop="1" x14ac:dyDescent="0.2">
      <c r="A298" s="11"/>
      <c r="B298" s="11"/>
      <c r="C298" s="11"/>
      <c r="D298" s="11"/>
      <c r="E298" s="11"/>
      <c r="F298" s="19" t="s">
        <v>54</v>
      </c>
      <c r="G298" s="44">
        <f>SUBTOTAL(109,TO_30[Total | Budgétaire])</f>
        <v>0</v>
      </c>
      <c r="H298" s="11"/>
      <c r="I298" s="11"/>
      <c r="J298" s="19" t="s">
        <v>54</v>
      </c>
      <c r="K298" s="44">
        <f>SUBTOTAL(109,TO_30[Total | Réel])</f>
        <v>0</v>
      </c>
      <c r="L298" s="44">
        <f>SUBTOTAL(109,TO_30[Résultat])</f>
        <v>0</v>
      </c>
    </row>
    <row r="299" spans="1:12" ht="12.75" thickBot="1" x14ac:dyDescent="0.25">
      <c r="A299" s="16" t="s">
        <v>7</v>
      </c>
      <c r="B299" s="15"/>
      <c r="C299" s="15"/>
      <c r="D299" s="15"/>
      <c r="E299" s="15"/>
      <c r="F299" s="15"/>
      <c r="G299" s="10"/>
      <c r="H299" s="15"/>
      <c r="I299" s="15"/>
      <c r="J299" s="15"/>
      <c r="K299" s="10"/>
      <c r="L299" s="15"/>
    </row>
    <row r="300" spans="1:12" ht="13.5" thickTop="1" x14ac:dyDescent="0.2">
      <c r="A300" s="15"/>
      <c r="B300" s="15"/>
      <c r="C300" s="15"/>
      <c r="D300" s="15"/>
      <c r="E300" s="15"/>
      <c r="F300" s="7" t="str">
        <f>$F$61</f>
        <v>Nombre d'heure</v>
      </c>
      <c r="G300" s="7">
        <f>SUMIFS(TO_30[Quantité],TO_30[Catégorie],"M.-d'œuvre",TO_30[Unité],"Heure",TO_30[Coût | Unitaire],"&gt;0")</f>
        <v>0</v>
      </c>
      <c r="H300" s="7"/>
      <c r="I300" s="7"/>
      <c r="J300" s="7" t="str">
        <f>$F$61</f>
        <v>Nombre d'heure</v>
      </c>
      <c r="K300" s="7">
        <f>SUMIFS(TO_30[Quantité R.],TO_30[Catégorie],"M.-d'œuvre",TO_30[Unité],"Heure")</f>
        <v>0</v>
      </c>
      <c r="L300" s="7">
        <f>$K300-$G300</f>
        <v>0</v>
      </c>
    </row>
    <row r="301" spans="1:12" x14ac:dyDescent="0.2">
      <c r="A301" s="16" t="s">
        <v>7</v>
      </c>
      <c r="B301" s="15"/>
      <c r="C301" s="15"/>
      <c r="D301" s="15"/>
      <c r="E301" s="15"/>
      <c r="F301" s="15"/>
      <c r="G301" s="15"/>
      <c r="H301" s="15"/>
      <c r="I301" s="15"/>
      <c r="J301" s="15"/>
      <c r="K301" s="15"/>
      <c r="L301" s="15"/>
    </row>
    <row r="302" spans="1:12" ht="15" x14ac:dyDescent="0.2">
      <c r="A302" s="41" t="s">
        <v>149</v>
      </c>
      <c r="B302" s="41"/>
      <c r="C302" s="69" t="str">
        <f>$C$8</f>
        <v>BUDGÉTAIRE</v>
      </c>
      <c r="D302" s="70"/>
      <c r="E302" s="70"/>
      <c r="F302" s="70"/>
      <c r="G302" s="71"/>
      <c r="H302" s="69" t="str">
        <f>$H$8</f>
        <v>RÉEL</v>
      </c>
      <c r="I302" s="70"/>
      <c r="J302" s="70"/>
      <c r="K302" s="71"/>
      <c r="L302" s="47" t="str">
        <f>$L$8</f>
        <v>RÉSULTAT</v>
      </c>
    </row>
    <row r="303" spans="1:12" ht="12.75" x14ac:dyDescent="0.2">
      <c r="A303" s="6" t="s">
        <v>15</v>
      </c>
      <c r="B303" s="6" t="s">
        <v>0</v>
      </c>
      <c r="C303" s="6" t="s">
        <v>121</v>
      </c>
      <c r="D303" s="6" t="s">
        <v>5</v>
      </c>
      <c r="E303" s="6" t="s">
        <v>25</v>
      </c>
      <c r="F303" s="6" t="s">
        <v>122</v>
      </c>
      <c r="G303" s="6" t="s">
        <v>26</v>
      </c>
      <c r="H303" s="6" t="s">
        <v>28</v>
      </c>
      <c r="I303" s="6" t="s">
        <v>21</v>
      </c>
      <c r="J303" s="6" t="s">
        <v>123</v>
      </c>
      <c r="K303" s="6" t="s">
        <v>29</v>
      </c>
      <c r="L303" s="6" t="s">
        <v>19</v>
      </c>
    </row>
    <row r="304" spans="1:12" ht="12.75" thickBot="1" x14ac:dyDescent="0.25">
      <c r="A304" s="9" t="s">
        <v>7</v>
      </c>
      <c r="B304" s="12"/>
      <c r="C304" s="9"/>
      <c r="D304" s="13"/>
      <c r="E304" s="9"/>
      <c r="F304" s="14"/>
      <c r="G304" s="10" t="str">
        <f>IF(OR(TO_31[[#This Row],[Catégorie]]="",TO_31[[#This Row],[Catégorie]]="-"),"",ROUNDUP(TO_31[[#This Row],[Quantité]]*TO_31[[#This Row],[Coût | Unitaire]],2))</f>
        <v/>
      </c>
      <c r="H304" s="9"/>
      <c r="I304" s="13"/>
      <c r="J304" s="14"/>
      <c r="K304" s="10" t="str">
        <f>IF(OR(TO_31[[#This Row],[Total | Budgétaire]]="",TO_31[[#This Row],[Quantité R.]]=""),IF(TO_31[[#This Row],[Quantité R.]]&gt;0,ROUNDUP(TO_31[[#This Row],[Quantité R.]]*TO_31[[#This Row],[Coût | Unitaire R.]],2),""),ROUNDUP(TO_31[[#This Row],[Quantité R.]]*TO_31[[#This Row],[Coût | Unitaire R.]],2))</f>
        <v/>
      </c>
      <c r="L304" s="46" t="str">
        <f>IFERROR(IF(TO_31[[#This Row],[Total | Réel]]="",0-TO_31[[#This Row],[Total | Budgétaire]],IF(TO_31[[#This Row],[Total | Budgétaire]]="",TO_31[[#This Row],[Total | Réel]],TO_31[[#This Row],[Total | Réel]]-TO_31[[#This Row],[Total | Budgétaire]])),"")</f>
        <v/>
      </c>
    </row>
    <row r="305" spans="1:12" ht="13.5" thickTop="1" x14ac:dyDescent="0.2">
      <c r="A305" s="11"/>
      <c r="B305" s="11"/>
      <c r="C305" s="11"/>
      <c r="D305" s="11"/>
      <c r="E305" s="11"/>
      <c r="F305" s="19" t="s">
        <v>54</v>
      </c>
      <c r="G305" s="44">
        <f>SUBTOTAL(109,TO_31[Total | Budgétaire])</f>
        <v>0</v>
      </c>
      <c r="H305" s="11"/>
      <c r="I305" s="11"/>
      <c r="J305" s="19" t="s">
        <v>54</v>
      </c>
      <c r="K305" s="44">
        <f>SUBTOTAL(109,TO_31[Total | Réel])</f>
        <v>0</v>
      </c>
      <c r="L305" s="44">
        <f>SUBTOTAL(109,TO_31[Résultat])</f>
        <v>0</v>
      </c>
    </row>
    <row r="306" spans="1:12" ht="12.75" thickBot="1" x14ac:dyDescent="0.25">
      <c r="A306" s="16" t="s">
        <v>7</v>
      </c>
      <c r="B306" s="15"/>
      <c r="C306" s="15"/>
      <c r="D306" s="15"/>
      <c r="E306" s="15"/>
      <c r="F306" s="15"/>
      <c r="G306" s="10"/>
      <c r="H306" s="15"/>
      <c r="I306" s="15"/>
      <c r="J306" s="15"/>
      <c r="K306" s="10"/>
      <c r="L306" s="15"/>
    </row>
    <row r="307" spans="1:12" ht="13.5" thickTop="1" x14ac:dyDescent="0.2">
      <c r="A307" s="15"/>
      <c r="B307" s="15"/>
      <c r="C307" s="15"/>
      <c r="D307" s="15"/>
      <c r="E307" s="15"/>
      <c r="F307" s="7" t="str">
        <f>$F$61</f>
        <v>Nombre d'heure</v>
      </c>
      <c r="G307" s="7">
        <f>SUMIFS(TO_31[Quantité],TO_31[Catégorie],"M.-d'œuvre",TO_31[Unité],"Heure",TO_31[Coût | Unitaire],"&gt;0")</f>
        <v>0</v>
      </c>
      <c r="H307" s="7"/>
      <c r="I307" s="7"/>
      <c r="J307" s="7" t="str">
        <f>$F$61</f>
        <v>Nombre d'heure</v>
      </c>
      <c r="K307" s="7">
        <f>SUMIFS(TO_31[Quantité R.],TO_31[Catégorie],"M.-d'œuvre",TO_31[Unité],"Heure")</f>
        <v>0</v>
      </c>
      <c r="L307" s="7">
        <f>$K307-$G307</f>
        <v>0</v>
      </c>
    </row>
    <row r="308" spans="1:12" x14ac:dyDescent="0.2">
      <c r="A308" s="16" t="s">
        <v>7</v>
      </c>
      <c r="B308" s="15"/>
      <c r="C308" s="15"/>
      <c r="D308" s="15"/>
      <c r="E308" s="15"/>
      <c r="F308" s="15"/>
      <c r="G308" s="15"/>
      <c r="H308" s="15"/>
      <c r="I308" s="15"/>
      <c r="J308" s="15"/>
      <c r="K308" s="15"/>
      <c r="L308" s="15"/>
    </row>
    <row r="309" spans="1:12" ht="15" x14ac:dyDescent="0.2">
      <c r="A309" s="41" t="s">
        <v>141</v>
      </c>
      <c r="B309" s="41"/>
      <c r="C309" s="69" t="str">
        <f>$C$8</f>
        <v>BUDGÉTAIRE</v>
      </c>
      <c r="D309" s="70"/>
      <c r="E309" s="70"/>
      <c r="F309" s="70"/>
      <c r="G309" s="71"/>
      <c r="H309" s="69" t="str">
        <f>$H$8</f>
        <v>RÉEL</v>
      </c>
      <c r="I309" s="70"/>
      <c r="J309" s="70"/>
      <c r="K309" s="71"/>
      <c r="L309" s="47" t="str">
        <f>$L$8</f>
        <v>RÉSULTAT</v>
      </c>
    </row>
    <row r="310" spans="1:12" ht="12.75" x14ac:dyDescent="0.2">
      <c r="A310" s="6" t="s">
        <v>15</v>
      </c>
      <c r="B310" s="6" t="s">
        <v>0</v>
      </c>
      <c r="C310" s="6" t="s">
        <v>121</v>
      </c>
      <c r="D310" s="6" t="s">
        <v>5</v>
      </c>
      <c r="E310" s="6" t="s">
        <v>25</v>
      </c>
      <c r="F310" s="6" t="s">
        <v>122</v>
      </c>
      <c r="G310" s="6" t="s">
        <v>26</v>
      </c>
      <c r="H310" s="6" t="s">
        <v>28</v>
      </c>
      <c r="I310" s="6" t="s">
        <v>21</v>
      </c>
      <c r="J310" s="6" t="s">
        <v>123</v>
      </c>
      <c r="K310" s="6" t="s">
        <v>29</v>
      </c>
      <c r="L310" s="6" t="s">
        <v>19</v>
      </c>
    </row>
    <row r="311" spans="1:12" ht="12.75" thickBot="1" x14ac:dyDescent="0.25">
      <c r="A311" s="9" t="s">
        <v>7</v>
      </c>
      <c r="B311" s="12"/>
      <c r="C311" s="9"/>
      <c r="D311" s="13"/>
      <c r="E311" s="9"/>
      <c r="F311" s="14"/>
      <c r="G311" s="10" t="str">
        <f>IF(OR(TO_32[[#This Row],[Catégorie]]="",TO_32[[#This Row],[Catégorie]]="-"),"",ROUNDUP(TO_32[[#This Row],[Quantité]]*TO_32[[#This Row],[Coût | Unitaire]],2))</f>
        <v/>
      </c>
      <c r="H311" s="9"/>
      <c r="I311" s="13"/>
      <c r="J311" s="14"/>
      <c r="K311" s="10" t="str">
        <f>IF(OR(TO_32[[#This Row],[Total | Budgétaire]]="",TO_32[[#This Row],[Quantité R.]]=""),IF(TO_32[[#This Row],[Quantité R.]]&gt;0,ROUNDUP(TO_32[[#This Row],[Quantité R.]]*TO_32[[#This Row],[Coût | Unitaire R.]],2),""),ROUNDUP(TO_32[[#This Row],[Quantité R.]]*TO_32[[#This Row],[Coût | Unitaire R.]],2))</f>
        <v/>
      </c>
      <c r="L311" s="46" t="str">
        <f>IFERROR(IF(TO_32[[#This Row],[Total | Réel]]="",0-TO_32[[#This Row],[Total | Budgétaire]],IF(TO_32[[#This Row],[Total | Budgétaire]]="",TO_32[[#This Row],[Total | Réel]],TO_32[[#This Row],[Total | Réel]]-TO_32[[#This Row],[Total | Budgétaire]])),"")</f>
        <v/>
      </c>
    </row>
    <row r="312" spans="1:12" ht="13.5" thickTop="1" x14ac:dyDescent="0.2">
      <c r="A312" s="11"/>
      <c r="B312" s="11"/>
      <c r="C312" s="11"/>
      <c r="D312" s="11"/>
      <c r="E312" s="11"/>
      <c r="F312" s="19" t="s">
        <v>54</v>
      </c>
      <c r="G312" s="44">
        <f>SUBTOTAL(109,TO_32[Total | Budgétaire])</f>
        <v>0</v>
      </c>
      <c r="H312" s="11"/>
      <c r="I312" s="11"/>
      <c r="J312" s="19" t="s">
        <v>54</v>
      </c>
      <c r="K312" s="44">
        <f>SUBTOTAL(109,TO_32[Total | Réel])</f>
        <v>0</v>
      </c>
      <c r="L312" s="44">
        <f>SUBTOTAL(109,TO_32[Résultat])</f>
        <v>0</v>
      </c>
    </row>
    <row r="313" spans="1:12" ht="12.75" thickBot="1" x14ac:dyDescent="0.25">
      <c r="A313" s="16" t="s">
        <v>7</v>
      </c>
      <c r="B313" s="15"/>
      <c r="C313" s="15"/>
      <c r="D313" s="15"/>
      <c r="E313" s="15"/>
      <c r="F313" s="15"/>
      <c r="G313" s="10"/>
      <c r="H313" s="15"/>
      <c r="I313" s="15"/>
      <c r="J313" s="15"/>
      <c r="K313" s="10"/>
      <c r="L313" s="15"/>
    </row>
    <row r="314" spans="1:12" ht="13.5" thickTop="1" x14ac:dyDescent="0.2">
      <c r="A314" s="15"/>
      <c r="B314" s="15"/>
      <c r="C314" s="15"/>
      <c r="D314" s="15"/>
      <c r="E314" s="15"/>
      <c r="F314" s="7" t="str">
        <f>$F$61</f>
        <v>Nombre d'heure</v>
      </c>
      <c r="G314" s="7">
        <f>SUMIFS(TO_32[Quantité],TO_32[Catégorie],"M.-d'œuvre",TO_32[Unité],"Heure",TO_32[Coût | Unitaire],"&gt;0")</f>
        <v>0</v>
      </c>
      <c r="H314" s="7"/>
      <c r="I314" s="7"/>
      <c r="J314" s="7" t="str">
        <f>$F$61</f>
        <v>Nombre d'heure</v>
      </c>
      <c r="K314" s="7">
        <f>SUMIFS(TO_32[Quantité R.],TO_32[Catégorie],"M.-d'œuvre",TO_32[Unité],"Heure")</f>
        <v>0</v>
      </c>
      <c r="L314" s="7">
        <f>$K314-$G314</f>
        <v>0</v>
      </c>
    </row>
    <row r="315" spans="1:12" x14ac:dyDescent="0.2">
      <c r="A315" s="16" t="s">
        <v>7</v>
      </c>
      <c r="B315" s="15"/>
      <c r="C315" s="15"/>
      <c r="D315" s="15"/>
      <c r="E315" s="15"/>
      <c r="F315" s="15"/>
      <c r="G315" s="15"/>
      <c r="H315" s="15"/>
      <c r="I315" s="15"/>
      <c r="J315" s="15"/>
      <c r="K315" s="15"/>
      <c r="L315" s="15"/>
    </row>
    <row r="316" spans="1:12" ht="15" x14ac:dyDescent="0.2">
      <c r="A316" s="41" t="s">
        <v>41</v>
      </c>
      <c r="B316" s="41"/>
      <c r="C316" s="69" t="str">
        <f>$C$8</f>
        <v>BUDGÉTAIRE</v>
      </c>
      <c r="D316" s="70"/>
      <c r="E316" s="70"/>
      <c r="F316" s="70"/>
      <c r="G316" s="71"/>
      <c r="H316" s="69" t="str">
        <f>$H$8</f>
        <v>RÉEL</v>
      </c>
      <c r="I316" s="70"/>
      <c r="J316" s="70"/>
      <c r="K316" s="71"/>
      <c r="L316" s="47" t="str">
        <f>$L$8</f>
        <v>RÉSULTAT</v>
      </c>
    </row>
    <row r="317" spans="1:12" ht="12.75" x14ac:dyDescent="0.2">
      <c r="A317" s="6" t="s">
        <v>15</v>
      </c>
      <c r="B317" s="6" t="s">
        <v>0</v>
      </c>
      <c r="C317" s="6" t="s">
        <v>121</v>
      </c>
      <c r="D317" s="6" t="s">
        <v>5</v>
      </c>
      <c r="E317" s="6" t="s">
        <v>25</v>
      </c>
      <c r="F317" s="6" t="s">
        <v>122</v>
      </c>
      <c r="G317" s="6" t="s">
        <v>26</v>
      </c>
      <c r="H317" s="6" t="s">
        <v>28</v>
      </c>
      <c r="I317" s="6" t="s">
        <v>21</v>
      </c>
      <c r="J317" s="6" t="s">
        <v>123</v>
      </c>
      <c r="K317" s="6" t="s">
        <v>29</v>
      </c>
      <c r="L317" s="6" t="s">
        <v>19</v>
      </c>
    </row>
    <row r="318" spans="1:12" ht="12.75" thickBot="1" x14ac:dyDescent="0.25">
      <c r="A318" s="9" t="s">
        <v>7</v>
      </c>
      <c r="B318" s="12"/>
      <c r="C318" s="9"/>
      <c r="D318" s="13"/>
      <c r="E318" s="9"/>
      <c r="F318" s="14"/>
      <c r="G318" s="10" t="str">
        <f>IF(OR(TO_33[[#This Row],[Catégorie]]="",TO_33[[#This Row],[Catégorie]]="-"),"",ROUNDUP(TO_33[[#This Row],[Quantité]]*TO_33[[#This Row],[Coût | Unitaire]],2))</f>
        <v/>
      </c>
      <c r="H318" s="9"/>
      <c r="I318" s="13"/>
      <c r="J318" s="14"/>
      <c r="K318" s="10" t="str">
        <f>IF(OR(TO_33[[#This Row],[Total | Budgétaire]]="",TO_33[[#This Row],[Quantité R.]]=""),IF(TO_33[[#This Row],[Quantité R.]]&gt;0,ROUNDUP(TO_33[[#This Row],[Quantité R.]]*TO_33[[#This Row],[Coût | Unitaire R.]],2),""),ROUNDUP(TO_33[[#This Row],[Quantité R.]]*TO_33[[#This Row],[Coût | Unitaire R.]],2))</f>
        <v/>
      </c>
      <c r="L318" s="46" t="str">
        <f>IFERROR(IF(TO_33[[#This Row],[Total | Réel]]="",0-TO_33[[#This Row],[Total | Budgétaire]],IF(TO_33[[#This Row],[Total | Budgétaire]]="",TO_33[[#This Row],[Total | Réel]],TO_33[[#This Row],[Total | Réel]]-TO_33[[#This Row],[Total | Budgétaire]])),"")</f>
        <v/>
      </c>
    </row>
    <row r="319" spans="1:12" ht="13.5" thickTop="1" x14ac:dyDescent="0.2">
      <c r="A319" s="11"/>
      <c r="B319" s="11"/>
      <c r="C319" s="11"/>
      <c r="D319" s="11"/>
      <c r="E319" s="11"/>
      <c r="F319" s="19" t="s">
        <v>54</v>
      </c>
      <c r="G319" s="44">
        <f>SUBTOTAL(109,TO_33[Total | Budgétaire])</f>
        <v>0</v>
      </c>
      <c r="H319" s="11"/>
      <c r="I319" s="11"/>
      <c r="J319" s="19" t="s">
        <v>54</v>
      </c>
      <c r="K319" s="44">
        <f>SUBTOTAL(109,TO_33[Total | Réel])</f>
        <v>0</v>
      </c>
      <c r="L319" s="44">
        <f>SUBTOTAL(109,TO_33[Résultat])</f>
        <v>0</v>
      </c>
    </row>
    <row r="320" spans="1:12" ht="12.75" thickBot="1" x14ac:dyDescent="0.25">
      <c r="A320" s="16" t="s">
        <v>7</v>
      </c>
      <c r="B320" s="15"/>
      <c r="C320" s="15"/>
      <c r="D320" s="15"/>
      <c r="E320" s="15"/>
      <c r="F320" s="15"/>
      <c r="G320" s="10"/>
      <c r="H320" s="15"/>
      <c r="I320" s="15"/>
      <c r="J320" s="15"/>
      <c r="K320" s="10"/>
      <c r="L320" s="15"/>
    </row>
    <row r="321" spans="1:12" ht="13.5" thickTop="1" x14ac:dyDescent="0.2">
      <c r="A321" s="15"/>
      <c r="B321" s="15"/>
      <c r="C321" s="15"/>
      <c r="D321" s="15"/>
      <c r="E321" s="15"/>
      <c r="F321" s="7" t="str">
        <f>$F$61</f>
        <v>Nombre d'heure</v>
      </c>
      <c r="G321" s="7">
        <f>SUMIFS(TO_33[Quantité],TO_33[Catégorie],"M.-d'œuvre",TO_33[Unité],"Heure",TO_33[Coût | Unitaire],"&gt;0")</f>
        <v>0</v>
      </c>
      <c r="H321" s="7"/>
      <c r="I321" s="7"/>
      <c r="J321" s="7" t="str">
        <f>$F$61</f>
        <v>Nombre d'heure</v>
      </c>
      <c r="K321" s="7">
        <f>SUMIFS(TO_33[Quantité R.],TO_33[Catégorie],"M.-d'œuvre",TO_33[Unité],"Heure")</f>
        <v>0</v>
      </c>
      <c r="L321" s="7">
        <f>$K321-$G321</f>
        <v>0</v>
      </c>
    </row>
    <row r="322" spans="1:12" x14ac:dyDescent="0.2">
      <c r="A322" s="16" t="s">
        <v>7</v>
      </c>
      <c r="B322" s="15"/>
      <c r="C322" s="15"/>
      <c r="D322" s="15"/>
      <c r="E322" s="15"/>
      <c r="F322" s="15"/>
      <c r="G322" s="15"/>
      <c r="H322" s="15"/>
      <c r="I322" s="15"/>
      <c r="J322" s="15"/>
      <c r="K322" s="15"/>
      <c r="L322" s="15"/>
    </row>
    <row r="323" spans="1:12" ht="15" x14ac:dyDescent="0.2">
      <c r="A323" s="41" t="s">
        <v>40</v>
      </c>
      <c r="B323" s="41"/>
      <c r="C323" s="69" t="str">
        <f>$C$8</f>
        <v>BUDGÉTAIRE</v>
      </c>
      <c r="D323" s="70"/>
      <c r="E323" s="70"/>
      <c r="F323" s="70"/>
      <c r="G323" s="71"/>
      <c r="H323" s="69" t="str">
        <f>$H$8</f>
        <v>RÉEL</v>
      </c>
      <c r="I323" s="70"/>
      <c r="J323" s="70"/>
      <c r="K323" s="71"/>
      <c r="L323" s="47" t="str">
        <f>$L$8</f>
        <v>RÉSULTAT</v>
      </c>
    </row>
    <row r="324" spans="1:12" ht="12.75" x14ac:dyDescent="0.2">
      <c r="A324" s="6" t="s">
        <v>15</v>
      </c>
      <c r="B324" s="6" t="s">
        <v>0</v>
      </c>
      <c r="C324" s="6" t="s">
        <v>121</v>
      </c>
      <c r="D324" s="6" t="s">
        <v>5</v>
      </c>
      <c r="E324" s="6" t="s">
        <v>25</v>
      </c>
      <c r="F324" s="6" t="s">
        <v>122</v>
      </c>
      <c r="G324" s="6" t="s">
        <v>26</v>
      </c>
      <c r="H324" s="6" t="s">
        <v>28</v>
      </c>
      <c r="I324" s="6" t="s">
        <v>21</v>
      </c>
      <c r="J324" s="6" t="s">
        <v>123</v>
      </c>
      <c r="K324" s="6" t="s">
        <v>29</v>
      </c>
      <c r="L324" s="6" t="s">
        <v>19</v>
      </c>
    </row>
    <row r="325" spans="1:12" ht="12.75" thickBot="1" x14ac:dyDescent="0.25">
      <c r="A325" s="9" t="s">
        <v>7</v>
      </c>
      <c r="B325" s="12"/>
      <c r="C325" s="9"/>
      <c r="D325" s="13"/>
      <c r="E325" s="9"/>
      <c r="F325" s="14"/>
      <c r="G325" s="10" t="str">
        <f>IF(OR(TO_34[[#This Row],[Catégorie]]="",TO_34[[#This Row],[Catégorie]]="-"),"",ROUNDUP(TO_34[[#This Row],[Quantité]]*TO_34[[#This Row],[Coût | Unitaire]],2))</f>
        <v/>
      </c>
      <c r="H325" s="9"/>
      <c r="I325" s="13"/>
      <c r="J325" s="14"/>
      <c r="K325" s="10" t="str">
        <f>IF(OR(TO_34[[#This Row],[Total | Budgétaire]]="",TO_34[[#This Row],[Quantité R.]]=""),IF(TO_34[[#This Row],[Quantité R.]]&gt;0,ROUNDUP(TO_34[[#This Row],[Quantité R.]]*TO_34[[#This Row],[Coût | Unitaire R.]],2),""),ROUNDUP(TO_34[[#This Row],[Quantité R.]]*TO_34[[#This Row],[Coût | Unitaire R.]],2))</f>
        <v/>
      </c>
      <c r="L325" s="46" t="str">
        <f>IFERROR(IF(TO_34[[#This Row],[Total | Réel]]="",0-TO_34[[#This Row],[Total | Budgétaire]],IF(TO_34[[#This Row],[Total | Budgétaire]]="",TO_34[[#This Row],[Total | Réel]],TO_34[[#This Row],[Total | Réel]]-TO_34[[#This Row],[Total | Budgétaire]])),"")</f>
        <v/>
      </c>
    </row>
    <row r="326" spans="1:12" ht="13.5" thickTop="1" x14ac:dyDescent="0.2">
      <c r="A326" s="11"/>
      <c r="B326" s="11"/>
      <c r="C326" s="11"/>
      <c r="D326" s="11"/>
      <c r="E326" s="11"/>
      <c r="F326" s="19" t="s">
        <v>54</v>
      </c>
      <c r="G326" s="44">
        <f>SUBTOTAL(109,TO_34[Total | Budgétaire])</f>
        <v>0</v>
      </c>
      <c r="H326" s="11"/>
      <c r="I326" s="11"/>
      <c r="J326" s="19" t="s">
        <v>54</v>
      </c>
      <c r="K326" s="44">
        <f>SUBTOTAL(109,TO_34[Total | Réel])</f>
        <v>0</v>
      </c>
      <c r="L326" s="44">
        <f>SUBTOTAL(109,TO_34[Résultat])</f>
        <v>0</v>
      </c>
    </row>
    <row r="327" spans="1:12" ht="12.75" thickBot="1" x14ac:dyDescent="0.25">
      <c r="A327" s="16" t="s">
        <v>7</v>
      </c>
      <c r="B327" s="15"/>
      <c r="C327" s="15"/>
      <c r="D327" s="15"/>
      <c r="E327" s="15"/>
      <c r="F327" s="15"/>
      <c r="G327" s="10"/>
      <c r="H327" s="15"/>
      <c r="I327" s="15"/>
      <c r="J327" s="15"/>
      <c r="K327" s="10"/>
      <c r="L327" s="15"/>
    </row>
    <row r="328" spans="1:12" ht="13.5" thickTop="1" x14ac:dyDescent="0.2">
      <c r="A328" s="15"/>
      <c r="B328" s="15"/>
      <c r="C328" s="15"/>
      <c r="D328" s="15"/>
      <c r="E328" s="15"/>
      <c r="F328" s="7" t="str">
        <f>$F$61</f>
        <v>Nombre d'heure</v>
      </c>
      <c r="G328" s="7">
        <f>SUMIFS(TO_34[Quantité],TO_34[Catégorie],"M.-d'œuvre",TO_34[Unité],"Heure",TO_34[Coût | Unitaire],"&gt;0")</f>
        <v>0</v>
      </c>
      <c r="H328" s="7"/>
      <c r="I328" s="7"/>
      <c r="J328" s="7" t="str">
        <f>$F$61</f>
        <v>Nombre d'heure</v>
      </c>
      <c r="K328" s="7">
        <f>SUMIFS(TO_34[Quantité R.],TO_34[Catégorie],"M.-d'œuvre",TO_34[Unité],"Heure")</f>
        <v>0</v>
      </c>
      <c r="L328" s="7">
        <f>$K328-$G328</f>
        <v>0</v>
      </c>
    </row>
    <row r="329" spans="1:12" x14ac:dyDescent="0.2">
      <c r="A329" s="16" t="s">
        <v>7</v>
      </c>
      <c r="B329" s="15"/>
      <c r="C329" s="15"/>
      <c r="D329" s="15"/>
      <c r="E329" s="15"/>
      <c r="F329" s="15"/>
      <c r="G329" s="15"/>
      <c r="H329" s="15"/>
      <c r="I329" s="15"/>
      <c r="J329" s="15"/>
      <c r="K329" s="15"/>
      <c r="L329" s="15"/>
    </row>
    <row r="330" spans="1:12" ht="15" x14ac:dyDescent="0.2">
      <c r="A330" s="41" t="s">
        <v>11</v>
      </c>
      <c r="B330" s="41"/>
      <c r="C330" s="69" t="str">
        <f>$C$8</f>
        <v>BUDGÉTAIRE</v>
      </c>
      <c r="D330" s="70"/>
      <c r="E330" s="70"/>
      <c r="F330" s="70"/>
      <c r="G330" s="71"/>
      <c r="H330" s="69" t="str">
        <f>$H$8</f>
        <v>RÉEL</v>
      </c>
      <c r="I330" s="70"/>
      <c r="J330" s="70"/>
      <c r="K330" s="71"/>
      <c r="L330" s="47" t="str">
        <f>$L$8</f>
        <v>RÉSULTAT</v>
      </c>
    </row>
    <row r="331" spans="1:12" ht="12.75" x14ac:dyDescent="0.2">
      <c r="A331" s="6" t="s">
        <v>15</v>
      </c>
      <c r="B331" s="6" t="s">
        <v>0</v>
      </c>
      <c r="C331" s="6" t="s">
        <v>121</v>
      </c>
      <c r="D331" s="6" t="s">
        <v>5</v>
      </c>
      <c r="E331" s="6" t="s">
        <v>25</v>
      </c>
      <c r="F331" s="6" t="s">
        <v>122</v>
      </c>
      <c r="G331" s="6" t="s">
        <v>26</v>
      </c>
      <c r="H331" s="6" t="s">
        <v>28</v>
      </c>
      <c r="I331" s="6" t="s">
        <v>21</v>
      </c>
      <c r="J331" s="6" t="s">
        <v>123</v>
      </c>
      <c r="K331" s="6" t="s">
        <v>29</v>
      </c>
      <c r="L331" s="6" t="s">
        <v>19</v>
      </c>
    </row>
    <row r="332" spans="1:12" ht="12.75" thickBot="1" x14ac:dyDescent="0.25">
      <c r="A332" s="9" t="s">
        <v>7</v>
      </c>
      <c r="B332" s="12"/>
      <c r="C332" s="9"/>
      <c r="D332" s="13"/>
      <c r="E332" s="9"/>
      <c r="F332" s="14"/>
      <c r="G332" s="10" t="str">
        <f>IF(OR(TO_35[[#This Row],[Catégorie]]="",TO_35[[#This Row],[Catégorie]]="-"),"",ROUNDUP(TO_35[[#This Row],[Quantité]]*TO_35[[#This Row],[Coût | Unitaire]],2))</f>
        <v/>
      </c>
      <c r="H332" s="9"/>
      <c r="I332" s="13"/>
      <c r="J332" s="14"/>
      <c r="K332" s="10" t="str">
        <f>IF(OR(TO_35[[#This Row],[Total | Budgétaire]]="",TO_35[[#This Row],[Quantité R.]]=""),IF(TO_35[[#This Row],[Quantité R.]]&gt;0,ROUNDUP(TO_35[[#This Row],[Quantité R.]]*TO_35[[#This Row],[Coût | Unitaire R.]],2),""),ROUNDUP(TO_35[[#This Row],[Quantité R.]]*TO_35[[#This Row],[Coût | Unitaire R.]],2))</f>
        <v/>
      </c>
      <c r="L332" s="46" t="str">
        <f>IFERROR(IF(TO_35[[#This Row],[Total | Réel]]="",0-TO_35[[#This Row],[Total | Budgétaire]],IF(TO_35[[#This Row],[Total | Budgétaire]]="",TO_35[[#This Row],[Total | Réel]],TO_35[[#This Row],[Total | Réel]]-TO_35[[#This Row],[Total | Budgétaire]])),"")</f>
        <v/>
      </c>
    </row>
    <row r="333" spans="1:12" ht="13.5" thickTop="1" x14ac:dyDescent="0.2">
      <c r="A333" s="11"/>
      <c r="B333" s="11"/>
      <c r="C333" s="11"/>
      <c r="D333" s="11"/>
      <c r="E333" s="11"/>
      <c r="F333" s="19" t="s">
        <v>54</v>
      </c>
      <c r="G333" s="44">
        <f>SUBTOTAL(109,TO_35[Total | Budgétaire])</f>
        <v>0</v>
      </c>
      <c r="H333" s="11"/>
      <c r="I333" s="11"/>
      <c r="J333" s="19" t="s">
        <v>54</v>
      </c>
      <c r="K333" s="44">
        <f>SUBTOTAL(109,TO_35[Total | Réel])</f>
        <v>0</v>
      </c>
      <c r="L333" s="44">
        <f>SUBTOTAL(109,TO_35[Résultat])</f>
        <v>0</v>
      </c>
    </row>
    <row r="334" spans="1:12" ht="12.75" thickBot="1" x14ac:dyDescent="0.25">
      <c r="A334" s="16" t="s">
        <v>7</v>
      </c>
      <c r="B334" s="15"/>
      <c r="C334" s="15"/>
      <c r="D334" s="15"/>
      <c r="E334" s="15"/>
      <c r="F334" s="15"/>
      <c r="G334" s="10"/>
      <c r="H334" s="15"/>
      <c r="I334" s="15"/>
      <c r="J334" s="15"/>
      <c r="K334" s="10"/>
      <c r="L334" s="15"/>
    </row>
    <row r="335" spans="1:12" ht="13.5" thickTop="1" x14ac:dyDescent="0.2">
      <c r="A335" s="15"/>
      <c r="B335" s="15"/>
      <c r="C335" s="15"/>
      <c r="D335" s="15"/>
      <c r="E335" s="15"/>
      <c r="F335" s="7" t="str">
        <f>$F$61</f>
        <v>Nombre d'heure</v>
      </c>
      <c r="G335" s="7">
        <f>SUMIFS(TO_35[Quantité],TO_35[Catégorie],"M.-d'œuvre",TO_35[Unité],"Heure",TO_35[Coût | Unitaire],"&gt;0")</f>
        <v>0</v>
      </c>
      <c r="H335" s="7"/>
      <c r="I335" s="7"/>
      <c r="J335" s="7" t="str">
        <f>$F$61</f>
        <v>Nombre d'heure</v>
      </c>
      <c r="K335" s="7">
        <f>SUMIFS(TO_35[Quantité R.],TO_35[Catégorie],"M.-d'œuvre",TO_35[Unité],"Heure")</f>
        <v>0</v>
      </c>
      <c r="L335" s="7">
        <f>$K335-$G335</f>
        <v>0</v>
      </c>
    </row>
    <row r="336" spans="1:12" x14ac:dyDescent="0.2">
      <c r="A336" s="16" t="s">
        <v>7</v>
      </c>
      <c r="B336" s="15"/>
      <c r="C336" s="15"/>
      <c r="D336" s="15"/>
      <c r="E336" s="15"/>
      <c r="F336" s="15"/>
      <c r="G336" s="15"/>
      <c r="H336" s="15"/>
      <c r="I336" s="15"/>
      <c r="J336" s="15"/>
      <c r="K336" s="15"/>
      <c r="L336" s="15"/>
    </row>
    <row r="337" spans="1:12" ht="15" x14ac:dyDescent="0.2">
      <c r="A337" s="41" t="s">
        <v>125</v>
      </c>
      <c r="B337" s="41"/>
      <c r="C337" s="69" t="str">
        <f>$C$8</f>
        <v>BUDGÉTAIRE</v>
      </c>
      <c r="D337" s="70"/>
      <c r="E337" s="70"/>
      <c r="F337" s="70"/>
      <c r="G337" s="71"/>
      <c r="H337" s="69" t="str">
        <f>$H$8</f>
        <v>RÉEL</v>
      </c>
      <c r="I337" s="70"/>
      <c r="J337" s="70"/>
      <c r="K337" s="71"/>
      <c r="L337" s="47" t="str">
        <f>$L$8</f>
        <v>RÉSULTAT</v>
      </c>
    </row>
    <row r="338" spans="1:12" ht="12.75" x14ac:dyDescent="0.2">
      <c r="A338" s="6" t="s">
        <v>15</v>
      </c>
      <c r="B338" s="6" t="s">
        <v>0</v>
      </c>
      <c r="C338" s="6" t="s">
        <v>121</v>
      </c>
      <c r="D338" s="6" t="s">
        <v>5</v>
      </c>
      <c r="E338" s="6" t="s">
        <v>25</v>
      </c>
      <c r="F338" s="6" t="s">
        <v>122</v>
      </c>
      <c r="G338" s="6" t="s">
        <v>26</v>
      </c>
      <c r="H338" s="6" t="s">
        <v>28</v>
      </c>
      <c r="I338" s="6" t="s">
        <v>21</v>
      </c>
      <c r="J338" s="6" t="s">
        <v>123</v>
      </c>
      <c r="K338" s="6" t="s">
        <v>29</v>
      </c>
      <c r="L338" s="6" t="s">
        <v>19</v>
      </c>
    </row>
    <row r="339" spans="1:12" ht="12.75" thickBot="1" x14ac:dyDescent="0.25">
      <c r="A339" s="9" t="s">
        <v>7</v>
      </c>
      <c r="B339" s="12"/>
      <c r="C339" s="9"/>
      <c r="D339" s="13"/>
      <c r="E339" s="9"/>
      <c r="F339" s="14"/>
      <c r="G339" s="10" t="str">
        <f>IF(OR(TO_36[[#This Row],[Catégorie]]="",TO_36[[#This Row],[Catégorie]]="-"),"",ROUNDUP(TO_36[[#This Row],[Quantité]]*TO_36[[#This Row],[Coût | Unitaire]],2))</f>
        <v/>
      </c>
      <c r="H339" s="9"/>
      <c r="I339" s="13"/>
      <c r="J339" s="14"/>
      <c r="K339" s="10" t="str">
        <f>IF(OR(TO_36[[#This Row],[Total | Budgétaire]]="",TO_36[[#This Row],[Quantité R.]]=""),IF(TO_36[[#This Row],[Quantité R.]]&gt;0,ROUNDUP(TO_36[[#This Row],[Quantité R.]]*TO_36[[#This Row],[Coût | Unitaire R.]],2),""),ROUNDUP(TO_36[[#This Row],[Quantité R.]]*TO_36[[#This Row],[Coût | Unitaire R.]],2))</f>
        <v/>
      </c>
      <c r="L339" s="46" t="str">
        <f>IFERROR(IF(TO_36[[#This Row],[Total | Réel]]="",0-TO_36[[#This Row],[Total | Budgétaire]],IF(TO_36[[#This Row],[Total | Budgétaire]]="",TO_36[[#This Row],[Total | Réel]],TO_36[[#This Row],[Total | Réel]]-TO_36[[#This Row],[Total | Budgétaire]])),"")</f>
        <v/>
      </c>
    </row>
    <row r="340" spans="1:12" ht="13.5" thickTop="1" x14ac:dyDescent="0.2">
      <c r="A340" s="11"/>
      <c r="B340" s="11"/>
      <c r="C340" s="11"/>
      <c r="D340" s="11"/>
      <c r="E340" s="11"/>
      <c r="F340" s="19" t="s">
        <v>54</v>
      </c>
      <c r="G340" s="44">
        <f>SUBTOTAL(109,TO_36[Total | Budgétaire])</f>
        <v>0</v>
      </c>
      <c r="H340" s="11"/>
      <c r="I340" s="11"/>
      <c r="J340" s="19" t="s">
        <v>54</v>
      </c>
      <c r="K340" s="44">
        <f>SUBTOTAL(109,TO_36[Total | Réel])</f>
        <v>0</v>
      </c>
      <c r="L340" s="44">
        <f>SUBTOTAL(109,TO_36[Résultat])</f>
        <v>0</v>
      </c>
    </row>
    <row r="341" spans="1:12" ht="12.75" thickBot="1" x14ac:dyDescent="0.25">
      <c r="A341" s="16" t="s">
        <v>7</v>
      </c>
      <c r="B341" s="15"/>
      <c r="C341" s="15"/>
      <c r="D341" s="15"/>
      <c r="E341" s="15"/>
      <c r="F341" s="15"/>
      <c r="G341" s="10"/>
      <c r="H341" s="15"/>
      <c r="I341" s="15"/>
      <c r="J341" s="15"/>
      <c r="K341" s="10"/>
      <c r="L341" s="15"/>
    </row>
    <row r="342" spans="1:12" ht="13.5" thickTop="1" x14ac:dyDescent="0.2">
      <c r="A342" s="15"/>
      <c r="B342" s="15"/>
      <c r="C342" s="15"/>
      <c r="D342" s="15"/>
      <c r="E342" s="15"/>
      <c r="F342" s="7" t="str">
        <f>$F$61</f>
        <v>Nombre d'heure</v>
      </c>
      <c r="G342" s="7">
        <f>SUMIFS(TO_36[Quantité],TO_36[Catégorie],"M.-d'œuvre",TO_36[Unité],"Heure",TO_36[Coût | Unitaire],"&gt;0")</f>
        <v>0</v>
      </c>
      <c r="H342" s="7"/>
      <c r="I342" s="7"/>
      <c r="J342" s="7" t="str">
        <f>$F$61</f>
        <v>Nombre d'heure</v>
      </c>
      <c r="K342" s="7">
        <f>SUMIFS(TO_36[Quantité R.],TO_36[Catégorie],"M.-d'œuvre",TO_36[Unité],"Heure")</f>
        <v>0</v>
      </c>
      <c r="L342" s="7">
        <f>$K342-$G342</f>
        <v>0</v>
      </c>
    </row>
    <row r="343" spans="1:12" x14ac:dyDescent="0.2">
      <c r="A343" s="16" t="s">
        <v>7</v>
      </c>
      <c r="B343" s="15"/>
      <c r="C343" s="15"/>
      <c r="D343" s="15"/>
      <c r="E343" s="15"/>
      <c r="F343" s="15"/>
      <c r="G343" s="15"/>
      <c r="H343" s="15"/>
      <c r="I343" s="15"/>
      <c r="J343" s="15"/>
      <c r="K343" s="15"/>
      <c r="L343" s="15"/>
    </row>
    <row r="344" spans="1:12" ht="15" x14ac:dyDescent="0.2">
      <c r="A344" s="41" t="s">
        <v>150</v>
      </c>
      <c r="B344" s="41"/>
      <c r="C344" s="69" t="str">
        <f>$C$8</f>
        <v>BUDGÉTAIRE</v>
      </c>
      <c r="D344" s="70"/>
      <c r="E344" s="70"/>
      <c r="F344" s="70"/>
      <c r="G344" s="71"/>
      <c r="H344" s="69" t="str">
        <f>$H$8</f>
        <v>RÉEL</v>
      </c>
      <c r="I344" s="70"/>
      <c r="J344" s="70"/>
      <c r="K344" s="71"/>
      <c r="L344" s="47" t="str">
        <f>$L$8</f>
        <v>RÉSULTAT</v>
      </c>
    </row>
    <row r="345" spans="1:12" ht="12.75" x14ac:dyDescent="0.2">
      <c r="A345" s="6" t="s">
        <v>15</v>
      </c>
      <c r="B345" s="6" t="s">
        <v>0</v>
      </c>
      <c r="C345" s="6" t="s">
        <v>121</v>
      </c>
      <c r="D345" s="6" t="s">
        <v>5</v>
      </c>
      <c r="E345" s="6" t="s">
        <v>25</v>
      </c>
      <c r="F345" s="6" t="s">
        <v>122</v>
      </c>
      <c r="G345" s="6" t="s">
        <v>26</v>
      </c>
      <c r="H345" s="6" t="s">
        <v>28</v>
      </c>
      <c r="I345" s="6" t="s">
        <v>21</v>
      </c>
      <c r="J345" s="6" t="s">
        <v>123</v>
      </c>
      <c r="K345" s="6" t="s">
        <v>29</v>
      </c>
      <c r="L345" s="6" t="s">
        <v>19</v>
      </c>
    </row>
    <row r="346" spans="1:12" ht="12.75" thickBot="1" x14ac:dyDescent="0.25">
      <c r="A346" s="9" t="s">
        <v>7</v>
      </c>
      <c r="B346" s="12"/>
      <c r="C346" s="9"/>
      <c r="D346" s="13"/>
      <c r="E346" s="9"/>
      <c r="F346" s="14"/>
      <c r="G346" s="10" t="str">
        <f>IF(OR(TO_37[[#This Row],[Catégorie]]="",TO_37[[#This Row],[Catégorie]]="-"),"",ROUNDUP(TO_37[[#This Row],[Quantité]]*TO_37[[#This Row],[Coût | Unitaire]],2))</f>
        <v/>
      </c>
      <c r="H346" s="9"/>
      <c r="I346" s="13"/>
      <c r="J346" s="14"/>
      <c r="K346" s="10" t="str">
        <f>IF(OR(TO_37[[#This Row],[Total | Budgétaire]]="",TO_37[[#This Row],[Quantité R.]]=""),IF(TO_37[[#This Row],[Quantité R.]]&gt;0,ROUNDUP(TO_37[[#This Row],[Quantité R.]]*TO_37[[#This Row],[Coût | Unitaire R.]],2),""),ROUNDUP(TO_37[[#This Row],[Quantité R.]]*TO_37[[#This Row],[Coût | Unitaire R.]],2))</f>
        <v/>
      </c>
      <c r="L346" s="46" t="str">
        <f>IFERROR(IF(TO_37[[#This Row],[Total | Réel]]="",0-TO_37[[#This Row],[Total | Budgétaire]],IF(TO_37[[#This Row],[Total | Budgétaire]]="",TO_37[[#This Row],[Total | Réel]],TO_37[[#This Row],[Total | Réel]]-TO_37[[#This Row],[Total | Budgétaire]])),"")</f>
        <v/>
      </c>
    </row>
    <row r="347" spans="1:12" ht="13.5" thickTop="1" x14ac:dyDescent="0.2">
      <c r="A347" s="11"/>
      <c r="B347" s="11"/>
      <c r="C347" s="11"/>
      <c r="D347" s="11"/>
      <c r="E347" s="11"/>
      <c r="F347" s="19" t="s">
        <v>54</v>
      </c>
      <c r="G347" s="44">
        <f>SUBTOTAL(109,TO_37[Total | Budgétaire])</f>
        <v>0</v>
      </c>
      <c r="H347" s="11"/>
      <c r="I347" s="11"/>
      <c r="J347" s="19" t="s">
        <v>54</v>
      </c>
      <c r="K347" s="44">
        <f>SUBTOTAL(109,TO_37[Total | Réel])</f>
        <v>0</v>
      </c>
      <c r="L347" s="44">
        <f>SUBTOTAL(109,TO_37[Résultat])</f>
        <v>0</v>
      </c>
    </row>
    <row r="348" spans="1:12" ht="12.75" thickBot="1" x14ac:dyDescent="0.25">
      <c r="A348" s="16" t="s">
        <v>7</v>
      </c>
      <c r="B348" s="15"/>
      <c r="C348" s="15"/>
      <c r="D348" s="15"/>
      <c r="E348" s="15"/>
      <c r="F348" s="15"/>
      <c r="G348" s="10"/>
      <c r="H348" s="15"/>
      <c r="I348" s="15"/>
      <c r="J348" s="15"/>
      <c r="K348" s="10"/>
      <c r="L348" s="15"/>
    </row>
    <row r="349" spans="1:12" ht="13.5" thickTop="1" x14ac:dyDescent="0.2">
      <c r="A349" s="15"/>
      <c r="B349" s="15"/>
      <c r="C349" s="15"/>
      <c r="D349" s="15"/>
      <c r="E349" s="15"/>
      <c r="F349" s="7" t="str">
        <f>$F$61</f>
        <v>Nombre d'heure</v>
      </c>
      <c r="G349" s="7">
        <f>SUMIFS(TO_37[Quantité],TO_37[Catégorie],"M.-d'œuvre",TO_37[Unité],"Heure",TO_37[Coût | Unitaire],"&gt;0")</f>
        <v>0</v>
      </c>
      <c r="H349" s="7"/>
      <c r="I349" s="7"/>
      <c r="J349" s="7" t="str">
        <f>$F$61</f>
        <v>Nombre d'heure</v>
      </c>
      <c r="K349" s="7">
        <f>SUMIFS(TO_37[Quantité R.],TO_37[Catégorie],"M.-d'œuvre",TO_37[Unité],"Heure")</f>
        <v>0</v>
      </c>
      <c r="L349" s="7">
        <f>$K349-$G349</f>
        <v>0</v>
      </c>
    </row>
    <row r="350" spans="1:12" x14ac:dyDescent="0.2">
      <c r="A350" s="16" t="s">
        <v>7</v>
      </c>
      <c r="B350" s="15"/>
      <c r="C350" s="15"/>
      <c r="D350" s="15"/>
      <c r="E350" s="15"/>
      <c r="F350" s="15"/>
      <c r="G350" s="15"/>
      <c r="H350" s="15"/>
      <c r="I350" s="15"/>
      <c r="J350" s="15"/>
      <c r="K350" s="15"/>
      <c r="L350" s="15"/>
    </row>
    <row r="351" spans="1:12" ht="15" x14ac:dyDescent="0.2">
      <c r="A351" s="41" t="s">
        <v>12</v>
      </c>
      <c r="B351" s="41"/>
      <c r="C351" s="69" t="str">
        <f>$C$8</f>
        <v>BUDGÉTAIRE</v>
      </c>
      <c r="D351" s="70"/>
      <c r="E351" s="70"/>
      <c r="F351" s="70"/>
      <c r="G351" s="71"/>
      <c r="H351" s="69" t="str">
        <f>$H$8</f>
        <v>RÉEL</v>
      </c>
      <c r="I351" s="70"/>
      <c r="J351" s="70"/>
      <c r="K351" s="71"/>
      <c r="L351" s="47" t="str">
        <f>$L$8</f>
        <v>RÉSULTAT</v>
      </c>
    </row>
    <row r="352" spans="1:12" ht="12.75" x14ac:dyDescent="0.2">
      <c r="A352" s="6" t="s">
        <v>15</v>
      </c>
      <c r="B352" s="6" t="s">
        <v>0</v>
      </c>
      <c r="C352" s="6" t="s">
        <v>121</v>
      </c>
      <c r="D352" s="6" t="s">
        <v>5</v>
      </c>
      <c r="E352" s="6" t="s">
        <v>25</v>
      </c>
      <c r="F352" s="6" t="s">
        <v>122</v>
      </c>
      <c r="G352" s="6" t="s">
        <v>26</v>
      </c>
      <c r="H352" s="6" t="s">
        <v>28</v>
      </c>
      <c r="I352" s="6" t="s">
        <v>21</v>
      </c>
      <c r="J352" s="6" t="s">
        <v>123</v>
      </c>
      <c r="K352" s="6" t="s">
        <v>29</v>
      </c>
      <c r="L352" s="6" t="s">
        <v>19</v>
      </c>
    </row>
    <row r="353" spans="1:12" ht="12.75" thickBot="1" x14ac:dyDescent="0.25">
      <c r="A353" s="9" t="s">
        <v>7</v>
      </c>
      <c r="B353" s="12"/>
      <c r="C353" s="9"/>
      <c r="D353" s="13"/>
      <c r="E353" s="9"/>
      <c r="F353" s="14"/>
      <c r="G353" s="10" t="str">
        <f>IF(OR(TO_38[[#This Row],[Catégorie]]="",TO_38[[#This Row],[Catégorie]]="-"),"",ROUNDUP(TO_38[[#This Row],[Quantité]]*TO_38[[#This Row],[Coût | Unitaire]],2))</f>
        <v/>
      </c>
      <c r="H353" s="9"/>
      <c r="I353" s="13"/>
      <c r="J353" s="14"/>
      <c r="K353" s="10" t="str">
        <f>IF(OR(TO_38[[#This Row],[Total | Budgétaire]]="",TO_38[[#This Row],[Quantité R.]]=""),IF(TO_38[[#This Row],[Quantité R.]]&gt;0,ROUNDUP(TO_38[[#This Row],[Quantité R.]]*TO_38[[#This Row],[Coût | Unitaire R.]],2),""),ROUNDUP(TO_38[[#This Row],[Quantité R.]]*TO_38[[#This Row],[Coût | Unitaire R.]],2))</f>
        <v/>
      </c>
      <c r="L353" s="46" t="str">
        <f>IFERROR(IF(TO_38[[#This Row],[Total | Réel]]="",0-TO_38[[#This Row],[Total | Budgétaire]],IF(TO_38[[#This Row],[Total | Budgétaire]]="",TO_38[[#This Row],[Total | Réel]],TO_38[[#This Row],[Total | Réel]]-TO_38[[#This Row],[Total | Budgétaire]])),"")</f>
        <v/>
      </c>
    </row>
    <row r="354" spans="1:12" ht="13.5" thickTop="1" x14ac:dyDescent="0.2">
      <c r="A354" s="11"/>
      <c r="B354" s="11"/>
      <c r="C354" s="11"/>
      <c r="D354" s="11"/>
      <c r="E354" s="11"/>
      <c r="F354" s="19" t="s">
        <v>54</v>
      </c>
      <c r="G354" s="44">
        <f>SUBTOTAL(109,TO_38[Total | Budgétaire])</f>
        <v>0</v>
      </c>
      <c r="H354" s="11"/>
      <c r="I354" s="11"/>
      <c r="J354" s="19" t="s">
        <v>54</v>
      </c>
      <c r="K354" s="44">
        <f>SUBTOTAL(109,TO_38[Total | Réel])</f>
        <v>0</v>
      </c>
      <c r="L354" s="44">
        <f>SUBTOTAL(109,TO_38[Résultat])</f>
        <v>0</v>
      </c>
    </row>
    <row r="355" spans="1:12" ht="12.75" thickBot="1" x14ac:dyDescent="0.25">
      <c r="A355" s="16" t="s">
        <v>7</v>
      </c>
      <c r="B355" s="15"/>
      <c r="C355" s="15"/>
      <c r="D355" s="15"/>
      <c r="E355" s="15"/>
      <c r="F355" s="15"/>
      <c r="G355" s="10"/>
      <c r="H355" s="15"/>
      <c r="I355" s="15"/>
      <c r="J355" s="15"/>
      <c r="K355" s="10"/>
      <c r="L355" s="15"/>
    </row>
    <row r="356" spans="1:12" ht="13.5" thickTop="1" x14ac:dyDescent="0.2">
      <c r="A356" s="15"/>
      <c r="B356" s="15"/>
      <c r="C356" s="15"/>
      <c r="D356" s="15"/>
      <c r="E356" s="15"/>
      <c r="F356" s="7" t="str">
        <f>$F$61</f>
        <v>Nombre d'heure</v>
      </c>
      <c r="G356" s="7">
        <f>SUMIFS(TO_38[Quantité],TO_38[Catégorie],"M.-d'œuvre",TO_38[Unité],"Heure",TO_38[Coût | Unitaire],"&gt;0")</f>
        <v>0</v>
      </c>
      <c r="H356" s="7"/>
      <c r="I356" s="7"/>
      <c r="J356" s="7" t="str">
        <f>$F$61</f>
        <v>Nombre d'heure</v>
      </c>
      <c r="K356" s="7">
        <f>SUMIFS(TO_38[Quantité R.],TO_38[Catégorie],"M.-d'œuvre",TO_38[Unité],"Heure")</f>
        <v>0</v>
      </c>
      <c r="L356" s="7">
        <f>$K356-$G356</f>
        <v>0</v>
      </c>
    </row>
    <row r="357" spans="1:12" x14ac:dyDescent="0.2">
      <c r="A357" s="16" t="s">
        <v>7</v>
      </c>
      <c r="B357" s="15"/>
      <c r="C357" s="15"/>
      <c r="D357" s="15"/>
      <c r="E357" s="15"/>
      <c r="F357" s="15"/>
      <c r="G357" s="15"/>
      <c r="H357" s="15"/>
      <c r="I357" s="15"/>
      <c r="J357" s="15"/>
      <c r="K357" s="15"/>
      <c r="L357" s="15"/>
    </row>
    <row r="358" spans="1:12" ht="15" x14ac:dyDescent="0.2">
      <c r="A358" s="41" t="s">
        <v>152</v>
      </c>
      <c r="B358" s="41"/>
      <c r="C358" s="69" t="str">
        <f>$C$8</f>
        <v>BUDGÉTAIRE</v>
      </c>
      <c r="D358" s="70"/>
      <c r="E358" s="70"/>
      <c r="F358" s="70"/>
      <c r="G358" s="71"/>
      <c r="H358" s="69" t="str">
        <f>$H$8</f>
        <v>RÉEL</v>
      </c>
      <c r="I358" s="70"/>
      <c r="J358" s="70"/>
      <c r="K358" s="71"/>
      <c r="L358" s="47" t="str">
        <f>$L$8</f>
        <v>RÉSULTAT</v>
      </c>
    </row>
    <row r="359" spans="1:12" ht="12.75" x14ac:dyDescent="0.2">
      <c r="A359" s="6" t="s">
        <v>15</v>
      </c>
      <c r="B359" s="6" t="s">
        <v>0</v>
      </c>
      <c r="C359" s="6" t="s">
        <v>121</v>
      </c>
      <c r="D359" s="6" t="s">
        <v>5</v>
      </c>
      <c r="E359" s="6" t="s">
        <v>25</v>
      </c>
      <c r="F359" s="6" t="s">
        <v>122</v>
      </c>
      <c r="G359" s="6" t="s">
        <v>26</v>
      </c>
      <c r="H359" s="6" t="s">
        <v>28</v>
      </c>
      <c r="I359" s="6" t="s">
        <v>21</v>
      </c>
      <c r="J359" s="6" t="s">
        <v>123</v>
      </c>
      <c r="K359" s="6" t="s">
        <v>29</v>
      </c>
      <c r="L359" s="6" t="s">
        <v>19</v>
      </c>
    </row>
    <row r="360" spans="1:12" ht="12.75" thickBot="1" x14ac:dyDescent="0.25">
      <c r="A360" s="9" t="s">
        <v>7</v>
      </c>
      <c r="B360" s="12"/>
      <c r="C360" s="9"/>
      <c r="D360" s="13"/>
      <c r="E360" s="9"/>
      <c r="F360" s="14"/>
      <c r="G360" s="10" t="str">
        <f>IF(OR(TO_39[[#This Row],[Catégorie]]="",TO_39[[#This Row],[Catégorie]]="-"),"",ROUNDUP(TO_39[[#This Row],[Quantité]]*TO_39[[#This Row],[Coût | Unitaire]],2))</f>
        <v/>
      </c>
      <c r="H360" s="9"/>
      <c r="I360" s="13"/>
      <c r="J360" s="14"/>
      <c r="K360" s="10" t="str">
        <f>IF(OR(TO_39[[#This Row],[Total | Budgétaire]]="",TO_39[[#This Row],[Quantité R.]]=""),IF(TO_39[[#This Row],[Quantité R.]]&gt;0,ROUNDUP(TO_39[[#This Row],[Quantité R.]]*TO_39[[#This Row],[Coût | Unitaire R.]],2),""),ROUNDUP(TO_39[[#This Row],[Quantité R.]]*TO_39[[#This Row],[Coût | Unitaire R.]],2))</f>
        <v/>
      </c>
      <c r="L360" s="46" t="str">
        <f>IFERROR(IF(TO_39[[#This Row],[Total | Réel]]="",0-TO_39[[#This Row],[Total | Budgétaire]],IF(TO_39[[#This Row],[Total | Budgétaire]]="",TO_39[[#This Row],[Total | Réel]],TO_39[[#This Row],[Total | Réel]]-TO_39[[#This Row],[Total | Budgétaire]])),"")</f>
        <v/>
      </c>
    </row>
    <row r="361" spans="1:12" ht="13.5" thickTop="1" x14ac:dyDescent="0.2">
      <c r="A361" s="11"/>
      <c r="B361" s="11"/>
      <c r="C361" s="11"/>
      <c r="D361" s="11"/>
      <c r="E361" s="11"/>
      <c r="F361" s="19" t="s">
        <v>54</v>
      </c>
      <c r="G361" s="44">
        <f>SUBTOTAL(109,TO_39[Total | Budgétaire])</f>
        <v>0</v>
      </c>
      <c r="H361" s="11"/>
      <c r="I361" s="11"/>
      <c r="J361" s="19" t="s">
        <v>54</v>
      </c>
      <c r="K361" s="44">
        <f>SUBTOTAL(109,TO_39[Total | Réel])</f>
        <v>0</v>
      </c>
      <c r="L361" s="44">
        <f>SUBTOTAL(109,TO_39[Résultat])</f>
        <v>0</v>
      </c>
    </row>
    <row r="362" spans="1:12" ht="12.75" thickBot="1" x14ac:dyDescent="0.25">
      <c r="A362" s="16" t="s">
        <v>7</v>
      </c>
      <c r="B362" s="15"/>
      <c r="C362" s="15"/>
      <c r="D362" s="15"/>
      <c r="E362" s="15"/>
      <c r="F362" s="15"/>
      <c r="G362" s="10"/>
      <c r="H362" s="15"/>
      <c r="I362" s="15"/>
      <c r="J362" s="15"/>
      <c r="K362" s="10"/>
      <c r="L362" s="15"/>
    </row>
    <row r="363" spans="1:12" ht="13.5" thickTop="1" x14ac:dyDescent="0.2">
      <c r="A363" s="15"/>
      <c r="B363" s="15"/>
      <c r="C363" s="15"/>
      <c r="D363" s="15"/>
      <c r="E363" s="15"/>
      <c r="F363" s="7" t="str">
        <f>$F$61</f>
        <v>Nombre d'heure</v>
      </c>
      <c r="G363" s="7">
        <f>SUMIFS(TO_39[Quantité],TO_39[Catégorie],"M.-d'œuvre",TO_39[Unité],"Heure",TO_39[Coût | Unitaire],"&gt;0")</f>
        <v>0</v>
      </c>
      <c r="H363" s="7"/>
      <c r="I363" s="7"/>
      <c r="J363" s="7" t="str">
        <f>$F$61</f>
        <v>Nombre d'heure</v>
      </c>
      <c r="K363" s="7">
        <f>SUMIFS(TO_39[Quantité R.],TO_39[Catégorie],"M.-d'œuvre",TO_39[Unité],"Heure")</f>
        <v>0</v>
      </c>
      <c r="L363" s="7">
        <f>$K363-$G363</f>
        <v>0</v>
      </c>
    </row>
    <row r="364" spans="1:12" x14ac:dyDescent="0.2">
      <c r="A364" s="16" t="s">
        <v>7</v>
      </c>
      <c r="B364" s="15"/>
      <c r="C364" s="15"/>
      <c r="D364" s="15"/>
      <c r="E364" s="15"/>
      <c r="F364" s="15"/>
      <c r="G364" s="15"/>
      <c r="H364" s="15"/>
      <c r="I364" s="15"/>
      <c r="J364" s="15"/>
      <c r="K364" s="15"/>
      <c r="L364" s="15"/>
    </row>
    <row r="365" spans="1:12" ht="15" x14ac:dyDescent="0.2">
      <c r="A365" s="41" t="s">
        <v>151</v>
      </c>
      <c r="B365" s="41"/>
      <c r="C365" s="69" t="str">
        <f>$C$8</f>
        <v>BUDGÉTAIRE</v>
      </c>
      <c r="D365" s="70"/>
      <c r="E365" s="70"/>
      <c r="F365" s="70"/>
      <c r="G365" s="71"/>
      <c r="H365" s="69" t="str">
        <f>$H$8</f>
        <v>RÉEL</v>
      </c>
      <c r="I365" s="70"/>
      <c r="J365" s="70"/>
      <c r="K365" s="71"/>
      <c r="L365" s="47" t="str">
        <f>$L$8</f>
        <v>RÉSULTAT</v>
      </c>
    </row>
    <row r="366" spans="1:12" ht="12.75" x14ac:dyDescent="0.2">
      <c r="A366" s="6" t="s">
        <v>15</v>
      </c>
      <c r="B366" s="6" t="s">
        <v>0</v>
      </c>
      <c r="C366" s="6" t="s">
        <v>121</v>
      </c>
      <c r="D366" s="6" t="s">
        <v>5</v>
      </c>
      <c r="E366" s="6" t="s">
        <v>25</v>
      </c>
      <c r="F366" s="6" t="s">
        <v>122</v>
      </c>
      <c r="G366" s="6" t="s">
        <v>26</v>
      </c>
      <c r="H366" s="6" t="s">
        <v>28</v>
      </c>
      <c r="I366" s="6" t="s">
        <v>21</v>
      </c>
      <c r="J366" s="6" t="s">
        <v>123</v>
      </c>
      <c r="K366" s="6" t="s">
        <v>29</v>
      </c>
      <c r="L366" s="6" t="s">
        <v>19</v>
      </c>
    </row>
    <row r="367" spans="1:12" ht="12.75" thickBot="1" x14ac:dyDescent="0.25">
      <c r="A367" s="9" t="s">
        <v>7</v>
      </c>
      <c r="B367" s="12"/>
      <c r="C367" s="9"/>
      <c r="D367" s="13"/>
      <c r="E367" s="9"/>
      <c r="F367" s="14"/>
      <c r="G367" s="10" t="str">
        <f>IF(OR(TO_40[[#This Row],[Catégorie]]="",TO_40[[#This Row],[Catégorie]]="-"),"",ROUNDUP(TO_40[[#This Row],[Quantité]]*TO_40[[#This Row],[Coût | Unitaire]],2))</f>
        <v/>
      </c>
      <c r="H367" s="9"/>
      <c r="I367" s="13"/>
      <c r="J367" s="14"/>
      <c r="K367" s="10" t="str">
        <f>IF(OR(TO_40[[#This Row],[Total | Budgétaire]]="",TO_40[[#This Row],[Quantité R.]]=""),IF(TO_40[[#This Row],[Quantité R.]]&gt;0,ROUNDUP(TO_40[[#This Row],[Quantité R.]]*TO_40[[#This Row],[Coût | Unitaire R.]],2),""),ROUNDUP(TO_40[[#This Row],[Quantité R.]]*TO_40[[#This Row],[Coût | Unitaire R.]],2))</f>
        <v/>
      </c>
      <c r="L367" s="46" t="str">
        <f>IFERROR(IF(TO_40[[#This Row],[Total | Réel]]="",0-TO_40[[#This Row],[Total | Budgétaire]],IF(TO_40[[#This Row],[Total | Budgétaire]]="",TO_40[[#This Row],[Total | Réel]],TO_40[[#This Row],[Total | Réel]]-TO_40[[#This Row],[Total | Budgétaire]])),"")</f>
        <v/>
      </c>
    </row>
    <row r="368" spans="1:12" ht="13.5" thickTop="1" x14ac:dyDescent="0.2">
      <c r="A368" s="11"/>
      <c r="B368" s="11"/>
      <c r="C368" s="11"/>
      <c r="D368" s="11"/>
      <c r="E368" s="11"/>
      <c r="F368" s="19" t="s">
        <v>54</v>
      </c>
      <c r="G368" s="44">
        <f>SUBTOTAL(109,TO_40[Total | Budgétaire])</f>
        <v>0</v>
      </c>
      <c r="H368" s="11"/>
      <c r="I368" s="11"/>
      <c r="J368" s="19" t="s">
        <v>54</v>
      </c>
      <c r="K368" s="44">
        <f>SUBTOTAL(109,TO_40[Total | Réel])</f>
        <v>0</v>
      </c>
      <c r="L368" s="44">
        <f>SUBTOTAL(109,TO_40[Résultat])</f>
        <v>0</v>
      </c>
    </row>
    <row r="369" spans="1:12" ht="12.75" thickBot="1" x14ac:dyDescent="0.25">
      <c r="A369" s="16" t="s">
        <v>7</v>
      </c>
      <c r="B369" s="15"/>
      <c r="C369" s="15"/>
      <c r="D369" s="15"/>
      <c r="E369" s="15"/>
      <c r="F369" s="15"/>
      <c r="G369" s="10"/>
      <c r="H369" s="15"/>
      <c r="I369" s="15"/>
      <c r="J369" s="15"/>
      <c r="K369" s="10"/>
      <c r="L369" s="15"/>
    </row>
    <row r="370" spans="1:12" ht="13.5" thickTop="1" x14ac:dyDescent="0.2">
      <c r="A370" s="15"/>
      <c r="B370" s="15"/>
      <c r="C370" s="15"/>
      <c r="D370" s="15"/>
      <c r="E370" s="15"/>
      <c r="F370" s="7" t="str">
        <f>$F$61</f>
        <v>Nombre d'heure</v>
      </c>
      <c r="G370" s="7">
        <f>SUMIFS(TO_40[Quantité],TO_40[Catégorie],"M.-d'œuvre",TO_40[Unité],"Heure",TO_40[Coût | Unitaire],"&gt;0")</f>
        <v>0</v>
      </c>
      <c r="H370" s="7"/>
      <c r="I370" s="7"/>
      <c r="J370" s="7" t="str">
        <f>$F$61</f>
        <v>Nombre d'heure</v>
      </c>
      <c r="K370" s="7">
        <f>SUMIFS(TO_40[Quantité R.],TO_40[Catégorie],"M.-d'œuvre",TO_40[Unité],"Heure")</f>
        <v>0</v>
      </c>
      <c r="L370" s="7">
        <f>$K370-$G370</f>
        <v>0</v>
      </c>
    </row>
    <row r="371" spans="1:12" x14ac:dyDescent="0.2">
      <c r="A371" s="16" t="s">
        <v>7</v>
      </c>
      <c r="B371" s="15"/>
      <c r="C371" s="15"/>
      <c r="D371" s="15"/>
      <c r="E371" s="15"/>
      <c r="F371" s="15"/>
      <c r="G371" s="15"/>
      <c r="H371" s="15"/>
      <c r="I371" s="15"/>
      <c r="J371" s="15"/>
      <c r="K371" s="15"/>
      <c r="L371" s="15"/>
    </row>
    <row r="372" spans="1:12" ht="15" x14ac:dyDescent="0.2">
      <c r="A372" s="41" t="s">
        <v>42</v>
      </c>
      <c r="B372" s="41"/>
      <c r="C372" s="69" t="str">
        <f>$C$8</f>
        <v>BUDGÉTAIRE</v>
      </c>
      <c r="D372" s="70"/>
      <c r="E372" s="70"/>
      <c r="F372" s="70"/>
      <c r="G372" s="71"/>
      <c r="H372" s="69" t="str">
        <f>$H$8</f>
        <v>RÉEL</v>
      </c>
      <c r="I372" s="70"/>
      <c r="J372" s="70"/>
      <c r="K372" s="71"/>
      <c r="L372" s="47" t="str">
        <f>$L$8</f>
        <v>RÉSULTAT</v>
      </c>
    </row>
    <row r="373" spans="1:12" ht="12.75" x14ac:dyDescent="0.2">
      <c r="A373" s="6" t="s">
        <v>15</v>
      </c>
      <c r="B373" s="6" t="s">
        <v>0</v>
      </c>
      <c r="C373" s="6" t="s">
        <v>121</v>
      </c>
      <c r="D373" s="6" t="s">
        <v>5</v>
      </c>
      <c r="E373" s="6" t="s">
        <v>25</v>
      </c>
      <c r="F373" s="6" t="s">
        <v>122</v>
      </c>
      <c r="G373" s="6" t="s">
        <v>26</v>
      </c>
      <c r="H373" s="6" t="s">
        <v>28</v>
      </c>
      <c r="I373" s="6" t="s">
        <v>21</v>
      </c>
      <c r="J373" s="6" t="s">
        <v>123</v>
      </c>
      <c r="K373" s="6" t="s">
        <v>29</v>
      </c>
      <c r="L373" s="6" t="s">
        <v>19</v>
      </c>
    </row>
    <row r="374" spans="1:12" ht="12.75" thickBot="1" x14ac:dyDescent="0.25">
      <c r="A374" s="9" t="s">
        <v>7</v>
      </c>
      <c r="B374" s="12"/>
      <c r="C374" s="9"/>
      <c r="D374" s="13"/>
      <c r="E374" s="9"/>
      <c r="F374" s="14"/>
      <c r="G374" s="10" t="str">
        <f>IF(OR(TO_41[[#This Row],[Catégorie]]="",TO_41[[#This Row],[Catégorie]]="-"),"",ROUNDUP(TO_41[[#This Row],[Quantité]]*TO_41[[#This Row],[Coût | Unitaire]],2))</f>
        <v/>
      </c>
      <c r="H374" s="9"/>
      <c r="I374" s="13"/>
      <c r="J374" s="14"/>
      <c r="K374" s="10" t="str">
        <f>IF(OR(TO_41[[#This Row],[Total | Budgétaire]]="",TO_41[[#This Row],[Quantité R.]]=""),IF(TO_41[[#This Row],[Quantité R.]]&gt;0,ROUNDUP(TO_41[[#This Row],[Quantité R.]]*TO_41[[#This Row],[Coût | Unitaire R.]],2),""),ROUNDUP(TO_41[[#This Row],[Quantité R.]]*TO_41[[#This Row],[Coût | Unitaire R.]],2))</f>
        <v/>
      </c>
      <c r="L374" s="46" t="str">
        <f>IFERROR(IF(TO_41[[#This Row],[Total | Réel]]="",0-TO_41[[#This Row],[Total | Budgétaire]],IF(TO_41[[#This Row],[Total | Budgétaire]]="",TO_41[[#This Row],[Total | Réel]],TO_41[[#This Row],[Total | Réel]]-TO_41[[#This Row],[Total | Budgétaire]])),"")</f>
        <v/>
      </c>
    </row>
    <row r="375" spans="1:12" ht="13.5" thickTop="1" x14ac:dyDescent="0.2">
      <c r="A375" s="11"/>
      <c r="B375" s="11"/>
      <c r="C375" s="11"/>
      <c r="D375" s="11"/>
      <c r="E375" s="11"/>
      <c r="F375" s="19" t="s">
        <v>54</v>
      </c>
      <c r="G375" s="44">
        <f>SUBTOTAL(109,TO_41[Total | Budgétaire])</f>
        <v>0</v>
      </c>
      <c r="H375" s="11"/>
      <c r="I375" s="11"/>
      <c r="J375" s="19" t="s">
        <v>54</v>
      </c>
      <c r="K375" s="44">
        <f>SUBTOTAL(109,TO_41[Total | Réel])</f>
        <v>0</v>
      </c>
      <c r="L375" s="44">
        <f>SUBTOTAL(109,TO_41[Résultat])</f>
        <v>0</v>
      </c>
    </row>
    <row r="376" spans="1:12" ht="12.75" thickBot="1" x14ac:dyDescent="0.25">
      <c r="A376" s="16" t="s">
        <v>7</v>
      </c>
      <c r="B376" s="15"/>
      <c r="C376" s="15"/>
      <c r="D376" s="15"/>
      <c r="E376" s="15"/>
      <c r="F376" s="15"/>
      <c r="G376" s="10"/>
      <c r="H376" s="15"/>
      <c r="I376" s="15"/>
      <c r="J376" s="15"/>
      <c r="K376" s="10"/>
      <c r="L376" s="15"/>
    </row>
    <row r="377" spans="1:12" ht="13.5" thickTop="1" x14ac:dyDescent="0.2">
      <c r="A377" s="15"/>
      <c r="B377" s="15"/>
      <c r="C377" s="15"/>
      <c r="D377" s="15"/>
      <c r="E377" s="15"/>
      <c r="F377" s="7" t="str">
        <f>$F$61</f>
        <v>Nombre d'heure</v>
      </c>
      <c r="G377" s="7">
        <f>SUMIFS(TO_41[Quantité],TO_41[Catégorie],"M.-d'œuvre",TO_41[Unité],"Heure",TO_41[Coût | Unitaire],"&gt;0")</f>
        <v>0</v>
      </c>
      <c r="H377" s="7"/>
      <c r="I377" s="7"/>
      <c r="J377" s="7" t="str">
        <f>$F$61</f>
        <v>Nombre d'heure</v>
      </c>
      <c r="K377" s="7">
        <f>SUMIFS(TO_41[Quantité R.],TO_41[Catégorie],"M.-d'œuvre",TO_41[Unité],"Heure")</f>
        <v>0</v>
      </c>
      <c r="L377" s="7">
        <f>$K377-$G377</f>
        <v>0</v>
      </c>
    </row>
    <row r="378" spans="1:12" x14ac:dyDescent="0.2">
      <c r="A378" s="16" t="s">
        <v>7</v>
      </c>
      <c r="B378" s="15"/>
      <c r="C378" s="15"/>
      <c r="D378" s="15"/>
      <c r="E378" s="15"/>
      <c r="F378" s="15"/>
      <c r="G378" s="15"/>
      <c r="H378" s="15"/>
      <c r="I378" s="15"/>
      <c r="J378" s="15"/>
      <c r="K378" s="15"/>
      <c r="L378" s="15"/>
    </row>
    <row r="379" spans="1:12" ht="15" x14ac:dyDescent="0.2">
      <c r="A379" s="41" t="s">
        <v>124</v>
      </c>
      <c r="B379" s="41"/>
      <c r="C379" s="41"/>
      <c r="D379" s="41"/>
      <c r="E379" s="41"/>
      <c r="F379" s="41"/>
      <c r="G379" s="41"/>
      <c r="H379" s="41"/>
      <c r="I379" s="41"/>
      <c r="J379" s="41"/>
      <c r="K379" s="41"/>
      <c r="L379" s="41"/>
    </row>
    <row r="380" spans="1:12" ht="12.75" x14ac:dyDescent="0.2">
      <c r="A380" s="6" t="s">
        <v>48</v>
      </c>
      <c r="B380" s="73" t="s">
        <v>0</v>
      </c>
      <c r="C380" s="73"/>
      <c r="D380" s="73"/>
      <c r="E380" s="73"/>
      <c r="F380" s="73"/>
      <c r="G380" s="73"/>
      <c r="H380" s="73"/>
      <c r="I380" s="73"/>
      <c r="J380" s="33" t="s">
        <v>5</v>
      </c>
      <c r="K380" s="33" t="s">
        <v>122</v>
      </c>
      <c r="L380" s="33" t="s">
        <v>6</v>
      </c>
    </row>
    <row r="381" spans="1:12" x14ac:dyDescent="0.2">
      <c r="A381" s="18">
        <v>1</v>
      </c>
      <c r="B381" s="72" t="s">
        <v>157</v>
      </c>
      <c r="C381" s="72"/>
      <c r="D381" s="72"/>
      <c r="E381" s="72"/>
      <c r="F381" s="72"/>
      <c r="G381" s="72"/>
      <c r="H381" s="72"/>
      <c r="I381" s="72"/>
      <c r="J381" s="21"/>
      <c r="K381" s="22"/>
      <c r="L381" s="46">
        <f>ROUNDUP(J381*K381,2)</f>
        <v>0</v>
      </c>
    </row>
    <row r="382" spans="1:12" x14ac:dyDescent="0.2">
      <c r="A382" s="18">
        <v>2</v>
      </c>
      <c r="B382" s="72" t="s">
        <v>156</v>
      </c>
      <c r="C382" s="72"/>
      <c r="D382" s="72"/>
      <c r="E382" s="72"/>
      <c r="F382" s="72"/>
      <c r="G382" s="72"/>
      <c r="H382" s="72"/>
      <c r="I382" s="72"/>
      <c r="J382" s="21"/>
      <c r="K382" s="22"/>
      <c r="L382" s="46">
        <f t="shared" ref="L382:L410" si="12">ROUNDUP(J382*K382,2)</f>
        <v>0</v>
      </c>
    </row>
    <row r="383" spans="1:12" x14ac:dyDescent="0.2">
      <c r="A383" s="18">
        <v>3</v>
      </c>
      <c r="B383" s="72"/>
      <c r="C383" s="72"/>
      <c r="D383" s="72"/>
      <c r="E383" s="72"/>
      <c r="F383" s="72"/>
      <c r="G383" s="72"/>
      <c r="H383" s="72"/>
      <c r="I383" s="72"/>
      <c r="J383" s="21"/>
      <c r="K383" s="22"/>
      <c r="L383" s="46">
        <f t="shared" si="12"/>
        <v>0</v>
      </c>
    </row>
    <row r="384" spans="1:12" x14ac:dyDescent="0.2">
      <c r="A384" s="18">
        <v>4</v>
      </c>
      <c r="B384" s="72"/>
      <c r="C384" s="72"/>
      <c r="D384" s="72"/>
      <c r="E384" s="72"/>
      <c r="F384" s="72"/>
      <c r="G384" s="72"/>
      <c r="H384" s="72"/>
      <c r="I384" s="72"/>
      <c r="J384" s="21"/>
      <c r="K384" s="22"/>
      <c r="L384" s="46">
        <f t="shared" si="12"/>
        <v>0</v>
      </c>
    </row>
    <row r="385" spans="1:12" x14ac:dyDescent="0.2">
      <c r="A385" s="18">
        <v>5</v>
      </c>
      <c r="B385" s="72"/>
      <c r="C385" s="72"/>
      <c r="D385" s="72"/>
      <c r="E385" s="72"/>
      <c r="F385" s="72"/>
      <c r="G385" s="72"/>
      <c r="H385" s="72"/>
      <c r="I385" s="72"/>
      <c r="J385" s="21"/>
      <c r="K385" s="22"/>
      <c r="L385" s="46">
        <f t="shared" si="12"/>
        <v>0</v>
      </c>
    </row>
    <row r="386" spans="1:12" x14ac:dyDescent="0.2">
      <c r="A386" s="18">
        <v>6</v>
      </c>
      <c r="B386" s="72"/>
      <c r="C386" s="72"/>
      <c r="D386" s="72"/>
      <c r="E386" s="72"/>
      <c r="F386" s="72"/>
      <c r="G386" s="72"/>
      <c r="H386" s="72"/>
      <c r="I386" s="72"/>
      <c r="J386" s="21"/>
      <c r="K386" s="22"/>
      <c r="L386" s="46">
        <f t="shared" si="12"/>
        <v>0</v>
      </c>
    </row>
    <row r="387" spans="1:12" x14ac:dyDescent="0.2">
      <c r="A387" s="18">
        <v>7</v>
      </c>
      <c r="B387" s="72"/>
      <c r="C387" s="72"/>
      <c r="D387" s="72"/>
      <c r="E387" s="72"/>
      <c r="F387" s="72"/>
      <c r="G387" s="72"/>
      <c r="H387" s="72"/>
      <c r="I387" s="72"/>
      <c r="J387" s="21"/>
      <c r="K387" s="22"/>
      <c r="L387" s="46">
        <f t="shared" si="12"/>
        <v>0</v>
      </c>
    </row>
    <row r="388" spans="1:12" x14ac:dyDescent="0.2">
      <c r="A388" s="18">
        <v>8</v>
      </c>
      <c r="B388" s="72"/>
      <c r="C388" s="72"/>
      <c r="D388" s="72"/>
      <c r="E388" s="72"/>
      <c r="F388" s="72"/>
      <c r="G388" s="72"/>
      <c r="H388" s="72"/>
      <c r="I388" s="72"/>
      <c r="J388" s="21"/>
      <c r="K388" s="22"/>
      <c r="L388" s="46">
        <f t="shared" si="12"/>
        <v>0</v>
      </c>
    </row>
    <row r="389" spans="1:12" x14ac:dyDescent="0.2">
      <c r="A389" s="18">
        <v>9</v>
      </c>
      <c r="B389" s="72"/>
      <c r="C389" s="72"/>
      <c r="D389" s="72"/>
      <c r="E389" s="72"/>
      <c r="F389" s="72"/>
      <c r="G389" s="72"/>
      <c r="H389" s="72"/>
      <c r="I389" s="72"/>
      <c r="J389" s="21"/>
      <c r="K389" s="22"/>
      <c r="L389" s="46">
        <f t="shared" si="12"/>
        <v>0</v>
      </c>
    </row>
    <row r="390" spans="1:12" x14ac:dyDescent="0.2">
      <c r="A390" s="18">
        <v>10</v>
      </c>
      <c r="B390" s="72"/>
      <c r="C390" s="72"/>
      <c r="D390" s="72"/>
      <c r="E390" s="72"/>
      <c r="F390" s="72"/>
      <c r="G390" s="72"/>
      <c r="H390" s="72"/>
      <c r="I390" s="72"/>
      <c r="J390" s="21"/>
      <c r="K390" s="22"/>
      <c r="L390" s="46">
        <f t="shared" si="12"/>
        <v>0</v>
      </c>
    </row>
    <row r="391" spans="1:12" x14ac:dyDescent="0.2">
      <c r="A391" s="18">
        <v>11</v>
      </c>
      <c r="B391" s="72"/>
      <c r="C391" s="72"/>
      <c r="D391" s="72"/>
      <c r="E391" s="72"/>
      <c r="F391" s="72"/>
      <c r="G391" s="72"/>
      <c r="H391" s="72"/>
      <c r="I391" s="72"/>
      <c r="J391" s="21"/>
      <c r="K391" s="22"/>
      <c r="L391" s="46">
        <f t="shared" si="12"/>
        <v>0</v>
      </c>
    </row>
    <row r="392" spans="1:12" x14ac:dyDescent="0.2">
      <c r="A392" s="18">
        <v>12</v>
      </c>
      <c r="B392" s="72"/>
      <c r="C392" s="72"/>
      <c r="D392" s="72"/>
      <c r="E392" s="72"/>
      <c r="F392" s="72"/>
      <c r="G392" s="72"/>
      <c r="H392" s="72"/>
      <c r="I392" s="72"/>
      <c r="J392" s="21"/>
      <c r="K392" s="22"/>
      <c r="L392" s="46">
        <f t="shared" si="12"/>
        <v>0</v>
      </c>
    </row>
    <row r="393" spans="1:12" x14ac:dyDescent="0.2">
      <c r="A393" s="18">
        <v>13</v>
      </c>
      <c r="B393" s="72"/>
      <c r="C393" s="72"/>
      <c r="D393" s="72"/>
      <c r="E393" s="72"/>
      <c r="F393" s="72"/>
      <c r="G393" s="72"/>
      <c r="H393" s="72"/>
      <c r="I393" s="72"/>
      <c r="J393" s="21"/>
      <c r="K393" s="22"/>
      <c r="L393" s="46">
        <f t="shared" si="12"/>
        <v>0</v>
      </c>
    </row>
    <row r="394" spans="1:12" x14ac:dyDescent="0.2">
      <c r="A394" s="18">
        <v>14</v>
      </c>
      <c r="B394" s="72"/>
      <c r="C394" s="72"/>
      <c r="D394" s="72"/>
      <c r="E394" s="72"/>
      <c r="F394" s="72"/>
      <c r="G394" s="72"/>
      <c r="H394" s="72"/>
      <c r="I394" s="72"/>
      <c r="J394" s="21"/>
      <c r="K394" s="22"/>
      <c r="L394" s="46">
        <f t="shared" si="12"/>
        <v>0</v>
      </c>
    </row>
    <row r="395" spans="1:12" x14ac:dyDescent="0.2">
      <c r="A395" s="18">
        <v>15</v>
      </c>
      <c r="B395" s="72"/>
      <c r="C395" s="72"/>
      <c r="D395" s="72"/>
      <c r="E395" s="72"/>
      <c r="F395" s="72"/>
      <c r="G395" s="72"/>
      <c r="H395" s="72"/>
      <c r="I395" s="72"/>
      <c r="J395" s="21"/>
      <c r="K395" s="22"/>
      <c r="L395" s="46">
        <f t="shared" si="12"/>
        <v>0</v>
      </c>
    </row>
    <row r="396" spans="1:12" x14ac:dyDescent="0.2">
      <c r="A396" s="18">
        <v>16</v>
      </c>
      <c r="B396" s="72"/>
      <c r="C396" s="72"/>
      <c r="D396" s="72"/>
      <c r="E396" s="72"/>
      <c r="F396" s="72"/>
      <c r="G396" s="72"/>
      <c r="H396" s="72"/>
      <c r="I396" s="72"/>
      <c r="J396" s="21"/>
      <c r="K396" s="22"/>
      <c r="L396" s="46">
        <f t="shared" si="12"/>
        <v>0</v>
      </c>
    </row>
    <row r="397" spans="1:12" x14ac:dyDescent="0.2">
      <c r="A397" s="18">
        <v>17</v>
      </c>
      <c r="B397" s="72"/>
      <c r="C397" s="72"/>
      <c r="D397" s="72"/>
      <c r="E397" s="72"/>
      <c r="F397" s="72"/>
      <c r="G397" s="72"/>
      <c r="H397" s="72"/>
      <c r="I397" s="72"/>
      <c r="J397" s="21"/>
      <c r="K397" s="22"/>
      <c r="L397" s="46">
        <f t="shared" si="12"/>
        <v>0</v>
      </c>
    </row>
    <row r="398" spans="1:12" x14ac:dyDescent="0.2">
      <c r="A398" s="18">
        <v>18</v>
      </c>
      <c r="B398" s="72"/>
      <c r="C398" s="72"/>
      <c r="D398" s="72"/>
      <c r="E398" s="72"/>
      <c r="F398" s="72"/>
      <c r="G398" s="72"/>
      <c r="H398" s="72"/>
      <c r="I398" s="72"/>
      <c r="J398" s="21"/>
      <c r="K398" s="22"/>
      <c r="L398" s="46">
        <f t="shared" si="12"/>
        <v>0</v>
      </c>
    </row>
    <row r="399" spans="1:12" x14ac:dyDescent="0.2">
      <c r="A399" s="18">
        <v>19</v>
      </c>
      <c r="B399" s="72"/>
      <c r="C399" s="72"/>
      <c r="D399" s="72"/>
      <c r="E399" s="72"/>
      <c r="F399" s="72"/>
      <c r="G399" s="72"/>
      <c r="H399" s="72"/>
      <c r="I399" s="72"/>
      <c r="J399" s="21"/>
      <c r="K399" s="22"/>
      <c r="L399" s="46">
        <f t="shared" si="12"/>
        <v>0</v>
      </c>
    </row>
    <row r="400" spans="1:12" x14ac:dyDescent="0.2">
      <c r="A400" s="18">
        <v>20</v>
      </c>
      <c r="B400" s="72"/>
      <c r="C400" s="72"/>
      <c r="D400" s="72"/>
      <c r="E400" s="72"/>
      <c r="F400" s="72"/>
      <c r="G400" s="72"/>
      <c r="H400" s="72"/>
      <c r="I400" s="72"/>
      <c r="J400" s="21"/>
      <c r="K400" s="22"/>
      <c r="L400" s="46">
        <f t="shared" si="12"/>
        <v>0</v>
      </c>
    </row>
    <row r="401" spans="1:12" x14ac:dyDescent="0.2">
      <c r="A401" s="18">
        <v>21</v>
      </c>
      <c r="B401" s="72"/>
      <c r="C401" s="72"/>
      <c r="D401" s="72"/>
      <c r="E401" s="72"/>
      <c r="F401" s="72"/>
      <c r="G401" s="72"/>
      <c r="H401" s="72"/>
      <c r="I401" s="72"/>
      <c r="J401" s="21"/>
      <c r="K401" s="22"/>
      <c r="L401" s="46">
        <f t="shared" si="12"/>
        <v>0</v>
      </c>
    </row>
    <row r="402" spans="1:12" x14ac:dyDescent="0.2">
      <c r="A402" s="18">
        <v>22</v>
      </c>
      <c r="B402" s="72"/>
      <c r="C402" s="72"/>
      <c r="D402" s="72"/>
      <c r="E402" s="72"/>
      <c r="F402" s="72"/>
      <c r="G402" s="72"/>
      <c r="H402" s="72"/>
      <c r="I402" s="72"/>
      <c r="J402" s="21"/>
      <c r="K402" s="22"/>
      <c r="L402" s="46">
        <f t="shared" si="12"/>
        <v>0</v>
      </c>
    </row>
    <row r="403" spans="1:12" x14ac:dyDescent="0.2">
      <c r="A403" s="18">
        <v>23</v>
      </c>
      <c r="B403" s="72"/>
      <c r="C403" s="72"/>
      <c r="D403" s="72"/>
      <c r="E403" s="72"/>
      <c r="F403" s="72"/>
      <c r="G403" s="72"/>
      <c r="H403" s="72"/>
      <c r="I403" s="72"/>
      <c r="J403" s="21"/>
      <c r="K403" s="22"/>
      <c r="L403" s="46">
        <f t="shared" si="12"/>
        <v>0</v>
      </c>
    </row>
    <row r="404" spans="1:12" x14ac:dyDescent="0.2">
      <c r="A404" s="18">
        <v>24</v>
      </c>
      <c r="B404" s="72"/>
      <c r="C404" s="72"/>
      <c r="D404" s="72"/>
      <c r="E404" s="72"/>
      <c r="F404" s="72"/>
      <c r="G404" s="72"/>
      <c r="H404" s="72"/>
      <c r="I404" s="72"/>
      <c r="J404" s="21"/>
      <c r="K404" s="22"/>
      <c r="L404" s="46">
        <f t="shared" si="12"/>
        <v>0</v>
      </c>
    </row>
    <row r="405" spans="1:12" x14ac:dyDescent="0.2">
      <c r="A405" s="18">
        <v>25</v>
      </c>
      <c r="B405" s="72"/>
      <c r="C405" s="72"/>
      <c r="D405" s="72"/>
      <c r="E405" s="72"/>
      <c r="F405" s="72"/>
      <c r="G405" s="72"/>
      <c r="H405" s="72"/>
      <c r="I405" s="72"/>
      <c r="J405" s="21"/>
      <c r="K405" s="22"/>
      <c r="L405" s="46">
        <f t="shared" si="12"/>
        <v>0</v>
      </c>
    </row>
    <row r="406" spans="1:12" x14ac:dyDescent="0.2">
      <c r="A406" s="18">
        <v>26</v>
      </c>
      <c r="B406" s="72"/>
      <c r="C406" s="72"/>
      <c r="D406" s="72"/>
      <c r="E406" s="72"/>
      <c r="F406" s="72"/>
      <c r="G406" s="72"/>
      <c r="H406" s="72"/>
      <c r="I406" s="72"/>
      <c r="J406" s="21"/>
      <c r="K406" s="22"/>
      <c r="L406" s="46">
        <f t="shared" si="12"/>
        <v>0</v>
      </c>
    </row>
    <row r="407" spans="1:12" x14ac:dyDescent="0.2">
      <c r="A407" s="18">
        <v>27</v>
      </c>
      <c r="B407" s="72"/>
      <c r="C407" s="72"/>
      <c r="D407" s="72"/>
      <c r="E407" s="72"/>
      <c r="F407" s="72"/>
      <c r="G407" s="72"/>
      <c r="H407" s="72"/>
      <c r="I407" s="72"/>
      <c r="J407" s="21"/>
      <c r="K407" s="22"/>
      <c r="L407" s="46">
        <f t="shared" si="12"/>
        <v>0</v>
      </c>
    </row>
    <row r="408" spans="1:12" x14ac:dyDescent="0.2">
      <c r="A408" s="18">
        <v>28</v>
      </c>
      <c r="B408" s="72"/>
      <c r="C408" s="72"/>
      <c r="D408" s="72"/>
      <c r="E408" s="72"/>
      <c r="F408" s="72"/>
      <c r="G408" s="72"/>
      <c r="H408" s="72"/>
      <c r="I408" s="72"/>
      <c r="J408" s="21"/>
      <c r="K408" s="22"/>
      <c r="L408" s="46">
        <f t="shared" si="12"/>
        <v>0</v>
      </c>
    </row>
    <row r="409" spans="1:12" x14ac:dyDescent="0.2">
      <c r="A409" s="18">
        <v>29</v>
      </c>
      <c r="B409" s="72"/>
      <c r="C409" s="72"/>
      <c r="D409" s="72"/>
      <c r="E409" s="72"/>
      <c r="F409" s="72"/>
      <c r="G409" s="72"/>
      <c r="H409" s="72"/>
      <c r="I409" s="72"/>
      <c r="J409" s="21"/>
      <c r="K409" s="22"/>
      <c r="L409" s="46">
        <f t="shared" si="12"/>
        <v>0</v>
      </c>
    </row>
    <row r="410" spans="1:12" x14ac:dyDescent="0.2">
      <c r="A410" s="18">
        <v>30</v>
      </c>
      <c r="B410" s="72"/>
      <c r="C410" s="72"/>
      <c r="D410" s="72"/>
      <c r="E410" s="72"/>
      <c r="F410" s="72"/>
      <c r="G410" s="72"/>
      <c r="H410" s="72"/>
      <c r="I410" s="72"/>
      <c r="J410" s="21"/>
      <c r="K410" s="22"/>
      <c r="L410" s="46">
        <f t="shared" si="12"/>
        <v>0</v>
      </c>
    </row>
  </sheetData>
  <sheetProtection selectLockedCells="1" autoFilter="0"/>
  <mergeCells count="117">
    <mergeCell ref="F5:H5"/>
    <mergeCell ref="F6:H6"/>
    <mergeCell ref="B410:I410"/>
    <mergeCell ref="B399:I399"/>
    <mergeCell ref="B400:I400"/>
    <mergeCell ref="B406:I406"/>
    <mergeCell ref="B401:I401"/>
    <mergeCell ref="B402:I402"/>
    <mergeCell ref="B403:I403"/>
    <mergeCell ref="B404:I404"/>
    <mergeCell ref="B405:I405"/>
    <mergeCell ref="B393:I393"/>
    <mergeCell ref="B394:I394"/>
    <mergeCell ref="B395:I395"/>
    <mergeCell ref="B396:I396"/>
    <mergeCell ref="B397:I397"/>
    <mergeCell ref="B398:I398"/>
    <mergeCell ref="B409:I409"/>
    <mergeCell ref="B408:I408"/>
    <mergeCell ref="B407:I407"/>
    <mergeCell ref="B384:I384"/>
    <mergeCell ref="B385:I385"/>
    <mergeCell ref="B386:I386"/>
    <mergeCell ref="B387:I387"/>
    <mergeCell ref="B388:I388"/>
    <mergeCell ref="B389:I389"/>
    <mergeCell ref="B390:I390"/>
    <mergeCell ref="B391:I391"/>
    <mergeCell ref="B392:I392"/>
    <mergeCell ref="B383:I383"/>
    <mergeCell ref="B380:I380"/>
    <mergeCell ref="B381:I381"/>
    <mergeCell ref="B382:I382"/>
    <mergeCell ref="H8:K8"/>
    <mergeCell ref="C8:G8"/>
    <mergeCell ref="C40:G40"/>
    <mergeCell ref="H40:K40"/>
    <mergeCell ref="C63:G63"/>
    <mergeCell ref="H63:K63"/>
    <mergeCell ref="C106:G106"/>
    <mergeCell ref="H106:K106"/>
    <mergeCell ref="C113:G113"/>
    <mergeCell ref="H113:K113"/>
    <mergeCell ref="C141:G141"/>
    <mergeCell ref="H141:K141"/>
    <mergeCell ref="C148:G148"/>
    <mergeCell ref="H148:K148"/>
    <mergeCell ref="C155:G155"/>
    <mergeCell ref="H155:K155"/>
    <mergeCell ref="C120:G120"/>
    <mergeCell ref="H120:K120"/>
    <mergeCell ref="C127:G127"/>
    <mergeCell ref="H127:K127"/>
    <mergeCell ref="C134:G134"/>
    <mergeCell ref="H134:K134"/>
    <mergeCell ref="C183:G183"/>
    <mergeCell ref="H183:K183"/>
    <mergeCell ref="C190:G190"/>
    <mergeCell ref="H190:K190"/>
    <mergeCell ref="C197:G197"/>
    <mergeCell ref="H197:K197"/>
    <mergeCell ref="C162:G162"/>
    <mergeCell ref="H162:K162"/>
    <mergeCell ref="C169:G169"/>
    <mergeCell ref="H169:K169"/>
    <mergeCell ref="C176:G176"/>
    <mergeCell ref="H176:K176"/>
    <mergeCell ref="C225:G225"/>
    <mergeCell ref="H225:K225"/>
    <mergeCell ref="C232:G232"/>
    <mergeCell ref="H232:K232"/>
    <mergeCell ref="C239:G239"/>
    <mergeCell ref="H239:K239"/>
    <mergeCell ref="C204:G204"/>
    <mergeCell ref="H204:K204"/>
    <mergeCell ref="C211:G211"/>
    <mergeCell ref="H211:K211"/>
    <mergeCell ref="C218:G218"/>
    <mergeCell ref="H218:K218"/>
    <mergeCell ref="C267:G267"/>
    <mergeCell ref="H267:K267"/>
    <mergeCell ref="C274:G274"/>
    <mergeCell ref="H274:K274"/>
    <mergeCell ref="C281:G281"/>
    <mergeCell ref="H281:K281"/>
    <mergeCell ref="C246:G246"/>
    <mergeCell ref="H246:K246"/>
    <mergeCell ref="C253:G253"/>
    <mergeCell ref="H253:K253"/>
    <mergeCell ref="C260:G260"/>
    <mergeCell ref="H260:K260"/>
    <mergeCell ref="C309:G309"/>
    <mergeCell ref="H309:K309"/>
    <mergeCell ref="C316:G316"/>
    <mergeCell ref="H316:K316"/>
    <mergeCell ref="C323:G323"/>
    <mergeCell ref="H323:K323"/>
    <mergeCell ref="C288:G288"/>
    <mergeCell ref="H288:K288"/>
    <mergeCell ref="C295:G295"/>
    <mergeCell ref="H295:K295"/>
    <mergeCell ref="C302:G302"/>
    <mergeCell ref="H302:K302"/>
    <mergeCell ref="C372:G372"/>
    <mergeCell ref="H372:K372"/>
    <mergeCell ref="C351:G351"/>
    <mergeCell ref="H351:K351"/>
    <mergeCell ref="C358:G358"/>
    <mergeCell ref="H358:K358"/>
    <mergeCell ref="C365:G365"/>
    <mergeCell ref="H365:K365"/>
    <mergeCell ref="C330:G330"/>
    <mergeCell ref="H330:K330"/>
    <mergeCell ref="C337:G337"/>
    <mergeCell ref="H337:K337"/>
    <mergeCell ref="C344:G344"/>
    <mergeCell ref="H344:K344"/>
  </mergeCells>
  <phoneticPr fontId="15" type="noConversion"/>
  <conditionalFormatting sqref="L374 L367 L360 L353 L346 L339 L332 L325 L318 L311 L304 L297 L290 L283 L276 L269 L262 L255 L248 L241 L234 L227 L220 L213 L206 L199 L192 L185 L178 L171 L164 L157 L150 L143 L136 L129 L122 L65:L101 L115 L42:L58 L108">
    <cfRule type="expression" dxfId="600" priority="280">
      <formula>AND($I42&gt;0,$L42&gt;0)</formula>
    </cfRule>
  </conditionalFormatting>
  <conditionalFormatting sqref="A374:G374 A367:G367 A360:G360 A353:G353 A346:G346 A339:G339 A332:G332 A325:G325 A318:G318 A311:G311 A304:G304 A297:G297 A290:G290 A283:G283 A276:G276 A269:G269 A262:G262 A255:G255 A248:G248 A241:G241 A234:G234 A227:G227 A220:G220 A213:G213 A206:G206 A199:G199 A192:G192 A185:G185 A178:G178 A171:G171 A164:G164 A157:G157 A150:G150 A143:G143 A136:G136 A129:G129 A122:G122 A65:G101 A115:G115 A42:G58 A108:G108">
    <cfRule type="expression" dxfId="599" priority="9" stopIfTrue="1">
      <formula>AND($B42&lt;&gt;"",$C42="-")</formula>
    </cfRule>
    <cfRule type="expression" dxfId="598" priority="10">
      <formula>AND($B42&lt;&gt;"",OR($A42="",$C42="",$D42&lt;0,$D42="",$E42="",$F42&lt;0,$F42=""))</formula>
    </cfRule>
  </conditionalFormatting>
  <dataValidations count="2">
    <dataValidation type="list" errorStyle="information" allowBlank="1" showInputMessage="1" showErrorMessage="1" errorTitle="Unité de mesure non valide" error="L'unité de mesure inscrite est non valide._x000a__x000a_Toute fois, cela n'aura aucun impact sur la comptabilisation du budget." sqref="E220 E115 E122 E129 E136 E143 E150 E157 E164 E171 E178 E185 E192 E199 E206 E227 E234 E241 E276 E283 E290 E297 E304 E311 E318 E325 E332 E339 E346 E353 E360 E367 E374 E248 E255 E262 E269 E213 E108 E65:E101 E42:E58" xr:uid="{7F931DB4-687E-4EE7-AA0C-590625067EAA}">
      <formula1>INDIRECT("DA_mesure[Mesure]")</formula1>
    </dataValidation>
    <dataValidation type="list" allowBlank="1" showInputMessage="1" showErrorMessage="1" sqref="C374 C367 C360 C353 C346 C339 C332 C325 C318 C311 C304 C297 C290 C283 C276 C269 C262 C255 C248 C241 C234 C227 C220 C213 C206 C199 C192 C185 C178 C171 C164 C157 C150 C143 C136 C129 C122 C115 C108 C65:C101 C42:C58" xr:uid="{23658450-A566-43F6-B139-F03C37E7DC2D}">
      <formula1>INDIRECT("DA_catégorie[Catégorie]")</formula1>
    </dataValidation>
  </dataValidations>
  <printOptions horizontalCentered="1"/>
  <pageMargins left="0.23622047244094491" right="0.23622047244094491" top="1.1811023622047245" bottom="0.74803149606299213" header="0.31496062992125984" footer="0.31496062992125984"/>
  <pageSetup paperSize="5" fitToHeight="0" orientation="landscape" r:id="rId1"/>
  <headerFooter>
    <oddHeader>&amp;LLogo&amp;R&amp;14&amp;A</oddHeader>
    <oddFooter>&amp;RPage | &amp;"Arial,Gras"&amp;10&amp;P&amp;"Arial,Normal"&amp;9 de &amp;N</oddFooter>
  </headerFooter>
  <rowBreaks count="1" manualBreakCount="1">
    <brk id="39" max="16383" man="1"/>
  </rowBreaks>
  <drawing r:id="rId2"/>
  <tableParts count="42">
    <tablePart r:id="rId3"/>
    <tablePart r:id="rId4"/>
    <tablePart r:id="rId5"/>
    <tablePart r:id="rId6"/>
    <tablePart r:id="rId7"/>
    <tablePart r:id="rId8"/>
    <tablePart r:id="rId9"/>
    <tablePart r:id="rId10"/>
    <tablePart r:id="rId11"/>
    <tablePart r:id="rId12"/>
    <tablePart r:id="rId13"/>
    <tablePart r:id="rId14"/>
    <tablePart r:id="rId15"/>
    <tablePart r:id="rId16"/>
    <tablePart r:id="rId17"/>
    <tablePart r:id="rId18"/>
    <tablePart r:id="rId19"/>
    <tablePart r:id="rId20"/>
    <tablePart r:id="rId21"/>
    <tablePart r:id="rId22"/>
    <tablePart r:id="rId23"/>
    <tablePart r:id="rId24"/>
    <tablePart r:id="rId25"/>
    <tablePart r:id="rId26"/>
    <tablePart r:id="rId27"/>
    <tablePart r:id="rId28"/>
    <tablePart r:id="rId29"/>
    <tablePart r:id="rId30"/>
    <tablePart r:id="rId31"/>
    <tablePart r:id="rId32"/>
    <tablePart r:id="rId33"/>
    <tablePart r:id="rId34"/>
    <tablePart r:id="rId35"/>
    <tablePart r:id="rId36"/>
    <tablePart r:id="rId37"/>
    <tablePart r:id="rId38"/>
    <tablePart r:id="rId39"/>
    <tablePart r:id="rId40"/>
    <tablePart r:id="rId41"/>
    <tablePart r:id="rId42"/>
    <tablePart r:id="rId43"/>
    <tablePart r:id="rId44"/>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C28521D-2500-4DBB-9ECA-2B23D7CB4D8C}">
  <sheetPr codeName="Feuil4">
    <tabColor theme="3" tint="-0.499984740745262"/>
    <outlinePr showOutlineSymbols="0"/>
  </sheetPr>
  <dimension ref="A1:F189"/>
  <sheetViews>
    <sheetView showGridLines="0" showZeros="0" showOutlineSymbols="0" view="pageLayout" zoomScaleNormal="100" workbookViewId="0">
      <selection activeCell="F43" sqref="F43"/>
    </sheetView>
  </sheetViews>
  <sheetFormatPr baseColWidth="10" defaultRowHeight="12" x14ac:dyDescent="0.2"/>
  <cols>
    <col min="1" max="1" width="15.28515625" customWidth="1"/>
    <col min="2" max="2" width="39.7109375" customWidth="1"/>
    <col min="3" max="3" width="12" customWidth="1"/>
    <col min="4" max="4" width="7.28515625" customWidth="1"/>
    <col min="5" max="5" width="17.85546875" customWidth="1"/>
    <col min="6" max="6" width="17.85546875" style="60" customWidth="1"/>
  </cols>
  <sheetData>
    <row r="1" spans="1:6" ht="12.75" x14ac:dyDescent="0.2">
      <c r="A1" s="1" t="str">
        <f>'TAKE-OFF PROJET'!A1</f>
        <v>Projet :</v>
      </c>
      <c r="B1" s="1" t="str">
        <f>'TAKE-OFF PROJET'!B1</f>
        <v>Nom du projet</v>
      </c>
      <c r="E1" s="17" t="str">
        <f>'TAKE-OFF PROJET'!K1</f>
        <v>Projet #</v>
      </c>
      <c r="F1" s="17" t="str">
        <f>'TAKE-OFF PROJET'!L1</f>
        <v>0000-0000</v>
      </c>
    </row>
    <row r="2" spans="1:6" ht="12.75" x14ac:dyDescent="0.2">
      <c r="A2" s="40"/>
      <c r="B2" s="1" t="str">
        <f>'TAKE-OFF PROJET'!B2</f>
        <v>Adresse</v>
      </c>
      <c r="E2" s="17" t="str">
        <f>'TAKE-OFF PROJET'!K2</f>
        <v>Client #</v>
      </c>
      <c r="F2" s="17" t="str">
        <f>'TAKE-OFF PROJET'!L2</f>
        <v>0000-0000</v>
      </c>
    </row>
    <row r="3" spans="1:6" ht="12.75" x14ac:dyDescent="0.2">
      <c r="A3" s="40"/>
      <c r="B3" s="1" t="str">
        <f>'TAKE-OFF PROJET'!B3</f>
        <v>Ville, PR, CP</v>
      </c>
      <c r="E3" s="17" t="str">
        <f>'TAKE-OFF PROJET'!K3</f>
        <v>Devis #</v>
      </c>
      <c r="F3" s="17" t="str">
        <f>'TAKE-OFF PROJET'!L3</f>
        <v>DE-0000-0000</v>
      </c>
    </row>
    <row r="5" spans="1:6" ht="12.75" x14ac:dyDescent="0.2">
      <c r="A5" s="1" t="str">
        <f>'TAKE-OFF PROJET'!D1</f>
        <v>Début travaux :</v>
      </c>
      <c r="B5" s="51" t="str">
        <f>'TAKE-OFF PROJET'!F1</f>
        <v>aaaa-mm-jj</v>
      </c>
      <c r="E5" s="1" t="str">
        <f>'TAKE-OFF PROJET'!A5</f>
        <v>Créé le :</v>
      </c>
      <c r="F5" s="64" t="str">
        <f>'TAKE-OFF PROJET'!B5</f>
        <v>aaaa-mm-jj</v>
      </c>
    </row>
    <row r="6" spans="1:6" ht="12.75" x14ac:dyDescent="0.2">
      <c r="A6" s="1" t="str">
        <f>'TAKE-OFF PROJET'!D2</f>
        <v>Fin travaux :</v>
      </c>
      <c r="B6" s="51" t="str">
        <f>'TAKE-OFF PROJET'!F2</f>
        <v>aaaa-mm-jj</v>
      </c>
      <c r="E6" s="1" t="str">
        <f>'TAKE-OFF PROJET'!A6</f>
        <v>Mise à jour :</v>
      </c>
      <c r="F6" s="64">
        <f ca="1">'TAKE-OFF PROJET'!B6</f>
        <v>44650</v>
      </c>
    </row>
    <row r="7" spans="1:6" x14ac:dyDescent="0.2">
      <c r="A7" s="40"/>
    </row>
    <row r="8" spans="1:6" ht="15" x14ac:dyDescent="0.2">
      <c r="A8" s="41" t="str">
        <f>'TAKE-OFF PROJET'!A8</f>
        <v>BILAN</v>
      </c>
      <c r="B8" s="41"/>
      <c r="C8" s="41"/>
      <c r="D8" s="41"/>
      <c r="E8" s="41"/>
      <c r="F8" s="57"/>
    </row>
    <row r="9" spans="1:6" ht="12.75" x14ac:dyDescent="0.2">
      <c r="A9" s="40"/>
      <c r="B9" s="20" t="str">
        <f>'TAKE-OFF PROJET'!B9</f>
        <v>Description</v>
      </c>
      <c r="C9" s="20" t="str">
        <f>'TAKE-OFF PROJET'!D9</f>
        <v>Quantité</v>
      </c>
      <c r="D9" s="40"/>
      <c r="E9" s="40"/>
      <c r="F9" s="58" t="str">
        <f>'TAKE-OFF PROJET'!G9</f>
        <v>Coût | Budgétaire</v>
      </c>
    </row>
    <row r="10" spans="1:6" ht="12.75" x14ac:dyDescent="0.2">
      <c r="A10" s="40"/>
      <c r="B10" s="68" t="s">
        <v>161</v>
      </c>
      <c r="C10" s="24"/>
      <c r="D10" s="3"/>
      <c r="E10" s="40"/>
      <c r="F10" s="59">
        <f>SUM('TAKE-OFF PROJET'!G10:G15)</f>
        <v>0</v>
      </c>
    </row>
    <row r="11" spans="1:6" s="40" customFormat="1" x14ac:dyDescent="0.2"/>
    <row r="12" spans="1:6" ht="12.75" x14ac:dyDescent="0.2">
      <c r="A12" s="40"/>
      <c r="B12" s="34" t="str">
        <f>'TAKE-OFF PROJET'!B17</f>
        <v>Matériaux</v>
      </c>
      <c r="C12" s="40"/>
      <c r="D12" s="40"/>
      <c r="E12" s="40"/>
      <c r="F12" s="59">
        <f>'TAKE-OFF PROJET'!G17</f>
        <v>0</v>
      </c>
    </row>
    <row r="13" spans="1:6" s="40" customFormat="1" x14ac:dyDescent="0.2"/>
    <row r="14" spans="1:6" ht="12.75" x14ac:dyDescent="0.2">
      <c r="A14" s="40"/>
      <c r="B14" s="34" t="str">
        <f>'TAKE-OFF PROJET'!B19</f>
        <v>Équipement &amp; machinerie</v>
      </c>
      <c r="C14" s="40"/>
      <c r="D14" s="40"/>
      <c r="E14" s="40"/>
      <c r="F14" s="59">
        <f>'TAKE-OFF PROJET'!G19</f>
        <v>0</v>
      </c>
    </row>
    <row r="15" spans="1:6" s="40" customFormat="1" x14ac:dyDescent="0.2"/>
    <row r="16" spans="1:6" ht="12.75" x14ac:dyDescent="0.2">
      <c r="A16" s="40"/>
      <c r="B16" s="34" t="str">
        <f>'TAKE-OFF PROJET'!B21</f>
        <v>Location roulotte, conteneur &amp; toilette</v>
      </c>
      <c r="C16" s="40"/>
      <c r="D16" s="40"/>
      <c r="E16" s="40"/>
      <c r="F16" s="59">
        <f>'TAKE-OFF PROJET'!G21</f>
        <v>0</v>
      </c>
    </row>
    <row r="17" spans="1:6" s="40" customFormat="1" x14ac:dyDescent="0.2"/>
    <row r="18" spans="1:6" ht="12.75" x14ac:dyDescent="0.2">
      <c r="A18" s="40"/>
      <c r="B18" s="34" t="str">
        <f>'TAKE-OFF PROJET'!B23</f>
        <v>Sous-traitance</v>
      </c>
      <c r="C18" s="40"/>
      <c r="D18" s="40"/>
      <c r="E18" s="40"/>
      <c r="F18" s="59">
        <f>'TAKE-OFF PROJET'!G23</f>
        <v>5000</v>
      </c>
    </row>
    <row r="19" spans="1:6" s="40" customFormat="1" ht="12.75" thickBot="1" x14ac:dyDescent="0.25"/>
    <row r="20" spans="1:6" ht="13.5" thickTop="1" x14ac:dyDescent="0.2">
      <c r="A20" s="25"/>
      <c r="B20" s="26" t="str">
        <f>'TAKE-OFF PROJET'!B27</f>
        <v>Sous-total</v>
      </c>
      <c r="C20" s="30"/>
      <c r="D20" s="27"/>
      <c r="E20" s="27"/>
      <c r="F20" s="61">
        <f>SUM(F10:F19)</f>
        <v>5000</v>
      </c>
    </row>
    <row r="21" spans="1:6" s="40" customFormat="1" x14ac:dyDescent="0.2"/>
    <row r="22" spans="1:6" ht="12.75" x14ac:dyDescent="0.2">
      <c r="A22" s="40"/>
      <c r="B22" s="28" t="str">
        <f>'TAKE-OFF PROJET'!B29</f>
        <v>Cautionnement</v>
      </c>
      <c r="C22" s="66"/>
      <c r="D22" s="40"/>
      <c r="E22" s="40"/>
      <c r="F22" s="59">
        <f>'TAKE-OFF PROJET'!G29</f>
        <v>0</v>
      </c>
    </row>
    <row r="23" spans="1:6" ht="12.75" x14ac:dyDescent="0.2">
      <c r="A23" s="40"/>
      <c r="B23" s="28" t="str">
        <f>'TAKE-OFF PROJET'!B30</f>
        <v>Assurance de chantier</v>
      </c>
      <c r="C23" s="66"/>
      <c r="D23" s="40"/>
      <c r="E23" s="40"/>
      <c r="F23" s="59">
        <f>'TAKE-OFF PROJET'!G30</f>
        <v>0</v>
      </c>
    </row>
    <row r="24" spans="1:6" s="40" customFormat="1" x14ac:dyDescent="0.2"/>
    <row r="25" spans="1:6" ht="12.75" x14ac:dyDescent="0.2">
      <c r="A25" s="40"/>
      <c r="B25" s="28" t="str">
        <f>'TAKE-OFF PROJET'!B32</f>
        <v>Administration</v>
      </c>
      <c r="C25" s="65">
        <f>'TAKE-OFF PROJET'!D32</f>
        <v>0.1</v>
      </c>
      <c r="D25" s="40"/>
      <c r="E25" s="40"/>
      <c r="F25" s="59">
        <f>'TAKE-OFF PROJET'!G32</f>
        <v>500</v>
      </c>
    </row>
    <row r="26" spans="1:6" ht="12.75" x14ac:dyDescent="0.2">
      <c r="A26" s="40"/>
      <c r="B26" s="28" t="str">
        <f>'TAKE-OFF PROJET'!B33</f>
        <v>Profit</v>
      </c>
      <c r="C26" s="65">
        <f>'TAKE-OFF PROJET'!D33</f>
        <v>0.05</v>
      </c>
      <c r="D26" s="40"/>
      <c r="E26" s="40"/>
      <c r="F26" s="59">
        <f>'TAKE-OFF PROJET'!G33</f>
        <v>250</v>
      </c>
    </row>
    <row r="27" spans="1:6" s="40" customFormat="1" ht="12.75" thickBot="1" x14ac:dyDescent="0.25"/>
    <row r="28" spans="1:6" ht="13.5" thickTop="1" x14ac:dyDescent="0.2">
      <c r="A28" s="25"/>
      <c r="B28" s="26" t="str">
        <f>'TAKE-OFF PROJET'!B35</f>
        <v>Total (avant taxes)</v>
      </c>
      <c r="C28" s="27"/>
      <c r="D28" s="27"/>
      <c r="E28" s="27"/>
      <c r="F28" s="61">
        <f>SUM(F20:F27)</f>
        <v>5750</v>
      </c>
    </row>
    <row r="29" spans="1:6" ht="12.75" x14ac:dyDescent="0.2">
      <c r="A29" s="40"/>
      <c r="B29" s="31" t="str">
        <f>'TAKE-OFF PROJET'!B36</f>
        <v>TPS</v>
      </c>
      <c r="C29" s="35">
        <f>'TAKE-OFF PROJET'!D36</f>
        <v>0.05</v>
      </c>
      <c r="D29" s="40"/>
      <c r="E29" s="40"/>
      <c r="F29" s="62">
        <f>$F28*$C29</f>
        <v>287.5</v>
      </c>
    </row>
    <row r="30" spans="1:6" ht="13.5" thickBot="1" x14ac:dyDescent="0.25">
      <c r="A30" s="40"/>
      <c r="B30" s="31" t="str">
        <f>'TAKE-OFF PROJET'!B37</f>
        <v>TVQ</v>
      </c>
      <c r="C30" s="35">
        <f>'TAKE-OFF PROJET'!D37</f>
        <v>9.9750000000000005E-2</v>
      </c>
      <c r="D30" s="40"/>
      <c r="E30" s="40"/>
      <c r="F30" s="63">
        <f>$F29*$C30</f>
        <v>28.678125000000001</v>
      </c>
    </row>
    <row r="31" spans="1:6" ht="13.5" thickTop="1" x14ac:dyDescent="0.2">
      <c r="A31" s="25"/>
      <c r="B31" s="26" t="str">
        <f>'TAKE-OFF PROJET'!B38</f>
        <v>Total (avec taxes)</v>
      </c>
      <c r="C31" s="27"/>
      <c r="D31" s="27"/>
      <c r="E31" s="27"/>
      <c r="F31" s="61">
        <f>SUM(F28:F30)</f>
        <v>6066.1781250000004</v>
      </c>
    </row>
    <row r="32" spans="1:6" s="40" customFormat="1" x14ac:dyDescent="0.2">
      <c r="F32" s="60"/>
    </row>
    <row r="33" spans="1:6" s="40" customFormat="1" ht="15" x14ac:dyDescent="0.2">
      <c r="A33" s="41" t="s">
        <v>162</v>
      </c>
      <c r="B33" s="41"/>
      <c r="C33" s="41"/>
      <c r="D33" s="41"/>
      <c r="E33" s="41"/>
      <c r="F33" s="57"/>
    </row>
    <row r="34" spans="1:6" x14ac:dyDescent="0.2">
      <c r="A34" s="40"/>
    </row>
    <row r="35" spans="1:6" ht="12.75" x14ac:dyDescent="0.2">
      <c r="A35" s="74" t="str">
        <f>'TAKE-OFF PROJET'!$A40</f>
        <v>DÉVELOPPEMENT DU PROJET</v>
      </c>
      <c r="B35" s="74"/>
      <c r="C35" s="74"/>
      <c r="D35" s="74"/>
      <c r="E35" s="74"/>
      <c r="F35" s="74"/>
    </row>
    <row r="36" spans="1:6" ht="12.75" x14ac:dyDescent="0.2">
      <c r="A36" s="54" t="s">
        <v>54</v>
      </c>
      <c r="B36" s="55"/>
      <c r="C36" s="55"/>
      <c r="D36" s="55"/>
      <c r="E36" s="55"/>
      <c r="F36" s="56">
        <f>TO_1[[#Totals],[Total | Budgétaire]]</f>
        <v>5000</v>
      </c>
    </row>
    <row r="38" spans="1:6" ht="12.75" x14ac:dyDescent="0.2">
      <c r="A38" s="74" t="str">
        <f>'TAKE-OFF PROJET'!$A63</f>
        <v>CONDITIONS GÉNÉRALES</v>
      </c>
      <c r="B38" s="74"/>
      <c r="C38" s="74"/>
      <c r="D38" s="74"/>
      <c r="E38" s="74"/>
      <c r="F38" s="74"/>
    </row>
    <row r="39" spans="1:6" ht="12.75" x14ac:dyDescent="0.2">
      <c r="A39" s="54" t="s">
        <v>54</v>
      </c>
      <c r="B39" s="55"/>
      <c r="C39" s="55"/>
      <c r="D39" s="55"/>
      <c r="E39" s="55"/>
      <c r="F39" s="56">
        <f>TO_2[[#Totals],[Total | Budgétaire]]</f>
        <v>0</v>
      </c>
    </row>
    <row r="41" spans="1:6" s="40" customFormat="1" ht="12.75" x14ac:dyDescent="0.2">
      <c r="A41" s="74" t="str">
        <f>'TAKE-OFF PROJET'!$A106</f>
        <v>TRAVAUX DE DÉMOLITON</v>
      </c>
      <c r="B41" s="74"/>
      <c r="C41" s="74"/>
      <c r="D41" s="74"/>
      <c r="E41" s="74"/>
      <c r="F41" s="74"/>
    </row>
    <row r="42" spans="1:6" s="40" customFormat="1" ht="12.75" x14ac:dyDescent="0.2">
      <c r="A42" s="54" t="s">
        <v>54</v>
      </c>
      <c r="B42" s="55"/>
      <c r="C42" s="55"/>
      <c r="D42" s="55"/>
      <c r="E42" s="55"/>
      <c r="F42" s="56">
        <f>TO_3[[#Totals],[Total | Budgétaire]]</f>
        <v>0</v>
      </c>
    </row>
    <row r="43" spans="1:6" s="40" customFormat="1" x14ac:dyDescent="0.2">
      <c r="F43" s="60"/>
    </row>
    <row r="44" spans="1:6" s="40" customFormat="1" ht="12.75" x14ac:dyDescent="0.2">
      <c r="A44" s="74" t="str">
        <f>'TAKE-OFF PROJET'!$A113</f>
        <v>COFFRAGE, ARMATURE &amp; BÉTON</v>
      </c>
      <c r="B44" s="74"/>
      <c r="C44" s="74"/>
      <c r="D44" s="74"/>
      <c r="E44" s="74"/>
      <c r="F44" s="74"/>
    </row>
    <row r="45" spans="1:6" s="40" customFormat="1" ht="12.75" x14ac:dyDescent="0.2">
      <c r="A45" s="54" t="s">
        <v>54</v>
      </c>
      <c r="B45" s="55"/>
      <c r="C45" s="55"/>
      <c r="D45" s="55"/>
      <c r="E45" s="55"/>
      <c r="F45" s="56">
        <f>TO_4[[#Totals],[Total | Budgétaire]]</f>
        <v>0</v>
      </c>
    </row>
    <row r="47" spans="1:6" ht="12.75" x14ac:dyDescent="0.2">
      <c r="A47" s="74" t="str">
        <f>'TAKE-OFF PROJET'!$A120</f>
        <v>CHAPE &amp; BÉTON PRÉFABRIQUÉ</v>
      </c>
      <c r="B47" s="74"/>
      <c r="C47" s="74"/>
      <c r="D47" s="74"/>
      <c r="E47" s="74"/>
      <c r="F47" s="74"/>
    </row>
    <row r="48" spans="1:6" s="40" customFormat="1" ht="12.75" x14ac:dyDescent="0.2">
      <c r="A48" s="54" t="s">
        <v>54</v>
      </c>
      <c r="B48" s="55"/>
      <c r="C48" s="55"/>
      <c r="D48" s="55"/>
      <c r="E48" s="55"/>
      <c r="F48" s="56">
        <f>TO_5[[#Totals],[Total | Budgétaire]]</f>
        <v>0</v>
      </c>
    </row>
    <row r="49" spans="1:6" x14ac:dyDescent="0.2">
      <c r="A49" s="40"/>
      <c r="B49" s="40"/>
      <c r="C49" s="40"/>
      <c r="D49" s="40"/>
      <c r="E49" s="40"/>
    </row>
    <row r="50" spans="1:6" ht="12.75" x14ac:dyDescent="0.2">
      <c r="A50" s="74" t="str">
        <f>'TAKE-OFF PROJET'!$A127</f>
        <v>MAÇONNERIE &amp; CRÉPIS</v>
      </c>
      <c r="B50" s="74"/>
      <c r="C50" s="74"/>
      <c r="D50" s="74"/>
      <c r="E50" s="74"/>
      <c r="F50" s="74"/>
    </row>
    <row r="51" spans="1:6" ht="12.75" x14ac:dyDescent="0.2">
      <c r="A51" s="54" t="s">
        <v>54</v>
      </c>
      <c r="B51" s="55"/>
      <c r="C51" s="55"/>
      <c r="D51" s="55"/>
      <c r="E51" s="55"/>
      <c r="F51" s="56">
        <f>TO_6[[#Totals],[Total | Budgétaire]]</f>
        <v>0</v>
      </c>
    </row>
    <row r="52" spans="1:6" x14ac:dyDescent="0.2">
      <c r="A52" s="40"/>
      <c r="B52" s="40"/>
      <c r="C52" s="40"/>
      <c r="D52" s="40"/>
      <c r="E52" s="40"/>
    </row>
    <row r="53" spans="1:6" s="40" customFormat="1" ht="12.75" x14ac:dyDescent="0.2">
      <c r="A53" s="74" t="str">
        <f>'TAKE-OFF PROJET'!$A134</f>
        <v>STRUCTURE DE BÉTON</v>
      </c>
      <c r="B53" s="74"/>
      <c r="C53" s="74"/>
      <c r="D53" s="74"/>
      <c r="E53" s="74"/>
      <c r="F53" s="74"/>
    </row>
    <row r="54" spans="1:6" s="40" customFormat="1" ht="12.75" x14ac:dyDescent="0.2">
      <c r="A54" s="54" t="s">
        <v>54</v>
      </c>
      <c r="B54" s="55"/>
      <c r="C54" s="55"/>
      <c r="D54" s="55"/>
      <c r="E54" s="55"/>
      <c r="F54" s="56">
        <f>TO_7[[#Totals],[Total | Budgétaire]]</f>
        <v>0</v>
      </c>
    </row>
    <row r="55" spans="1:6" s="40" customFormat="1" x14ac:dyDescent="0.2">
      <c r="F55" s="60"/>
    </row>
    <row r="56" spans="1:6" s="40" customFormat="1" ht="12.75" x14ac:dyDescent="0.2">
      <c r="A56" s="74" t="str">
        <f>'TAKE-OFF PROJET'!$A141</f>
        <v>STRUCTURE D'ACIER &amp; MÉTAUX OUVRÉS</v>
      </c>
      <c r="B56" s="74"/>
      <c r="C56" s="74"/>
      <c r="D56" s="74"/>
      <c r="E56" s="74"/>
      <c r="F56" s="74"/>
    </row>
    <row r="57" spans="1:6" s="40" customFormat="1" ht="12.75" x14ac:dyDescent="0.2">
      <c r="A57" s="54" t="s">
        <v>54</v>
      </c>
      <c r="B57" s="55"/>
      <c r="C57" s="55"/>
      <c r="D57" s="55"/>
      <c r="E57" s="55"/>
      <c r="F57" s="56">
        <f>TO_8[[#Totals],[Total | Budgétaire]]</f>
        <v>0</v>
      </c>
    </row>
    <row r="58" spans="1:6" s="40" customFormat="1" x14ac:dyDescent="0.2">
      <c r="F58" s="60"/>
    </row>
    <row r="59" spans="1:6" s="40" customFormat="1" ht="12.75" x14ac:dyDescent="0.2">
      <c r="A59" s="74" t="str">
        <f>'TAKE-OFF PROJET'!$A148</f>
        <v>STRUCTURE DE BOIS &amp; CHARPENTERIE</v>
      </c>
      <c r="B59" s="74"/>
      <c r="C59" s="74"/>
      <c r="D59" s="74"/>
      <c r="E59" s="74"/>
      <c r="F59" s="74"/>
    </row>
    <row r="60" spans="1:6" s="40" customFormat="1" ht="12.75" x14ac:dyDescent="0.2">
      <c r="A60" s="54" t="s">
        <v>54</v>
      </c>
      <c r="B60" s="55"/>
      <c r="C60" s="55"/>
      <c r="D60" s="55"/>
      <c r="E60" s="55"/>
      <c r="F60" s="56">
        <f>TO_9[[#Totals],[Total | Budgétaire]]</f>
        <v>0</v>
      </c>
    </row>
    <row r="61" spans="1:6" s="40" customFormat="1" x14ac:dyDescent="0.2">
      <c r="F61" s="60"/>
    </row>
    <row r="62" spans="1:6" s="40" customFormat="1" ht="12.75" x14ac:dyDescent="0.2">
      <c r="A62" s="74" t="str">
        <f>'TAKE-OFF PROJET'!$A155</f>
        <v>MATÉRIAUX GÉNÉRAUX</v>
      </c>
      <c r="B62" s="74"/>
      <c r="C62" s="74"/>
      <c r="D62" s="74"/>
      <c r="E62" s="74"/>
      <c r="F62" s="74"/>
    </row>
    <row r="63" spans="1:6" s="40" customFormat="1" ht="12.75" x14ac:dyDescent="0.2">
      <c r="A63" s="54" t="s">
        <v>54</v>
      </c>
      <c r="B63" s="55"/>
      <c r="C63" s="55"/>
      <c r="D63" s="55"/>
      <c r="E63" s="55"/>
      <c r="F63" s="56">
        <f>TO_10[[#Totals],[Total | Budgétaire]]</f>
        <v>0</v>
      </c>
    </row>
    <row r="64" spans="1:6" s="40" customFormat="1" x14ac:dyDescent="0.2">
      <c r="F64" s="60"/>
    </row>
    <row r="65" spans="1:6" s="40" customFormat="1" ht="12.75" x14ac:dyDescent="0.2">
      <c r="A65" s="74" t="str">
        <f>'TAKE-OFF PROJET'!$A162</f>
        <v>ESCALIER INTÉRIEUR</v>
      </c>
      <c r="B65" s="74"/>
      <c r="C65" s="74"/>
      <c r="D65" s="74"/>
      <c r="E65" s="74"/>
      <c r="F65" s="74"/>
    </row>
    <row r="66" spans="1:6" s="40" customFormat="1" ht="12.75" x14ac:dyDescent="0.2">
      <c r="A66" s="54" t="s">
        <v>54</v>
      </c>
      <c r="B66" s="55"/>
      <c r="C66" s="55"/>
      <c r="D66" s="55"/>
      <c r="E66" s="55"/>
      <c r="F66" s="56">
        <f>TO_11[[#Totals],[Total | Budgétaire]]</f>
        <v>0</v>
      </c>
    </row>
    <row r="67" spans="1:6" s="40" customFormat="1" x14ac:dyDescent="0.2">
      <c r="F67" s="60"/>
    </row>
    <row r="68" spans="1:6" s="40" customFormat="1" ht="12.75" x14ac:dyDescent="0.2">
      <c r="A68" s="74" t="str">
        <f>'TAKE-OFF PROJET'!$A169</f>
        <v>BALCON &amp; TERRASSE</v>
      </c>
      <c r="B68" s="74"/>
      <c r="C68" s="74"/>
      <c r="D68" s="74"/>
      <c r="E68" s="74"/>
      <c r="F68" s="74"/>
    </row>
    <row r="69" spans="1:6" s="40" customFormat="1" ht="12.75" x14ac:dyDescent="0.2">
      <c r="A69" s="54" t="s">
        <v>54</v>
      </c>
      <c r="B69" s="55"/>
      <c r="C69" s="55"/>
      <c r="D69" s="55"/>
      <c r="E69" s="55"/>
      <c r="F69" s="56">
        <f>TO_12[[#Totals],[Total | Budgétaire]]</f>
        <v>0</v>
      </c>
    </row>
    <row r="70" spans="1:6" s="40" customFormat="1" x14ac:dyDescent="0.2">
      <c r="F70" s="60"/>
    </row>
    <row r="71" spans="1:6" s="40" customFormat="1" ht="12.75" x14ac:dyDescent="0.2">
      <c r="A71" s="74" t="str">
        <f>'TAKE-OFF PROJET'!$A176</f>
        <v>RAMPE &amp; PLANCHER EXTÉRIEUR</v>
      </c>
      <c r="B71" s="74"/>
      <c r="C71" s="74"/>
      <c r="D71" s="74"/>
      <c r="E71" s="74"/>
      <c r="F71" s="74"/>
    </row>
    <row r="72" spans="1:6" s="40" customFormat="1" ht="12.75" x14ac:dyDescent="0.2">
      <c r="A72" s="54" t="s">
        <v>54</v>
      </c>
      <c r="B72" s="55"/>
      <c r="C72" s="55"/>
      <c r="D72" s="55"/>
      <c r="E72" s="55"/>
      <c r="F72" s="56">
        <f>TO_13[[#Totals],[Total | Budgétaire]]</f>
        <v>0</v>
      </c>
    </row>
    <row r="73" spans="1:6" s="40" customFormat="1" x14ac:dyDescent="0.2">
      <c r="F73" s="60"/>
    </row>
    <row r="74" spans="1:6" s="40" customFormat="1" ht="12.75" x14ac:dyDescent="0.2">
      <c r="A74" s="74" t="str">
        <f>'TAKE-OFF PROJET'!$A183</f>
        <v>ÉBÉNISTERIE</v>
      </c>
      <c r="B74" s="74"/>
      <c r="C74" s="74"/>
      <c r="D74" s="74"/>
      <c r="E74" s="74"/>
      <c r="F74" s="74"/>
    </row>
    <row r="75" spans="1:6" s="40" customFormat="1" ht="12.75" x14ac:dyDescent="0.2">
      <c r="A75" s="54" t="s">
        <v>54</v>
      </c>
      <c r="B75" s="55"/>
      <c r="C75" s="55"/>
      <c r="D75" s="55"/>
      <c r="E75" s="55"/>
      <c r="F75" s="56">
        <f>TO_14[[#Totals],[Total | Budgétaire]]</f>
        <v>0</v>
      </c>
    </row>
    <row r="76" spans="1:6" s="40" customFormat="1" x14ac:dyDescent="0.2">
      <c r="F76" s="60"/>
    </row>
    <row r="77" spans="1:6" s="40" customFormat="1" ht="12.75" x14ac:dyDescent="0.2">
      <c r="A77" s="74" t="str">
        <f>'TAKE-OFF PROJET'!$A190</f>
        <v>ISOLATION &amp; IMPERMÉABILISATION</v>
      </c>
      <c r="B77" s="74"/>
      <c r="C77" s="74"/>
      <c r="D77" s="74"/>
      <c r="E77" s="74"/>
      <c r="F77" s="74"/>
    </row>
    <row r="78" spans="1:6" s="40" customFormat="1" ht="12.75" x14ac:dyDescent="0.2">
      <c r="A78" s="54" t="s">
        <v>54</v>
      </c>
      <c r="B78" s="55"/>
      <c r="C78" s="55"/>
      <c r="D78" s="55"/>
      <c r="E78" s="55"/>
      <c r="F78" s="56">
        <f>TO_15[[#Totals],[Total | Budgétaire]]</f>
        <v>0</v>
      </c>
    </row>
    <row r="79" spans="1:6" s="40" customFormat="1" x14ac:dyDescent="0.2">
      <c r="F79" s="60"/>
    </row>
    <row r="80" spans="1:6" s="40" customFormat="1" ht="12.75" x14ac:dyDescent="0.2">
      <c r="A80" s="74" t="str">
        <f>'TAKE-OFF PROJET'!$A197</f>
        <v>REVÊTEMENT EXTÉRIEUR &amp; GOUTTIÈRE</v>
      </c>
      <c r="B80" s="74"/>
      <c r="C80" s="74"/>
      <c r="D80" s="74"/>
      <c r="E80" s="74"/>
      <c r="F80" s="74"/>
    </row>
    <row r="81" spans="1:6" s="40" customFormat="1" ht="12.75" x14ac:dyDescent="0.2">
      <c r="A81" s="54" t="s">
        <v>54</v>
      </c>
      <c r="B81" s="55"/>
      <c r="C81" s="55"/>
      <c r="D81" s="55"/>
      <c r="E81" s="55"/>
      <c r="F81" s="56">
        <f>TO_16[[#Totals],[Total | Budgétaire]]</f>
        <v>0</v>
      </c>
    </row>
    <row r="82" spans="1:6" s="40" customFormat="1" x14ac:dyDescent="0.2">
      <c r="F82" s="60"/>
    </row>
    <row r="83" spans="1:6" s="40" customFormat="1" ht="12.75" x14ac:dyDescent="0.2">
      <c r="A83" s="74" t="str">
        <f>'TAKE-OFF PROJET'!$A204</f>
        <v>TOITURE</v>
      </c>
      <c r="B83" s="74"/>
      <c r="C83" s="74"/>
      <c r="D83" s="74"/>
      <c r="E83" s="74"/>
      <c r="F83" s="74"/>
    </row>
    <row r="84" spans="1:6" s="40" customFormat="1" ht="12.75" x14ac:dyDescent="0.2">
      <c r="A84" s="54" t="s">
        <v>54</v>
      </c>
      <c r="B84" s="55"/>
      <c r="C84" s="55"/>
      <c r="D84" s="55"/>
      <c r="E84" s="55"/>
      <c r="F84" s="56">
        <f>TO_17[[#Totals],[Total | Budgétaire]]</f>
        <v>0</v>
      </c>
    </row>
    <row r="85" spans="1:6" s="40" customFormat="1" x14ac:dyDescent="0.2">
      <c r="F85" s="60"/>
    </row>
    <row r="86" spans="1:6" s="40" customFormat="1" ht="12.75" x14ac:dyDescent="0.2">
      <c r="A86" s="74" t="str">
        <f>'TAKE-OFF PROJET'!$A211</f>
        <v>PORTES &amp; FENÊTRES  EXTÉRIEUR</v>
      </c>
      <c r="B86" s="74"/>
      <c r="C86" s="74"/>
      <c r="D86" s="74"/>
      <c r="E86" s="74"/>
      <c r="F86" s="74"/>
    </row>
    <row r="87" spans="1:6" s="40" customFormat="1" ht="12.75" x14ac:dyDescent="0.2">
      <c r="A87" s="54" t="s">
        <v>54</v>
      </c>
      <c r="B87" s="55"/>
      <c r="C87" s="55"/>
      <c r="D87" s="55"/>
      <c r="E87" s="55"/>
      <c r="F87" s="56">
        <f>TO_18[[#Totals],[Total | Budgétaire]]</f>
        <v>0</v>
      </c>
    </row>
    <row r="88" spans="1:6" s="40" customFormat="1" x14ac:dyDescent="0.2">
      <c r="F88" s="60"/>
    </row>
    <row r="89" spans="1:6" s="40" customFormat="1" ht="12.75" x14ac:dyDescent="0.2">
      <c r="A89" s="74" t="str">
        <f>'TAKE-OFF PROJET'!$A218</f>
        <v>BOISERIE, PORTE &amp; QUINCAILLERIE INTÉRIEUR</v>
      </c>
      <c r="B89" s="74"/>
      <c r="C89" s="74"/>
      <c r="D89" s="74"/>
      <c r="E89" s="74"/>
      <c r="F89" s="74"/>
    </row>
    <row r="90" spans="1:6" s="40" customFormat="1" ht="12.75" x14ac:dyDescent="0.2">
      <c r="A90" s="54" t="s">
        <v>54</v>
      </c>
      <c r="B90" s="55"/>
      <c r="C90" s="55"/>
      <c r="D90" s="55"/>
      <c r="E90" s="55"/>
      <c r="F90" s="56">
        <f>TO_19[[#Totals],[Total | Budgétaire]]</f>
        <v>0</v>
      </c>
    </row>
    <row r="91" spans="1:6" s="40" customFormat="1" x14ac:dyDescent="0.2">
      <c r="F91" s="60"/>
    </row>
    <row r="92" spans="1:6" s="40" customFormat="1" ht="12.75" x14ac:dyDescent="0.2">
      <c r="A92" s="74" t="str">
        <f>'TAKE-OFF PROJET'!$A225</f>
        <v>VITRIER &amp; MUR RIDEAU</v>
      </c>
      <c r="B92" s="74"/>
      <c r="C92" s="74"/>
      <c r="D92" s="74"/>
      <c r="E92" s="74"/>
      <c r="F92" s="74"/>
    </row>
    <row r="93" spans="1:6" s="40" customFormat="1" ht="12.75" x14ac:dyDescent="0.2">
      <c r="A93" s="54" t="s">
        <v>54</v>
      </c>
      <c r="B93" s="55"/>
      <c r="C93" s="55"/>
      <c r="D93" s="55"/>
      <c r="E93" s="55"/>
      <c r="F93" s="56">
        <f>TO_20[[#Totals],[Total | Budgétaire]]</f>
        <v>0</v>
      </c>
    </row>
    <row r="94" spans="1:6" s="40" customFormat="1" x14ac:dyDescent="0.2">
      <c r="F94" s="60"/>
    </row>
    <row r="95" spans="1:6" s="40" customFormat="1" ht="12.75" x14ac:dyDescent="0.2">
      <c r="A95" s="74" t="str">
        <f>'TAKE-OFF PROJET'!$A232</f>
        <v>REVÊTEMENT EN PLAQUE DE PLÂTRE</v>
      </c>
      <c r="B95" s="74"/>
      <c r="C95" s="74"/>
      <c r="D95" s="74"/>
      <c r="E95" s="74"/>
      <c r="F95" s="74"/>
    </row>
    <row r="96" spans="1:6" s="40" customFormat="1" ht="12.75" x14ac:dyDescent="0.2">
      <c r="A96" s="54" t="s">
        <v>54</v>
      </c>
      <c r="B96" s="55"/>
      <c r="C96" s="55"/>
      <c r="D96" s="55"/>
      <c r="E96" s="55"/>
      <c r="F96" s="56">
        <f>TO_21[[#Totals],[Total | Budgétaire]]</f>
        <v>0</v>
      </c>
    </row>
    <row r="97" spans="1:6" s="40" customFormat="1" x14ac:dyDescent="0.2">
      <c r="F97" s="60"/>
    </row>
    <row r="98" spans="1:6" s="40" customFormat="1" ht="12.75" x14ac:dyDescent="0.2">
      <c r="A98" s="74" t="str">
        <f>'TAKE-OFF PROJET'!$A239</f>
        <v>SYSTÈMENT INTÉRIEUR</v>
      </c>
      <c r="B98" s="74"/>
      <c r="C98" s="74"/>
      <c r="D98" s="74"/>
      <c r="E98" s="74"/>
      <c r="F98" s="74"/>
    </row>
    <row r="99" spans="1:6" s="40" customFormat="1" ht="12.75" x14ac:dyDescent="0.2">
      <c r="A99" s="54" t="s">
        <v>54</v>
      </c>
      <c r="B99" s="55"/>
      <c r="C99" s="55"/>
      <c r="D99" s="55"/>
      <c r="E99" s="55"/>
      <c r="F99" s="56">
        <f>TO_22[[#Totals],[Total | Budgétaire]]</f>
        <v>0</v>
      </c>
    </row>
    <row r="100" spans="1:6" s="40" customFormat="1" x14ac:dyDescent="0.2">
      <c r="F100" s="60"/>
    </row>
    <row r="101" spans="1:6" s="40" customFormat="1" ht="12.75" x14ac:dyDescent="0.2">
      <c r="A101" s="74" t="str">
        <f>'TAKE-OFF PROJET'!$A246</f>
        <v>ENDUIT DE PLÂTRE</v>
      </c>
      <c r="B101" s="74"/>
      <c r="C101" s="74"/>
      <c r="D101" s="74"/>
      <c r="E101" s="74"/>
      <c r="F101" s="74"/>
    </row>
    <row r="102" spans="1:6" s="40" customFormat="1" ht="12.75" x14ac:dyDescent="0.2">
      <c r="A102" s="54" t="s">
        <v>54</v>
      </c>
      <c r="B102" s="55"/>
      <c r="C102" s="55"/>
      <c r="D102" s="55"/>
      <c r="E102" s="55"/>
      <c r="F102" s="56">
        <f>TO_23[[#Totals],[Total | Budgétaire]]</f>
        <v>0</v>
      </c>
    </row>
    <row r="103" spans="1:6" s="40" customFormat="1" x14ac:dyDescent="0.2">
      <c r="F103" s="60"/>
    </row>
    <row r="104" spans="1:6" s="40" customFormat="1" ht="12.75" x14ac:dyDescent="0.2">
      <c r="A104" s="74" t="str">
        <f>'TAKE-OFF PROJET'!$A253</f>
        <v>CARRELAGE DE CÉRAMIQUE</v>
      </c>
      <c r="B104" s="74"/>
      <c r="C104" s="74"/>
      <c r="D104" s="74"/>
      <c r="E104" s="74"/>
      <c r="F104" s="74"/>
    </row>
    <row r="105" spans="1:6" s="40" customFormat="1" ht="12.75" x14ac:dyDescent="0.2">
      <c r="A105" s="54" t="s">
        <v>54</v>
      </c>
      <c r="B105" s="55"/>
      <c r="C105" s="55"/>
      <c r="D105" s="55"/>
      <c r="E105" s="55"/>
      <c r="F105" s="56">
        <f>TO_24[[#Totals],[Total | Budgétaire]]</f>
        <v>0</v>
      </c>
    </row>
    <row r="106" spans="1:6" s="40" customFormat="1" x14ac:dyDescent="0.2">
      <c r="F106" s="60"/>
    </row>
    <row r="107" spans="1:6" s="40" customFormat="1" ht="12.75" x14ac:dyDescent="0.2">
      <c r="A107" s="74" t="str">
        <f>'TAKE-OFF PROJET'!$A260</f>
        <v>PLAFOND SUSPENDU &amp; ARCHITECTURAL</v>
      </c>
      <c r="B107" s="74"/>
      <c r="C107" s="74"/>
      <c r="D107" s="74"/>
      <c r="E107" s="74"/>
      <c r="F107" s="74"/>
    </row>
    <row r="108" spans="1:6" s="40" customFormat="1" ht="12.75" x14ac:dyDescent="0.2">
      <c r="A108" s="54" t="s">
        <v>54</v>
      </c>
      <c r="B108" s="55"/>
      <c r="C108" s="55"/>
      <c r="D108" s="55"/>
      <c r="E108" s="55"/>
      <c r="F108" s="56">
        <f>TO_25[[#Totals],[Total | Budgétaire]]</f>
        <v>0</v>
      </c>
    </row>
    <row r="109" spans="1:6" s="40" customFormat="1" x14ac:dyDescent="0.2">
      <c r="F109" s="60"/>
    </row>
    <row r="110" spans="1:6" s="40" customFormat="1" ht="12.75" x14ac:dyDescent="0.2">
      <c r="A110" s="74" t="str">
        <f>'TAKE-OFF PROJET'!$A267</f>
        <v>PARQUETS EN LAMES &amp; PLANCHER DE BOIS</v>
      </c>
      <c r="B110" s="74"/>
      <c r="C110" s="74"/>
      <c r="D110" s="74"/>
      <c r="E110" s="74"/>
      <c r="F110" s="74"/>
    </row>
    <row r="111" spans="1:6" s="40" customFormat="1" ht="12.75" x14ac:dyDescent="0.2">
      <c r="A111" s="54" t="s">
        <v>54</v>
      </c>
      <c r="B111" s="55"/>
      <c r="C111" s="55"/>
      <c r="D111" s="55"/>
      <c r="E111" s="55"/>
      <c r="F111" s="56">
        <f>TO_26[[#Totals],[Total | Budgétaire]]</f>
        <v>0</v>
      </c>
    </row>
    <row r="112" spans="1:6" s="40" customFormat="1" x14ac:dyDescent="0.2">
      <c r="F112" s="60"/>
    </row>
    <row r="113" spans="1:6" s="40" customFormat="1" ht="12.75" x14ac:dyDescent="0.2">
      <c r="A113" s="74" t="str">
        <f>'TAKE-OFF PROJET'!$A274</f>
        <v>PLANCHER SOUPLE &amp; ÉPOXY</v>
      </c>
      <c r="B113" s="74"/>
      <c r="C113" s="74"/>
      <c r="D113" s="74"/>
      <c r="E113" s="74"/>
      <c r="F113" s="74"/>
    </row>
    <row r="114" spans="1:6" s="40" customFormat="1" ht="12.75" x14ac:dyDescent="0.2">
      <c r="A114" s="54" t="s">
        <v>54</v>
      </c>
      <c r="B114" s="55"/>
      <c r="C114" s="55"/>
      <c r="D114" s="55"/>
      <c r="E114" s="55"/>
      <c r="F114" s="56">
        <f>TO_27[[#Totals],[Total | Budgétaire]]</f>
        <v>0</v>
      </c>
    </row>
    <row r="115" spans="1:6" s="40" customFormat="1" x14ac:dyDescent="0.2">
      <c r="F115" s="60"/>
    </row>
    <row r="116" spans="1:6" s="40" customFormat="1" ht="12.75" x14ac:dyDescent="0.2">
      <c r="A116" s="74" t="str">
        <f>'TAKE-OFF PROJET'!$A281</f>
        <v>PEINTURE</v>
      </c>
      <c r="B116" s="74"/>
      <c r="C116" s="74"/>
      <c r="D116" s="74"/>
      <c r="E116" s="74"/>
      <c r="F116" s="74"/>
    </row>
    <row r="117" spans="1:6" s="40" customFormat="1" ht="12.75" x14ac:dyDescent="0.2">
      <c r="A117" s="54" t="s">
        <v>54</v>
      </c>
      <c r="B117" s="55"/>
      <c r="C117" s="55"/>
      <c r="D117" s="55"/>
      <c r="E117" s="55"/>
      <c r="F117" s="56">
        <f>TO_28[[#Totals],[Total | Budgétaire]]</f>
        <v>0</v>
      </c>
    </row>
    <row r="118" spans="1:6" s="40" customFormat="1" x14ac:dyDescent="0.2">
      <c r="F118" s="60"/>
    </row>
    <row r="119" spans="1:6" s="40" customFormat="1" ht="12.75" x14ac:dyDescent="0.2">
      <c r="A119" s="74" t="str">
        <f>'TAKE-OFF PROJET'!$A288</f>
        <v>OUVRAGES SPÉCIAUX</v>
      </c>
      <c r="B119" s="74"/>
      <c r="C119" s="74"/>
      <c r="D119" s="74"/>
      <c r="E119" s="74"/>
      <c r="F119" s="74"/>
    </row>
    <row r="120" spans="1:6" s="40" customFormat="1" ht="12.75" x14ac:dyDescent="0.2">
      <c r="A120" s="54" t="s">
        <v>54</v>
      </c>
      <c r="B120" s="55"/>
      <c r="C120" s="55"/>
      <c r="D120" s="55"/>
      <c r="E120" s="55"/>
      <c r="F120" s="56">
        <f>TO_29[[#Totals],[Total | Budgétaire]]</f>
        <v>0</v>
      </c>
    </row>
    <row r="121" spans="1:6" s="40" customFormat="1" x14ac:dyDescent="0.2">
      <c r="F121" s="60"/>
    </row>
    <row r="122" spans="1:6" s="40" customFormat="1" ht="12.75" x14ac:dyDescent="0.2">
      <c r="A122" s="74" t="str">
        <f>'TAKE-OFF PROJET'!$A295</f>
        <v>ACCESSOIRES</v>
      </c>
      <c r="B122" s="74"/>
      <c r="C122" s="74"/>
      <c r="D122" s="74"/>
      <c r="E122" s="74"/>
      <c r="F122" s="74"/>
    </row>
    <row r="123" spans="1:6" s="40" customFormat="1" ht="12.75" x14ac:dyDescent="0.2">
      <c r="A123" s="54" t="s">
        <v>54</v>
      </c>
      <c r="B123" s="55"/>
      <c r="C123" s="55"/>
      <c r="D123" s="55"/>
      <c r="E123" s="55"/>
      <c r="F123" s="56">
        <f>TO_30[[#Totals],[Total | Budgétaire]]</f>
        <v>0</v>
      </c>
    </row>
    <row r="124" spans="1:6" s="40" customFormat="1" x14ac:dyDescent="0.2">
      <c r="F124" s="60"/>
    </row>
    <row r="125" spans="1:6" s="40" customFormat="1" ht="12.75" x14ac:dyDescent="0.2">
      <c r="A125" s="74" t="str">
        <f>'TAKE-OFF PROJET'!$A302</f>
        <v>MÉCANIQUE SPÉCIALISÉE</v>
      </c>
      <c r="B125" s="74"/>
      <c r="C125" s="74"/>
      <c r="D125" s="74"/>
      <c r="E125" s="74"/>
      <c r="F125" s="74"/>
    </row>
    <row r="126" spans="1:6" s="40" customFormat="1" ht="12.75" x14ac:dyDescent="0.2">
      <c r="A126" s="54" t="s">
        <v>54</v>
      </c>
      <c r="B126" s="55"/>
      <c r="C126" s="55"/>
      <c r="D126" s="55"/>
      <c r="E126" s="55"/>
      <c r="F126" s="56">
        <f>TO_31[[#Totals],[Total | Budgétaire]]</f>
        <v>0</v>
      </c>
    </row>
    <row r="127" spans="1:6" s="40" customFormat="1" x14ac:dyDescent="0.2">
      <c r="F127" s="60"/>
    </row>
    <row r="128" spans="1:6" s="40" customFormat="1" ht="12.75" x14ac:dyDescent="0.2">
      <c r="A128" s="74" t="str">
        <f>'TAKE-OFF PROJET'!$A309</f>
        <v>PROTECTION INCENDIE</v>
      </c>
      <c r="B128" s="74"/>
      <c r="C128" s="74"/>
      <c r="D128" s="74"/>
      <c r="E128" s="74"/>
      <c r="F128" s="74"/>
    </row>
    <row r="129" spans="1:6" s="40" customFormat="1" ht="12.75" x14ac:dyDescent="0.2">
      <c r="A129" s="54" t="s">
        <v>54</v>
      </c>
      <c r="B129" s="55"/>
      <c r="C129" s="55"/>
      <c r="D129" s="55"/>
      <c r="E129" s="55"/>
      <c r="F129" s="56">
        <f>TO_32[[#Totals],[Total | Budgétaire]]</f>
        <v>0</v>
      </c>
    </row>
    <row r="130" spans="1:6" s="40" customFormat="1" x14ac:dyDescent="0.2">
      <c r="F130" s="60"/>
    </row>
    <row r="131" spans="1:6" s="40" customFormat="1" ht="12.75" x14ac:dyDescent="0.2">
      <c r="A131" s="74" t="str">
        <f>'TAKE-OFF PROJET'!$A316</f>
        <v>PLOMBERIE &amp; GAZ</v>
      </c>
      <c r="B131" s="74"/>
      <c r="C131" s="74"/>
      <c r="D131" s="74"/>
      <c r="E131" s="74"/>
      <c r="F131" s="74"/>
    </row>
    <row r="132" spans="1:6" s="40" customFormat="1" ht="12.75" x14ac:dyDescent="0.2">
      <c r="A132" s="54" t="s">
        <v>54</v>
      </c>
      <c r="B132" s="55"/>
      <c r="C132" s="55"/>
      <c r="D132" s="55"/>
      <c r="E132" s="55"/>
      <c r="F132" s="56">
        <f>TO_33[[#Totals],[Total | Budgétaire]]</f>
        <v>0</v>
      </c>
    </row>
    <row r="133" spans="1:6" s="40" customFormat="1" x14ac:dyDescent="0.2">
      <c r="F133" s="60"/>
    </row>
    <row r="134" spans="1:6" s="40" customFormat="1" ht="12.75" x14ac:dyDescent="0.2">
      <c r="A134" s="74" t="str">
        <f>'TAKE-OFF PROJET'!$A323</f>
        <v>VENTILATION &amp; BALANCEMENT</v>
      </c>
      <c r="B134" s="74"/>
      <c r="C134" s="74"/>
      <c r="D134" s="74"/>
      <c r="E134" s="74"/>
      <c r="F134" s="74"/>
    </row>
    <row r="135" spans="1:6" s="40" customFormat="1" ht="12.75" x14ac:dyDescent="0.2">
      <c r="A135" s="54" t="s">
        <v>54</v>
      </c>
      <c r="B135" s="55"/>
      <c r="C135" s="55"/>
      <c r="D135" s="55"/>
      <c r="E135" s="55"/>
      <c r="F135" s="56">
        <f>TO_34[[#Totals],[Total | Budgétaire]]</f>
        <v>0</v>
      </c>
    </row>
    <row r="136" spans="1:6" s="40" customFormat="1" x14ac:dyDescent="0.2">
      <c r="F136" s="60"/>
    </row>
    <row r="137" spans="1:6" s="40" customFormat="1" ht="12.75" x14ac:dyDescent="0.2">
      <c r="A137" s="74" t="str">
        <f>'TAKE-OFF PROJET'!$A330</f>
        <v>CONTRÔLE</v>
      </c>
      <c r="B137" s="74"/>
      <c r="C137" s="74"/>
      <c r="D137" s="74"/>
      <c r="E137" s="74"/>
      <c r="F137" s="74"/>
    </row>
    <row r="138" spans="1:6" s="40" customFormat="1" ht="12.75" x14ac:dyDescent="0.2">
      <c r="A138" s="54" t="s">
        <v>54</v>
      </c>
      <c r="B138" s="55"/>
      <c r="C138" s="55"/>
      <c r="D138" s="55"/>
      <c r="E138" s="55"/>
      <c r="F138" s="56">
        <f>TO_35[[#Totals],[Total | Budgétaire]]</f>
        <v>0</v>
      </c>
    </row>
    <row r="139" spans="1:6" s="40" customFormat="1" x14ac:dyDescent="0.2">
      <c r="F139" s="60"/>
    </row>
    <row r="140" spans="1:6" s="40" customFormat="1" ht="12.75" x14ac:dyDescent="0.2">
      <c r="A140" s="74" t="str">
        <f>'TAKE-OFF PROJET'!$A337</f>
        <v>ÉLECTRICITÉ</v>
      </c>
      <c r="B140" s="74"/>
      <c r="C140" s="74"/>
      <c r="D140" s="74"/>
      <c r="E140" s="74"/>
      <c r="F140" s="74"/>
    </row>
    <row r="141" spans="1:6" s="40" customFormat="1" ht="12.75" x14ac:dyDescent="0.2">
      <c r="A141" s="54" t="s">
        <v>54</v>
      </c>
      <c r="B141" s="55"/>
      <c r="C141" s="55"/>
      <c r="D141" s="55"/>
      <c r="E141" s="55"/>
      <c r="F141" s="56">
        <f>TO_36[[#Totals],[Total | Budgétaire]]</f>
        <v>0</v>
      </c>
    </row>
    <row r="142" spans="1:6" s="40" customFormat="1" x14ac:dyDescent="0.2">
      <c r="F142" s="60"/>
    </row>
    <row r="143" spans="1:6" s="40" customFormat="1" ht="12.75" x14ac:dyDescent="0.2">
      <c r="A143" s="74" t="str">
        <f>'TAKE-OFF PROJET'!$A344</f>
        <v>ACCÈS, RÉSEAU &amp; ALARME INCENDIE</v>
      </c>
      <c r="B143" s="74"/>
      <c r="C143" s="74"/>
      <c r="D143" s="74"/>
      <c r="E143" s="74"/>
      <c r="F143" s="74"/>
    </row>
    <row r="144" spans="1:6" s="40" customFormat="1" ht="12.75" x14ac:dyDescent="0.2">
      <c r="A144" s="54" t="s">
        <v>54</v>
      </c>
      <c r="B144" s="55"/>
      <c r="C144" s="55"/>
      <c r="D144" s="55"/>
      <c r="E144" s="55"/>
      <c r="F144" s="56">
        <f>TO_37[[#Totals],[Total | Budgétaire]]</f>
        <v>0</v>
      </c>
    </row>
    <row r="145" spans="1:6" s="40" customFormat="1" x14ac:dyDescent="0.2">
      <c r="F145" s="60"/>
    </row>
    <row r="146" spans="1:6" s="40" customFormat="1" ht="12.75" x14ac:dyDescent="0.2">
      <c r="A146" s="74" t="str">
        <f>'TAKE-OFF PROJET'!$A351</f>
        <v>SERVICE PÉTROLIER</v>
      </c>
      <c r="B146" s="74"/>
      <c r="C146" s="74"/>
      <c r="D146" s="74"/>
      <c r="E146" s="74"/>
      <c r="F146" s="74"/>
    </row>
    <row r="147" spans="1:6" s="40" customFormat="1" ht="12.75" x14ac:dyDescent="0.2">
      <c r="A147" s="54" t="s">
        <v>54</v>
      </c>
      <c r="B147" s="55"/>
      <c r="C147" s="55"/>
      <c r="D147" s="55"/>
      <c r="E147" s="55"/>
      <c r="F147" s="56">
        <f>TO_38[[#Totals],[Total | Budgétaire]]</f>
        <v>0</v>
      </c>
    </row>
    <row r="148" spans="1:6" s="40" customFormat="1" x14ac:dyDescent="0.2">
      <c r="F148" s="60"/>
    </row>
    <row r="149" spans="1:6" s="40" customFormat="1" ht="12.75" x14ac:dyDescent="0.2">
      <c r="A149" s="74" t="str">
        <f>'TAKE-OFF PROJET'!$A358</f>
        <v>EXCAVATION, CIVIL, BORDURE &amp; TROTTOIR</v>
      </c>
      <c r="B149" s="74"/>
      <c r="C149" s="74"/>
      <c r="D149" s="74"/>
      <c r="E149" s="74"/>
      <c r="F149" s="74"/>
    </row>
    <row r="150" spans="1:6" s="40" customFormat="1" ht="12.75" x14ac:dyDescent="0.2">
      <c r="A150" s="54" t="s">
        <v>54</v>
      </c>
      <c r="B150" s="55"/>
      <c r="C150" s="55"/>
      <c r="D150" s="55"/>
      <c r="E150" s="55"/>
      <c r="F150" s="56">
        <f>TO_39[[#Totals],[Total | Budgétaire]]</f>
        <v>0</v>
      </c>
    </row>
    <row r="151" spans="1:6" s="40" customFormat="1" x14ac:dyDescent="0.2">
      <c r="F151" s="60"/>
    </row>
    <row r="152" spans="1:6" s="40" customFormat="1" ht="12.75" x14ac:dyDescent="0.2">
      <c r="A152" s="74" t="str">
        <f>'TAKE-OFF PROJET'!$A365</f>
        <v>PAVAGE &amp; MARQUAGE</v>
      </c>
      <c r="B152" s="74"/>
      <c r="C152" s="74"/>
      <c r="D152" s="74"/>
      <c r="E152" s="74"/>
      <c r="F152" s="74"/>
    </row>
    <row r="153" spans="1:6" s="40" customFormat="1" ht="12.75" x14ac:dyDescent="0.2">
      <c r="A153" s="54" t="s">
        <v>54</v>
      </c>
      <c r="B153" s="55"/>
      <c r="C153" s="55"/>
      <c r="D153" s="55"/>
      <c r="E153" s="55"/>
      <c r="F153" s="56">
        <f>TO_40[[#Totals],[Total | Budgétaire]]</f>
        <v>0</v>
      </c>
    </row>
    <row r="154" spans="1:6" s="40" customFormat="1" x14ac:dyDescent="0.2">
      <c r="F154" s="60"/>
    </row>
    <row r="155" spans="1:6" s="40" customFormat="1" ht="12.75" x14ac:dyDescent="0.2">
      <c r="A155" s="74" t="str">
        <f>'TAKE-OFF PROJET'!$A372</f>
        <v>VARIA</v>
      </c>
      <c r="B155" s="74"/>
      <c r="C155" s="74"/>
      <c r="D155" s="74"/>
      <c r="E155" s="74"/>
      <c r="F155" s="74"/>
    </row>
    <row r="156" spans="1:6" s="40" customFormat="1" ht="12.75" x14ac:dyDescent="0.2">
      <c r="A156" s="54" t="s">
        <v>54</v>
      </c>
      <c r="B156" s="55"/>
      <c r="C156" s="55"/>
      <c r="D156" s="55"/>
      <c r="E156" s="55"/>
      <c r="F156" s="56">
        <f>TO_41[[#Totals],[Total | Budgétaire]]</f>
        <v>0</v>
      </c>
    </row>
    <row r="157" spans="1:6" s="40" customFormat="1" x14ac:dyDescent="0.2">
      <c r="F157" s="60"/>
    </row>
    <row r="158" spans="1:6" s="40" customFormat="1" ht="12.75" x14ac:dyDescent="0.2">
      <c r="A158" s="74" t="str">
        <f>'TAKE-OFF PROJET'!$A379</f>
        <v>NOTES PARTICULIÈRES &amp; EXCLUSIONS</v>
      </c>
      <c r="B158" s="74"/>
      <c r="C158" s="74"/>
      <c r="D158" s="74"/>
      <c r="E158" s="74"/>
      <c r="F158" s="74"/>
    </row>
    <row r="159" spans="1:6" s="40" customFormat="1" ht="12.75" x14ac:dyDescent="0.2">
      <c r="A159" s="76" t="s">
        <v>48</v>
      </c>
      <c r="B159" s="73" t="s">
        <v>0</v>
      </c>
      <c r="C159" s="73"/>
      <c r="D159" s="73"/>
      <c r="E159" s="73"/>
      <c r="F159" s="53" t="s">
        <v>6</v>
      </c>
    </row>
    <row r="160" spans="1:6" ht="24" customHeight="1" x14ac:dyDescent="0.2">
      <c r="A160" s="18">
        <f>'TAKE-OFF PROJET'!$A381</f>
        <v>1</v>
      </c>
      <c r="B160" s="75" t="str">
        <f>'TAKE-OFF PROJET'!$B381</f>
        <v>Tous ce qui n'est pas inscrit, demandé, comptabilisable ou quantifiable dans le présent documents est automatiquement exclus.</v>
      </c>
      <c r="C160" s="75"/>
      <c r="D160" s="75"/>
      <c r="E160" s="75"/>
      <c r="F160" s="67" t="str">
        <f>IF('TAKE-OFF PROJET'!$L381=0,"",'TAKE-OFF PROJET'!$L381)</f>
        <v/>
      </c>
    </row>
    <row r="161" spans="1:6" ht="24" customHeight="1" x14ac:dyDescent="0.2">
      <c r="A161" s="18">
        <f>'TAKE-OFF PROJET'!$A382</f>
        <v>2</v>
      </c>
      <c r="B161" s="75" t="str">
        <f>'TAKE-OFF PROJET'!$B382</f>
        <v>L'estimé est fait selon notre compréhension des plans.</v>
      </c>
      <c r="C161" s="75"/>
      <c r="D161" s="75"/>
      <c r="E161" s="75"/>
      <c r="F161" s="67" t="str">
        <f>IF('TAKE-OFF PROJET'!$L382=0,"",'TAKE-OFF PROJET'!$L382)</f>
        <v/>
      </c>
    </row>
    <row r="162" spans="1:6" ht="24" customHeight="1" x14ac:dyDescent="0.2">
      <c r="A162" s="18">
        <f>'TAKE-OFF PROJET'!$A383</f>
        <v>3</v>
      </c>
      <c r="B162" s="75">
        <f>'TAKE-OFF PROJET'!$B383</f>
        <v>0</v>
      </c>
      <c r="C162" s="75"/>
      <c r="D162" s="75"/>
      <c r="E162" s="75"/>
      <c r="F162" s="67" t="str">
        <f>IF('TAKE-OFF PROJET'!$L383=0,"",'TAKE-OFF PROJET'!$L383)</f>
        <v/>
      </c>
    </row>
    <row r="163" spans="1:6" ht="24" customHeight="1" x14ac:dyDescent="0.2">
      <c r="A163" s="18">
        <f>'TAKE-OFF PROJET'!$A384</f>
        <v>4</v>
      </c>
      <c r="B163" s="75">
        <f>'TAKE-OFF PROJET'!$B384</f>
        <v>0</v>
      </c>
      <c r="C163" s="75"/>
      <c r="D163" s="75"/>
      <c r="E163" s="75"/>
      <c r="F163" s="67" t="str">
        <f>IF('TAKE-OFF PROJET'!$L384=0,"",'TAKE-OFF PROJET'!$L384)</f>
        <v/>
      </c>
    </row>
    <row r="164" spans="1:6" ht="24" customHeight="1" x14ac:dyDescent="0.2">
      <c r="A164" s="18">
        <f>'TAKE-OFF PROJET'!$A385</f>
        <v>5</v>
      </c>
      <c r="B164" s="75">
        <f>'TAKE-OFF PROJET'!$B385</f>
        <v>0</v>
      </c>
      <c r="C164" s="75"/>
      <c r="D164" s="75"/>
      <c r="E164" s="75"/>
      <c r="F164" s="67" t="str">
        <f>IF('TAKE-OFF PROJET'!$L385=0,"",'TAKE-OFF PROJET'!$L385)</f>
        <v/>
      </c>
    </row>
    <row r="165" spans="1:6" ht="24" customHeight="1" x14ac:dyDescent="0.2">
      <c r="A165" s="18">
        <f>'TAKE-OFF PROJET'!$A386</f>
        <v>6</v>
      </c>
      <c r="B165" s="75">
        <f>'TAKE-OFF PROJET'!$B386</f>
        <v>0</v>
      </c>
      <c r="C165" s="75"/>
      <c r="D165" s="75"/>
      <c r="E165" s="75"/>
      <c r="F165" s="67" t="str">
        <f>IF('TAKE-OFF PROJET'!$L386=0,"",'TAKE-OFF PROJET'!$L386)</f>
        <v/>
      </c>
    </row>
    <row r="166" spans="1:6" ht="24" customHeight="1" x14ac:dyDescent="0.2">
      <c r="A166" s="18">
        <f>'TAKE-OFF PROJET'!$A387</f>
        <v>7</v>
      </c>
      <c r="B166" s="75">
        <f>'TAKE-OFF PROJET'!$B387</f>
        <v>0</v>
      </c>
      <c r="C166" s="75"/>
      <c r="D166" s="75"/>
      <c r="E166" s="75"/>
      <c r="F166" s="67" t="str">
        <f>IF('TAKE-OFF PROJET'!$L387=0,"",'TAKE-OFF PROJET'!$L387)</f>
        <v/>
      </c>
    </row>
    <row r="167" spans="1:6" ht="24" customHeight="1" x14ac:dyDescent="0.2">
      <c r="A167" s="18">
        <f>'TAKE-OFF PROJET'!$A388</f>
        <v>8</v>
      </c>
      <c r="B167" s="75">
        <f>'TAKE-OFF PROJET'!$B388</f>
        <v>0</v>
      </c>
      <c r="C167" s="75"/>
      <c r="D167" s="75"/>
      <c r="E167" s="75"/>
      <c r="F167" s="67" t="str">
        <f>IF('TAKE-OFF PROJET'!$L388=0,"",'TAKE-OFF PROJET'!$L388)</f>
        <v/>
      </c>
    </row>
    <row r="168" spans="1:6" ht="24" customHeight="1" x14ac:dyDescent="0.2">
      <c r="A168" s="18">
        <f>'TAKE-OFF PROJET'!$A389</f>
        <v>9</v>
      </c>
      <c r="B168" s="75">
        <f>'TAKE-OFF PROJET'!$B389</f>
        <v>0</v>
      </c>
      <c r="C168" s="75"/>
      <c r="D168" s="75"/>
      <c r="E168" s="75"/>
      <c r="F168" s="67" t="str">
        <f>IF('TAKE-OFF PROJET'!$L389=0,"",'TAKE-OFF PROJET'!$L389)</f>
        <v/>
      </c>
    </row>
    <row r="169" spans="1:6" ht="24" customHeight="1" x14ac:dyDescent="0.2">
      <c r="A169" s="18">
        <f>'TAKE-OFF PROJET'!$A390</f>
        <v>10</v>
      </c>
      <c r="B169" s="75">
        <f>'TAKE-OFF PROJET'!$B390</f>
        <v>0</v>
      </c>
      <c r="C169" s="75"/>
      <c r="D169" s="75"/>
      <c r="E169" s="75"/>
      <c r="F169" s="67" t="str">
        <f>IF('TAKE-OFF PROJET'!$L390=0,"",'TAKE-OFF PROJET'!$L390)</f>
        <v/>
      </c>
    </row>
    <row r="170" spans="1:6" ht="24" customHeight="1" x14ac:dyDescent="0.2">
      <c r="A170" s="18">
        <f>'TAKE-OFF PROJET'!$A391</f>
        <v>11</v>
      </c>
      <c r="B170" s="75">
        <f>'TAKE-OFF PROJET'!$B391</f>
        <v>0</v>
      </c>
      <c r="C170" s="75"/>
      <c r="D170" s="75"/>
      <c r="E170" s="75"/>
      <c r="F170" s="67" t="str">
        <f>IF('TAKE-OFF PROJET'!$L391=0,"",'TAKE-OFF PROJET'!$L391)</f>
        <v/>
      </c>
    </row>
    <row r="171" spans="1:6" ht="24" customHeight="1" x14ac:dyDescent="0.2">
      <c r="A171" s="18">
        <f>'TAKE-OFF PROJET'!$A392</f>
        <v>12</v>
      </c>
      <c r="B171" s="75">
        <f>'TAKE-OFF PROJET'!$B392</f>
        <v>0</v>
      </c>
      <c r="C171" s="75"/>
      <c r="D171" s="75"/>
      <c r="E171" s="75"/>
      <c r="F171" s="67" t="str">
        <f>IF('TAKE-OFF PROJET'!$L392=0,"",'TAKE-OFF PROJET'!$L392)</f>
        <v/>
      </c>
    </row>
    <row r="172" spans="1:6" ht="24" customHeight="1" x14ac:dyDescent="0.2">
      <c r="A172" s="18">
        <f>'TAKE-OFF PROJET'!$A393</f>
        <v>13</v>
      </c>
      <c r="B172" s="75">
        <f>'TAKE-OFF PROJET'!$B393</f>
        <v>0</v>
      </c>
      <c r="C172" s="75"/>
      <c r="D172" s="75"/>
      <c r="E172" s="75"/>
      <c r="F172" s="67" t="str">
        <f>IF('TAKE-OFF PROJET'!$L393=0,"",'TAKE-OFF PROJET'!$L393)</f>
        <v/>
      </c>
    </row>
    <row r="173" spans="1:6" ht="24" customHeight="1" x14ac:dyDescent="0.2">
      <c r="A173" s="18">
        <f>'TAKE-OFF PROJET'!$A394</f>
        <v>14</v>
      </c>
      <c r="B173" s="75">
        <f>'TAKE-OFF PROJET'!$B394</f>
        <v>0</v>
      </c>
      <c r="C173" s="75"/>
      <c r="D173" s="75"/>
      <c r="E173" s="75"/>
      <c r="F173" s="67" t="str">
        <f>IF('TAKE-OFF PROJET'!$L394=0,"",'TAKE-OFF PROJET'!$L394)</f>
        <v/>
      </c>
    </row>
    <row r="174" spans="1:6" ht="24" customHeight="1" x14ac:dyDescent="0.2">
      <c r="A174" s="18">
        <f>'TAKE-OFF PROJET'!$A395</f>
        <v>15</v>
      </c>
      <c r="B174" s="75">
        <f>'TAKE-OFF PROJET'!$B395</f>
        <v>0</v>
      </c>
      <c r="C174" s="75"/>
      <c r="D174" s="75"/>
      <c r="E174" s="75"/>
      <c r="F174" s="67" t="str">
        <f>IF('TAKE-OFF PROJET'!$L395=0,"",'TAKE-OFF PROJET'!$L395)</f>
        <v/>
      </c>
    </row>
    <row r="175" spans="1:6" ht="24" customHeight="1" x14ac:dyDescent="0.2">
      <c r="A175" s="18">
        <f>'TAKE-OFF PROJET'!$A396</f>
        <v>16</v>
      </c>
      <c r="B175" s="75">
        <f>'TAKE-OFF PROJET'!$B396</f>
        <v>0</v>
      </c>
      <c r="C175" s="75"/>
      <c r="D175" s="75"/>
      <c r="E175" s="75"/>
      <c r="F175" s="67" t="str">
        <f>IF('TAKE-OFF PROJET'!$L396=0,"",'TAKE-OFF PROJET'!$L396)</f>
        <v/>
      </c>
    </row>
    <row r="176" spans="1:6" ht="24" customHeight="1" x14ac:dyDescent="0.2">
      <c r="A176" s="18">
        <f>'TAKE-OFF PROJET'!$A397</f>
        <v>17</v>
      </c>
      <c r="B176" s="75">
        <f>'TAKE-OFF PROJET'!$B397</f>
        <v>0</v>
      </c>
      <c r="C176" s="75"/>
      <c r="D176" s="75"/>
      <c r="E176" s="75"/>
      <c r="F176" s="67" t="str">
        <f>IF('TAKE-OFF PROJET'!$L397=0,"",'TAKE-OFF PROJET'!$L397)</f>
        <v/>
      </c>
    </row>
    <row r="177" spans="1:6" ht="24" customHeight="1" x14ac:dyDescent="0.2">
      <c r="A177" s="18">
        <f>'TAKE-OFF PROJET'!$A398</f>
        <v>18</v>
      </c>
      <c r="B177" s="75">
        <f>'TAKE-OFF PROJET'!$B398</f>
        <v>0</v>
      </c>
      <c r="C177" s="75"/>
      <c r="D177" s="75"/>
      <c r="E177" s="75"/>
      <c r="F177" s="67" t="str">
        <f>IF('TAKE-OFF PROJET'!$L398=0,"",'TAKE-OFF PROJET'!$L398)</f>
        <v/>
      </c>
    </row>
    <row r="178" spans="1:6" ht="24" customHeight="1" x14ac:dyDescent="0.2">
      <c r="A178" s="18">
        <f>'TAKE-OFF PROJET'!$A399</f>
        <v>19</v>
      </c>
      <c r="B178" s="75">
        <f>'TAKE-OFF PROJET'!$B399</f>
        <v>0</v>
      </c>
      <c r="C178" s="75"/>
      <c r="D178" s="75"/>
      <c r="E178" s="75"/>
      <c r="F178" s="67" t="str">
        <f>IF('TAKE-OFF PROJET'!$L399=0,"",'TAKE-OFF PROJET'!$L399)</f>
        <v/>
      </c>
    </row>
    <row r="179" spans="1:6" ht="24" customHeight="1" x14ac:dyDescent="0.2">
      <c r="A179" s="18">
        <f>'TAKE-OFF PROJET'!$A400</f>
        <v>20</v>
      </c>
      <c r="B179" s="75">
        <f>'TAKE-OFF PROJET'!$B400</f>
        <v>0</v>
      </c>
      <c r="C179" s="75"/>
      <c r="D179" s="75"/>
      <c r="E179" s="75"/>
      <c r="F179" s="67" t="str">
        <f>IF('TAKE-OFF PROJET'!$L400=0,"",'TAKE-OFF PROJET'!$L400)</f>
        <v/>
      </c>
    </row>
    <row r="180" spans="1:6" ht="24" customHeight="1" x14ac:dyDescent="0.2">
      <c r="A180" s="18">
        <f>'TAKE-OFF PROJET'!$A401</f>
        <v>21</v>
      </c>
      <c r="B180" s="75">
        <f>'TAKE-OFF PROJET'!$B401</f>
        <v>0</v>
      </c>
      <c r="C180" s="75"/>
      <c r="D180" s="75"/>
      <c r="E180" s="75"/>
      <c r="F180" s="67" t="str">
        <f>IF('TAKE-OFF PROJET'!$L401=0,"",'TAKE-OFF PROJET'!$L401)</f>
        <v/>
      </c>
    </row>
    <row r="181" spans="1:6" ht="24" customHeight="1" x14ac:dyDescent="0.2">
      <c r="A181" s="18">
        <f>'TAKE-OFF PROJET'!$A402</f>
        <v>22</v>
      </c>
      <c r="B181" s="75">
        <f>'TAKE-OFF PROJET'!$B402</f>
        <v>0</v>
      </c>
      <c r="C181" s="75"/>
      <c r="D181" s="75"/>
      <c r="E181" s="75"/>
      <c r="F181" s="67" t="str">
        <f>IF('TAKE-OFF PROJET'!$L402=0,"",'TAKE-OFF PROJET'!$L402)</f>
        <v/>
      </c>
    </row>
    <row r="182" spans="1:6" ht="24" customHeight="1" x14ac:dyDescent="0.2">
      <c r="A182" s="18">
        <f>'TAKE-OFF PROJET'!$A403</f>
        <v>23</v>
      </c>
      <c r="B182" s="75">
        <f>'TAKE-OFF PROJET'!$B403</f>
        <v>0</v>
      </c>
      <c r="C182" s="75"/>
      <c r="D182" s="75"/>
      <c r="E182" s="75"/>
      <c r="F182" s="67" t="str">
        <f>IF('TAKE-OFF PROJET'!$L403=0,"",'TAKE-OFF PROJET'!$L403)</f>
        <v/>
      </c>
    </row>
    <row r="183" spans="1:6" ht="24" customHeight="1" x14ac:dyDescent="0.2">
      <c r="A183" s="18">
        <f>'TAKE-OFF PROJET'!$A404</f>
        <v>24</v>
      </c>
      <c r="B183" s="75">
        <f>'TAKE-OFF PROJET'!$B404</f>
        <v>0</v>
      </c>
      <c r="C183" s="75"/>
      <c r="D183" s="75"/>
      <c r="E183" s="75"/>
      <c r="F183" s="67" t="str">
        <f>IF('TAKE-OFF PROJET'!$L404=0,"",'TAKE-OFF PROJET'!$L404)</f>
        <v/>
      </c>
    </row>
    <row r="184" spans="1:6" ht="24" customHeight="1" x14ac:dyDescent="0.2">
      <c r="A184" s="18">
        <f>'TAKE-OFF PROJET'!$A405</f>
        <v>25</v>
      </c>
      <c r="B184" s="75">
        <f>'TAKE-OFF PROJET'!$B405</f>
        <v>0</v>
      </c>
      <c r="C184" s="75"/>
      <c r="D184" s="75"/>
      <c r="E184" s="75"/>
      <c r="F184" s="67" t="str">
        <f>IF('TAKE-OFF PROJET'!$L405=0,"",'TAKE-OFF PROJET'!$L405)</f>
        <v/>
      </c>
    </row>
    <row r="185" spans="1:6" ht="24" customHeight="1" x14ac:dyDescent="0.2">
      <c r="A185" s="18">
        <f>'TAKE-OFF PROJET'!$A406</f>
        <v>26</v>
      </c>
      <c r="B185" s="75">
        <f>'TAKE-OFF PROJET'!$B406</f>
        <v>0</v>
      </c>
      <c r="C185" s="75"/>
      <c r="D185" s="75"/>
      <c r="E185" s="75"/>
      <c r="F185" s="67" t="str">
        <f>IF('TAKE-OFF PROJET'!$L406=0,"",'TAKE-OFF PROJET'!$L406)</f>
        <v/>
      </c>
    </row>
    <row r="186" spans="1:6" ht="24" customHeight="1" x14ac:dyDescent="0.2">
      <c r="A186" s="18">
        <f>'TAKE-OFF PROJET'!$A407</f>
        <v>27</v>
      </c>
      <c r="B186" s="75">
        <f>'TAKE-OFF PROJET'!$B407</f>
        <v>0</v>
      </c>
      <c r="C186" s="75"/>
      <c r="D186" s="75"/>
      <c r="E186" s="75"/>
      <c r="F186" s="67" t="str">
        <f>IF('TAKE-OFF PROJET'!$L407=0,"",'TAKE-OFF PROJET'!$L407)</f>
        <v/>
      </c>
    </row>
    <row r="187" spans="1:6" ht="24" customHeight="1" x14ac:dyDescent="0.2">
      <c r="A187" s="18">
        <f>'TAKE-OFF PROJET'!$A408</f>
        <v>28</v>
      </c>
      <c r="B187" s="75">
        <f>'TAKE-OFF PROJET'!$B408</f>
        <v>0</v>
      </c>
      <c r="C187" s="75"/>
      <c r="D187" s="75"/>
      <c r="E187" s="75"/>
      <c r="F187" s="67" t="str">
        <f>IF('TAKE-OFF PROJET'!$L408=0,"",'TAKE-OFF PROJET'!$L408)</f>
        <v/>
      </c>
    </row>
    <row r="188" spans="1:6" ht="24" customHeight="1" x14ac:dyDescent="0.2">
      <c r="A188" s="18">
        <f>'TAKE-OFF PROJET'!$A409</f>
        <v>29</v>
      </c>
      <c r="B188" s="75">
        <f>'TAKE-OFF PROJET'!$B409</f>
        <v>0</v>
      </c>
      <c r="C188" s="75"/>
      <c r="D188" s="75"/>
      <c r="E188" s="75"/>
      <c r="F188" s="67" t="str">
        <f>IF('TAKE-OFF PROJET'!$L409=0,"",'TAKE-OFF PROJET'!$L409)</f>
        <v/>
      </c>
    </row>
    <row r="189" spans="1:6" ht="24" customHeight="1" x14ac:dyDescent="0.2">
      <c r="A189" s="18">
        <f>'TAKE-OFF PROJET'!$A410</f>
        <v>30</v>
      </c>
      <c r="B189" s="75">
        <f>'TAKE-OFF PROJET'!$B410</f>
        <v>0</v>
      </c>
      <c r="C189" s="75"/>
      <c r="D189" s="75"/>
      <c r="E189" s="75"/>
      <c r="F189" s="67" t="str">
        <f>IF('TAKE-OFF PROJET'!$L410=0,"",'TAKE-OFF PROJET'!$L410)</f>
        <v/>
      </c>
    </row>
  </sheetData>
  <sheetProtection selectLockedCells="1" autoFilter="0"/>
  <mergeCells count="73">
    <mergeCell ref="B173:E173"/>
    <mergeCell ref="B160:E160"/>
    <mergeCell ref="B161:E161"/>
    <mergeCell ref="B162:E162"/>
    <mergeCell ref="B163:E163"/>
    <mergeCell ref="B164:E164"/>
    <mergeCell ref="B165:E165"/>
    <mergeCell ref="B166:E166"/>
    <mergeCell ref="B167:E167"/>
    <mergeCell ref="B168:E168"/>
    <mergeCell ref="B169:E169"/>
    <mergeCell ref="B170:E170"/>
    <mergeCell ref="B171:E171"/>
    <mergeCell ref="B172:E172"/>
    <mergeCell ref="B175:E175"/>
    <mergeCell ref="B176:E176"/>
    <mergeCell ref="B177:E177"/>
    <mergeCell ref="B178:E178"/>
    <mergeCell ref="B179:E179"/>
    <mergeCell ref="B186:E186"/>
    <mergeCell ref="B187:E187"/>
    <mergeCell ref="B188:E188"/>
    <mergeCell ref="B189:E189"/>
    <mergeCell ref="A53:F53"/>
    <mergeCell ref="A143:F143"/>
    <mergeCell ref="A140:F140"/>
    <mergeCell ref="A137:F137"/>
    <mergeCell ref="A134:F134"/>
    <mergeCell ref="B180:E180"/>
    <mergeCell ref="B181:E181"/>
    <mergeCell ref="B182:E182"/>
    <mergeCell ref="B183:E183"/>
    <mergeCell ref="B184:E184"/>
    <mergeCell ref="B185:E185"/>
    <mergeCell ref="B174:E174"/>
    <mergeCell ref="A35:F35"/>
    <mergeCell ref="A158:F158"/>
    <mergeCell ref="A155:F155"/>
    <mergeCell ref="A152:F152"/>
    <mergeCell ref="A149:F149"/>
    <mergeCell ref="A146:F146"/>
    <mergeCell ref="A50:F50"/>
    <mergeCell ref="A116:F116"/>
    <mergeCell ref="A47:F47"/>
    <mergeCell ref="A44:F44"/>
    <mergeCell ref="A41:F41"/>
    <mergeCell ref="A38:F38"/>
    <mergeCell ref="A131:F131"/>
    <mergeCell ref="A128:F128"/>
    <mergeCell ref="A125:F125"/>
    <mergeCell ref="A122:F122"/>
    <mergeCell ref="A119:F119"/>
    <mergeCell ref="A110:F110"/>
    <mergeCell ref="A107:F107"/>
    <mergeCell ref="A104:F104"/>
    <mergeCell ref="A101:F101"/>
    <mergeCell ref="A113:F113"/>
    <mergeCell ref="A98:F98"/>
    <mergeCell ref="A59:F59"/>
    <mergeCell ref="A56:F56"/>
    <mergeCell ref="B159:E159"/>
    <mergeCell ref="A77:F77"/>
    <mergeCell ref="A74:F74"/>
    <mergeCell ref="A71:F71"/>
    <mergeCell ref="A68:F68"/>
    <mergeCell ref="A65:F65"/>
    <mergeCell ref="A62:F62"/>
    <mergeCell ref="A95:F95"/>
    <mergeCell ref="A92:F92"/>
    <mergeCell ref="A89:F89"/>
    <mergeCell ref="A86:F86"/>
    <mergeCell ref="A83:F83"/>
    <mergeCell ref="A80:F80"/>
  </mergeCells>
  <pageMargins left="0.39370078740157483" right="0.39370078740157483" top="1.1811023622047245" bottom="0.78740157480314965" header="0.31496062992125984" footer="0.31496062992125984"/>
  <pageSetup orientation="portrait" r:id="rId1"/>
  <headerFooter>
    <oddHeader>&amp;LLogo&amp;R&amp;14&amp;A</oddHeader>
    <oddFooter>&amp;RPage | &amp;"Arial,Gras"&amp;10&amp;P&amp;"Arial,Normal"&amp;9 de &amp;N</oddFooter>
  </headerFooter>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TAKE-OFF PROJET</vt:lpstr>
      <vt:lpstr>SOUMISSION CLIENT</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Cédrik Larose</dc:creator>
  <cp:lastModifiedBy>Cédrik Larose</cp:lastModifiedBy>
  <cp:lastPrinted>2021-12-27T19:56:04Z</cp:lastPrinted>
  <dcterms:created xsi:type="dcterms:W3CDTF">2021-01-30T14:43:41Z</dcterms:created>
  <dcterms:modified xsi:type="dcterms:W3CDTF">2022-03-30T21:19:21Z</dcterms:modified>
</cp:coreProperties>
</file>