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laine.guenot\Documents\A trier\"/>
    </mc:Choice>
  </mc:AlternateContent>
  <xr:revisionPtr revIDLastSave="0" documentId="13_ncr:1_{4DF2A160-9791-4BC9-896E-A9C4068262CA}" xr6:coauthVersionLast="47" xr6:coauthVersionMax="47" xr10:uidLastSave="{00000000-0000-0000-0000-000000000000}"/>
  <bookViews>
    <workbookView xWindow="-23148" yWindow="-108" windowWidth="23256" windowHeight="12576" xr2:uid="{3816FFC3-2AFF-4F7A-BDCA-B95562E24B34}"/>
  </bookViews>
  <sheets>
    <sheet name="Location" sheetId="1" r:id="rId1"/>
  </sheets>
  <externalReferences>
    <externalReference r:id="rId2"/>
  </externalReferenc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12" i="1" l="1"/>
  <c r="AF12" i="1"/>
  <c r="AA13" i="1"/>
  <c r="AA14" i="1"/>
  <c r="AA15" i="1"/>
  <c r="AF38" i="1"/>
  <c r="M38" i="1"/>
  <c r="AA38" i="1" s="1"/>
  <c r="AF37" i="1"/>
  <c r="M37" i="1"/>
  <c r="AA37" i="1" s="1"/>
  <c r="AF36" i="1"/>
  <c r="AA36" i="1"/>
  <c r="AF35" i="1"/>
  <c r="AA35" i="1"/>
  <c r="AF34" i="1"/>
  <c r="AA34" i="1"/>
  <c r="AF33" i="1"/>
  <c r="AA33" i="1"/>
  <c r="L98" i="1"/>
  <c r="AF98" i="1"/>
  <c r="AA98" i="1"/>
  <c r="AF97" i="1"/>
  <c r="AA97" i="1"/>
  <c r="AF86" i="1"/>
  <c r="AA86" i="1"/>
  <c r="AF85" i="1"/>
  <c r="AA85" i="1"/>
  <c r="M73" i="1"/>
  <c r="AA73" i="1" s="1"/>
  <c r="AA65" i="1"/>
  <c r="AF65" i="1"/>
  <c r="AA66" i="1"/>
  <c r="AF66" i="1"/>
  <c r="AA67" i="1"/>
  <c r="AF67" i="1"/>
  <c r="AA68" i="1"/>
  <c r="AF68" i="1"/>
  <c r="AA69" i="1"/>
  <c r="AF69" i="1"/>
  <c r="AA70" i="1"/>
  <c r="AF70" i="1"/>
  <c r="AA71" i="1"/>
  <c r="AB71" i="1"/>
  <c r="AD71" i="1" s="1"/>
  <c r="AF71" i="1"/>
  <c r="AA72" i="1"/>
  <c r="AF72" i="1"/>
  <c r="AF73" i="1"/>
  <c r="AA74" i="1"/>
  <c r="AF74" i="1"/>
  <c r="AA75" i="1"/>
  <c r="AB75" i="1"/>
  <c r="AC75" i="1" s="1"/>
  <c r="AF75" i="1"/>
  <c r="L68" i="1"/>
  <c r="L67" i="1"/>
  <c r="L66" i="1"/>
  <c r="L65" i="1"/>
  <c r="AD75" i="1" l="1"/>
  <c r="AE75" i="1" s="1"/>
  <c r="AC71" i="1"/>
  <c r="AE71" i="1" s="1"/>
  <c r="AF106" i="1" l="1"/>
  <c r="AB106" i="1"/>
  <c r="AD106" i="1" s="1"/>
  <c r="AF105" i="1"/>
  <c r="AB105" i="1"/>
  <c r="AC105" i="1" s="1"/>
  <c r="AF104" i="1"/>
  <c r="AB104" i="1"/>
  <c r="AC104" i="1" s="1"/>
  <c r="AF103" i="1"/>
  <c r="AB103" i="1"/>
  <c r="AD103" i="1" s="1"/>
  <c r="AF102" i="1"/>
  <c r="AB102" i="1"/>
  <c r="AD102" i="1" s="1"/>
  <c r="AF101" i="1"/>
  <c r="AB101" i="1"/>
  <c r="AD101" i="1" s="1"/>
  <c r="AF100" i="1"/>
  <c r="AB100" i="1"/>
  <c r="AC100" i="1" s="1"/>
  <c r="AF99" i="1"/>
  <c r="AB99" i="1"/>
  <c r="AD99" i="1" s="1"/>
  <c r="AF96" i="1"/>
  <c r="AF95" i="1"/>
  <c r="AA106" i="1"/>
  <c r="AA105" i="1"/>
  <c r="AA104" i="1"/>
  <c r="AA103" i="1"/>
  <c r="AA102" i="1"/>
  <c r="AA101" i="1"/>
  <c r="AA100" i="1"/>
  <c r="AA99" i="1"/>
  <c r="AA96" i="1"/>
  <c r="M95" i="1"/>
  <c r="AA95" i="1" s="1"/>
  <c r="Z108" i="1" s="1"/>
  <c r="AA112" i="1" s="1"/>
  <c r="AD105" i="1" l="1"/>
  <c r="AE105" i="1" s="1"/>
  <c r="AC101" i="1"/>
  <c r="AE101" i="1" s="1"/>
  <c r="AC102" i="1"/>
  <c r="AE102" i="1" s="1"/>
  <c r="AC106" i="1"/>
  <c r="AE106" i="1" s="1"/>
  <c r="AD100" i="1"/>
  <c r="AE100" i="1" s="1"/>
  <c r="AD104" i="1"/>
  <c r="AE104" i="1" s="1"/>
  <c r="AC99" i="1"/>
  <c r="AE99" i="1" s="1"/>
  <c r="AC103" i="1"/>
  <c r="AE103" i="1" s="1"/>
  <c r="AA108" i="1"/>
  <c r="AB87" i="1" l="1"/>
  <c r="AC87" i="1" s="1"/>
  <c r="AF87" i="1"/>
  <c r="AF84" i="1"/>
  <c r="AF83" i="1"/>
  <c r="AF64" i="1"/>
  <c r="AF63" i="1"/>
  <c r="AF62" i="1"/>
  <c r="AB52" i="1"/>
  <c r="AC52" i="1" s="1"/>
  <c r="AF52" i="1"/>
  <c r="AF51" i="1"/>
  <c r="AB51" i="1"/>
  <c r="AD51" i="1" s="1"/>
  <c r="AF50" i="1"/>
  <c r="AF49" i="1"/>
  <c r="AF31" i="1"/>
  <c r="AF32" i="1"/>
  <c r="AB39" i="1"/>
  <c r="AD39" i="1" s="1"/>
  <c r="AF39" i="1"/>
  <c r="AF30" i="1"/>
  <c r="AB16" i="1"/>
  <c r="AC16" i="1" s="1"/>
  <c r="AB17" i="1"/>
  <c r="AD17" i="1" s="1"/>
  <c r="AB18" i="1"/>
  <c r="AC18" i="1" s="1"/>
  <c r="AB19" i="1"/>
  <c r="AD19" i="1" s="1"/>
  <c r="AB20" i="1"/>
  <c r="AD20" i="1" s="1"/>
  <c r="AF11" i="1"/>
  <c r="AF10" i="1"/>
  <c r="AF9" i="1"/>
  <c r="AF20" i="1"/>
  <c r="AA20" i="1"/>
  <c r="AF19" i="1"/>
  <c r="AA19" i="1"/>
  <c r="AF18" i="1"/>
  <c r="AA18" i="1"/>
  <c r="AF17" i="1"/>
  <c r="AA17" i="1"/>
  <c r="AA16" i="1"/>
  <c r="AA11" i="1"/>
  <c r="AA10" i="1"/>
  <c r="AA9" i="1"/>
  <c r="AA84" i="1"/>
  <c r="AA83" i="1"/>
  <c r="AA64" i="1"/>
  <c r="AA63" i="1"/>
  <c r="AA62" i="1"/>
  <c r="AA52" i="1"/>
  <c r="AA51" i="1"/>
  <c r="AA50" i="1"/>
  <c r="AA49" i="1"/>
  <c r="AA39" i="1"/>
  <c r="AA32" i="1"/>
  <c r="AA31" i="1"/>
  <c r="AA30" i="1"/>
  <c r="W1" i="1"/>
  <c r="AB14" i="1" l="1"/>
  <c r="AB13" i="1"/>
  <c r="AB12" i="1"/>
  <c r="AB15" i="1"/>
  <c r="AB37" i="1"/>
  <c r="AB36" i="1"/>
  <c r="AB38" i="1"/>
  <c r="AB35" i="1"/>
  <c r="AB33" i="1"/>
  <c r="AB34" i="1"/>
  <c r="AB97" i="1"/>
  <c r="AB86" i="1"/>
  <c r="AB85" i="1"/>
  <c r="AB98" i="1"/>
  <c r="AB69" i="1"/>
  <c r="AB73" i="1"/>
  <c r="AB68" i="1"/>
  <c r="AB70" i="1"/>
  <c r="AB72" i="1"/>
  <c r="AB74" i="1"/>
  <c r="AB67" i="1"/>
  <c r="AB65" i="1"/>
  <c r="AB66" i="1"/>
  <c r="AC51" i="1"/>
  <c r="AE51" i="1" s="1"/>
  <c r="AD52" i="1"/>
  <c r="AE52" i="1" s="1"/>
  <c r="AB49" i="1"/>
  <c r="AC49" i="1" s="1"/>
  <c r="AB95" i="1"/>
  <c r="AB96" i="1"/>
  <c r="AC39" i="1"/>
  <c r="AE39" i="1" s="1"/>
  <c r="AB62" i="1"/>
  <c r="AB84" i="1"/>
  <c r="AD84" i="1" s="1"/>
  <c r="AB50" i="1"/>
  <c r="AD50" i="1" s="1"/>
  <c r="AB63" i="1"/>
  <c r="AB64" i="1"/>
  <c r="AB9" i="1"/>
  <c r="AD9" i="1" s="1"/>
  <c r="AB10" i="1"/>
  <c r="AD10" i="1" s="1"/>
  <c r="AB31" i="1"/>
  <c r="AB83" i="1"/>
  <c r="AD83" i="1" s="1"/>
  <c r="AB11" i="1"/>
  <c r="AD11" i="1" s="1"/>
  <c r="AB32" i="1"/>
  <c r="AB30" i="1"/>
  <c r="AD30" i="1" s="1"/>
  <c r="AD87" i="1"/>
  <c r="AE87" i="1" s="1"/>
  <c r="AA22" i="1"/>
  <c r="AD16" i="1"/>
  <c r="AC17" i="1"/>
  <c r="AE17" i="1" s="1"/>
  <c r="AD18" i="1"/>
  <c r="AE18" i="1" s="1"/>
  <c r="AC19" i="1"/>
  <c r="AE19" i="1" s="1"/>
  <c r="AC20" i="1"/>
  <c r="AE20" i="1" s="1"/>
  <c r="AA54" i="1"/>
  <c r="AA58" i="1" s="1"/>
  <c r="AA89" i="1"/>
  <c r="AA41" i="1"/>
  <c r="AA45" i="1" s="1"/>
  <c r="AA79" i="1"/>
  <c r="AC15" i="1" l="1"/>
  <c r="AD15" i="1"/>
  <c r="AF15" i="1" s="1"/>
  <c r="AC12" i="1"/>
  <c r="AD12" i="1"/>
  <c r="AE12" i="1" s="1"/>
  <c r="AC13" i="1"/>
  <c r="AD13" i="1"/>
  <c r="AF13" i="1" s="1"/>
  <c r="AD14" i="1"/>
  <c r="AF14" i="1" s="1"/>
  <c r="AC14" i="1"/>
  <c r="AE14" i="1" s="1"/>
  <c r="AE16" i="1"/>
  <c r="AF16" i="1"/>
  <c r="AF22" i="1" s="1"/>
  <c r="AD38" i="1"/>
  <c r="AC38" i="1"/>
  <c r="AD34" i="1"/>
  <c r="AC34" i="1"/>
  <c r="AD33" i="1"/>
  <c r="AC33" i="1"/>
  <c r="AD36" i="1"/>
  <c r="AC36" i="1"/>
  <c r="AD35" i="1"/>
  <c r="AC35" i="1"/>
  <c r="AD37" i="1"/>
  <c r="AC37" i="1"/>
  <c r="AD86" i="1"/>
  <c r="AC86" i="1"/>
  <c r="AD98" i="1"/>
  <c r="AC98" i="1"/>
  <c r="AC85" i="1"/>
  <c r="AD85" i="1"/>
  <c r="AD97" i="1"/>
  <c r="AC97" i="1"/>
  <c r="AC65" i="1"/>
  <c r="AD65" i="1"/>
  <c r="AC68" i="1"/>
  <c r="AD68" i="1"/>
  <c r="AC74" i="1"/>
  <c r="AD74" i="1"/>
  <c r="AC73" i="1"/>
  <c r="AD73" i="1"/>
  <c r="AC70" i="1"/>
  <c r="AD70" i="1"/>
  <c r="AC67" i="1"/>
  <c r="AD67" i="1"/>
  <c r="AC66" i="1"/>
  <c r="AD66" i="1"/>
  <c r="AC72" i="1"/>
  <c r="AD72" i="1"/>
  <c r="AC69" i="1"/>
  <c r="AD69" i="1"/>
  <c r="AD49" i="1"/>
  <c r="AE49" i="1" s="1"/>
  <c r="AC11" i="1"/>
  <c r="AE11" i="1" s="1"/>
  <c r="AD96" i="1"/>
  <c r="AC96" i="1"/>
  <c r="AD95" i="1"/>
  <c r="AC95" i="1"/>
  <c r="AB108" i="1"/>
  <c r="AC10" i="1"/>
  <c r="AE10" i="1" s="1"/>
  <c r="AC9" i="1"/>
  <c r="AE9" i="1" s="1"/>
  <c r="AC50" i="1"/>
  <c r="AE50" i="1" s="1"/>
  <c r="AC84" i="1"/>
  <c r="AE84" i="1" s="1"/>
  <c r="AC31" i="1"/>
  <c r="AD31" i="1"/>
  <c r="AC30" i="1"/>
  <c r="AE30" i="1" s="1"/>
  <c r="AB22" i="1"/>
  <c r="AC83" i="1"/>
  <c r="AE83" i="1" s="1"/>
  <c r="AD32" i="1"/>
  <c r="AC32" i="1"/>
  <c r="AD64" i="1"/>
  <c r="AC64" i="1"/>
  <c r="AD62" i="1"/>
  <c r="AC62" i="1"/>
  <c r="AD63" i="1"/>
  <c r="AC63" i="1"/>
  <c r="AB54" i="1"/>
  <c r="AB41" i="1"/>
  <c r="AB89" i="1"/>
  <c r="AD22" i="1" l="1"/>
  <c r="AE13" i="1"/>
  <c r="AE15" i="1"/>
  <c r="AE37" i="1"/>
  <c r="AE36" i="1"/>
  <c r="AE34" i="1"/>
  <c r="AE35" i="1"/>
  <c r="AE33" i="1"/>
  <c r="AE38" i="1"/>
  <c r="AE97" i="1"/>
  <c r="AE98" i="1"/>
  <c r="AE85" i="1"/>
  <c r="AE66" i="1"/>
  <c r="AE74" i="1"/>
  <c r="AE86" i="1"/>
  <c r="AE72" i="1"/>
  <c r="AE68" i="1"/>
  <c r="AE73" i="1"/>
  <c r="AE67" i="1"/>
  <c r="AE69" i="1"/>
  <c r="AE70" i="1"/>
  <c r="AE65" i="1"/>
  <c r="AD54" i="1"/>
  <c r="AE22" i="1"/>
  <c r="AD108" i="1"/>
  <c r="AE63" i="1"/>
  <c r="AE64" i="1"/>
  <c r="AE96" i="1"/>
  <c r="AC22" i="1"/>
  <c r="AE95" i="1"/>
  <c r="AC108" i="1"/>
  <c r="AE31" i="1"/>
  <c r="AE62" i="1"/>
  <c r="AE32" i="1"/>
  <c r="AD89" i="1"/>
  <c r="AC54" i="1"/>
  <c r="AE54" i="1"/>
  <c r="AC41" i="1"/>
  <c r="AC89" i="1"/>
  <c r="AD41" i="1"/>
  <c r="AE41" i="1" l="1"/>
  <c r="AE108" i="1"/>
  <c r="AE8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cedric.darrou</author>
  </authors>
  <commentList>
    <comment ref="L37" authorId="0" shapeId="0" xr:uid="{5DFB6268-C121-4A35-896F-3A78745AB710}">
      <text>
        <r>
          <rPr>
            <sz val="9"/>
            <color indexed="81"/>
            <rFont val="Tahoma"/>
            <family val="2"/>
          </rPr>
          <t xml:space="preserve">fact globale 1 572,60 €
</t>
        </r>
      </text>
    </comment>
  </commentList>
</comments>
</file>

<file path=xl/sharedStrings.xml><?xml version="1.0" encoding="utf-8"?>
<sst xmlns="http://schemas.openxmlformats.org/spreadsheetml/2006/main" count="420" uniqueCount="114">
  <si>
    <t>Oui</t>
  </si>
  <si>
    <t>Mensuelle</t>
  </si>
  <si>
    <t>Non</t>
  </si>
  <si>
    <t>Trimestrielle</t>
  </si>
  <si>
    <t>Semestrielle</t>
  </si>
  <si>
    <t>Locations</t>
  </si>
  <si>
    <t>Annuelle</t>
  </si>
  <si>
    <t>6135100000 - LOCATIONS AUTOMATES</t>
  </si>
  <si>
    <t>Analytique</t>
  </si>
  <si>
    <t>Site</t>
  </si>
  <si>
    <t>Description</t>
  </si>
  <si>
    <t>GAM</t>
  </si>
  <si>
    <t>Fournisseur</t>
  </si>
  <si>
    <t>N° Contrat</t>
  </si>
  <si>
    <t>Réf SAP</t>
  </si>
  <si>
    <t>Début Contrat</t>
  </si>
  <si>
    <t>Fin Contrat</t>
  </si>
  <si>
    <t xml:space="preserve">Retraitement CCA IFRS 16 </t>
  </si>
  <si>
    <t xml:space="preserve">Périodicité </t>
  </si>
  <si>
    <t>Base</t>
  </si>
  <si>
    <t>N-1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</si>
  <si>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</si>
  <si>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</si>
  <si>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</si>
  <si>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</si>
  <si>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</si>
  <si>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</si>
  <si>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</si>
  <si>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</si>
  <si>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</si>
  <si>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</si>
  <si>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</si>
  <si>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</si>
  <si>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N+1</t>
  </si>
  <si>
    <t xml:space="preserve">TOTAL </t>
  </si>
  <si>
    <t>THEORIQUE</t>
  </si>
  <si>
    <t>FNP</t>
  </si>
  <si>
    <t>CCA Calculées</t>
  </si>
  <si>
    <t>Contrôles</t>
  </si>
  <si>
    <t>CCA à éliminer IFRS 16</t>
  </si>
  <si>
    <t>AUT-03162</t>
  </si>
  <si>
    <t>AUT-07180</t>
  </si>
  <si>
    <t>AUT-08548</t>
  </si>
  <si>
    <t>RADIOMETER</t>
  </si>
  <si>
    <t>AUT-05850/51/54</t>
  </si>
  <si>
    <t>AUT-05852</t>
  </si>
  <si>
    <t>Total Compta</t>
  </si>
  <si>
    <t>Ecart</t>
  </si>
  <si>
    <t>6135200000 - LOCATIONS MAT INFORMATIQUE ET BUREAU</t>
  </si>
  <si>
    <t>6135400000 - LOCATIONS VEHICULES</t>
  </si>
  <si>
    <t>ALLANE</t>
  </si>
  <si>
    <t>ALD AUTOMOTIVE</t>
  </si>
  <si>
    <t>A CRÉER</t>
  </si>
  <si>
    <t>DIAC</t>
  </si>
  <si>
    <t>FREE2MOVE</t>
  </si>
  <si>
    <t>6135500000 - LOCATIONS AUTRES</t>
  </si>
  <si>
    <t>Alarme</t>
  </si>
  <si>
    <t>Entité 2</t>
  </si>
  <si>
    <t>Imprimantes</t>
  </si>
  <si>
    <t>Grenke</t>
  </si>
  <si>
    <t>FR.xxxxx.xxx</t>
  </si>
  <si>
    <t>Siemens</t>
  </si>
  <si>
    <t>Paris</t>
  </si>
  <si>
    <t>Immatriculation 1</t>
  </si>
  <si>
    <t>Immatriculation 2</t>
  </si>
  <si>
    <t>Immatriculation 3</t>
  </si>
  <si>
    <t>Fontaine à eau</t>
  </si>
  <si>
    <t>Machine à affranchir</t>
  </si>
  <si>
    <t>Quadient</t>
  </si>
  <si>
    <t>Culligan</t>
  </si>
  <si>
    <t>LOC. IMMOB.</t>
  </si>
  <si>
    <t>Bailleur</t>
  </si>
  <si>
    <t>Paris 1</t>
  </si>
  <si>
    <t>Paris 2</t>
  </si>
  <si>
    <t>Paris 3</t>
  </si>
  <si>
    <t>SCI TEST</t>
  </si>
  <si>
    <t>SCI TEST 1</t>
  </si>
  <si>
    <t>SCI TEST 2</t>
  </si>
  <si>
    <t>Automate 1</t>
  </si>
  <si>
    <t>Automate 2</t>
  </si>
  <si>
    <t>Automate 3</t>
  </si>
  <si>
    <t>Commun</t>
  </si>
  <si>
    <t>RED./CONCESS,BREVETS…</t>
  </si>
  <si>
    <t>Licence 1</t>
  </si>
  <si>
    <t>Licence 2</t>
  </si>
  <si>
    <t>Office</t>
  </si>
  <si>
    <t>SAP</t>
  </si>
  <si>
    <t>Immatriculation 4</t>
  </si>
  <si>
    <t>Immatriculation 5</t>
  </si>
  <si>
    <t>Immatriculation 6</t>
  </si>
  <si>
    <t>Immatriculation 7</t>
  </si>
  <si>
    <t>Immatriculation 8</t>
  </si>
  <si>
    <t>Immatriculation 9</t>
  </si>
  <si>
    <t>Immatriculation 10</t>
  </si>
  <si>
    <t>Immatriculation 11</t>
  </si>
  <si>
    <t>Immatriculation 12</t>
  </si>
  <si>
    <t>Licence 3</t>
  </si>
  <si>
    <t>Licence 4</t>
  </si>
  <si>
    <t>Automate 4</t>
  </si>
  <si>
    <t>Automate 5</t>
  </si>
  <si>
    <t>Automate 6</t>
  </si>
  <si>
    <t>Automate 7</t>
  </si>
  <si>
    <t>Automate 8</t>
  </si>
  <si>
    <t>Automate 9</t>
  </si>
  <si>
    <t>Paris 4</t>
  </si>
  <si>
    <t>Paris 5</t>
  </si>
  <si>
    <t>Paris 6</t>
  </si>
  <si>
    <t>Paris 7</t>
  </si>
  <si>
    <t>Paris 8</t>
  </si>
  <si>
    <t>SCI TEST 3</t>
  </si>
  <si>
    <t>SCI TEST 4</t>
  </si>
  <si>
    <t>SCI TEST 5</t>
  </si>
  <si>
    <t>SCI TEST 6</t>
  </si>
  <si>
    <t>SCI TEST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</si>
</sst>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  <numFmt numFmtId="165" formatCode="_-* #,##0.00\ [$€-40C]_-;\-* #,##0.00\ [$€-40C]_-;_-* &quot;-&quot;??\ [$€-40C]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</font>
    <font>
      <sz val="8"/>
      <name val="Calibri"/>
      <family val="2"/>
      <charset val="1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u/>
      <sz val="8"/>
      <color theme="1"/>
      <name val="Calibri"/>
      <family val="2"/>
      <scheme val="minor"/>
    </font>
    <font>
      <sz val="8"/>
      <color rgb="FF252525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rgb="FFD7E4BD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</cellStyleXfs>
  <cellXfs count="10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44" fontId="2" fillId="0" borderId="0" xfId="0" applyNumberFormat="1" applyFont="1"/>
    <xf numFmtId="14" fontId="2" fillId="0" borderId="0" xfId="0" applyNumberFormat="1" applyFont="1"/>
    <xf numFmtId="44" fontId="2" fillId="2" borderId="0" xfId="0" applyNumberFormat="1" applyFont="1" applyFill="1" applyProtection="1">
      <protection locked="0"/>
    </xf>
    <xf numFmtId="4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44" fontId="3" fillId="2" borderId="0" xfId="0" applyNumberFormat="1" applyFont="1" applyFill="1" applyProtection="1">
      <protection locked="0"/>
    </xf>
    <xf numFmtId="0" fontId="4" fillId="3" borderId="0" xfId="0" applyFont="1" applyFill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44" fontId="4" fillId="0" borderId="0" xfId="0" applyNumberFormat="1" applyFont="1" applyAlignment="1">
      <alignment horizontal="center"/>
    </xf>
    <xf numFmtId="44" fontId="4" fillId="2" borderId="0" xfId="0" applyNumberFormat="1" applyFont="1" applyFill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3" fillId="2" borderId="1" xfId="1" applyFont="1" applyFill="1" applyBorder="1" applyAlignment="1" applyProtection="1">
      <alignment horizontal="center"/>
      <protection locked="0"/>
    </xf>
    <xf numFmtId="0" fontId="6" fillId="2" borderId="1" xfId="1" applyFont="1" applyFill="1" applyBorder="1" applyAlignment="1" applyProtection="1">
      <alignment horizontal="left"/>
      <protection locked="0"/>
    </xf>
    <xf numFmtId="0" fontId="5" fillId="2" borderId="1" xfId="1" applyFont="1" applyFill="1" applyBorder="1" applyAlignment="1" applyProtection="1">
      <alignment horizontal="left"/>
      <protection locked="0"/>
    </xf>
    <xf numFmtId="0" fontId="6" fillId="2" borderId="1" xfId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14" fontId="7" fillId="2" borderId="1" xfId="2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5" fillId="2" borderId="2" xfId="3" applyFont="1" applyFill="1" applyBorder="1" applyAlignment="1" applyProtection="1">
      <alignment horizontal="center"/>
      <protection locked="0"/>
    </xf>
    <xf numFmtId="44" fontId="6" fillId="6" borderId="1" xfId="1" applyNumberFormat="1" applyFont="1" applyFill="1" applyBorder="1" applyProtection="1">
      <protection locked="0"/>
    </xf>
    <xf numFmtId="44" fontId="7" fillId="7" borderId="1" xfId="2" applyNumberFormat="1" applyFont="1" applyFill="1" applyBorder="1" applyProtection="1">
      <protection locked="0"/>
    </xf>
    <xf numFmtId="44" fontId="7" fillId="8" borderId="1" xfId="2" applyNumberFormat="1" applyFont="1" applyFill="1" applyBorder="1" applyProtection="1">
      <protection locked="0"/>
    </xf>
    <xf numFmtId="44" fontId="7" fillId="0" borderId="1" xfId="2" applyNumberFormat="1" applyFont="1" applyBorder="1" applyProtection="1">
      <protection locked="0"/>
    </xf>
    <xf numFmtId="44" fontId="3" fillId="0" borderId="1" xfId="0" applyNumberFormat="1" applyFont="1" applyBorder="1" applyProtection="1">
      <protection locked="0"/>
    </xf>
    <xf numFmtId="44" fontId="3" fillId="5" borderId="1" xfId="0" applyNumberFormat="1" applyFont="1" applyFill="1" applyBorder="1" applyProtection="1">
      <protection locked="0"/>
    </xf>
    <xf numFmtId="44" fontId="3" fillId="3" borderId="1" xfId="0" applyNumberFormat="1" applyFont="1" applyFill="1" applyBorder="1" applyProtection="1">
      <protection locked="0"/>
    </xf>
    <xf numFmtId="44" fontId="3" fillId="0" borderId="1" xfId="0" applyNumberFormat="1" applyFont="1" applyBorder="1"/>
    <xf numFmtId="44" fontId="7" fillId="5" borderId="1" xfId="2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14" fontId="3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44" fontId="6" fillId="2" borderId="1" xfId="1" applyNumberFormat="1" applyFont="1" applyFill="1" applyBorder="1" applyProtection="1">
      <protection locked="0"/>
    </xf>
    <xf numFmtId="44" fontId="3" fillId="7" borderId="1" xfId="2" applyNumberFormat="1" applyFont="1" applyFill="1" applyBorder="1" applyProtection="1">
      <protection locked="0"/>
    </xf>
    <xf numFmtId="44" fontId="3" fillId="0" borderId="1" xfId="2" applyNumberFormat="1" applyFont="1" applyBorder="1" applyProtection="1">
      <protection locked="0"/>
    </xf>
    <xf numFmtId="44" fontId="3" fillId="8" borderId="1" xfId="2" applyNumberFormat="1" applyFont="1" applyFill="1" applyBorder="1" applyProtection="1">
      <protection locked="0"/>
    </xf>
    <xf numFmtId="44" fontId="3" fillId="2" borderId="1" xfId="0" applyNumberFormat="1" applyFont="1" applyFill="1" applyBorder="1" applyProtection="1">
      <protection locked="0"/>
    </xf>
    <xf numFmtId="44" fontId="3" fillId="8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44" fontId="3" fillId="8" borderId="1" xfId="0" applyNumberFormat="1" applyFont="1" applyFill="1" applyBorder="1"/>
    <xf numFmtId="165" fontId="7" fillId="7" borderId="2" xfId="0" applyNumberFormat="1" applyFont="1" applyFill="1" applyBorder="1" applyAlignment="1" applyProtection="1">
      <alignment horizontal="center"/>
      <protection locked="0"/>
    </xf>
    <xf numFmtId="165" fontId="7" fillId="7" borderId="3" xfId="0" applyNumberFormat="1" applyFont="1" applyFill="1" applyBorder="1" applyAlignment="1" applyProtection="1">
      <alignment horizontal="center"/>
      <protection locked="0"/>
    </xf>
    <xf numFmtId="165" fontId="7" fillId="7" borderId="4" xfId="0" applyNumberFormat="1" applyFont="1" applyFill="1" applyBorder="1" applyAlignment="1" applyProtection="1">
      <alignment horizontal="center"/>
      <protection locked="0"/>
    </xf>
    <xf numFmtId="165" fontId="7" fillId="0" borderId="2" xfId="0" applyNumberFormat="1" applyFont="1" applyBorder="1" applyAlignment="1" applyProtection="1">
      <alignment horizontal="center"/>
      <protection locked="0"/>
    </xf>
    <xf numFmtId="165" fontId="7" fillId="0" borderId="3" xfId="0" applyNumberFormat="1" applyFont="1" applyBorder="1" applyAlignment="1" applyProtection="1">
      <alignment horizontal="center"/>
      <protection locked="0"/>
    </xf>
    <xf numFmtId="165" fontId="7" fillId="0" borderId="4" xfId="0" applyNumberFormat="1" applyFont="1" applyBorder="1" applyAlignment="1" applyProtection="1">
      <alignment horizontal="center"/>
      <protection locked="0"/>
    </xf>
    <xf numFmtId="44" fontId="6" fillId="6" borderId="5" xfId="1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44" fontId="7" fillId="8" borderId="0" xfId="0" applyNumberFormat="1" applyFont="1" applyFill="1" applyAlignment="1" applyProtection="1">
      <alignment horizontal="center"/>
      <protection locked="0"/>
    </xf>
    <xf numFmtId="44" fontId="7" fillId="0" borderId="2" xfId="0" applyNumberFormat="1" applyFont="1" applyBorder="1" applyAlignment="1" applyProtection="1">
      <alignment horizontal="center"/>
      <protection locked="0"/>
    </xf>
    <xf numFmtId="44" fontId="7" fillId="0" borderId="3" xfId="0" applyNumberFormat="1" applyFont="1" applyBorder="1" applyAlignment="1" applyProtection="1">
      <alignment horizontal="center"/>
      <protection locked="0"/>
    </xf>
    <xf numFmtId="44" fontId="7" fillId="0" borderId="4" xfId="0" applyNumberFormat="1" applyFont="1" applyBorder="1" applyAlignment="1" applyProtection="1">
      <alignment horizontal="center"/>
      <protection locked="0"/>
    </xf>
    <xf numFmtId="165" fontId="7" fillId="8" borderId="2" xfId="0" applyNumberFormat="1" applyFont="1" applyFill="1" applyBorder="1" applyAlignment="1" applyProtection="1">
      <alignment horizontal="center"/>
      <protection locked="0"/>
    </xf>
    <xf numFmtId="165" fontId="7" fillId="8" borderId="3" xfId="0" applyNumberFormat="1" applyFont="1" applyFill="1" applyBorder="1" applyAlignment="1" applyProtection="1">
      <alignment horizontal="center"/>
      <protection locked="0"/>
    </xf>
    <xf numFmtId="165" fontId="7" fillId="8" borderId="4" xfId="0" applyNumberFormat="1" applyFont="1" applyFill="1" applyBorder="1" applyAlignment="1" applyProtection="1">
      <alignment horizontal="center"/>
      <protection locked="0"/>
    </xf>
    <xf numFmtId="165" fontId="7" fillId="7" borderId="2" xfId="0" applyNumberFormat="1" applyFont="1" applyFill="1" applyBorder="1" applyAlignment="1" applyProtection="1">
      <alignment horizontal="center" vertical="center"/>
      <protection locked="0"/>
    </xf>
    <xf numFmtId="165" fontId="7" fillId="7" borderId="3" xfId="0" applyNumberFormat="1" applyFont="1" applyFill="1" applyBorder="1" applyAlignment="1" applyProtection="1">
      <alignment horizontal="center" vertical="center"/>
      <protection locked="0"/>
    </xf>
    <xf numFmtId="165" fontId="7" fillId="7" borderId="4" xfId="0" applyNumberFormat="1" applyFont="1" applyFill="1" applyBorder="1" applyAlignment="1" applyProtection="1">
      <alignment horizontal="center" vertical="center"/>
      <protection locked="0"/>
    </xf>
    <xf numFmtId="44" fontId="7" fillId="8" borderId="2" xfId="2" applyNumberFormat="1" applyFont="1" applyFill="1" applyBorder="1" applyAlignment="1" applyProtection="1">
      <alignment horizontal="center"/>
      <protection locked="0"/>
    </xf>
    <xf numFmtId="44" fontId="7" fillId="8" borderId="3" xfId="2" applyNumberFormat="1" applyFont="1" applyFill="1" applyBorder="1" applyAlignment="1" applyProtection="1">
      <alignment horizontal="center"/>
      <protection locked="0"/>
    </xf>
    <xf numFmtId="44" fontId="7" fillId="8" borderId="4" xfId="2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/>
    </xf>
    <xf numFmtId="0" fontId="10" fillId="0" borderId="0" xfId="0" applyFont="1"/>
    <xf numFmtId="44" fontId="3" fillId="0" borderId="0" xfId="0" applyNumberFormat="1" applyFont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7" fillId="8" borderId="2" xfId="0" applyFont="1" applyFill="1" applyBorder="1" applyAlignment="1" applyProtection="1">
      <alignment horizontal="center"/>
      <protection locked="0"/>
    </xf>
    <xf numFmtId="0" fontId="7" fillId="8" borderId="3" xfId="0" applyFont="1" applyFill="1" applyBorder="1" applyAlignment="1" applyProtection="1">
      <alignment horizontal="center"/>
      <protection locked="0"/>
    </xf>
    <xf numFmtId="0" fontId="7" fillId="8" borderId="4" xfId="0" applyFont="1" applyFill="1" applyBorder="1" applyAlignment="1" applyProtection="1">
      <alignment horizontal="center"/>
      <protection locked="0"/>
    </xf>
    <xf numFmtId="14" fontId="11" fillId="0" borderId="1" xfId="0" applyNumberFormat="1" applyFont="1" applyBorder="1" applyAlignment="1" applyProtection="1">
      <alignment horizontal="center"/>
      <protection locked="0"/>
    </xf>
    <xf numFmtId="0" fontId="3" fillId="0" borderId="1" xfId="3" applyFont="1" applyBorder="1" applyAlignment="1" applyProtection="1">
      <alignment horizontal="center"/>
      <protection locked="0"/>
    </xf>
    <xf numFmtId="44" fontId="3" fillId="0" borderId="0" xfId="0" applyNumberFormat="1" applyFont="1" applyAlignment="1">
      <alignment horizontal="center"/>
    </xf>
    <xf numFmtId="44" fontId="3" fillId="0" borderId="1" xfId="0" applyNumberFormat="1" applyFont="1" applyBorder="1" applyAlignment="1">
      <alignment horizontal="center"/>
    </xf>
    <xf numFmtId="44" fontId="3" fillId="4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44" fontId="3" fillId="2" borderId="0" xfId="0" applyNumberFormat="1" applyFont="1" applyFill="1" applyAlignment="1" applyProtection="1">
      <alignment horizontal="center"/>
      <protection locked="0"/>
    </xf>
    <xf numFmtId="0" fontId="3" fillId="2" borderId="1" xfId="4" applyFont="1" applyFill="1" applyBorder="1" applyAlignment="1" applyProtection="1">
      <alignment horizontal="center"/>
      <protection locked="0"/>
    </xf>
    <xf numFmtId="0" fontId="6" fillId="2" borderId="1" xfId="4" applyFont="1" applyFill="1" applyBorder="1" applyAlignment="1" applyProtection="1">
      <alignment horizontal="left"/>
      <protection locked="0"/>
    </xf>
    <xf numFmtId="0" fontId="5" fillId="2" borderId="1" xfId="4" applyFont="1" applyFill="1" applyBorder="1" applyAlignment="1" applyProtection="1">
      <alignment horizontal="left"/>
      <protection locked="0"/>
    </xf>
    <xf numFmtId="44" fontId="6" fillId="6" borderId="5" xfId="4" applyNumberFormat="1" applyFont="1" applyFill="1" applyBorder="1" applyProtection="1">
      <protection locked="0"/>
    </xf>
    <xf numFmtId="44" fontId="7" fillId="8" borderId="1" xfId="5" applyNumberFormat="1" applyFont="1" applyFill="1" applyBorder="1" applyProtection="1">
      <protection locked="0"/>
    </xf>
    <xf numFmtId="44" fontId="7" fillId="0" borderId="1" xfId="5" applyNumberFormat="1" applyFont="1" applyBorder="1" applyProtection="1">
      <protection locked="0"/>
    </xf>
    <xf numFmtId="14" fontId="3" fillId="2" borderId="1" xfId="5" applyNumberFormat="1" applyFont="1" applyFill="1" applyBorder="1" applyAlignment="1" applyProtection="1">
      <alignment horizontal="center"/>
      <protection locked="0"/>
    </xf>
    <xf numFmtId="44" fontId="6" fillId="6" borderId="1" xfId="4" applyNumberFormat="1" applyFont="1" applyFill="1" applyBorder="1" applyProtection="1">
      <protection locked="0"/>
    </xf>
    <xf numFmtId="44" fontId="7" fillId="7" borderId="1" xfId="5" applyNumberFormat="1" applyFont="1" applyFill="1" applyBorder="1" applyProtection="1">
      <protection locked="0"/>
    </xf>
    <xf numFmtId="44" fontId="7" fillId="0" borderId="6" xfId="0" applyNumberFormat="1" applyFont="1" applyBorder="1" applyAlignment="1" applyProtection="1">
      <alignment horizontal="center"/>
      <protection locked="0"/>
    </xf>
    <xf numFmtId="44" fontId="7" fillId="0" borderId="2" xfId="0" applyNumberFormat="1" applyFont="1" applyBorder="1" applyAlignment="1" applyProtection="1">
      <alignment horizontal="center"/>
      <protection locked="0"/>
    </xf>
    <xf numFmtId="44" fontId="7" fillId="0" borderId="3" xfId="0" applyNumberFormat="1" applyFont="1" applyBorder="1" applyAlignment="1" applyProtection="1">
      <alignment horizontal="center"/>
      <protection locked="0"/>
    </xf>
    <xf numFmtId="44" fontId="7" fillId="8" borderId="2" xfId="0" applyNumberFormat="1" applyFont="1" applyFill="1" applyBorder="1" applyAlignment="1" applyProtection="1">
      <alignment horizontal="center"/>
      <protection locked="0"/>
    </xf>
    <xf numFmtId="44" fontId="7" fillId="8" borderId="3" xfId="0" applyNumberFormat="1" applyFont="1" applyFill="1" applyBorder="1" applyAlignment="1" applyProtection="1">
      <alignment horizontal="center"/>
      <protection locked="0"/>
    </xf>
    <xf numFmtId="44" fontId="7" fillId="8" borderId="4" xfId="0" applyNumberFormat="1" applyFont="1" applyFill="1" applyBorder="1" applyAlignment="1" applyProtection="1">
      <alignment horizontal="center"/>
      <protection locked="0"/>
    </xf>
  </cellXfs>
  <cellStyles count="6">
    <cellStyle name="Normal" xfId="0" builtinId="0"/>
    <cellStyle name="Normal 11 2 3" xfId="1" xr:uid="{9D986C70-7A71-4BD7-A226-036081F30ABB}"/>
    <cellStyle name="Normal 11 2 3 2" xfId="4" xr:uid="{5CE263C7-1E28-49B8-BC25-9C1ABDC6F285}"/>
    <cellStyle name="Normal 2 19" xfId="3" xr:uid="{0F6570BD-231D-47FB-8442-F62F69B57E3E}"/>
    <cellStyle name="Normal 85 2" xfId="2" xr:uid="{53DA86DA-8704-4F2B-9309-56A80C588253}"/>
    <cellStyle name="Normal 85 2 2" xfId="5" xr:uid="{1F2D18B1-F194-4405-90A7-90F35C82D0DF}"/>
  </cellStyles>
  <dxfs count="1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REPORTING\2022\01%20-%20Janvier\L0102%20-%20REPORTING%200122%20-%20LORRA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ête"/>
      <sheetName val="U-Intégrat°"/>
      <sheetName val="U-Cut-Off"/>
      <sheetName val="U-Ech"/>
      <sheetName val="U-Ifrs"/>
      <sheetName val="U-Capitaux"/>
      <sheetName val="U-Prc"/>
      <sheetName val="U-Oblig."/>
      <sheetName val="U-Immo"/>
      <sheetName val="U-Capex"/>
      <sheetName val="U-CD Ratt"/>
      <sheetName val="U-Titres"/>
      <sheetName val="U-275xx"/>
      <sheetName val="U-Stocks"/>
      <sheetName val="U-Social"/>
      <sheetName val="U-Cse"/>
      <sheetName val="U-Cbails"/>
      <sheetName val="Primes"/>
      <sheetName val="CCA TR"/>
      <sheetName val="U-Rem Bios"/>
      <sheetName val="Fnp"/>
      <sheetName val="Aar+Rfa"/>
      <sheetName val="U-Prov Ico"/>
      <sheetName val="Cerba"/>
      <sheetName val="U-Baux"/>
      <sheetName val="U-Locat°"/>
      <sheetName val="U-Maint"/>
      <sheetName val="Rétro"/>
      <sheetName val="Orpéa+Clinéa"/>
      <sheetName val="Redevances"/>
      <sheetName val="Cadrage CA"/>
      <sheetName val="U-Chg Fisc"/>
      <sheetName val="U-Cca"/>
      <sheetName val="Interessement"/>
      <sheetName val="U-Rf"/>
      <sheetName val="U-Part"/>
      <sheetName val="U-Référentiel"/>
    </sheetNames>
    <sheetDataSet>
      <sheetData sheetId="0">
        <row r="21">
          <cell r="D21">
            <v>44592</v>
          </cell>
        </row>
        <row r="45">
          <cell r="B45">
            <v>44592</v>
          </cell>
          <cell r="C45">
            <v>1</v>
          </cell>
        </row>
        <row r="46">
          <cell r="B46">
            <v>44620</v>
          </cell>
          <cell r="C46">
            <v>2</v>
          </cell>
        </row>
        <row r="47">
          <cell r="B47">
            <v>44651</v>
          </cell>
          <cell r="C47">
            <v>3</v>
          </cell>
        </row>
        <row r="48">
          <cell r="B48">
            <v>44681</v>
          </cell>
          <cell r="C48">
            <v>4</v>
          </cell>
        </row>
        <row r="49">
          <cell r="B49">
            <v>44712</v>
          </cell>
          <cell r="C49">
            <v>5</v>
          </cell>
        </row>
        <row r="50">
          <cell r="B50">
            <v>44742</v>
          </cell>
          <cell r="C50">
            <v>6</v>
          </cell>
        </row>
        <row r="51">
          <cell r="B51">
            <v>44773</v>
          </cell>
          <cell r="C51">
            <v>7</v>
          </cell>
        </row>
        <row r="52">
          <cell r="B52">
            <v>44804</v>
          </cell>
          <cell r="C52">
            <v>8</v>
          </cell>
        </row>
        <row r="53">
          <cell r="B53">
            <v>44834</v>
          </cell>
          <cell r="C53">
            <v>9</v>
          </cell>
        </row>
        <row r="54">
          <cell r="B54">
            <v>44865</v>
          </cell>
          <cell r="C54">
            <v>10</v>
          </cell>
        </row>
        <row r="55">
          <cell r="B55">
            <v>44895</v>
          </cell>
          <cell r="C55">
            <v>11</v>
          </cell>
        </row>
        <row r="56">
          <cell r="B56">
            <v>44926</v>
          </cell>
          <cell r="C56">
            <v>12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DEF750-DD35-4CF4-83E0-E34BA06871D8}">
  <dimension ref="A1:AY112"/>
  <sheetViews>
    <sheetView tabSelected="1" topLeftCell="A76" workbookViewId="0">
      <selection activeCell="F21" sqref="F21"/>
    </sheetView>
  </sheetViews>
  <sheetFormatPr baseColWidth="10" defaultColWidth="11.42578125" defaultRowHeight="11.25" outlineLevelCol="1" x14ac:dyDescent="0.2"/>
  <cols>
    <col min="1" max="1" width="11.42578125" style="10"/>
    <col min="2" max="2" width="11.42578125" style="10" outlineLevel="1"/>
    <col min="3" max="3" width="17.42578125" style="9" customWidth="1" outlineLevel="1"/>
    <col min="4" max="6" width="11.42578125" style="10" outlineLevel="1"/>
    <col min="7" max="10" width="11.42578125" style="9" outlineLevel="1"/>
    <col min="11" max="11" width="11.42578125" style="7"/>
    <col min="12" max="13" width="10.7109375" style="8" customWidth="1"/>
    <col min="14" max="31" width="11.42578125" style="8"/>
    <col min="32" max="33" width="11.42578125" style="7"/>
    <col min="34" max="43" width="11.42578125" style="11"/>
    <col min="44" max="45" width="11.42578125" style="7"/>
    <col min="46" max="47" width="11.42578125" style="8"/>
    <col min="48" max="48" width="11.42578125" style="9"/>
    <col min="49" max="16384" width="11.42578125" style="8"/>
  </cols>
  <sheetData>
    <row r="1" spans="1:49" s="1" customFormat="1" x14ac:dyDescent="0.2">
      <c r="A1" s="1" t="s">
        <v>57</v>
      </c>
      <c r="B1" s="2"/>
      <c r="C1" s="3"/>
      <c r="D1" s="2"/>
      <c r="E1" s="2"/>
      <c r="F1" s="2"/>
      <c r="G1" s="3"/>
      <c r="H1" s="3"/>
      <c r="K1" s="4"/>
      <c r="W1" s="5">
        <f>+[1]Entête!D21</f>
        <v>44592</v>
      </c>
      <c r="AF1" s="4"/>
      <c r="AG1" s="4"/>
      <c r="AH1" s="6"/>
      <c r="AI1" s="6"/>
      <c r="AJ1" s="6"/>
      <c r="AK1" s="6"/>
      <c r="AL1" s="6"/>
      <c r="AM1" s="6"/>
      <c r="AN1" s="6"/>
      <c r="AO1" s="6"/>
      <c r="AP1" s="6"/>
      <c r="AQ1" s="6"/>
      <c r="AR1" s="4"/>
      <c r="AS1" s="7" t="s">
        <v>0</v>
      </c>
      <c r="AU1" s="8" t="s">
        <v>1</v>
      </c>
      <c r="AV1" s="9">
        <v>1</v>
      </c>
    </row>
    <row r="2" spans="1:49" x14ac:dyDescent="0.2">
      <c r="AS2" s="7" t="s">
        <v>2</v>
      </c>
      <c r="AU2" s="8" t="s">
        <v>3</v>
      </c>
      <c r="AV2" s="9">
        <v>3</v>
      </c>
    </row>
    <row r="3" spans="1:49" x14ac:dyDescent="0.2">
      <c r="AU3" s="8" t="s">
        <v>4</v>
      </c>
      <c r="AV3" s="9">
        <v>6</v>
      </c>
    </row>
    <row r="4" spans="1:49" x14ac:dyDescent="0.2">
      <c r="A4" s="12" t="s">
        <v>5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U4" s="8" t="s">
        <v>6</v>
      </c>
      <c r="AV4" s="9">
        <v>12</v>
      </c>
    </row>
    <row r="6" spans="1:49" x14ac:dyDescent="0.2">
      <c r="A6" s="74">
        <v>6132000000</v>
      </c>
      <c r="B6" s="75" t="s">
        <v>70</v>
      </c>
      <c r="C6" s="8"/>
      <c r="D6" s="8"/>
      <c r="E6" s="8"/>
      <c r="F6" s="8"/>
      <c r="G6" s="8"/>
      <c r="H6" s="8"/>
      <c r="I6" s="8"/>
      <c r="J6" s="8"/>
      <c r="K6" s="8"/>
      <c r="AD6" s="7"/>
      <c r="AE6" s="7"/>
      <c r="AT6" s="7"/>
      <c r="AV6" s="8"/>
      <c r="AW6" s="9"/>
    </row>
    <row r="7" spans="1:49" x14ac:dyDescent="0.2">
      <c r="A7" s="8"/>
      <c r="C7" s="10"/>
      <c r="D7" s="9"/>
      <c r="E7" s="9"/>
      <c r="F7" s="9"/>
      <c r="I7" s="7"/>
      <c r="J7" s="8"/>
      <c r="K7" s="8"/>
      <c r="AD7" s="7"/>
      <c r="AE7" s="7"/>
      <c r="AT7" s="85" t="s">
        <v>81</v>
      </c>
      <c r="AU7" s="85"/>
      <c r="AV7" s="8"/>
      <c r="AW7" s="9"/>
    </row>
    <row r="8" spans="1:49" s="9" customFormat="1" ht="22.5" x14ac:dyDescent="0.2">
      <c r="A8" s="13" t="s">
        <v>8</v>
      </c>
      <c r="B8" s="13" t="s">
        <v>9</v>
      </c>
      <c r="C8" s="13" t="s">
        <v>10</v>
      </c>
      <c r="D8" s="13" t="s">
        <v>10</v>
      </c>
      <c r="E8" s="13" t="s">
        <v>71</v>
      </c>
      <c r="F8" s="14" t="s">
        <v>13</v>
      </c>
      <c r="G8" s="13" t="s">
        <v>14</v>
      </c>
      <c r="H8" s="13" t="s">
        <v>15</v>
      </c>
      <c r="I8" s="13" t="s">
        <v>16</v>
      </c>
      <c r="J8" s="15" t="s">
        <v>17</v>
      </c>
      <c r="K8" s="13" t="s">
        <v>18</v>
      </c>
      <c r="L8" s="86" t="s">
        <v>19</v>
      </c>
      <c r="M8" s="13" t="s">
        <v>20</v>
      </c>
      <c r="N8" s="13" t="s">
        <v>21</v>
      </c>
      <c r="O8" s="13" t="s">
        <v>22</v>
      </c>
      <c r="P8" s="13" t="s">
        <v>23</v>
      </c>
      <c r="Q8" s="13" t="s">
        <v>24</v>
      </c>
      <c r="R8" s="13" t="s">
        <v>25</v>
      </c>
      <c r="S8" s="13" t="s">
        <v>26</v>
      </c>
      <c r="T8" s="13" t="s">
        <v>27</v>
      </c>
      <c r="U8" s="13" t="s">
        <v>28</v>
      </c>
      <c r="V8" s="13" t="s">
        <v>29</v>
      </c>
      <c r="W8" s="13" t="s">
        <v>30</v>
      </c>
      <c r="X8" s="13" t="s">
        <v>31</v>
      </c>
      <c r="Y8" s="13" t="s">
        <v>32</v>
      </c>
      <c r="Z8" s="16" t="s">
        <v>33</v>
      </c>
      <c r="AA8" s="87" t="s">
        <v>34</v>
      </c>
      <c r="AB8" s="88" t="s">
        <v>35</v>
      </c>
      <c r="AC8" s="89" t="s">
        <v>36</v>
      </c>
      <c r="AD8" s="89" t="s">
        <v>37</v>
      </c>
      <c r="AE8" s="90" t="s">
        <v>38</v>
      </c>
      <c r="AF8" s="90" t="s">
        <v>39</v>
      </c>
      <c r="AG8" s="7"/>
      <c r="AH8" s="91"/>
      <c r="AI8" s="91"/>
      <c r="AJ8" s="91"/>
      <c r="AK8" s="91"/>
      <c r="AL8" s="91"/>
      <c r="AM8" s="91"/>
      <c r="AN8" s="91"/>
      <c r="AO8" s="91"/>
      <c r="AP8" s="91"/>
      <c r="AQ8" s="91"/>
      <c r="AR8" s="7"/>
      <c r="AS8" s="84"/>
      <c r="AT8" s="82">
        <v>44592</v>
      </c>
      <c r="AU8" s="83">
        <v>1</v>
      </c>
    </row>
    <row r="9" spans="1:49" s="77" customFormat="1" x14ac:dyDescent="0.2">
      <c r="A9" s="24" t="s">
        <v>60</v>
      </c>
      <c r="B9" s="25" t="s">
        <v>72</v>
      </c>
      <c r="C9" s="26"/>
      <c r="D9" s="26"/>
      <c r="E9" s="26" t="s">
        <v>75</v>
      </c>
      <c r="F9" s="26"/>
      <c r="G9" s="27">
        <v>1000052</v>
      </c>
      <c r="H9" s="29">
        <v>42948</v>
      </c>
      <c r="I9" s="29">
        <v>46599</v>
      </c>
      <c r="J9" s="30"/>
      <c r="K9" s="31" t="s">
        <v>1</v>
      </c>
      <c r="L9" s="32">
        <v>1551</v>
      </c>
      <c r="M9" s="40"/>
      <c r="N9" s="34">
        <v>1551</v>
      </c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40"/>
      <c r="AA9" s="38">
        <f>SUM(M9:Z9)</f>
        <v>1551</v>
      </c>
      <c r="AB9" s="41">
        <f>IF(ISBLANK(K9),0,ROUND(L9*VLOOKUP($W$1,$AT$8:$AU$19,2,0)/VLOOKUP(K9,$AU$1:$AV$4,2,0),2))</f>
        <v>1551</v>
      </c>
      <c r="AC9" s="39">
        <f>IF(AB9-SUM(N9:Z9)&gt;=0,AB9-SUM(N9:Z9),0)</f>
        <v>0</v>
      </c>
      <c r="AD9" s="39">
        <f>IF(AB9-SUM(N9:Z9)&lt;0,-AB9+SUM(N9:Z9),0)</f>
        <v>0</v>
      </c>
      <c r="AE9" s="39">
        <f>+AA9+AC9-AD9</f>
        <v>1551</v>
      </c>
      <c r="AF9" s="39">
        <f>IF(J9="Oui",AD9,0)</f>
        <v>0</v>
      </c>
      <c r="AG9" s="7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7"/>
      <c r="AS9" s="76"/>
      <c r="AT9" s="82">
        <v>44620</v>
      </c>
      <c r="AU9" s="83">
        <v>2</v>
      </c>
      <c r="AW9" s="78"/>
    </row>
    <row r="10" spans="1:49" s="77" customFormat="1" x14ac:dyDescent="0.2">
      <c r="A10" s="24" t="s">
        <v>60</v>
      </c>
      <c r="B10" s="25" t="s">
        <v>73</v>
      </c>
      <c r="C10" s="26"/>
      <c r="D10" s="26"/>
      <c r="E10" s="26" t="s">
        <v>76</v>
      </c>
      <c r="F10" s="26"/>
      <c r="G10" s="27">
        <v>1000055</v>
      </c>
      <c r="H10" s="29">
        <v>42736</v>
      </c>
      <c r="I10" s="29">
        <v>47118</v>
      </c>
      <c r="J10" s="30"/>
      <c r="K10" s="31" t="s">
        <v>1</v>
      </c>
      <c r="L10" s="32">
        <v>1409</v>
      </c>
      <c r="M10" s="40"/>
      <c r="N10" s="34">
        <v>1409</v>
      </c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40"/>
      <c r="AA10" s="38">
        <f t="shared" ref="AA10:AA20" si="0">SUM(M10:Z10)</f>
        <v>1409</v>
      </c>
      <c r="AB10" s="41">
        <f>IF(ISBLANK(K10),0,ROUND(L10*VLOOKUP($W$1,$AT$8:$AU$19,2,0)/VLOOKUP(K10,$AU$1:$AV$4,2,0),2))</f>
        <v>1409</v>
      </c>
      <c r="AC10" s="39">
        <f t="shared" ref="AC10:AC11" si="1">IF(AB10-SUM(N10:Z10)&gt;=0,AB10-SUM(N10:Z10),0)</f>
        <v>0</v>
      </c>
      <c r="AD10" s="39">
        <f t="shared" ref="AD10:AD11" si="2">IF(AB10-SUM(N10:Z10)&lt;0,-AB10+SUM(N10:Z10),0)</f>
        <v>0</v>
      </c>
      <c r="AE10" s="39">
        <f t="shared" ref="AE10:AE11" si="3">+AA10+AC10-AD10</f>
        <v>1409</v>
      </c>
      <c r="AF10" s="39">
        <f t="shared" ref="AF10:AF11" si="4">IF(J10="Oui",AD10,0)</f>
        <v>0</v>
      </c>
      <c r="AG10" s="7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7"/>
      <c r="AS10" s="76"/>
      <c r="AT10" s="82">
        <v>44651</v>
      </c>
      <c r="AU10" s="83">
        <v>3</v>
      </c>
      <c r="AW10" s="78"/>
    </row>
    <row r="11" spans="1:49" s="77" customFormat="1" x14ac:dyDescent="0.2">
      <c r="A11" s="24" t="s">
        <v>60</v>
      </c>
      <c r="B11" s="25" t="s">
        <v>74</v>
      </c>
      <c r="C11" s="26"/>
      <c r="D11" s="26"/>
      <c r="E11" s="26" t="s">
        <v>77</v>
      </c>
      <c r="F11" s="26"/>
      <c r="G11" s="27">
        <v>1000093</v>
      </c>
      <c r="H11" s="29">
        <v>36220</v>
      </c>
      <c r="I11" s="29">
        <v>46081</v>
      </c>
      <c r="J11" s="30"/>
      <c r="K11" s="31" t="s">
        <v>1</v>
      </c>
      <c r="L11" s="59">
        <v>4237</v>
      </c>
      <c r="M11" s="40"/>
      <c r="N11" s="33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40"/>
      <c r="AA11" s="38">
        <f t="shared" si="0"/>
        <v>0</v>
      </c>
      <c r="AB11" s="41">
        <f>IF(ISBLANK(K11),0,ROUND(L11*VLOOKUP($W$1,$AT$8:$AU$19,2,0)/VLOOKUP(K11,$AU$1:$AV$4,2,0),2))</f>
        <v>4237</v>
      </c>
      <c r="AC11" s="39">
        <f t="shared" si="1"/>
        <v>4237</v>
      </c>
      <c r="AD11" s="39">
        <f t="shared" si="2"/>
        <v>0</v>
      </c>
      <c r="AE11" s="39">
        <f t="shared" si="3"/>
        <v>4237</v>
      </c>
      <c r="AF11" s="39">
        <f t="shared" si="4"/>
        <v>0</v>
      </c>
      <c r="AG11" s="7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7"/>
      <c r="AS11" s="76"/>
      <c r="AT11" s="82">
        <v>44681</v>
      </c>
      <c r="AU11" s="83">
        <v>4</v>
      </c>
      <c r="AW11" s="78"/>
    </row>
    <row r="12" spans="1:49" s="77" customFormat="1" x14ac:dyDescent="0.2">
      <c r="A12" s="24" t="s">
        <v>60</v>
      </c>
      <c r="B12" s="25" t="s">
        <v>104</v>
      </c>
      <c r="C12" s="26"/>
      <c r="D12" s="26"/>
      <c r="E12" s="26" t="s">
        <v>109</v>
      </c>
      <c r="F12" s="26"/>
      <c r="G12" s="30">
        <v>1000534</v>
      </c>
      <c r="H12" s="42">
        <v>42979</v>
      </c>
      <c r="I12" s="42">
        <v>45291</v>
      </c>
      <c r="J12" s="30"/>
      <c r="K12" s="31" t="s">
        <v>1</v>
      </c>
      <c r="L12" s="32">
        <v>786.95</v>
      </c>
      <c r="M12" s="40"/>
      <c r="N12" s="33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40"/>
      <c r="AA12" s="38">
        <f t="shared" ref="AA12:AA15" si="5">SUM(M12:Z12)</f>
        <v>0</v>
      </c>
      <c r="AB12" s="41">
        <f>IF(ISBLANK(K12),0,ROUND(L12*VLOOKUP($W$1,$AT$8:$AU$19,2,0)/VLOOKUP(K12,$AU$1:$AV$4,2,0),2))</f>
        <v>786.95</v>
      </c>
      <c r="AC12" s="39">
        <f t="shared" ref="AC12:AC15" si="6">IF(AB12-SUM(N12:Z12)&gt;=0,AB12-SUM(N12:Z12),0)</f>
        <v>786.95</v>
      </c>
      <c r="AD12" s="39">
        <f t="shared" ref="AD12:AD15" si="7">IF(AB12-SUM(N12:Z12)&lt;0,-AB12+SUM(N12:Z12),0)</f>
        <v>0</v>
      </c>
      <c r="AE12" s="39">
        <f t="shared" ref="AE12:AE15" si="8">+AA12+AC12-AD12</f>
        <v>786.95</v>
      </c>
      <c r="AF12" s="39">
        <f t="shared" ref="AF12:AF15" si="9">IF(J12="Oui",AD12,0)</f>
        <v>0</v>
      </c>
      <c r="AG12" s="7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7"/>
      <c r="AS12" s="76"/>
      <c r="AT12" s="82">
        <v>44712</v>
      </c>
      <c r="AU12" s="83">
        <v>5</v>
      </c>
      <c r="AW12" s="78"/>
    </row>
    <row r="13" spans="1:49" s="77" customFormat="1" x14ac:dyDescent="0.2">
      <c r="A13" s="24" t="s">
        <v>60</v>
      </c>
      <c r="B13" s="25" t="s">
        <v>105</v>
      </c>
      <c r="C13" s="26"/>
      <c r="D13" s="26"/>
      <c r="E13" s="26" t="s">
        <v>110</v>
      </c>
      <c r="F13" s="26"/>
      <c r="G13" s="30">
        <v>1000054</v>
      </c>
      <c r="H13" s="42">
        <v>40634</v>
      </c>
      <c r="I13" s="42">
        <v>45016</v>
      </c>
      <c r="J13" s="30" t="s">
        <v>0</v>
      </c>
      <c r="K13" s="31" t="s">
        <v>3</v>
      </c>
      <c r="L13" s="48">
        <v>8438.7099999999991</v>
      </c>
      <c r="M13" s="40"/>
      <c r="N13" s="53"/>
      <c r="O13" s="54"/>
      <c r="P13" s="55"/>
      <c r="Q13" s="56"/>
      <c r="R13" s="57"/>
      <c r="S13" s="58"/>
      <c r="T13" s="56"/>
      <c r="U13" s="57"/>
      <c r="V13" s="58"/>
      <c r="W13" s="56"/>
      <c r="X13" s="57"/>
      <c r="Y13" s="58"/>
      <c r="Z13" s="37"/>
      <c r="AA13" s="38">
        <f t="shared" si="5"/>
        <v>0</v>
      </c>
      <c r="AB13" s="41">
        <f>IF(ISBLANK(K13),0,ROUND(L13*VLOOKUP($W$1,$AT$8:$AU$19,2,0)/VLOOKUP(K13,$AU$1:$AV$4,2,0),2))</f>
        <v>2812.9</v>
      </c>
      <c r="AC13" s="39">
        <f t="shared" si="6"/>
        <v>2812.9</v>
      </c>
      <c r="AD13" s="39">
        <f t="shared" si="7"/>
        <v>0</v>
      </c>
      <c r="AE13" s="39">
        <f t="shared" si="8"/>
        <v>2812.9</v>
      </c>
      <c r="AF13" s="39">
        <f t="shared" si="9"/>
        <v>0</v>
      </c>
      <c r="AG13" s="7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7"/>
      <c r="AS13" s="76"/>
      <c r="AT13" s="82">
        <v>44742</v>
      </c>
      <c r="AU13" s="83">
        <v>6</v>
      </c>
      <c r="AW13" s="78"/>
    </row>
    <row r="14" spans="1:49" s="77" customFormat="1" x14ac:dyDescent="0.2">
      <c r="A14" s="24" t="s">
        <v>60</v>
      </c>
      <c r="B14" s="25" t="s">
        <v>106</v>
      </c>
      <c r="C14" s="26"/>
      <c r="D14" s="26"/>
      <c r="E14" s="26" t="s">
        <v>111</v>
      </c>
      <c r="F14" s="26"/>
      <c r="G14" s="30">
        <v>1000053</v>
      </c>
      <c r="H14" s="42">
        <v>35339</v>
      </c>
      <c r="I14" s="42">
        <v>45199</v>
      </c>
      <c r="J14" s="30" t="s">
        <v>0</v>
      </c>
      <c r="K14" s="31" t="s">
        <v>3</v>
      </c>
      <c r="L14" s="48">
        <v>13443.48</v>
      </c>
      <c r="M14" s="40"/>
      <c r="N14" s="53"/>
      <c r="O14" s="54"/>
      <c r="P14" s="55"/>
      <c r="Q14" s="56"/>
      <c r="R14" s="57"/>
      <c r="S14" s="58"/>
      <c r="T14" s="56"/>
      <c r="U14" s="57"/>
      <c r="V14" s="58"/>
      <c r="W14" s="56"/>
      <c r="X14" s="57"/>
      <c r="Y14" s="58"/>
      <c r="Z14" s="37"/>
      <c r="AA14" s="38">
        <f t="shared" si="5"/>
        <v>0</v>
      </c>
      <c r="AB14" s="41">
        <f>IF(ISBLANK(K14),0,ROUND(L14*VLOOKUP($W$1,$AT$8:$AU$19,2,0)/VLOOKUP(K14,$AU$1:$AV$4,2,0),2))</f>
        <v>4481.16</v>
      </c>
      <c r="AC14" s="39">
        <f t="shared" si="6"/>
        <v>4481.16</v>
      </c>
      <c r="AD14" s="39">
        <f t="shared" si="7"/>
        <v>0</v>
      </c>
      <c r="AE14" s="39">
        <f t="shared" si="8"/>
        <v>4481.16</v>
      </c>
      <c r="AF14" s="39">
        <f t="shared" si="9"/>
        <v>0</v>
      </c>
      <c r="AG14" s="7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7"/>
      <c r="AS14" s="76"/>
      <c r="AT14" s="82">
        <v>44773</v>
      </c>
      <c r="AU14" s="83">
        <v>7</v>
      </c>
      <c r="AW14" s="78"/>
    </row>
    <row r="15" spans="1:49" s="77" customFormat="1" x14ac:dyDescent="0.2">
      <c r="A15" s="24" t="s">
        <v>60</v>
      </c>
      <c r="B15" s="25" t="s">
        <v>107</v>
      </c>
      <c r="C15" s="50"/>
      <c r="D15" s="50"/>
      <c r="E15" s="26" t="s">
        <v>112</v>
      </c>
      <c r="F15" s="50"/>
      <c r="G15" s="30">
        <v>1000834</v>
      </c>
      <c r="H15" s="42">
        <v>44287</v>
      </c>
      <c r="I15" s="42">
        <v>47572</v>
      </c>
      <c r="J15" s="30" t="s">
        <v>0</v>
      </c>
      <c r="K15" s="31" t="s">
        <v>3</v>
      </c>
      <c r="L15" s="48">
        <v>5040</v>
      </c>
      <c r="M15" s="40"/>
      <c r="N15" s="65">
        <v>5040</v>
      </c>
      <c r="O15" s="66"/>
      <c r="P15" s="67"/>
      <c r="Q15" s="56"/>
      <c r="R15" s="57"/>
      <c r="S15" s="58"/>
      <c r="T15" s="56"/>
      <c r="U15" s="57"/>
      <c r="V15" s="58"/>
      <c r="W15" s="56"/>
      <c r="X15" s="57"/>
      <c r="Y15" s="58"/>
      <c r="Z15" s="37"/>
      <c r="AA15" s="38">
        <f t="shared" si="5"/>
        <v>5040</v>
      </c>
      <c r="AB15" s="41">
        <f>IF(ISBLANK(K15),0,ROUND(L15*VLOOKUP($W$1,$AT$8:$AU$19,2,0)/VLOOKUP(K15,$AU$1:$AV$4,2,0),2))</f>
        <v>1680</v>
      </c>
      <c r="AC15" s="39">
        <f t="shared" si="6"/>
        <v>0</v>
      </c>
      <c r="AD15" s="39">
        <f t="shared" si="7"/>
        <v>3360</v>
      </c>
      <c r="AE15" s="39">
        <f t="shared" si="8"/>
        <v>1680</v>
      </c>
      <c r="AF15" s="39">
        <f t="shared" si="9"/>
        <v>3360</v>
      </c>
      <c r="AG15" s="7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7"/>
      <c r="AS15" s="76"/>
      <c r="AT15" s="82">
        <v>44804</v>
      </c>
      <c r="AU15" s="83">
        <v>8</v>
      </c>
      <c r="AW15" s="78"/>
    </row>
    <row r="16" spans="1:49" s="77" customFormat="1" x14ac:dyDescent="0.2">
      <c r="A16" s="24" t="s">
        <v>60</v>
      </c>
      <c r="B16" s="25" t="s">
        <v>108</v>
      </c>
      <c r="C16" s="50"/>
      <c r="D16" s="50"/>
      <c r="E16" s="26" t="s">
        <v>113</v>
      </c>
      <c r="F16" s="50"/>
      <c r="G16" s="30">
        <v>1000911</v>
      </c>
      <c r="H16" s="42">
        <v>44355</v>
      </c>
      <c r="I16" s="42">
        <v>44719</v>
      </c>
      <c r="J16" s="30" t="s">
        <v>0</v>
      </c>
      <c r="K16" s="31" t="s">
        <v>6</v>
      </c>
      <c r="L16" s="48">
        <v>2100</v>
      </c>
      <c r="M16" s="37"/>
      <c r="N16" s="79">
        <v>909.04</v>
      </c>
      <c r="O16" s="80"/>
      <c r="P16" s="80"/>
      <c r="Q16" s="80"/>
      <c r="R16" s="81"/>
      <c r="S16" s="57"/>
      <c r="T16" s="57"/>
      <c r="U16" s="57"/>
      <c r="V16" s="57"/>
      <c r="W16" s="57"/>
      <c r="X16" s="57"/>
      <c r="Y16" s="57"/>
      <c r="Z16" s="58"/>
      <c r="AA16" s="38">
        <f t="shared" si="0"/>
        <v>909.04</v>
      </c>
      <c r="AB16" s="41">
        <f>IF(ISBLANK(K16),0,ROUND(L16*VLOOKUP($W$1,$AT$8:$AU$19,2,0)/VLOOKUP(K16,$AU$1:$AV$4,2,0),2))</f>
        <v>175</v>
      </c>
      <c r="AC16" s="39">
        <f t="shared" ref="AC16:AC20" si="10">IF(AB16-SUM(N16:Z16)&gt;=0,AB16-SUM(N16:Z16),0)</f>
        <v>0</v>
      </c>
      <c r="AD16" s="39">
        <f t="shared" ref="AD16:AD20" si="11">IF(AB16-SUM(N16:Z16)&lt;0,-AB16+SUM(N16:Z16),0)</f>
        <v>734.04</v>
      </c>
      <c r="AE16" s="39">
        <f t="shared" ref="AE16:AE20" si="12">+AA16+AC16-AD16</f>
        <v>175</v>
      </c>
      <c r="AF16" s="39">
        <f t="shared" ref="AF16:AF20" si="13">IF(J16="Oui",AD16,0)</f>
        <v>734.04</v>
      </c>
      <c r="AG16" s="7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7"/>
      <c r="AS16" s="76"/>
      <c r="AT16" s="82">
        <v>44834</v>
      </c>
      <c r="AU16" s="83">
        <v>9</v>
      </c>
      <c r="AW16" s="78"/>
    </row>
    <row r="17" spans="1:49" s="77" customFormat="1" x14ac:dyDescent="0.2">
      <c r="A17" s="28"/>
      <c r="B17" s="50"/>
      <c r="C17" s="50"/>
      <c r="D17" s="50"/>
      <c r="E17" s="50"/>
      <c r="F17" s="50"/>
      <c r="G17" s="30"/>
      <c r="H17" s="30"/>
      <c r="I17" s="30"/>
      <c r="J17" s="30"/>
      <c r="K17" s="31"/>
      <c r="L17" s="48"/>
      <c r="M17" s="37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7"/>
      <c r="AA17" s="38">
        <f t="shared" si="0"/>
        <v>0</v>
      </c>
      <c r="AB17" s="41">
        <f>IF(ISBLANK(K17),0,ROUND(L17*VLOOKUP($W$1,$AT$8:$AU$19,2,0)/VLOOKUP(K17,$AU$1:$AV$4,2,0),2))</f>
        <v>0</v>
      </c>
      <c r="AC17" s="39">
        <f t="shared" si="10"/>
        <v>0</v>
      </c>
      <c r="AD17" s="39">
        <f t="shared" si="11"/>
        <v>0</v>
      </c>
      <c r="AE17" s="39">
        <f t="shared" si="12"/>
        <v>0</v>
      </c>
      <c r="AF17" s="39">
        <f t="shared" si="13"/>
        <v>0</v>
      </c>
      <c r="AG17" s="7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7"/>
      <c r="AS17" s="76"/>
      <c r="AT17" s="82">
        <v>44865</v>
      </c>
      <c r="AU17" s="83">
        <v>10</v>
      </c>
      <c r="AW17" s="78"/>
    </row>
    <row r="18" spans="1:49" s="77" customFormat="1" x14ac:dyDescent="0.2">
      <c r="A18" s="28"/>
      <c r="B18" s="50"/>
      <c r="C18" s="50"/>
      <c r="D18" s="50"/>
      <c r="E18" s="50"/>
      <c r="F18" s="50"/>
      <c r="G18" s="30"/>
      <c r="H18" s="30"/>
      <c r="I18" s="30"/>
      <c r="J18" s="30"/>
      <c r="K18" s="31"/>
      <c r="L18" s="48"/>
      <c r="M18" s="37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7"/>
      <c r="AA18" s="38">
        <f t="shared" si="0"/>
        <v>0</v>
      </c>
      <c r="AB18" s="41">
        <f>IF(ISBLANK(K18),0,ROUND(L18*VLOOKUP($W$1,$AT$8:$AU$19,2,0)/VLOOKUP(K18,$AU$1:$AV$4,2,0),2))</f>
        <v>0</v>
      </c>
      <c r="AC18" s="39">
        <f t="shared" si="10"/>
        <v>0</v>
      </c>
      <c r="AD18" s="39">
        <f t="shared" si="11"/>
        <v>0</v>
      </c>
      <c r="AE18" s="39">
        <f t="shared" si="12"/>
        <v>0</v>
      </c>
      <c r="AF18" s="39">
        <f t="shared" si="13"/>
        <v>0</v>
      </c>
      <c r="AG18" s="7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7"/>
      <c r="AS18" s="76"/>
      <c r="AT18" s="82">
        <v>44895</v>
      </c>
      <c r="AU18" s="83">
        <v>11</v>
      </c>
      <c r="AW18" s="78"/>
    </row>
    <row r="19" spans="1:49" s="77" customFormat="1" x14ac:dyDescent="0.2">
      <c r="A19" s="28"/>
      <c r="B19" s="50"/>
      <c r="C19" s="50"/>
      <c r="D19" s="50"/>
      <c r="E19" s="50"/>
      <c r="F19" s="50"/>
      <c r="G19" s="30"/>
      <c r="H19" s="30"/>
      <c r="I19" s="30"/>
      <c r="J19" s="30"/>
      <c r="K19" s="31"/>
      <c r="L19" s="48"/>
      <c r="M19" s="37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7"/>
      <c r="AA19" s="38">
        <f t="shared" si="0"/>
        <v>0</v>
      </c>
      <c r="AB19" s="41">
        <f>IF(ISBLANK(K19),0,ROUND(L19*VLOOKUP($W$1,$AT$8:$AU$19,2,0)/VLOOKUP(K19,$AU$1:$AV$4,2,0),2))</f>
        <v>0</v>
      </c>
      <c r="AC19" s="39">
        <f t="shared" si="10"/>
        <v>0</v>
      </c>
      <c r="AD19" s="39">
        <f t="shared" si="11"/>
        <v>0</v>
      </c>
      <c r="AE19" s="39">
        <f t="shared" si="12"/>
        <v>0</v>
      </c>
      <c r="AF19" s="39">
        <f t="shared" si="13"/>
        <v>0</v>
      </c>
      <c r="AG19" s="7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7"/>
      <c r="AS19" s="76"/>
      <c r="AT19" s="82">
        <v>44926</v>
      </c>
      <c r="AU19" s="83">
        <v>12</v>
      </c>
      <c r="AW19" s="78"/>
    </row>
    <row r="20" spans="1:49" s="77" customFormat="1" x14ac:dyDescent="0.2">
      <c r="A20" s="28"/>
      <c r="B20" s="50"/>
      <c r="C20" s="50"/>
      <c r="D20" s="50"/>
      <c r="E20" s="50"/>
      <c r="F20" s="50"/>
      <c r="G20" s="30"/>
      <c r="H20" s="30"/>
      <c r="I20" s="30"/>
      <c r="J20" s="30"/>
      <c r="K20" s="31"/>
      <c r="L20" s="48"/>
      <c r="M20" s="37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7"/>
      <c r="AA20" s="38">
        <f t="shared" si="0"/>
        <v>0</v>
      </c>
      <c r="AB20" s="41">
        <f>IF(ISBLANK(K20),0,ROUND(L20*VLOOKUP($W$1,$AT$8:$AU$19,2,0)/VLOOKUP(K20,$AU$1:$AV$4,2,0),2))</f>
        <v>0</v>
      </c>
      <c r="AC20" s="39">
        <f t="shared" si="10"/>
        <v>0</v>
      </c>
      <c r="AD20" s="39">
        <f t="shared" si="11"/>
        <v>0</v>
      </c>
      <c r="AE20" s="39">
        <f t="shared" si="12"/>
        <v>0</v>
      </c>
      <c r="AF20" s="39">
        <f t="shared" si="13"/>
        <v>0</v>
      </c>
      <c r="AG20" s="7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7"/>
      <c r="AS20" s="76"/>
      <c r="AW20" s="78"/>
    </row>
    <row r="21" spans="1:49" ht="5.0999999999999996" customHeight="1" collapsed="1" x14ac:dyDescent="0.2">
      <c r="A21" s="8"/>
      <c r="C21" s="10"/>
      <c r="D21" s="8"/>
      <c r="E21" s="8"/>
      <c r="F21" s="8"/>
      <c r="K21" s="9"/>
      <c r="L21" s="7"/>
      <c r="AF21" s="8"/>
      <c r="AV21" s="8"/>
      <c r="AW21" s="9"/>
    </row>
    <row r="22" spans="1:49" x14ac:dyDescent="0.2">
      <c r="A22" s="8"/>
      <c r="C22" s="10"/>
      <c r="D22" s="8"/>
      <c r="E22" s="8"/>
      <c r="F22" s="8"/>
      <c r="K22" s="9"/>
      <c r="L22" s="7"/>
      <c r="AA22" s="39">
        <f t="shared" ref="AA22:AF22" si="14">SUM(AA9:AA21)</f>
        <v>8909.0400000000009</v>
      </c>
      <c r="AB22" s="39">
        <f t="shared" si="14"/>
        <v>17133.010000000002</v>
      </c>
      <c r="AC22" s="39">
        <f t="shared" si="14"/>
        <v>12318.01</v>
      </c>
      <c r="AD22" s="39">
        <f t="shared" si="14"/>
        <v>4094.04</v>
      </c>
      <c r="AE22" s="39">
        <f t="shared" si="14"/>
        <v>17133.010000000002</v>
      </c>
      <c r="AF22" s="39">
        <f t="shared" si="14"/>
        <v>4094.04</v>
      </c>
      <c r="AV22" s="8"/>
      <c r="AW22" s="9"/>
    </row>
    <row r="23" spans="1:49" ht="5.0999999999999996" customHeight="1" x14ac:dyDescent="0.2">
      <c r="A23" s="8"/>
      <c r="C23" s="10"/>
      <c r="D23" s="9"/>
      <c r="E23" s="9"/>
      <c r="F23" s="9"/>
      <c r="I23" s="7"/>
      <c r="J23" s="8"/>
      <c r="K23" s="8"/>
      <c r="AD23" s="7"/>
      <c r="AE23" s="7"/>
      <c r="AT23" s="7"/>
      <c r="AV23" s="8"/>
      <c r="AW23" s="9"/>
    </row>
    <row r="24" spans="1:49" x14ac:dyDescent="0.2">
      <c r="A24" s="8"/>
      <c r="C24" s="10"/>
      <c r="D24" s="9"/>
      <c r="E24" s="9"/>
      <c r="F24" s="9"/>
      <c r="I24" s="7"/>
      <c r="J24" s="8"/>
      <c r="K24" s="8"/>
      <c r="Z24" s="9" t="s">
        <v>46</v>
      </c>
      <c r="AA24" s="48">
        <v>8910.06</v>
      </c>
      <c r="AD24" s="7"/>
      <c r="AE24" s="7"/>
      <c r="AT24" s="7"/>
      <c r="AV24" s="8"/>
      <c r="AW24" s="9"/>
    </row>
    <row r="25" spans="1:49" ht="5.0999999999999996" customHeight="1" x14ac:dyDescent="0.2">
      <c r="A25" s="8"/>
      <c r="C25" s="10"/>
      <c r="D25" s="9"/>
      <c r="E25" s="9"/>
      <c r="F25" s="9"/>
      <c r="I25" s="7"/>
      <c r="J25" s="8"/>
      <c r="K25" s="8"/>
      <c r="AD25" s="7"/>
      <c r="AE25" s="7"/>
      <c r="AT25" s="7"/>
      <c r="AV25" s="8"/>
      <c r="AW25" s="9"/>
    </row>
    <row r="27" spans="1:49" x14ac:dyDescent="0.2">
      <c r="A27" s="2" t="s">
        <v>7</v>
      </c>
    </row>
    <row r="28" spans="1:49" x14ac:dyDescent="0.2">
      <c r="A28" s="2"/>
    </row>
    <row r="29" spans="1:49" s="23" customFormat="1" ht="22.5" x14ac:dyDescent="0.2">
      <c r="A29" s="13" t="s">
        <v>8</v>
      </c>
      <c r="B29" s="13" t="s">
        <v>9</v>
      </c>
      <c r="C29" s="13" t="s">
        <v>10</v>
      </c>
      <c r="D29" s="14" t="s">
        <v>11</v>
      </c>
      <c r="E29" s="14" t="s">
        <v>12</v>
      </c>
      <c r="F29" s="14" t="s">
        <v>13</v>
      </c>
      <c r="G29" s="13" t="s">
        <v>14</v>
      </c>
      <c r="H29" s="13" t="s">
        <v>15</v>
      </c>
      <c r="I29" s="13" t="s">
        <v>16</v>
      </c>
      <c r="J29" s="15" t="s">
        <v>17</v>
      </c>
      <c r="K29" s="13" t="s">
        <v>18</v>
      </c>
      <c r="L29" s="13" t="s">
        <v>19</v>
      </c>
      <c r="M29" s="13" t="s">
        <v>20</v>
      </c>
      <c r="N29" s="13" t="s">
        <v>21</v>
      </c>
      <c r="O29" s="13" t="s">
        <v>22</v>
      </c>
      <c r="P29" s="13" t="s">
        <v>23</v>
      </c>
      <c r="Q29" s="13" t="s">
        <v>24</v>
      </c>
      <c r="R29" s="13" t="s">
        <v>25</v>
      </c>
      <c r="S29" s="13" t="s">
        <v>26</v>
      </c>
      <c r="T29" s="13" t="s">
        <v>27</v>
      </c>
      <c r="U29" s="13" t="s">
        <v>28</v>
      </c>
      <c r="V29" s="13" t="s">
        <v>29</v>
      </c>
      <c r="W29" s="13" t="s">
        <v>30</v>
      </c>
      <c r="X29" s="13" t="s">
        <v>31</v>
      </c>
      <c r="Y29" s="13" t="s">
        <v>32</v>
      </c>
      <c r="Z29" s="16" t="s">
        <v>33</v>
      </c>
      <c r="AA29" s="17" t="s">
        <v>34</v>
      </c>
      <c r="AB29" s="18" t="s">
        <v>35</v>
      </c>
      <c r="AC29" s="19" t="s">
        <v>36</v>
      </c>
      <c r="AD29" s="19" t="s">
        <v>37</v>
      </c>
      <c r="AE29" s="20" t="s">
        <v>38</v>
      </c>
      <c r="AF29" s="20" t="s">
        <v>39</v>
      </c>
      <c r="AG29" s="21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7"/>
      <c r="AS29" s="21"/>
    </row>
    <row r="30" spans="1:49" x14ac:dyDescent="0.2">
      <c r="A30" s="24" t="s">
        <v>60</v>
      </c>
      <c r="B30" s="25" t="s">
        <v>62</v>
      </c>
      <c r="C30" s="26" t="s">
        <v>78</v>
      </c>
      <c r="D30" s="27" t="s">
        <v>40</v>
      </c>
      <c r="E30" s="28" t="s">
        <v>61</v>
      </c>
      <c r="F30" s="28"/>
      <c r="G30" s="27"/>
      <c r="H30" s="29">
        <v>44197</v>
      </c>
      <c r="I30" s="29">
        <v>45291</v>
      </c>
      <c r="J30" s="30"/>
      <c r="K30" s="31" t="s">
        <v>1</v>
      </c>
      <c r="L30" s="32">
        <v>275</v>
      </c>
      <c r="M30" s="40"/>
      <c r="N30" s="34">
        <v>275</v>
      </c>
      <c r="O30" s="35"/>
      <c r="P30" s="35"/>
      <c r="Q30" s="35"/>
      <c r="R30" s="35"/>
      <c r="S30" s="35"/>
      <c r="T30" s="35"/>
      <c r="U30" s="35"/>
      <c r="V30" s="35"/>
      <c r="W30" s="36"/>
      <c r="X30" s="36"/>
      <c r="Y30" s="36"/>
      <c r="Z30" s="37"/>
      <c r="AA30" s="38">
        <f>SUM(M30:Z30)</f>
        <v>275</v>
      </c>
      <c r="AB30" s="41">
        <f>IF(ISBLANK(K30),0,ROUND(L30*VLOOKUP($W$1,$AT$8:$AU$19,2,0)/VLOOKUP(K30,$AU$1:$AV$4,2,0),2))</f>
        <v>275</v>
      </c>
      <c r="AC30" s="39">
        <f>IF(AB30-SUM(N30:Z30)&gt;=0,AB30-SUM(N30:Z30),0)</f>
        <v>0</v>
      </c>
      <c r="AD30" s="39">
        <f>IF(AB30-SUM(N30:Z30)&lt;0,-AB30+SUM(N30:Z30),0)</f>
        <v>0</v>
      </c>
      <c r="AE30" s="39">
        <f>+AA30+AC30-AD30</f>
        <v>275</v>
      </c>
      <c r="AF30" s="39">
        <f>IF(J30="Oui",AD30,0)</f>
        <v>0</v>
      </c>
      <c r="AT30" s="7"/>
      <c r="AV30" s="8"/>
      <c r="AW30" s="9"/>
    </row>
    <row r="31" spans="1:49" x14ac:dyDescent="0.2">
      <c r="A31" s="24" t="s">
        <v>60</v>
      </c>
      <c r="B31" s="25" t="s">
        <v>62</v>
      </c>
      <c r="C31" s="26" t="s">
        <v>79</v>
      </c>
      <c r="D31" s="27" t="s">
        <v>41</v>
      </c>
      <c r="E31" s="28" t="s">
        <v>61</v>
      </c>
      <c r="F31" s="28"/>
      <c r="G31" s="27"/>
      <c r="H31" s="29">
        <v>44197</v>
      </c>
      <c r="I31" s="29">
        <v>45291</v>
      </c>
      <c r="J31" s="30"/>
      <c r="K31" s="31" t="s">
        <v>1</v>
      </c>
      <c r="L31" s="32">
        <v>627</v>
      </c>
      <c r="M31" s="40"/>
      <c r="N31" s="34">
        <v>627</v>
      </c>
      <c r="O31" s="35"/>
      <c r="P31" s="35"/>
      <c r="Q31" s="35"/>
      <c r="R31" s="35"/>
      <c r="S31" s="35"/>
      <c r="T31" s="35"/>
      <c r="U31" s="35"/>
      <c r="V31" s="35"/>
      <c r="W31" s="35"/>
      <c r="X31" s="36"/>
      <c r="Y31" s="36"/>
      <c r="Z31" s="37"/>
      <c r="AA31" s="38">
        <f>SUM(M31:Z31)</f>
        <v>627</v>
      </c>
      <c r="AB31" s="41">
        <f>IF(ISBLANK(K31),0,ROUND(L31*VLOOKUP($W$1,$AT$8:$AU$19,2,0)/VLOOKUP(K31,$AU$1:$AV$4,2,0),2))</f>
        <v>627</v>
      </c>
      <c r="AC31" s="39">
        <f t="shared" ref="AC31:AC39" si="15">IF(AB31-SUM(N31:Z31)&gt;=0,AB31-SUM(N31:Z31),0)</f>
        <v>0</v>
      </c>
      <c r="AD31" s="39">
        <f t="shared" ref="AD31:AD39" si="16">IF(AB31-SUM(N31:Z31)&lt;0,-AB31+SUM(N31:Z31),0)</f>
        <v>0</v>
      </c>
      <c r="AE31" s="39">
        <f t="shared" ref="AE31:AE39" si="17">+AA31+AC31-AD31</f>
        <v>627</v>
      </c>
      <c r="AF31" s="39">
        <f t="shared" ref="AF31:AF39" si="18">IF(J31="Oui",AD31,0)</f>
        <v>0</v>
      </c>
      <c r="AT31" s="7"/>
      <c r="AV31" s="8"/>
      <c r="AW31" s="9"/>
    </row>
    <row r="32" spans="1:49" x14ac:dyDescent="0.2">
      <c r="A32" s="24" t="s">
        <v>60</v>
      </c>
      <c r="B32" s="25" t="s">
        <v>62</v>
      </c>
      <c r="C32" s="26" t="s">
        <v>80</v>
      </c>
      <c r="D32" s="30" t="s">
        <v>42</v>
      </c>
      <c r="E32" s="28" t="s">
        <v>61</v>
      </c>
      <c r="F32" s="28"/>
      <c r="G32" s="30"/>
      <c r="H32" s="29">
        <v>44197</v>
      </c>
      <c r="I32" s="29">
        <v>45291</v>
      </c>
      <c r="J32" s="30"/>
      <c r="K32" s="43" t="s">
        <v>1</v>
      </c>
      <c r="L32" s="44">
        <v>100</v>
      </c>
      <c r="M32" s="40"/>
      <c r="N32" s="45"/>
      <c r="O32" s="46"/>
      <c r="P32" s="46"/>
      <c r="Q32" s="46"/>
      <c r="R32" s="46"/>
      <c r="S32" s="46"/>
      <c r="T32" s="46"/>
      <c r="U32" s="46"/>
      <c r="V32" s="46"/>
      <c r="W32" s="36"/>
      <c r="X32" s="36"/>
      <c r="Y32" s="36"/>
      <c r="Z32" s="37"/>
      <c r="AA32" s="38">
        <f>SUM(M32:Z32)</f>
        <v>0</v>
      </c>
      <c r="AB32" s="41">
        <f>IF(ISBLANK(K32),0,ROUND(L32*VLOOKUP($W$1,$AT$8:$AU$19,2,0)/VLOOKUP(K32,$AU$1:$AV$4,2,0),2))</f>
        <v>100</v>
      </c>
      <c r="AC32" s="39">
        <f t="shared" si="15"/>
        <v>100</v>
      </c>
      <c r="AD32" s="39">
        <f t="shared" si="16"/>
        <v>0</v>
      </c>
      <c r="AE32" s="39">
        <f t="shared" si="17"/>
        <v>100</v>
      </c>
      <c r="AF32" s="39">
        <f t="shared" si="18"/>
        <v>0</v>
      </c>
      <c r="AT32" s="7"/>
      <c r="AV32" s="8"/>
      <c r="AW32" s="9"/>
    </row>
    <row r="33" spans="1:49" x14ac:dyDescent="0.2">
      <c r="A33" s="24" t="s">
        <v>60</v>
      </c>
      <c r="B33" s="25" t="s">
        <v>62</v>
      </c>
      <c r="C33" s="26" t="s">
        <v>98</v>
      </c>
      <c r="D33" s="30" t="s">
        <v>44</v>
      </c>
      <c r="E33" s="28" t="s">
        <v>61</v>
      </c>
      <c r="F33" s="28"/>
      <c r="G33" s="30"/>
      <c r="H33" s="42">
        <v>41815</v>
      </c>
      <c r="I33" s="42">
        <v>44371</v>
      </c>
      <c r="J33" s="30"/>
      <c r="K33" s="43" t="s">
        <v>1</v>
      </c>
      <c r="L33" s="44">
        <v>4871.7</v>
      </c>
      <c r="M33" s="40"/>
      <c r="N33" s="47">
        <v>4871.7</v>
      </c>
      <c r="O33" s="46"/>
      <c r="P33" s="46"/>
      <c r="Q33" s="46"/>
      <c r="R33" s="46"/>
      <c r="S33" s="46"/>
      <c r="T33" s="46"/>
      <c r="U33" s="46"/>
      <c r="V33" s="46"/>
      <c r="W33" s="36"/>
      <c r="X33" s="36"/>
      <c r="Y33" s="36"/>
      <c r="Z33" s="37"/>
      <c r="AA33" s="38">
        <f t="shared" ref="AA33:AA38" si="19">SUM(M33:Z33)</f>
        <v>4871.7</v>
      </c>
      <c r="AB33" s="41">
        <f>IF(ISBLANK(K33),0,ROUND(L33*VLOOKUP($W$1,[1]Entête!$B$45:$C$56,2,0)/VLOOKUP(K33,$AU$1:$AV$4,2,0),2))</f>
        <v>4871.7</v>
      </c>
      <c r="AC33" s="39">
        <f t="shared" ref="AC33:AC38" si="20">IF(AB33-SUM(N33:Z33)&gt;=0,AB33-SUM(N33:Z33),0)</f>
        <v>0</v>
      </c>
      <c r="AD33" s="39">
        <f t="shared" ref="AD33:AD38" si="21">IF(AB33-SUM(N33:Z33)&lt;0,-AB33+SUM(N33:Z33),0)</f>
        <v>0</v>
      </c>
      <c r="AE33" s="39">
        <f t="shared" ref="AE33:AE38" si="22">+AA33+AC33-AD33</f>
        <v>4871.7</v>
      </c>
      <c r="AF33" s="39">
        <f t="shared" ref="AF33:AF38" si="23">IF(J33="Oui",AD33,0)</f>
        <v>0</v>
      </c>
      <c r="AT33" s="7"/>
      <c r="AV33" s="8"/>
      <c r="AW33" s="9"/>
    </row>
    <row r="34" spans="1:49" x14ac:dyDescent="0.2">
      <c r="A34" s="24" t="s">
        <v>60</v>
      </c>
      <c r="B34" s="25" t="s">
        <v>62</v>
      </c>
      <c r="C34" s="26" t="s">
        <v>99</v>
      </c>
      <c r="D34" s="30" t="s">
        <v>45</v>
      </c>
      <c r="E34" s="28" t="s">
        <v>61</v>
      </c>
      <c r="F34" s="28"/>
      <c r="G34" s="30"/>
      <c r="H34" s="42">
        <v>41815</v>
      </c>
      <c r="I34" s="42">
        <v>44371</v>
      </c>
      <c r="J34" s="30"/>
      <c r="K34" s="43" t="s">
        <v>1</v>
      </c>
      <c r="L34" s="48">
        <v>2392.73</v>
      </c>
      <c r="M34" s="40"/>
      <c r="N34" s="34">
        <v>2392.73</v>
      </c>
      <c r="O34" s="35"/>
      <c r="P34" s="35"/>
      <c r="Q34" s="35"/>
      <c r="R34" s="35"/>
      <c r="S34" s="35"/>
      <c r="T34" s="35"/>
      <c r="U34" s="35"/>
      <c r="V34" s="35"/>
      <c r="W34" s="35"/>
      <c r="X34" s="36"/>
      <c r="Y34" s="36"/>
      <c r="Z34" s="37"/>
      <c r="AA34" s="38">
        <f t="shared" si="19"/>
        <v>2392.73</v>
      </c>
      <c r="AB34" s="41">
        <f>IF(ISBLANK(K34),0,ROUND(L34*VLOOKUP($W$1,[1]Entête!$B$45:$C$56,2,0)/VLOOKUP(K34,$AU$1:$AV$4,2,0),2))</f>
        <v>2392.73</v>
      </c>
      <c r="AC34" s="39">
        <f t="shared" si="20"/>
        <v>0</v>
      </c>
      <c r="AD34" s="39">
        <f t="shared" si="21"/>
        <v>0</v>
      </c>
      <c r="AE34" s="39">
        <f t="shared" si="22"/>
        <v>2392.73</v>
      </c>
      <c r="AF34" s="39">
        <f t="shared" si="23"/>
        <v>0</v>
      </c>
      <c r="AT34" s="7"/>
      <c r="AV34" s="8"/>
      <c r="AW34" s="9"/>
    </row>
    <row r="35" spans="1:49" x14ac:dyDescent="0.2">
      <c r="A35" s="24" t="s">
        <v>60</v>
      </c>
      <c r="B35" s="25" t="s">
        <v>62</v>
      </c>
      <c r="C35" s="26" t="s">
        <v>100</v>
      </c>
      <c r="D35" s="28"/>
      <c r="E35" s="28" t="s">
        <v>61</v>
      </c>
      <c r="F35" s="28"/>
      <c r="G35" s="30"/>
      <c r="H35" s="42">
        <v>44013</v>
      </c>
      <c r="I35" s="42">
        <v>46568</v>
      </c>
      <c r="J35" s="30"/>
      <c r="K35" s="43" t="s">
        <v>1</v>
      </c>
      <c r="L35" s="48">
        <v>676.8</v>
      </c>
      <c r="M35" s="40"/>
      <c r="N35" s="34">
        <v>676.8</v>
      </c>
      <c r="O35" s="35"/>
      <c r="P35" s="35"/>
      <c r="Q35" s="35"/>
      <c r="R35" s="35"/>
      <c r="S35" s="35"/>
      <c r="T35" s="35"/>
      <c r="U35" s="35"/>
      <c r="V35" s="35"/>
      <c r="W35" s="35"/>
      <c r="X35" s="36"/>
      <c r="Y35" s="36"/>
      <c r="Z35" s="37"/>
      <c r="AA35" s="38">
        <f t="shared" si="19"/>
        <v>676.8</v>
      </c>
      <c r="AB35" s="41">
        <f>IF(ISBLANK(K35),0,ROUND(L35*VLOOKUP($W$1,[1]Entête!$B$45:$C$56,2,0)/VLOOKUP(K35,$AU$1:$AV$4,2,0),2))</f>
        <v>676.8</v>
      </c>
      <c r="AC35" s="39">
        <f t="shared" si="20"/>
        <v>0</v>
      </c>
      <c r="AD35" s="39">
        <f t="shared" si="21"/>
        <v>0</v>
      </c>
      <c r="AE35" s="39">
        <f t="shared" si="22"/>
        <v>676.8</v>
      </c>
      <c r="AF35" s="39">
        <f t="shared" si="23"/>
        <v>0</v>
      </c>
      <c r="AT35" s="7"/>
      <c r="AV35" s="8"/>
      <c r="AW35" s="9"/>
    </row>
    <row r="36" spans="1:49" x14ac:dyDescent="0.2">
      <c r="A36" s="24" t="s">
        <v>60</v>
      </c>
      <c r="B36" s="25" t="s">
        <v>62</v>
      </c>
      <c r="C36" s="26" t="s">
        <v>101</v>
      </c>
      <c r="D36" s="28"/>
      <c r="E36" s="28" t="s">
        <v>61</v>
      </c>
      <c r="F36" s="28"/>
      <c r="G36" s="30"/>
      <c r="H36" s="42">
        <v>44409</v>
      </c>
      <c r="I36" s="42">
        <v>47695</v>
      </c>
      <c r="J36" s="30"/>
      <c r="K36" s="43" t="s">
        <v>1</v>
      </c>
      <c r="L36" s="48">
        <v>1528.56</v>
      </c>
      <c r="M36" s="40"/>
      <c r="N36" s="49">
        <v>1528.56</v>
      </c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7"/>
      <c r="AA36" s="38">
        <f t="shared" si="19"/>
        <v>1528.56</v>
      </c>
      <c r="AB36" s="41">
        <f>IF(ISBLANK(K36),0,ROUND(L36*VLOOKUP($W$1,[1]Entête!$B$45:$C$56,2,0)/VLOOKUP(K36,$AU$1:$AV$4,2,0),2))</f>
        <v>1528.56</v>
      </c>
      <c r="AC36" s="39">
        <f t="shared" si="20"/>
        <v>0</v>
      </c>
      <c r="AD36" s="39">
        <f t="shared" si="21"/>
        <v>0</v>
      </c>
      <c r="AE36" s="39">
        <f t="shared" si="22"/>
        <v>1528.56</v>
      </c>
      <c r="AF36" s="39">
        <f t="shared" si="23"/>
        <v>0</v>
      </c>
      <c r="AT36" s="7"/>
      <c r="AV36" s="8"/>
      <c r="AW36" s="9"/>
    </row>
    <row r="37" spans="1:49" x14ac:dyDescent="0.2">
      <c r="A37" s="24" t="s">
        <v>60</v>
      </c>
      <c r="B37" s="25" t="s">
        <v>62</v>
      </c>
      <c r="C37" s="26" t="s">
        <v>102</v>
      </c>
      <c r="D37" s="28"/>
      <c r="E37" s="28" t="s">
        <v>61</v>
      </c>
      <c r="F37" s="28"/>
      <c r="G37" s="30"/>
      <c r="H37" s="42">
        <v>44491</v>
      </c>
      <c r="I37" s="42">
        <v>46316</v>
      </c>
      <c r="J37" s="30"/>
      <c r="K37" s="43" t="s">
        <v>1</v>
      </c>
      <c r="L37" s="48">
        <v>968.4</v>
      </c>
      <c r="M37" s="40">
        <f>656.01-968.4</f>
        <v>-312.39</v>
      </c>
      <c r="N37" s="49">
        <v>968.4</v>
      </c>
      <c r="O37" s="49">
        <v>968.4</v>
      </c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7"/>
      <c r="AA37" s="38">
        <f t="shared" si="19"/>
        <v>1624.4099999999999</v>
      </c>
      <c r="AB37" s="41">
        <f>IF(ISBLANK(K37),0,ROUND(L37*VLOOKUP($W$1,[1]Entête!$B$45:$C$56,2,0)/VLOOKUP(K37,$AU$1:$AV$4,2,0),2))</f>
        <v>968.4</v>
      </c>
      <c r="AC37" s="39">
        <f t="shared" si="20"/>
        <v>0</v>
      </c>
      <c r="AD37" s="39">
        <f t="shared" si="21"/>
        <v>968.4</v>
      </c>
      <c r="AE37" s="39">
        <f t="shared" si="22"/>
        <v>656.00999999999988</v>
      </c>
      <c r="AF37" s="39">
        <f t="shared" si="23"/>
        <v>0</v>
      </c>
      <c r="AT37" s="7"/>
      <c r="AV37" s="8"/>
      <c r="AW37" s="9"/>
    </row>
    <row r="38" spans="1:49" x14ac:dyDescent="0.2">
      <c r="A38" s="24" t="s">
        <v>60</v>
      </c>
      <c r="B38" s="25" t="s">
        <v>62</v>
      </c>
      <c r="C38" s="26" t="s">
        <v>103</v>
      </c>
      <c r="D38" s="28"/>
      <c r="E38" s="28" t="s">
        <v>61</v>
      </c>
      <c r="F38" s="28"/>
      <c r="G38" s="30"/>
      <c r="H38" s="42">
        <v>44491</v>
      </c>
      <c r="I38" s="42">
        <v>46316</v>
      </c>
      <c r="J38" s="30"/>
      <c r="K38" s="43" t="s">
        <v>1</v>
      </c>
      <c r="L38" s="48">
        <v>604.20000000000005</v>
      </c>
      <c r="M38" s="40">
        <f>409.3-604.2</f>
        <v>-194.90000000000003</v>
      </c>
      <c r="N38" s="49">
        <v>604.20000000000005</v>
      </c>
      <c r="O38" s="49">
        <v>604.20000000000005</v>
      </c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7"/>
      <c r="AA38" s="38">
        <f t="shared" si="19"/>
        <v>1013.5</v>
      </c>
      <c r="AB38" s="41">
        <f>IF(ISBLANK(K38),0,ROUND(L38*VLOOKUP($W$1,[1]Entête!$B$45:$C$56,2,0)/VLOOKUP(K38,$AU$1:$AV$4,2,0),2))</f>
        <v>604.20000000000005</v>
      </c>
      <c r="AC38" s="39">
        <f t="shared" si="20"/>
        <v>0</v>
      </c>
      <c r="AD38" s="39">
        <f t="shared" si="21"/>
        <v>604.20000000000005</v>
      </c>
      <c r="AE38" s="39">
        <f t="shared" si="22"/>
        <v>409.29999999999995</v>
      </c>
      <c r="AF38" s="39">
        <f t="shared" si="23"/>
        <v>0</v>
      </c>
      <c r="AT38" s="7"/>
      <c r="AV38" s="8"/>
      <c r="AW38" s="9"/>
    </row>
    <row r="39" spans="1:49" x14ac:dyDescent="0.2">
      <c r="A39" s="28"/>
      <c r="B39" s="50"/>
      <c r="C39" s="50"/>
      <c r="D39" s="28"/>
      <c r="E39" s="28"/>
      <c r="F39" s="28"/>
      <c r="G39" s="30"/>
      <c r="H39" s="30"/>
      <c r="I39" s="30"/>
      <c r="J39" s="51"/>
      <c r="K39" s="31"/>
      <c r="L39" s="48"/>
      <c r="M39" s="40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7"/>
      <c r="AA39" s="38">
        <f t="shared" ref="AA39" si="24">SUM(M39:Z39)</f>
        <v>0</v>
      </c>
      <c r="AB39" s="41">
        <f>IF(ISBLANK(K39),0,ROUND(L39*VLOOKUP($W$1,$AT$8:$AU$19,2,0)/VLOOKUP(K39,$AU$1:$AV$4,2,0),2))</f>
        <v>0</v>
      </c>
      <c r="AC39" s="39">
        <f t="shared" si="15"/>
        <v>0</v>
      </c>
      <c r="AD39" s="39">
        <f t="shared" si="16"/>
        <v>0</v>
      </c>
      <c r="AE39" s="39">
        <f t="shared" si="17"/>
        <v>0</v>
      </c>
      <c r="AF39" s="39">
        <f t="shared" si="18"/>
        <v>0</v>
      </c>
      <c r="AT39" s="7"/>
      <c r="AV39" s="8"/>
      <c r="AW39" s="9"/>
    </row>
    <row r="40" spans="1:49" ht="5.0999999999999996" customHeight="1" x14ac:dyDescent="0.2"/>
    <row r="41" spans="1:49" x14ac:dyDescent="0.2">
      <c r="AA41" s="39">
        <f>SUM(AA30:AA40)</f>
        <v>13009.699999999999</v>
      </c>
      <c r="AB41" s="39">
        <f>SUM(AB30:AB40)</f>
        <v>12044.39</v>
      </c>
      <c r="AC41" s="39">
        <f>SUM(AC30:AC40)</f>
        <v>100</v>
      </c>
      <c r="AD41" s="39">
        <f>SUM(AD30:AD40)</f>
        <v>1572.6</v>
      </c>
      <c r="AE41" s="52">
        <f>SUM(AE30:AE40)</f>
        <v>11537.099999999999</v>
      </c>
    </row>
    <row r="42" spans="1:49" ht="5.0999999999999996" customHeight="1" x14ac:dyDescent="0.2"/>
    <row r="43" spans="1:49" x14ac:dyDescent="0.2">
      <c r="Z43" s="9" t="s">
        <v>46</v>
      </c>
      <c r="AA43" s="48">
        <v>8858.86</v>
      </c>
    </row>
    <row r="44" spans="1:49" ht="5.0999999999999996" customHeight="1" x14ac:dyDescent="0.2"/>
    <row r="45" spans="1:49" x14ac:dyDescent="0.2">
      <c r="Z45" s="9" t="s">
        <v>47</v>
      </c>
      <c r="AA45" s="7">
        <f>+AA43-AA41</f>
        <v>-4150.8399999999983</v>
      </c>
    </row>
    <row r="46" spans="1:49" x14ac:dyDescent="0.2">
      <c r="A46" s="2" t="s">
        <v>48</v>
      </c>
    </row>
    <row r="47" spans="1:49" x14ac:dyDescent="0.2">
      <c r="A47" s="2"/>
    </row>
    <row r="48" spans="1:49" s="23" customFormat="1" ht="22.5" x14ac:dyDescent="0.2">
      <c r="A48" s="13" t="s">
        <v>8</v>
      </c>
      <c r="B48" s="13" t="s">
        <v>9</v>
      </c>
      <c r="C48" s="13" t="s">
        <v>10</v>
      </c>
      <c r="D48" s="14" t="s">
        <v>11</v>
      </c>
      <c r="E48" s="14" t="s">
        <v>12</v>
      </c>
      <c r="F48" s="14" t="s">
        <v>13</v>
      </c>
      <c r="G48" s="13" t="s">
        <v>14</v>
      </c>
      <c r="H48" s="13" t="s">
        <v>15</v>
      </c>
      <c r="I48" s="13" t="s">
        <v>16</v>
      </c>
      <c r="J48" s="15" t="s">
        <v>17</v>
      </c>
      <c r="K48" s="13" t="s">
        <v>18</v>
      </c>
      <c r="L48" s="13" t="s">
        <v>19</v>
      </c>
      <c r="M48" s="13" t="s">
        <v>20</v>
      </c>
      <c r="N48" s="13" t="s">
        <v>21</v>
      </c>
      <c r="O48" s="13" t="s">
        <v>22</v>
      </c>
      <c r="P48" s="13" t="s">
        <v>23</v>
      </c>
      <c r="Q48" s="13" t="s">
        <v>24</v>
      </c>
      <c r="R48" s="13" t="s">
        <v>25</v>
      </c>
      <c r="S48" s="13" t="s">
        <v>26</v>
      </c>
      <c r="T48" s="13" t="s">
        <v>27</v>
      </c>
      <c r="U48" s="13" t="s">
        <v>28</v>
      </c>
      <c r="V48" s="13" t="s">
        <v>29</v>
      </c>
      <c r="W48" s="13" t="s">
        <v>30</v>
      </c>
      <c r="X48" s="13" t="s">
        <v>31</v>
      </c>
      <c r="Y48" s="13" t="s">
        <v>32</v>
      </c>
      <c r="Z48" s="16" t="s">
        <v>33</v>
      </c>
      <c r="AA48" s="17" t="s">
        <v>34</v>
      </c>
      <c r="AB48" s="18" t="s">
        <v>35</v>
      </c>
      <c r="AC48" s="19" t="s">
        <v>36</v>
      </c>
      <c r="AD48" s="19" t="s">
        <v>37</v>
      </c>
      <c r="AE48" s="20" t="s">
        <v>38</v>
      </c>
      <c r="AF48" s="20" t="s">
        <v>39</v>
      </c>
      <c r="AG48" s="21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1"/>
      <c r="AS48" s="21"/>
    </row>
    <row r="49" spans="1:49" x14ac:dyDescent="0.2">
      <c r="A49" s="24" t="s">
        <v>60</v>
      </c>
      <c r="B49" s="25" t="s">
        <v>62</v>
      </c>
      <c r="C49" s="26" t="s">
        <v>58</v>
      </c>
      <c r="D49" s="28"/>
      <c r="E49" s="28" t="s">
        <v>59</v>
      </c>
      <c r="F49" s="28"/>
      <c r="G49" s="27">
        <v>4000276</v>
      </c>
      <c r="H49" s="29">
        <v>44197</v>
      </c>
      <c r="I49" s="29">
        <v>45291</v>
      </c>
      <c r="J49" s="30"/>
      <c r="K49" s="31" t="s">
        <v>3</v>
      </c>
      <c r="L49" s="32">
        <v>2000</v>
      </c>
      <c r="M49" s="40"/>
      <c r="N49" s="68"/>
      <c r="O49" s="69"/>
      <c r="P49" s="70"/>
      <c r="Q49" s="56"/>
      <c r="R49" s="57"/>
      <c r="S49" s="58"/>
      <c r="T49" s="56"/>
      <c r="U49" s="57"/>
      <c r="V49" s="58"/>
      <c r="W49" s="56"/>
      <c r="X49" s="57"/>
      <c r="Y49" s="58"/>
      <c r="Z49" s="37"/>
      <c r="AA49" s="38">
        <f>SUM(M49:Z49)</f>
        <v>0</v>
      </c>
      <c r="AB49" s="41">
        <f>IF(ISBLANK(K49),0,ROUND(L49*VLOOKUP($W$1,$AT$8:$AU$19,2,0)/VLOOKUP(K49,$AU$1:$AV$4,2,0),2))</f>
        <v>666.67</v>
      </c>
      <c r="AC49" s="39">
        <f>IF(AB49-SUM(N49:Z49)&gt;=0,AB49-SUM(N49:Z49),0)</f>
        <v>666.67</v>
      </c>
      <c r="AD49" s="39">
        <f>IF(AB49-SUM(N49:Z49)&lt;0,-AB49+SUM(N49:Z49),0)</f>
        <v>0</v>
      </c>
      <c r="AE49" s="39">
        <f>+AA49+AC49-AD49</f>
        <v>666.67</v>
      </c>
      <c r="AF49" s="39">
        <f>IF(J49="Oui",AD49,0)</f>
        <v>0</v>
      </c>
      <c r="AT49" s="7"/>
      <c r="AV49" s="8"/>
      <c r="AW49" s="9"/>
    </row>
    <row r="50" spans="1:49" x14ac:dyDescent="0.2">
      <c r="A50" s="24" t="s">
        <v>60</v>
      </c>
      <c r="B50" s="25" t="s">
        <v>62</v>
      </c>
      <c r="C50" s="26" t="s">
        <v>67</v>
      </c>
      <c r="D50" s="28"/>
      <c r="E50" s="28" t="s">
        <v>68</v>
      </c>
      <c r="F50" s="28"/>
      <c r="G50" s="27">
        <v>4000284</v>
      </c>
      <c r="H50" s="29">
        <v>44197</v>
      </c>
      <c r="I50" s="29">
        <v>45291</v>
      </c>
      <c r="J50" s="30"/>
      <c r="K50" s="31" t="s">
        <v>6</v>
      </c>
      <c r="L50" s="32">
        <v>1500</v>
      </c>
      <c r="M50" s="40"/>
      <c r="N50" s="71">
        <v>1500</v>
      </c>
      <c r="O50" s="72"/>
      <c r="P50" s="72"/>
      <c r="Q50" s="72"/>
      <c r="R50" s="72"/>
      <c r="S50" s="72"/>
      <c r="T50" s="72"/>
      <c r="U50" s="72"/>
      <c r="V50" s="72"/>
      <c r="W50" s="72"/>
      <c r="X50" s="72"/>
      <c r="Y50" s="73"/>
      <c r="Z50" s="37"/>
      <c r="AA50" s="38">
        <f>SUM(M50:Z50)</f>
        <v>1500</v>
      </c>
      <c r="AB50" s="41">
        <f>IF(ISBLANK(K50),0,ROUND(L50*VLOOKUP($W$1,$AT$8:$AU$19,2,0)/VLOOKUP(K50,$AU$1:$AV$4,2,0),2))</f>
        <v>125</v>
      </c>
      <c r="AC50" s="39">
        <f t="shared" ref="AC50:AC51" si="25">IF(AB50-SUM(N50:Z50)&gt;=0,AB50-SUM(N50:Z50),0)</f>
        <v>0</v>
      </c>
      <c r="AD50" s="39">
        <f t="shared" ref="AD50:AD51" si="26">IF(AB50-SUM(N50:Z50)&lt;0,-AB50+SUM(N50:Z50),0)</f>
        <v>1375</v>
      </c>
      <c r="AE50" s="39">
        <f t="shared" ref="AE50:AE51" si="27">+AA50+AC50-AD50</f>
        <v>125</v>
      </c>
      <c r="AF50" s="39">
        <f t="shared" ref="AF50:AF51" si="28">IF(J50="Oui",AD50,0)</f>
        <v>0</v>
      </c>
      <c r="AT50" s="7"/>
      <c r="AV50" s="8"/>
      <c r="AW50" s="9"/>
    </row>
    <row r="51" spans="1:49" x14ac:dyDescent="0.2">
      <c r="A51" s="24"/>
      <c r="B51" s="25"/>
      <c r="C51" s="26"/>
      <c r="D51" s="28"/>
      <c r="E51" s="28"/>
      <c r="F51" s="28"/>
      <c r="G51" s="27"/>
      <c r="H51" s="29"/>
      <c r="I51" s="29"/>
      <c r="J51" s="30"/>
      <c r="K51" s="31"/>
      <c r="L51" s="59"/>
      <c r="M51" s="40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7"/>
      <c r="AA51" s="38">
        <f>SUM(M51:Z51)</f>
        <v>0</v>
      </c>
      <c r="AB51" s="41">
        <f>IF(ISBLANK(K51),0,ROUND(L51*VLOOKUP($W$1,$AT$8:$AU$19,2,0)/VLOOKUP(K51,$AU$1:$AV$4,2,0),2))</f>
        <v>0</v>
      </c>
      <c r="AC51" s="39">
        <f t="shared" si="25"/>
        <v>0</v>
      </c>
      <c r="AD51" s="39">
        <f t="shared" si="26"/>
        <v>0</v>
      </c>
      <c r="AE51" s="39">
        <f t="shared" si="27"/>
        <v>0</v>
      </c>
      <c r="AF51" s="39">
        <f t="shared" si="28"/>
        <v>0</v>
      </c>
      <c r="AT51" s="7"/>
      <c r="AV51" s="8"/>
      <c r="AW51" s="9"/>
    </row>
    <row r="52" spans="1:49" x14ac:dyDescent="0.2">
      <c r="A52" s="28"/>
      <c r="B52" s="50"/>
      <c r="C52" s="50"/>
      <c r="D52" s="28"/>
      <c r="E52" s="28"/>
      <c r="F52" s="28"/>
      <c r="G52" s="30"/>
      <c r="H52" s="30"/>
      <c r="I52" s="30"/>
      <c r="J52" s="51"/>
      <c r="K52" s="31"/>
      <c r="L52" s="48"/>
      <c r="M52" s="40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7"/>
      <c r="AA52" s="38">
        <f t="shared" ref="AA52" si="29">SUM(M52:Z52)</f>
        <v>0</v>
      </c>
      <c r="AB52" s="41">
        <f>IF(ISBLANK(K52),0,ROUND(L52*VLOOKUP($W$1,$AT$8:$AU$19,2,0)/VLOOKUP(K52,$AU$1:$AV$4,2,0),2))</f>
        <v>0</v>
      </c>
      <c r="AC52" s="39">
        <f t="shared" ref="AC52" si="30">IF(AB52-SUM(N52:Z52)&gt;=0,AB52-SUM(N52:Z52),0)</f>
        <v>0</v>
      </c>
      <c r="AD52" s="39">
        <f t="shared" ref="AD52" si="31">IF(AB52-SUM(N52:Z52)&lt;0,-AB52+SUM(N52:Z52),0)</f>
        <v>0</v>
      </c>
      <c r="AE52" s="39">
        <f t="shared" ref="AE52" si="32">+AA52+AC52-AD52</f>
        <v>0</v>
      </c>
      <c r="AF52" s="39">
        <f t="shared" ref="AF52" si="33">IF(J52="Oui",AD52,0)</f>
        <v>0</v>
      </c>
      <c r="AT52" s="7"/>
      <c r="AV52" s="8"/>
      <c r="AW52" s="9"/>
    </row>
    <row r="53" spans="1:49" ht="5.0999999999999996" customHeight="1" x14ac:dyDescent="0.2"/>
    <row r="54" spans="1:49" x14ac:dyDescent="0.2">
      <c r="AA54" s="39">
        <f>SUM(AA49:AA53)</f>
        <v>1500</v>
      </c>
      <c r="AB54" s="39">
        <f>SUM(AB49:AB53)</f>
        <v>791.67</v>
      </c>
      <c r="AC54" s="39">
        <f>SUM(AC49:AC53)</f>
        <v>666.67</v>
      </c>
      <c r="AD54" s="39">
        <f>SUM(AD49:AD53)</f>
        <v>1375</v>
      </c>
      <c r="AE54" s="52">
        <f>SUM(AE49:AE53)</f>
        <v>791.67</v>
      </c>
    </row>
    <row r="55" spans="1:49" ht="5.0999999999999996" customHeight="1" x14ac:dyDescent="0.2"/>
    <row r="56" spans="1:49" x14ac:dyDescent="0.2">
      <c r="Z56" s="9" t="s">
        <v>46</v>
      </c>
      <c r="AA56" s="48">
        <v>0</v>
      </c>
    </row>
    <row r="57" spans="1:49" ht="5.0999999999999996" customHeight="1" x14ac:dyDescent="0.2"/>
    <row r="58" spans="1:49" x14ac:dyDescent="0.2">
      <c r="Z58" s="9" t="s">
        <v>47</v>
      </c>
      <c r="AA58" s="7">
        <f>+AA56-AA54</f>
        <v>-1500</v>
      </c>
    </row>
    <row r="59" spans="1:49" x14ac:dyDescent="0.2">
      <c r="A59" s="2" t="s">
        <v>49</v>
      </c>
    </row>
    <row r="60" spans="1:49" x14ac:dyDescent="0.2">
      <c r="A60" s="2"/>
    </row>
    <row r="61" spans="1:49" s="23" customFormat="1" ht="22.5" x14ac:dyDescent="0.2">
      <c r="A61" s="13" t="s">
        <v>8</v>
      </c>
      <c r="B61" s="13" t="s">
        <v>9</v>
      </c>
      <c r="C61" s="13" t="s">
        <v>10</v>
      </c>
      <c r="D61" s="14" t="s">
        <v>11</v>
      </c>
      <c r="E61" s="14" t="s">
        <v>12</v>
      </c>
      <c r="F61" s="14" t="s">
        <v>13</v>
      </c>
      <c r="G61" s="13" t="s">
        <v>14</v>
      </c>
      <c r="H61" s="13" t="s">
        <v>15</v>
      </c>
      <c r="I61" s="13" t="s">
        <v>16</v>
      </c>
      <c r="J61" s="15" t="s">
        <v>17</v>
      </c>
      <c r="K61" s="13" t="s">
        <v>18</v>
      </c>
      <c r="L61" s="13" t="s">
        <v>19</v>
      </c>
      <c r="M61" s="13" t="s">
        <v>20</v>
      </c>
      <c r="N61" s="13" t="s">
        <v>21</v>
      </c>
      <c r="O61" s="13" t="s">
        <v>22</v>
      </c>
      <c r="P61" s="13" t="s">
        <v>23</v>
      </c>
      <c r="Q61" s="13" t="s">
        <v>24</v>
      </c>
      <c r="R61" s="13" t="s">
        <v>25</v>
      </c>
      <c r="S61" s="13" t="s">
        <v>26</v>
      </c>
      <c r="T61" s="13" t="s">
        <v>27</v>
      </c>
      <c r="U61" s="13" t="s">
        <v>28</v>
      </c>
      <c r="V61" s="13" t="s">
        <v>29</v>
      </c>
      <c r="W61" s="13" t="s">
        <v>30</v>
      </c>
      <c r="X61" s="13" t="s">
        <v>31</v>
      </c>
      <c r="Y61" s="13" t="s">
        <v>32</v>
      </c>
      <c r="Z61" s="16" t="s">
        <v>33</v>
      </c>
      <c r="AA61" s="17" t="s">
        <v>34</v>
      </c>
      <c r="AB61" s="18" t="s">
        <v>35</v>
      </c>
      <c r="AC61" s="19" t="s">
        <v>36</v>
      </c>
      <c r="AD61" s="19" t="s">
        <v>37</v>
      </c>
      <c r="AE61" s="20" t="s">
        <v>38</v>
      </c>
      <c r="AF61" s="20" t="s">
        <v>39</v>
      </c>
      <c r="AG61" s="21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1"/>
      <c r="AS61" s="21"/>
    </row>
    <row r="62" spans="1:49" x14ac:dyDescent="0.2">
      <c r="A62" s="24" t="s">
        <v>60</v>
      </c>
      <c r="B62" s="25" t="s">
        <v>62</v>
      </c>
      <c r="C62" s="26" t="s">
        <v>63</v>
      </c>
      <c r="D62" s="28"/>
      <c r="E62" s="28" t="s">
        <v>50</v>
      </c>
      <c r="F62" s="60"/>
      <c r="G62" s="27">
        <v>2000389</v>
      </c>
      <c r="H62" s="29">
        <v>43580</v>
      </c>
      <c r="I62" s="29">
        <v>44675</v>
      </c>
      <c r="J62" s="30"/>
      <c r="K62" s="31" t="s">
        <v>1</v>
      </c>
      <c r="L62" s="32">
        <v>373</v>
      </c>
      <c r="M62" s="40"/>
      <c r="N62" s="34">
        <v>373</v>
      </c>
      <c r="O62" s="34">
        <v>373</v>
      </c>
      <c r="P62" s="35"/>
      <c r="Q62" s="35"/>
      <c r="R62" s="35"/>
      <c r="S62" s="35"/>
      <c r="T62" s="35"/>
      <c r="U62" s="35"/>
      <c r="V62" s="35"/>
      <c r="W62" s="36"/>
      <c r="X62" s="36"/>
      <c r="Y62" s="36"/>
      <c r="Z62" s="37"/>
      <c r="AA62" s="38">
        <f>SUM(M62:Z62)</f>
        <v>746</v>
      </c>
      <c r="AB62" s="41">
        <f>IF(ISBLANK(K62),0,ROUND(L62*VLOOKUP($W$1,$AT$8:$AU$19,2,0)/VLOOKUP(K62,$AU$1:$AV$4,2,0),2))</f>
        <v>373</v>
      </c>
      <c r="AC62" s="39">
        <f>IF(AB62-SUM(N62:Z62)&gt;=0,AB62-SUM(N62:Z62),0)</f>
        <v>0</v>
      </c>
      <c r="AD62" s="39">
        <f>IF(AB62-SUM(N62:Z62)&lt;0,-AB62+SUM(N62:Z62),0)</f>
        <v>373</v>
      </c>
      <c r="AE62" s="39">
        <f>+AA62+AC62-AD62</f>
        <v>373</v>
      </c>
      <c r="AF62" s="39">
        <f>IF(J62="Oui",AD62,0)</f>
        <v>0</v>
      </c>
      <c r="AT62" s="7"/>
      <c r="AV62" s="8"/>
      <c r="AW62" s="9"/>
    </row>
    <row r="63" spans="1:49" x14ac:dyDescent="0.2">
      <c r="A63" s="24" t="s">
        <v>60</v>
      </c>
      <c r="B63" s="25" t="s">
        <v>62</v>
      </c>
      <c r="C63" s="26" t="s">
        <v>64</v>
      </c>
      <c r="D63" s="28"/>
      <c r="E63" s="28" t="s">
        <v>50</v>
      </c>
      <c r="F63" s="60"/>
      <c r="G63" s="27">
        <v>2000390</v>
      </c>
      <c r="H63" s="29">
        <v>43668</v>
      </c>
      <c r="I63" s="29">
        <v>44763</v>
      </c>
      <c r="J63" s="30"/>
      <c r="K63" s="31" t="s">
        <v>1</v>
      </c>
      <c r="L63" s="32">
        <v>304</v>
      </c>
      <c r="M63" s="40"/>
      <c r="N63" s="34">
        <v>304</v>
      </c>
      <c r="O63" s="34">
        <v>304</v>
      </c>
      <c r="P63" s="35"/>
      <c r="Q63" s="35"/>
      <c r="R63" s="35"/>
      <c r="S63" s="35"/>
      <c r="T63" s="35"/>
      <c r="U63" s="35"/>
      <c r="V63" s="35"/>
      <c r="W63" s="35"/>
      <c r="X63" s="36"/>
      <c r="Y63" s="36"/>
      <c r="Z63" s="37"/>
      <c r="AA63" s="38">
        <f>SUM(M63:Z63)</f>
        <v>608</v>
      </c>
      <c r="AB63" s="41">
        <f>IF(ISBLANK(K63),0,ROUND(L63*VLOOKUP($W$1,$AT$8:$AU$19,2,0)/VLOOKUP(K63,$AU$1:$AV$4,2,0),2))</f>
        <v>304</v>
      </c>
      <c r="AC63" s="39">
        <f t="shared" ref="AC63:AC64" si="34">IF(AB63-SUM(N63:Z63)&gt;=0,AB63-SUM(N63:Z63),0)</f>
        <v>0</v>
      </c>
      <c r="AD63" s="39">
        <f t="shared" ref="AD63:AD64" si="35">IF(AB63-SUM(N63:Z63)&lt;0,-AB63+SUM(N63:Z63),0)</f>
        <v>304</v>
      </c>
      <c r="AE63" s="39">
        <f t="shared" ref="AE63:AE64" si="36">+AA63+AC63-AD63</f>
        <v>304</v>
      </c>
      <c r="AF63" s="39">
        <f t="shared" ref="AF63:AF64" si="37">IF(J63="Oui",AD63,0)</f>
        <v>0</v>
      </c>
      <c r="AT63" s="7"/>
      <c r="AV63" s="8"/>
      <c r="AW63" s="9"/>
    </row>
    <row r="64" spans="1:49" x14ac:dyDescent="0.2">
      <c r="A64" s="24" t="s">
        <v>60</v>
      </c>
      <c r="B64" s="25" t="s">
        <v>62</v>
      </c>
      <c r="C64" s="26" t="s">
        <v>65</v>
      </c>
      <c r="D64" s="28"/>
      <c r="E64" s="28" t="s">
        <v>50</v>
      </c>
      <c r="F64" s="60"/>
      <c r="G64" s="27">
        <v>2000494</v>
      </c>
      <c r="H64" s="29">
        <v>43668</v>
      </c>
      <c r="I64" s="29">
        <v>44763</v>
      </c>
      <c r="J64" s="30"/>
      <c r="K64" s="31" t="s">
        <v>1</v>
      </c>
      <c r="L64" s="59">
        <v>373</v>
      </c>
      <c r="M64" s="40"/>
      <c r="N64" s="34">
        <v>373</v>
      </c>
      <c r="O64" s="34">
        <v>373</v>
      </c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7"/>
      <c r="AA64" s="38">
        <f>SUM(M64:Z64)</f>
        <v>746</v>
      </c>
      <c r="AB64" s="41">
        <f>IF(ISBLANK(K64),0,ROUND(L64*VLOOKUP($W$1,$AT$8:$AU$19,2,0)/VLOOKUP(K64,$AU$1:$AV$4,2,0),2))</f>
        <v>373</v>
      </c>
      <c r="AC64" s="39">
        <f t="shared" si="34"/>
        <v>0</v>
      </c>
      <c r="AD64" s="39">
        <f t="shared" si="35"/>
        <v>373</v>
      </c>
      <c r="AE64" s="39">
        <f t="shared" si="36"/>
        <v>373</v>
      </c>
      <c r="AF64" s="39">
        <f t="shared" si="37"/>
        <v>0</v>
      </c>
      <c r="AT64" s="7"/>
      <c r="AV64" s="8"/>
      <c r="AW64" s="9"/>
    </row>
    <row r="65" spans="1:49" x14ac:dyDescent="0.2">
      <c r="A65" s="24" t="s">
        <v>60</v>
      </c>
      <c r="B65" s="25" t="s">
        <v>62</v>
      </c>
      <c r="C65" s="26" t="s">
        <v>87</v>
      </c>
      <c r="D65" s="28"/>
      <c r="E65" s="28" t="s">
        <v>50</v>
      </c>
      <c r="F65" s="60"/>
      <c r="G65" s="30">
        <v>2000598</v>
      </c>
      <c r="H65" s="42">
        <v>43867</v>
      </c>
      <c r="I65" s="42">
        <v>45327</v>
      </c>
      <c r="J65" s="30"/>
      <c r="K65" s="43" t="s">
        <v>1</v>
      </c>
      <c r="L65" s="44">
        <f>513.82*1.2</f>
        <v>616.58400000000006</v>
      </c>
      <c r="M65" s="40"/>
      <c r="N65" s="47">
        <v>616.58400000000006</v>
      </c>
      <c r="O65" s="47">
        <v>616.58400000000006</v>
      </c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7"/>
      <c r="AA65" s="38">
        <f t="shared" ref="AA65:AA75" si="38">SUM(M65:Z65)</f>
        <v>1233.1680000000001</v>
      </c>
      <c r="AB65" s="41">
        <f>IF(ISBLANK(K65),0,ROUND(L65*VLOOKUP($W$1,$AT$8:$AU$19,2,0)/VLOOKUP(K65,$AU$1:$AV$4,2,0),2))</f>
        <v>616.58000000000004</v>
      </c>
      <c r="AC65" s="39">
        <f t="shared" ref="AC65:AC75" si="39">IF(AB65-SUM(N65:Z65)&gt;=0,AB65-SUM(N65:Z65),0)</f>
        <v>0</v>
      </c>
      <c r="AD65" s="39">
        <f t="shared" ref="AD65:AD75" si="40">IF(AB65-SUM(N65:Z65)&lt;0,-AB65+SUM(N65:Z65),0)</f>
        <v>616.58800000000008</v>
      </c>
      <c r="AE65" s="39">
        <f t="shared" ref="AE65:AE75" si="41">+AA65+AC65-AD65</f>
        <v>616.58000000000004</v>
      </c>
      <c r="AF65" s="39">
        <f t="shared" ref="AF65:AF75" si="42">IF(J65="Oui",AD65,0)</f>
        <v>0</v>
      </c>
      <c r="AT65" s="7"/>
      <c r="AV65" s="8"/>
      <c r="AW65" s="9"/>
    </row>
    <row r="66" spans="1:49" x14ac:dyDescent="0.2">
      <c r="A66" s="24" t="s">
        <v>60</v>
      </c>
      <c r="B66" s="25" t="s">
        <v>62</v>
      </c>
      <c r="C66" s="26" t="s">
        <v>88</v>
      </c>
      <c r="D66" s="28"/>
      <c r="E66" s="28" t="s">
        <v>50</v>
      </c>
      <c r="F66" s="60"/>
      <c r="G66" s="30">
        <v>2000657</v>
      </c>
      <c r="H66" s="42">
        <v>44008</v>
      </c>
      <c r="I66" s="42">
        <v>45102</v>
      </c>
      <c r="J66" s="30"/>
      <c r="K66" s="43" t="s">
        <v>1</v>
      </c>
      <c r="L66" s="48">
        <f>108.19*1.2</f>
        <v>129.828</v>
      </c>
      <c r="M66" s="40"/>
      <c r="N66" s="34">
        <v>129.828</v>
      </c>
      <c r="O66" s="34">
        <v>129.828</v>
      </c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7"/>
      <c r="AA66" s="38">
        <f t="shared" si="38"/>
        <v>259.65600000000001</v>
      </c>
      <c r="AB66" s="41">
        <f>IF(ISBLANK(K66),0,ROUND(L66*VLOOKUP($W$1,$AT$8:$AU$19,2,0)/VLOOKUP(K66,$AU$1:$AV$4,2,0),2))</f>
        <v>129.83000000000001</v>
      </c>
      <c r="AC66" s="39">
        <f t="shared" si="39"/>
        <v>0</v>
      </c>
      <c r="AD66" s="39">
        <f t="shared" si="40"/>
        <v>129.82599999999999</v>
      </c>
      <c r="AE66" s="39">
        <f t="shared" si="41"/>
        <v>129.83000000000001</v>
      </c>
      <c r="AF66" s="39">
        <f t="shared" si="42"/>
        <v>0</v>
      </c>
      <c r="AT66" s="7"/>
      <c r="AV66" s="8"/>
      <c r="AW66" s="9"/>
    </row>
    <row r="67" spans="1:49" x14ac:dyDescent="0.2">
      <c r="A67" s="24" t="s">
        <v>60</v>
      </c>
      <c r="B67" s="25" t="s">
        <v>62</v>
      </c>
      <c r="C67" s="26" t="s">
        <v>89</v>
      </c>
      <c r="D67" s="28"/>
      <c r="E67" s="28" t="s">
        <v>50</v>
      </c>
      <c r="F67" s="60"/>
      <c r="G67" s="30">
        <v>2000903</v>
      </c>
      <c r="H67" s="42">
        <v>44287</v>
      </c>
      <c r="I67" s="42">
        <v>45382</v>
      </c>
      <c r="J67" s="30"/>
      <c r="K67" s="43" t="s">
        <v>1</v>
      </c>
      <c r="L67" s="48">
        <f>342.39*1.2</f>
        <v>410.86799999999999</v>
      </c>
      <c r="M67" s="40"/>
      <c r="N67" s="34">
        <v>410.86799999999999</v>
      </c>
      <c r="O67" s="34">
        <v>410.86799999999999</v>
      </c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7"/>
      <c r="AA67" s="38">
        <f t="shared" si="38"/>
        <v>821.73599999999999</v>
      </c>
      <c r="AB67" s="41">
        <f>IF(ISBLANK(K67),0,ROUND(L67*VLOOKUP($W$1,$AT$8:$AU$19,2,0)/VLOOKUP(K67,$AU$1:$AV$4,2,0),2))</f>
        <v>410.87</v>
      </c>
      <c r="AC67" s="39">
        <f t="shared" si="39"/>
        <v>0</v>
      </c>
      <c r="AD67" s="39">
        <f t="shared" si="40"/>
        <v>410.86599999999999</v>
      </c>
      <c r="AE67" s="39">
        <f t="shared" si="41"/>
        <v>410.87</v>
      </c>
      <c r="AF67" s="39">
        <f t="shared" si="42"/>
        <v>0</v>
      </c>
      <c r="AT67" s="7"/>
      <c r="AV67" s="8"/>
      <c r="AW67" s="9"/>
    </row>
    <row r="68" spans="1:49" x14ac:dyDescent="0.2">
      <c r="A68" s="24" t="s">
        <v>60</v>
      </c>
      <c r="B68" s="25" t="s">
        <v>62</v>
      </c>
      <c r="C68" s="26" t="s">
        <v>90</v>
      </c>
      <c r="D68" s="28"/>
      <c r="E68" s="28" t="s">
        <v>50</v>
      </c>
      <c r="F68" s="60"/>
      <c r="G68" s="30">
        <v>2000902</v>
      </c>
      <c r="H68" s="42">
        <v>44335</v>
      </c>
      <c r="I68" s="42">
        <v>45430</v>
      </c>
      <c r="J68" s="30"/>
      <c r="K68" s="43" t="s">
        <v>1</v>
      </c>
      <c r="L68" s="48">
        <f>522.86*1.2</f>
        <v>627.43200000000002</v>
      </c>
      <c r="M68" s="40"/>
      <c r="N68" s="49">
        <v>627.43200000000002</v>
      </c>
      <c r="O68" s="49">
        <v>627.43200000000002</v>
      </c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7"/>
      <c r="AA68" s="38">
        <f t="shared" si="38"/>
        <v>1254.864</v>
      </c>
      <c r="AB68" s="41">
        <f>IF(ISBLANK(K68),0,ROUND(L68*VLOOKUP($W$1,$AT$8:$AU$19,2,0)/VLOOKUP(K68,$AU$1:$AV$4,2,0),2))</f>
        <v>627.42999999999995</v>
      </c>
      <c r="AC68" s="39">
        <f t="shared" si="39"/>
        <v>0</v>
      </c>
      <c r="AD68" s="39">
        <f t="shared" si="40"/>
        <v>627.43400000000008</v>
      </c>
      <c r="AE68" s="39">
        <f t="shared" si="41"/>
        <v>627.42999999999995</v>
      </c>
      <c r="AF68" s="39">
        <f t="shared" si="42"/>
        <v>0</v>
      </c>
      <c r="AT68" s="7"/>
      <c r="AV68" s="8"/>
      <c r="AW68" s="9"/>
    </row>
    <row r="69" spans="1:49" x14ac:dyDescent="0.2">
      <c r="A69" s="24" t="s">
        <v>60</v>
      </c>
      <c r="B69" s="25" t="s">
        <v>62</v>
      </c>
      <c r="C69" s="26" t="s">
        <v>91</v>
      </c>
      <c r="D69" s="28"/>
      <c r="E69" s="28"/>
      <c r="F69" s="60"/>
      <c r="G69" s="30">
        <v>2000976</v>
      </c>
      <c r="H69" s="42"/>
      <c r="I69" s="42"/>
      <c r="J69" s="30"/>
      <c r="K69" s="43" t="s">
        <v>1</v>
      </c>
      <c r="L69" s="48"/>
      <c r="M69" s="40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7"/>
      <c r="AA69" s="38">
        <f t="shared" si="38"/>
        <v>0</v>
      </c>
      <c r="AB69" s="41">
        <f>IF(ISBLANK(K69),0,ROUND(L69*VLOOKUP($W$1,$AT$8:$AU$19,2,0)/VLOOKUP(K69,$AU$1:$AV$4,2,0),2))</f>
        <v>0</v>
      </c>
      <c r="AC69" s="39">
        <f t="shared" si="39"/>
        <v>0</v>
      </c>
      <c r="AD69" s="39">
        <f t="shared" si="40"/>
        <v>0</v>
      </c>
      <c r="AE69" s="39">
        <f t="shared" si="41"/>
        <v>0</v>
      </c>
      <c r="AF69" s="39">
        <f t="shared" si="42"/>
        <v>0</v>
      </c>
      <c r="AT69" s="7"/>
      <c r="AV69" s="8"/>
      <c r="AW69" s="9"/>
    </row>
    <row r="70" spans="1:49" x14ac:dyDescent="0.2">
      <c r="A70" s="24" t="s">
        <v>60</v>
      </c>
      <c r="B70" s="25" t="s">
        <v>62</v>
      </c>
      <c r="C70" s="26" t="s">
        <v>92</v>
      </c>
      <c r="D70" s="28"/>
      <c r="E70" s="28" t="s">
        <v>51</v>
      </c>
      <c r="F70" s="60"/>
      <c r="G70" s="30" t="s">
        <v>52</v>
      </c>
      <c r="H70" s="42">
        <v>44526</v>
      </c>
      <c r="I70" s="42"/>
      <c r="J70" s="30"/>
      <c r="K70" s="43" t="s">
        <v>1</v>
      </c>
      <c r="L70" s="48">
        <v>783.04</v>
      </c>
      <c r="M70" s="40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7"/>
      <c r="AA70" s="38">
        <f t="shared" si="38"/>
        <v>0</v>
      </c>
      <c r="AB70" s="41">
        <f>IF(ISBLANK(K70),0,ROUND(L70*VLOOKUP($W$1,$AT$8:$AU$19,2,0)/VLOOKUP(K70,$AU$1:$AV$4,2,0),2))</f>
        <v>783.04</v>
      </c>
      <c r="AC70" s="39">
        <f t="shared" si="39"/>
        <v>783.04</v>
      </c>
      <c r="AD70" s="39">
        <f t="shared" si="40"/>
        <v>0</v>
      </c>
      <c r="AE70" s="39">
        <f t="shared" si="41"/>
        <v>783.04</v>
      </c>
      <c r="AF70" s="39">
        <f t="shared" si="42"/>
        <v>0</v>
      </c>
      <c r="AT70" s="7"/>
      <c r="AV70" s="8"/>
      <c r="AW70" s="9"/>
    </row>
    <row r="71" spans="1:49" x14ac:dyDescent="0.2">
      <c r="A71" s="24"/>
      <c r="B71" s="25"/>
      <c r="C71" s="26"/>
      <c r="D71" s="28"/>
      <c r="E71" s="28"/>
      <c r="F71" s="60"/>
      <c r="G71" s="30"/>
      <c r="H71" s="42"/>
      <c r="I71" s="42"/>
      <c r="J71" s="30"/>
      <c r="K71" s="43"/>
      <c r="L71" s="48"/>
      <c r="M71" s="40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7"/>
      <c r="AA71" s="38">
        <f t="shared" si="38"/>
        <v>0</v>
      </c>
      <c r="AB71" s="41">
        <f>IF(ISBLANK(K71),0,ROUND(L71*VLOOKUP($W$1,$AT$8:$AU$19,2,0)/VLOOKUP(K71,$AU$1:$AV$4,2,0),2))</f>
        <v>0</v>
      </c>
      <c r="AC71" s="39">
        <f t="shared" si="39"/>
        <v>0</v>
      </c>
      <c r="AD71" s="39">
        <f t="shared" si="40"/>
        <v>0</v>
      </c>
      <c r="AE71" s="39">
        <f t="shared" si="41"/>
        <v>0</v>
      </c>
      <c r="AF71" s="39">
        <f t="shared" si="42"/>
        <v>0</v>
      </c>
      <c r="AT71" s="7"/>
      <c r="AV71" s="8"/>
      <c r="AW71" s="9"/>
    </row>
    <row r="72" spans="1:49" x14ac:dyDescent="0.2">
      <c r="A72" s="24" t="s">
        <v>60</v>
      </c>
      <c r="B72" s="25" t="s">
        <v>62</v>
      </c>
      <c r="C72" s="26" t="s">
        <v>93</v>
      </c>
      <c r="D72" s="28"/>
      <c r="E72" s="28" t="s">
        <v>53</v>
      </c>
      <c r="F72" s="60"/>
      <c r="G72" s="30" t="s">
        <v>52</v>
      </c>
      <c r="H72" s="42">
        <v>44523</v>
      </c>
      <c r="I72" s="42"/>
      <c r="J72" s="30"/>
      <c r="K72" s="43" t="s">
        <v>1</v>
      </c>
      <c r="L72" s="48">
        <v>626.39</v>
      </c>
      <c r="M72" s="40">
        <v>4031.45</v>
      </c>
      <c r="N72" s="49">
        <v>626.39</v>
      </c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7"/>
      <c r="AA72" s="38">
        <f t="shared" si="38"/>
        <v>4657.84</v>
      </c>
      <c r="AB72" s="41">
        <f>IF(ISBLANK(K72),0,ROUND(L72*VLOOKUP($W$1,$AT$8:$AU$19,2,0)/VLOOKUP(K72,$AU$1:$AV$4,2,0),2))</f>
        <v>626.39</v>
      </c>
      <c r="AC72" s="39">
        <f t="shared" si="39"/>
        <v>0</v>
      </c>
      <c r="AD72" s="39">
        <f t="shared" si="40"/>
        <v>0</v>
      </c>
      <c r="AE72" s="39">
        <f t="shared" si="41"/>
        <v>4657.84</v>
      </c>
      <c r="AF72" s="39">
        <f t="shared" si="42"/>
        <v>0</v>
      </c>
      <c r="AT72" s="7"/>
      <c r="AV72" s="8"/>
      <c r="AW72" s="9"/>
    </row>
    <row r="73" spans="1:49" x14ac:dyDescent="0.2">
      <c r="A73" s="24" t="s">
        <v>60</v>
      </c>
      <c r="B73" s="25" t="s">
        <v>62</v>
      </c>
      <c r="C73" s="26" t="s">
        <v>94</v>
      </c>
      <c r="D73" s="28"/>
      <c r="E73" s="28" t="s">
        <v>53</v>
      </c>
      <c r="F73" s="60"/>
      <c r="G73" s="30">
        <v>2000942</v>
      </c>
      <c r="H73" s="42">
        <v>44461</v>
      </c>
      <c r="I73" s="42">
        <v>45190</v>
      </c>
      <c r="J73" s="30"/>
      <c r="K73" s="43" t="s">
        <v>1</v>
      </c>
      <c r="L73" s="48">
        <v>317.27999999999997</v>
      </c>
      <c r="M73" s="40">
        <f>4015.69+317.28*2</f>
        <v>4650.25</v>
      </c>
      <c r="N73" s="49">
        <v>317.27999999999997</v>
      </c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7"/>
      <c r="AA73" s="38">
        <f t="shared" si="38"/>
        <v>4967.53</v>
      </c>
      <c r="AB73" s="41">
        <f>IF(ISBLANK(K73),0,ROUND(L73*VLOOKUP($W$1,$AT$8:$AU$19,2,0)/VLOOKUP(K73,$AU$1:$AV$4,2,0),2))</f>
        <v>317.27999999999997</v>
      </c>
      <c r="AC73" s="39">
        <f t="shared" si="39"/>
        <v>0</v>
      </c>
      <c r="AD73" s="39">
        <f t="shared" si="40"/>
        <v>0</v>
      </c>
      <c r="AE73" s="39">
        <f t="shared" si="41"/>
        <v>4967.53</v>
      </c>
      <c r="AF73" s="39">
        <f t="shared" si="42"/>
        <v>0</v>
      </c>
      <c r="AT73" s="7"/>
      <c r="AV73" s="8"/>
      <c r="AW73" s="9"/>
    </row>
    <row r="74" spans="1:49" x14ac:dyDescent="0.2">
      <c r="A74" s="24" t="s">
        <v>60</v>
      </c>
      <c r="B74" s="25" t="s">
        <v>62</v>
      </c>
      <c r="C74" s="26" t="s">
        <v>95</v>
      </c>
      <c r="D74" s="28"/>
      <c r="E74" s="28" t="s">
        <v>54</v>
      </c>
      <c r="F74" s="60"/>
      <c r="G74" s="30">
        <v>2000886</v>
      </c>
      <c r="H74" s="42">
        <v>44302</v>
      </c>
      <c r="I74" s="42"/>
      <c r="J74" s="30"/>
      <c r="K74" s="43" t="s">
        <v>1</v>
      </c>
      <c r="L74" s="48">
        <v>268.64999999999998</v>
      </c>
      <c r="M74" s="33">
        <v>-268.64999999999998</v>
      </c>
      <c r="N74" s="49">
        <v>268.64999999999998</v>
      </c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7"/>
      <c r="AA74" s="38">
        <f t="shared" si="38"/>
        <v>0</v>
      </c>
      <c r="AB74" s="41">
        <f>IF(ISBLANK(K74),0,ROUND(L74*VLOOKUP($W$1,$AT$8:$AU$19,2,0)/VLOOKUP(K74,$AU$1:$AV$4,2,0),2))</f>
        <v>268.64999999999998</v>
      </c>
      <c r="AC74" s="39">
        <f t="shared" si="39"/>
        <v>0</v>
      </c>
      <c r="AD74" s="39">
        <f t="shared" si="40"/>
        <v>0</v>
      </c>
      <c r="AE74" s="39">
        <f t="shared" si="41"/>
        <v>0</v>
      </c>
      <c r="AF74" s="39">
        <f t="shared" si="42"/>
        <v>0</v>
      </c>
      <c r="AT74" s="7"/>
      <c r="AV74" s="8"/>
      <c r="AW74" s="9"/>
    </row>
    <row r="75" spans="1:49" x14ac:dyDescent="0.2">
      <c r="A75" s="24"/>
      <c r="B75" s="25"/>
      <c r="C75" s="26"/>
      <c r="D75" s="28"/>
      <c r="E75" s="28"/>
      <c r="F75" s="60"/>
      <c r="G75" s="30"/>
      <c r="H75" s="42"/>
      <c r="I75" s="42"/>
      <c r="J75" s="30"/>
      <c r="K75" s="43"/>
      <c r="L75" s="48"/>
      <c r="M75" s="40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7"/>
      <c r="AA75" s="38">
        <f t="shared" si="38"/>
        <v>0</v>
      </c>
      <c r="AB75" s="41">
        <f>IF(ISBLANK(K75),0,ROUND(L75*VLOOKUP($W$1,$AT$8:$AU$19,2,0)/VLOOKUP(K75,$AU$1:$AV$4,2,0),2))</f>
        <v>0</v>
      </c>
      <c r="AC75" s="39">
        <f t="shared" si="39"/>
        <v>0</v>
      </c>
      <c r="AD75" s="39">
        <f t="shared" si="40"/>
        <v>0</v>
      </c>
      <c r="AE75" s="39">
        <f t="shared" si="41"/>
        <v>0</v>
      </c>
      <c r="AF75" s="39">
        <f t="shared" si="42"/>
        <v>0</v>
      </c>
      <c r="AT75" s="7"/>
      <c r="AV75" s="8"/>
      <c r="AW75" s="9"/>
    </row>
    <row r="76" spans="1:49" ht="5.0999999999999996" customHeight="1" x14ac:dyDescent="0.2"/>
    <row r="77" spans="1:49" x14ac:dyDescent="0.2">
      <c r="Z77" s="9" t="s">
        <v>46</v>
      </c>
      <c r="AA77" s="48"/>
    </row>
    <row r="78" spans="1:49" ht="5.0999999999999996" customHeight="1" x14ac:dyDescent="0.2"/>
    <row r="79" spans="1:49" x14ac:dyDescent="0.2">
      <c r="Z79" s="9" t="s">
        <v>47</v>
      </c>
      <c r="AA79" s="7">
        <f>+AA77-AA75</f>
        <v>0</v>
      </c>
    </row>
    <row r="80" spans="1:49" x14ac:dyDescent="0.2">
      <c r="A80" s="2" t="s">
        <v>55</v>
      </c>
    </row>
    <row r="81" spans="1:51" x14ac:dyDescent="0.2">
      <c r="A81" s="2"/>
    </row>
    <row r="82" spans="1:51" s="23" customFormat="1" ht="22.5" x14ac:dyDescent="0.2">
      <c r="A82" s="13" t="s">
        <v>8</v>
      </c>
      <c r="B82" s="13" t="s">
        <v>9</v>
      </c>
      <c r="C82" s="13" t="s">
        <v>10</v>
      </c>
      <c r="D82" s="14" t="s">
        <v>11</v>
      </c>
      <c r="E82" s="14" t="s">
        <v>12</v>
      </c>
      <c r="F82" s="14" t="s">
        <v>13</v>
      </c>
      <c r="G82" s="13" t="s">
        <v>14</v>
      </c>
      <c r="H82" s="13" t="s">
        <v>15</v>
      </c>
      <c r="I82" s="13" t="s">
        <v>16</v>
      </c>
      <c r="J82" s="15" t="s">
        <v>17</v>
      </c>
      <c r="K82" s="13" t="s">
        <v>18</v>
      </c>
      <c r="L82" s="13" t="s">
        <v>19</v>
      </c>
      <c r="M82" s="13" t="s">
        <v>20</v>
      </c>
      <c r="N82" s="13" t="s">
        <v>21</v>
      </c>
      <c r="O82" s="13" t="s">
        <v>22</v>
      </c>
      <c r="P82" s="13" t="s">
        <v>23</v>
      </c>
      <c r="Q82" s="13" t="s">
        <v>24</v>
      </c>
      <c r="R82" s="13" t="s">
        <v>25</v>
      </c>
      <c r="S82" s="13" t="s">
        <v>26</v>
      </c>
      <c r="T82" s="13" t="s">
        <v>27</v>
      </c>
      <c r="U82" s="13" t="s">
        <v>28</v>
      </c>
      <c r="V82" s="13" t="s">
        <v>29</v>
      </c>
      <c r="W82" s="13" t="s">
        <v>30</v>
      </c>
      <c r="X82" s="13" t="s">
        <v>31</v>
      </c>
      <c r="Y82" s="13" t="s">
        <v>32</v>
      </c>
      <c r="Z82" s="16" t="s">
        <v>33</v>
      </c>
      <c r="AA82" s="17" t="s">
        <v>34</v>
      </c>
      <c r="AB82" s="18" t="s">
        <v>35</v>
      </c>
      <c r="AC82" s="19" t="s">
        <v>36</v>
      </c>
      <c r="AD82" s="19" t="s">
        <v>37</v>
      </c>
      <c r="AE82" s="20" t="s">
        <v>38</v>
      </c>
      <c r="AF82" s="20" t="s">
        <v>39</v>
      </c>
      <c r="AG82" s="21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1"/>
      <c r="AS82" s="21"/>
    </row>
    <row r="83" spans="1:51" x14ac:dyDescent="0.2">
      <c r="A83" s="24" t="s">
        <v>60</v>
      </c>
      <c r="B83" s="25" t="s">
        <v>62</v>
      </c>
      <c r="C83" s="26" t="s">
        <v>66</v>
      </c>
      <c r="D83" s="28"/>
      <c r="E83" s="28" t="s">
        <v>69</v>
      </c>
      <c r="F83" s="28"/>
      <c r="G83" s="27">
        <v>5000860</v>
      </c>
      <c r="H83" s="29">
        <v>44433</v>
      </c>
      <c r="I83" s="29">
        <v>44797</v>
      </c>
      <c r="J83" s="30"/>
      <c r="K83" s="31" t="s">
        <v>6</v>
      </c>
      <c r="L83" s="32">
        <v>2635</v>
      </c>
      <c r="M83" s="40"/>
      <c r="N83" s="61">
        <v>1704.08</v>
      </c>
      <c r="O83" s="61"/>
      <c r="P83" s="61"/>
      <c r="Q83" s="61"/>
      <c r="R83" s="61"/>
      <c r="S83" s="61"/>
      <c r="T83" s="61"/>
      <c r="U83" s="61"/>
      <c r="V83" s="62"/>
      <c r="W83" s="63"/>
      <c r="X83" s="63"/>
      <c r="Y83" s="63"/>
      <c r="Z83" s="64"/>
      <c r="AA83" s="38">
        <f>SUM(M83:Z83)</f>
        <v>1704.08</v>
      </c>
      <c r="AB83" s="41">
        <f>IF(ISBLANK(K83),0,ROUND(L83*VLOOKUP($W$1,$AT$8:$AU$19,2,0)/VLOOKUP(K83,$AU$1:$AV$4,2,0),2))</f>
        <v>219.58</v>
      </c>
      <c r="AC83" s="39">
        <f>IF(AB83-SUM(N83:Z83)&gt;=0,AB83-SUM(N83:Z83),0)</f>
        <v>0</v>
      </c>
      <c r="AD83" s="39">
        <f>IF(AB83-SUM(N83:Z83)&lt;0,-AB83+SUM(N83:Z83),0)</f>
        <v>1484.5</v>
      </c>
      <c r="AE83" s="39">
        <f>+AA83+AC83-AD83</f>
        <v>219.57999999999993</v>
      </c>
      <c r="AF83" s="39">
        <f>IF(J83="Oui",AD83,0)</f>
        <v>0</v>
      </c>
      <c r="AT83" s="7"/>
      <c r="AV83" s="8"/>
      <c r="AW83" s="9"/>
    </row>
    <row r="84" spans="1:51" x14ac:dyDescent="0.2">
      <c r="A84" s="24" t="s">
        <v>60</v>
      </c>
      <c r="B84" s="25" t="s">
        <v>62</v>
      </c>
      <c r="C84" s="26" t="s">
        <v>56</v>
      </c>
      <c r="D84" s="28"/>
      <c r="E84" s="28" t="s">
        <v>59</v>
      </c>
      <c r="F84" s="28"/>
      <c r="G84" s="27" t="s">
        <v>52</v>
      </c>
      <c r="H84" s="29">
        <v>44562</v>
      </c>
      <c r="I84" s="29">
        <v>45657</v>
      </c>
      <c r="J84" s="30"/>
      <c r="K84" s="31" t="s">
        <v>1</v>
      </c>
      <c r="L84" s="32">
        <v>169</v>
      </c>
      <c r="M84" s="40"/>
      <c r="N84" s="47">
        <v>169</v>
      </c>
      <c r="O84" s="46"/>
      <c r="P84" s="46"/>
      <c r="Q84" s="46"/>
      <c r="R84" s="46"/>
      <c r="S84" s="46"/>
      <c r="T84" s="46"/>
      <c r="U84" s="46"/>
      <c r="V84" s="46"/>
      <c r="W84" s="36"/>
      <c r="X84" s="36"/>
      <c r="Y84" s="36"/>
      <c r="Z84" s="37"/>
      <c r="AA84" s="38">
        <f t="shared" ref="AA84" si="43">SUM(M84:Z84)</f>
        <v>169</v>
      </c>
      <c r="AB84" s="41">
        <f>IF(ISBLANK(K84),0,ROUND(L84*VLOOKUP($W$1,$AT$8:$AU$19,2,0)/VLOOKUP(K84,$AU$1:$AV$4,2,0),2))</f>
        <v>169</v>
      </c>
      <c r="AC84" s="39">
        <f t="shared" ref="AC84" si="44">IF(AB84-SUM(N84:Z84)&gt;=0,AB84-SUM(N84:Z84),0)</f>
        <v>0</v>
      </c>
      <c r="AD84" s="39">
        <f t="shared" ref="AD84" si="45">IF(AB84-SUM(N84:Z84)&lt;0,-AB84+SUM(N84:Z84),0)</f>
        <v>0</v>
      </c>
      <c r="AE84" s="39">
        <f t="shared" ref="AE84" si="46">+AA84+AC84-AD84</f>
        <v>169</v>
      </c>
      <c r="AF84" s="39">
        <f t="shared" ref="AF84" si="47">IF(J84="Oui",AD84,0)</f>
        <v>0</v>
      </c>
      <c r="AT84" s="7"/>
      <c r="AV84" s="8"/>
      <c r="AW84" s="9"/>
    </row>
    <row r="85" spans="1:51" x14ac:dyDescent="0.2">
      <c r="A85" s="24" t="s">
        <v>60</v>
      </c>
      <c r="B85" s="25" t="s">
        <v>62</v>
      </c>
      <c r="C85" s="26" t="s">
        <v>56</v>
      </c>
      <c r="D85" s="28"/>
      <c r="E85" s="28" t="s">
        <v>59</v>
      </c>
      <c r="F85" s="28"/>
      <c r="G85" s="27" t="s">
        <v>52</v>
      </c>
      <c r="H85" s="29">
        <v>44562</v>
      </c>
      <c r="I85" s="29">
        <v>45657</v>
      </c>
      <c r="J85" s="30"/>
      <c r="K85" s="31" t="s">
        <v>1</v>
      </c>
      <c r="L85" s="32">
        <v>169</v>
      </c>
      <c r="M85" s="40"/>
      <c r="N85" s="47">
        <v>169</v>
      </c>
      <c r="O85" s="46"/>
      <c r="P85" s="46"/>
      <c r="Q85" s="46"/>
      <c r="R85" s="46"/>
      <c r="S85" s="46"/>
      <c r="T85" s="46"/>
      <c r="U85" s="46"/>
      <c r="V85" s="46"/>
      <c r="W85" s="36"/>
      <c r="X85" s="36"/>
      <c r="Y85" s="36"/>
      <c r="Z85" s="37"/>
      <c r="AA85" s="38">
        <f t="shared" ref="AA85:AA86" si="48">SUM(M85:Z85)</f>
        <v>169</v>
      </c>
      <c r="AB85" s="41">
        <f>IF(ISBLANK(K85),0,ROUND(L85*VLOOKUP($W$1,$AT$8:$AU$19,2,0)/VLOOKUP(K85,$AU$1:$AV$4,2,0),2))</f>
        <v>169</v>
      </c>
      <c r="AC85" s="39">
        <f t="shared" ref="AC85:AC86" si="49">IF(AB85-SUM(N85:Z85)&gt;=0,AB85-SUM(N85:Z85),0)</f>
        <v>0</v>
      </c>
      <c r="AD85" s="39">
        <f t="shared" ref="AD85:AD86" si="50">IF(AB85-SUM(N85:Z85)&lt;0,-AB85+SUM(N85:Z85),0)</f>
        <v>0</v>
      </c>
      <c r="AE85" s="39">
        <f t="shared" ref="AE85:AE86" si="51">+AA85+AC85-AD85</f>
        <v>169</v>
      </c>
      <c r="AF85" s="39">
        <f t="shared" ref="AF85:AF86" si="52">IF(J85="Oui",AD85,0)</f>
        <v>0</v>
      </c>
      <c r="AT85" s="7"/>
      <c r="AV85" s="8"/>
      <c r="AW85" s="9"/>
    </row>
    <row r="86" spans="1:51" x14ac:dyDescent="0.2">
      <c r="A86" s="24" t="s">
        <v>60</v>
      </c>
      <c r="B86" s="25" t="s">
        <v>62</v>
      </c>
      <c r="C86" s="26" t="s">
        <v>56</v>
      </c>
      <c r="D86" s="28"/>
      <c r="E86" s="28" t="s">
        <v>59</v>
      </c>
      <c r="F86" s="28"/>
      <c r="G86" s="27" t="s">
        <v>52</v>
      </c>
      <c r="H86" s="29">
        <v>44562</v>
      </c>
      <c r="I86" s="29">
        <v>45657</v>
      </c>
      <c r="J86" s="30"/>
      <c r="K86" s="31" t="s">
        <v>1</v>
      </c>
      <c r="L86" s="32">
        <v>169</v>
      </c>
      <c r="M86" s="40"/>
      <c r="N86" s="47">
        <v>169</v>
      </c>
      <c r="O86" s="46"/>
      <c r="P86" s="46"/>
      <c r="Q86" s="46"/>
      <c r="R86" s="46"/>
      <c r="S86" s="46"/>
      <c r="T86" s="46"/>
      <c r="U86" s="46"/>
      <c r="V86" s="46"/>
      <c r="W86" s="36"/>
      <c r="X86" s="36"/>
      <c r="Y86" s="36"/>
      <c r="Z86" s="37"/>
      <c r="AA86" s="38">
        <f t="shared" si="48"/>
        <v>169</v>
      </c>
      <c r="AB86" s="41">
        <f>IF(ISBLANK(K86),0,ROUND(L86*VLOOKUP($W$1,$AT$8:$AU$19,2,0)/VLOOKUP(K86,$AU$1:$AV$4,2,0),2))</f>
        <v>169</v>
      </c>
      <c r="AC86" s="39">
        <f t="shared" si="49"/>
        <v>0</v>
      </c>
      <c r="AD86" s="39">
        <f t="shared" si="50"/>
        <v>0</v>
      </c>
      <c r="AE86" s="39">
        <f t="shared" si="51"/>
        <v>169</v>
      </c>
      <c r="AF86" s="39">
        <f t="shared" si="52"/>
        <v>0</v>
      </c>
      <c r="AT86" s="7"/>
      <c r="AV86" s="8"/>
      <c r="AW86" s="9"/>
    </row>
    <row r="87" spans="1:51" x14ac:dyDescent="0.2">
      <c r="A87" s="24"/>
      <c r="B87" s="25"/>
      <c r="C87" s="26"/>
      <c r="D87" s="28"/>
      <c r="E87" s="28"/>
      <c r="F87" s="28"/>
      <c r="G87" s="27"/>
      <c r="H87" s="29"/>
      <c r="I87" s="29"/>
      <c r="J87" s="30"/>
      <c r="K87" s="31"/>
      <c r="L87" s="32"/>
      <c r="M87" s="40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6"/>
      <c r="Y87" s="36"/>
      <c r="Z87" s="37"/>
      <c r="AA87" s="38"/>
      <c r="AB87" s="41">
        <f>IF(ISBLANK(K87),0,ROUND(L87*VLOOKUP($W$1,$AT$8:$AU$19,2,0)/VLOOKUP(K87,$AU$1:$AV$4,2,0),2))</f>
        <v>0</v>
      </c>
      <c r="AC87" s="39">
        <f>IF(AB87-SUM(N87:Z87)&gt;=0,AB87-SUM(N87:Z87),0)</f>
        <v>0</v>
      </c>
      <c r="AD87" s="39">
        <f>IF(AB87-SUM(N87:Z87)&lt;0,-AB87+SUM(N87:Z87),0)</f>
        <v>0</v>
      </c>
      <c r="AE87" s="39">
        <f>+AA87+AC87-AD87</f>
        <v>0</v>
      </c>
      <c r="AF87" s="39">
        <f>IF(J87="Oui",AD87,0)</f>
        <v>0</v>
      </c>
      <c r="AT87" s="7"/>
      <c r="AV87" s="8"/>
      <c r="AW87" s="9"/>
    </row>
    <row r="88" spans="1:51" ht="5.0999999999999996" customHeight="1" x14ac:dyDescent="0.2"/>
    <row r="89" spans="1:51" x14ac:dyDescent="0.2">
      <c r="AA89" s="39">
        <f>SUM(AA83:AA88)</f>
        <v>2211.08</v>
      </c>
      <c r="AB89" s="39">
        <f>SUM(AB83:AB88)</f>
        <v>726.58</v>
      </c>
      <c r="AC89" s="39">
        <f>SUM(AC83:AC88)</f>
        <v>0</v>
      </c>
      <c r="AD89" s="39">
        <f>SUM(AD83:AD88)</f>
        <v>1484.5</v>
      </c>
      <c r="AE89" s="52">
        <f>SUM(AE83:AE88)</f>
        <v>726.57999999999993</v>
      </c>
    </row>
    <row r="90" spans="1:51" ht="5.0999999999999996" customHeight="1" x14ac:dyDescent="0.2"/>
    <row r="92" spans="1:51" x14ac:dyDescent="0.2">
      <c r="A92" s="74">
        <v>6511000000</v>
      </c>
      <c r="B92" s="75" t="s">
        <v>82</v>
      </c>
      <c r="C92" s="8"/>
      <c r="D92" s="8"/>
      <c r="E92" s="8"/>
      <c r="F92" s="8"/>
      <c r="G92" s="8"/>
      <c r="H92" s="8"/>
      <c r="I92" s="8"/>
      <c r="J92" s="8"/>
      <c r="K92" s="8"/>
      <c r="AU92" s="7"/>
      <c r="AV92" s="7"/>
      <c r="AY92" s="9"/>
    </row>
    <row r="93" spans="1:51" x14ac:dyDescent="0.2">
      <c r="A93" s="8"/>
      <c r="C93" s="10"/>
      <c r="F93" s="9"/>
      <c r="AU93" s="7"/>
      <c r="AV93" s="7"/>
      <c r="AY93" s="9"/>
    </row>
    <row r="94" spans="1:51" s="9" customFormat="1" ht="22.5" x14ac:dyDescent="0.2">
      <c r="A94" s="13" t="s">
        <v>8</v>
      </c>
      <c r="B94" s="13" t="s">
        <v>9</v>
      </c>
      <c r="C94" s="13" t="s">
        <v>10</v>
      </c>
      <c r="D94" s="14" t="s">
        <v>11</v>
      </c>
      <c r="E94" s="13" t="s">
        <v>12</v>
      </c>
      <c r="F94" s="13" t="s">
        <v>13</v>
      </c>
      <c r="G94" s="13" t="s">
        <v>14</v>
      </c>
      <c r="H94" s="13" t="s">
        <v>15</v>
      </c>
      <c r="I94" s="13" t="s">
        <v>16</v>
      </c>
      <c r="J94" s="15" t="s">
        <v>17</v>
      </c>
      <c r="K94" s="13" t="s">
        <v>18</v>
      </c>
      <c r="L94" s="86" t="s">
        <v>19</v>
      </c>
      <c r="M94" s="13" t="s">
        <v>20</v>
      </c>
      <c r="N94" s="13" t="s">
        <v>21</v>
      </c>
      <c r="O94" s="13" t="s">
        <v>22</v>
      </c>
      <c r="P94" s="13" t="s">
        <v>23</v>
      </c>
      <c r="Q94" s="13" t="s">
        <v>24</v>
      </c>
      <c r="R94" s="13" t="s">
        <v>25</v>
      </c>
      <c r="S94" s="13" t="s">
        <v>26</v>
      </c>
      <c r="T94" s="13" t="s">
        <v>27</v>
      </c>
      <c r="U94" s="13" t="s">
        <v>28</v>
      </c>
      <c r="V94" s="13" t="s">
        <v>29</v>
      </c>
      <c r="W94" s="13" t="s">
        <v>30</v>
      </c>
      <c r="X94" s="13" t="s">
        <v>31</v>
      </c>
      <c r="Y94" s="13" t="s">
        <v>32</v>
      </c>
      <c r="Z94" s="16" t="s">
        <v>33</v>
      </c>
      <c r="AA94" s="87" t="s">
        <v>34</v>
      </c>
      <c r="AB94" s="88" t="s">
        <v>35</v>
      </c>
      <c r="AC94" s="89" t="s">
        <v>36</v>
      </c>
      <c r="AD94" s="89" t="s">
        <v>37</v>
      </c>
      <c r="AE94" s="90" t="s">
        <v>38</v>
      </c>
      <c r="AF94" s="90" t="s">
        <v>39</v>
      </c>
      <c r="AG94" s="7"/>
      <c r="AH94" s="91"/>
      <c r="AI94" s="91"/>
      <c r="AJ94" s="91"/>
      <c r="AK94" s="91"/>
      <c r="AL94" s="91"/>
      <c r="AM94" s="91"/>
      <c r="AN94" s="91"/>
      <c r="AO94" s="91"/>
      <c r="AP94" s="91"/>
      <c r="AQ94" s="91"/>
      <c r="AR94" s="7"/>
      <c r="AS94" s="7"/>
      <c r="AT94" s="8"/>
      <c r="AU94" s="84"/>
      <c r="AV94" s="84"/>
    </row>
    <row r="95" spans="1:51" s="77" customFormat="1" x14ac:dyDescent="0.2">
      <c r="A95" s="24" t="s">
        <v>60</v>
      </c>
      <c r="B95" s="25" t="s">
        <v>62</v>
      </c>
      <c r="C95" s="26" t="s">
        <v>83</v>
      </c>
      <c r="D95" s="26"/>
      <c r="E95" s="28" t="s">
        <v>85</v>
      </c>
      <c r="F95" s="28"/>
      <c r="G95" s="27">
        <v>5000861</v>
      </c>
      <c r="H95" s="29">
        <v>41907</v>
      </c>
      <c r="I95" s="29">
        <v>44255</v>
      </c>
      <c r="J95" s="30" t="s">
        <v>2</v>
      </c>
      <c r="K95" s="31" t="s">
        <v>6</v>
      </c>
      <c r="L95" s="32">
        <v>3960</v>
      </c>
      <c r="M95" s="33">
        <f>-ROUND(330*10,0)</f>
        <v>-3300</v>
      </c>
      <c r="N95" s="101"/>
      <c r="O95" s="101"/>
      <c r="P95" s="102"/>
      <c r="Q95" s="103"/>
      <c r="R95" s="103"/>
      <c r="S95" s="103"/>
      <c r="T95" s="103"/>
      <c r="U95" s="103"/>
      <c r="V95" s="103"/>
      <c r="W95" s="103"/>
      <c r="X95" s="103"/>
      <c r="Y95" s="103"/>
      <c r="Z95" s="37"/>
      <c r="AA95" s="38">
        <f>SUM(M95:Z95)</f>
        <v>-3300</v>
      </c>
      <c r="AB95" s="41">
        <f>IF(ISBLANK(K95),0,ROUND(L95*VLOOKUP($W$1,$AT$8:$AU$19,2,0)/VLOOKUP(K95,$AU$1:$AV$4,2,0),2))</f>
        <v>330</v>
      </c>
      <c r="AC95" s="39">
        <f t="shared" ref="AC95:AC106" si="53">IF(AB95-SUM(N95:Z95)&gt;=0,AB95-SUM(N95:Z95),0)</f>
        <v>330</v>
      </c>
      <c r="AD95" s="39">
        <f t="shared" ref="AD95:AD106" si="54">IF(AB95-SUM(N95:Z95)&lt;0,-AB95+SUM(N95:Z95),0)</f>
        <v>0</v>
      </c>
      <c r="AE95" s="39">
        <f t="shared" ref="AE95:AE106" si="55">+AA95+AC95-AD95</f>
        <v>-2970</v>
      </c>
      <c r="AF95" s="39">
        <f t="shared" ref="AF95:AF106" si="56">IF(J95="Oui",AD95,0)</f>
        <v>0</v>
      </c>
      <c r="AG95" s="7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7"/>
      <c r="AS95" s="7"/>
      <c r="AT95" s="8"/>
      <c r="AU95" s="76"/>
      <c r="AV95" s="76"/>
      <c r="AY95" s="78"/>
    </row>
    <row r="96" spans="1:51" s="77" customFormat="1" x14ac:dyDescent="0.2">
      <c r="A96" s="24" t="s">
        <v>60</v>
      </c>
      <c r="B96" s="25" t="s">
        <v>62</v>
      </c>
      <c r="C96" s="26" t="s">
        <v>84</v>
      </c>
      <c r="D96" s="26"/>
      <c r="E96" s="28" t="s">
        <v>86</v>
      </c>
      <c r="F96" s="28"/>
      <c r="G96" s="27">
        <v>5000862</v>
      </c>
      <c r="H96" s="29">
        <v>44297</v>
      </c>
      <c r="I96" s="29">
        <v>44662</v>
      </c>
      <c r="J96" s="30" t="s">
        <v>2</v>
      </c>
      <c r="K96" s="31" t="s">
        <v>6</v>
      </c>
      <c r="L96" s="59">
        <v>2880</v>
      </c>
      <c r="M96" s="40"/>
      <c r="N96" s="104">
        <v>794.75</v>
      </c>
      <c r="O96" s="105"/>
      <c r="P96" s="106"/>
      <c r="Q96" s="102"/>
      <c r="R96" s="103"/>
      <c r="S96" s="103"/>
      <c r="T96" s="103"/>
      <c r="U96" s="103"/>
      <c r="V96" s="103"/>
      <c r="W96" s="103"/>
      <c r="X96" s="103"/>
      <c r="Y96" s="103"/>
      <c r="Z96" s="37"/>
      <c r="AA96" s="38">
        <f t="shared" ref="AA96:AA106" si="57">SUM(M96:Z96)</f>
        <v>794.75</v>
      </c>
      <c r="AB96" s="41">
        <f>IF(ISBLANK(K96),0,ROUND(L96*VLOOKUP($W$1,$AT$8:$AU$19,2,0)/VLOOKUP(K96,$AU$1:$AV$4,2,0),2))</f>
        <v>240</v>
      </c>
      <c r="AC96" s="39">
        <f t="shared" si="53"/>
        <v>0</v>
      </c>
      <c r="AD96" s="39">
        <f t="shared" si="54"/>
        <v>554.75</v>
      </c>
      <c r="AE96" s="39">
        <f t="shared" si="55"/>
        <v>240</v>
      </c>
      <c r="AF96" s="39">
        <f t="shared" si="56"/>
        <v>0</v>
      </c>
      <c r="AG96" s="7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7"/>
      <c r="AS96" s="7"/>
      <c r="AT96" s="8"/>
      <c r="AU96" s="76"/>
      <c r="AV96" s="76"/>
      <c r="AY96" s="78"/>
    </row>
    <row r="97" spans="1:51" s="77" customFormat="1" x14ac:dyDescent="0.2">
      <c r="A97" s="24" t="s">
        <v>60</v>
      </c>
      <c r="B97" s="25" t="s">
        <v>62</v>
      </c>
      <c r="C97" s="26" t="s">
        <v>96</v>
      </c>
      <c r="D97" s="26"/>
      <c r="E97" s="28" t="s">
        <v>43</v>
      </c>
      <c r="F97" s="28"/>
      <c r="G97" s="27" t="s">
        <v>52</v>
      </c>
      <c r="H97" s="29"/>
      <c r="I97" s="29"/>
      <c r="J97" s="30"/>
      <c r="K97" s="31" t="s">
        <v>1</v>
      </c>
      <c r="L97" s="95">
        <v>10.02</v>
      </c>
      <c r="M97" s="40"/>
      <c r="N97" s="96">
        <v>10.02</v>
      </c>
      <c r="O97" s="97"/>
      <c r="P97" s="97"/>
      <c r="Q97" s="102"/>
      <c r="R97" s="103"/>
      <c r="S97" s="103"/>
      <c r="T97" s="103"/>
      <c r="U97" s="103"/>
      <c r="V97" s="103"/>
      <c r="W97" s="103"/>
      <c r="X97" s="103"/>
      <c r="Y97" s="103"/>
      <c r="Z97" s="37"/>
      <c r="AA97" s="38">
        <f t="shared" ref="AA97:AA98" si="58">SUM(M97:Z97)</f>
        <v>10.02</v>
      </c>
      <c r="AB97" s="41">
        <f>IF(ISBLANK(K97),0,ROUND(L97*VLOOKUP($W$1,$AT$8:$AU$19,2,0)/VLOOKUP(K97,$AU$1:$AV$4,2,0),2))</f>
        <v>10.02</v>
      </c>
      <c r="AC97" s="39">
        <f t="shared" ref="AC97:AC98" si="59">IF(AB97-SUM(N97:Z97)&gt;=0,AB97-SUM(N97:Z97),0)</f>
        <v>0</v>
      </c>
      <c r="AD97" s="39">
        <f t="shared" ref="AD97:AD98" si="60">IF(AB97-SUM(N97:Z97)&lt;0,-AB97+SUM(N97:Z97),0)</f>
        <v>0</v>
      </c>
      <c r="AE97" s="39">
        <f t="shared" ref="AE97:AE98" si="61">+AA97+AC97-AD97</f>
        <v>10.02</v>
      </c>
      <c r="AF97" s="39">
        <f t="shared" ref="AF97:AF98" si="62">IF(J97="Oui",AD97,0)</f>
        <v>0</v>
      </c>
      <c r="AG97" s="7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7"/>
      <c r="AS97" s="7"/>
      <c r="AT97" s="8"/>
      <c r="AU97" s="76"/>
      <c r="AV97" s="76"/>
      <c r="AY97" s="78"/>
    </row>
    <row r="98" spans="1:51" s="77" customFormat="1" x14ac:dyDescent="0.2">
      <c r="A98" s="24" t="s">
        <v>60</v>
      </c>
      <c r="B98" s="25" t="s">
        <v>62</v>
      </c>
      <c r="C98" s="26" t="s">
        <v>97</v>
      </c>
      <c r="D98" s="26"/>
      <c r="E98" s="28" t="s">
        <v>43</v>
      </c>
      <c r="F98" s="28"/>
      <c r="G98" s="27" t="s">
        <v>52</v>
      </c>
      <c r="H98" s="29"/>
      <c r="I98" s="29"/>
      <c r="J98" s="30"/>
      <c r="K98" s="31" t="s">
        <v>1</v>
      </c>
      <c r="L98" s="99">
        <f>150*1.2</f>
        <v>180</v>
      </c>
      <c r="M98" s="33"/>
      <c r="N98" s="100"/>
      <c r="O98" s="97"/>
      <c r="P98" s="97"/>
      <c r="Q98" s="102"/>
      <c r="R98" s="103"/>
      <c r="S98" s="103"/>
      <c r="T98" s="103"/>
      <c r="U98" s="103"/>
      <c r="V98" s="103"/>
      <c r="W98" s="103"/>
      <c r="X98" s="103"/>
      <c r="Y98" s="103"/>
      <c r="Z98" s="37"/>
      <c r="AA98" s="38">
        <f t="shared" si="58"/>
        <v>0</v>
      </c>
      <c r="AB98" s="41">
        <f>IF(ISBLANK(K98),0,ROUND(L98*VLOOKUP($W$1,$AT$8:$AU$19,2,0)/VLOOKUP(K98,$AU$1:$AV$4,2,0),2))</f>
        <v>180</v>
      </c>
      <c r="AC98" s="39">
        <f t="shared" si="59"/>
        <v>180</v>
      </c>
      <c r="AD98" s="39">
        <f t="shared" si="60"/>
        <v>0</v>
      </c>
      <c r="AE98" s="39">
        <f t="shared" si="61"/>
        <v>180</v>
      </c>
      <c r="AF98" s="39">
        <f t="shared" si="62"/>
        <v>0</v>
      </c>
      <c r="AG98" s="7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7"/>
      <c r="AS98" s="7"/>
      <c r="AT98" s="8"/>
      <c r="AU98" s="76"/>
      <c r="AV98" s="76"/>
      <c r="AY98" s="78"/>
    </row>
    <row r="99" spans="1:51" s="77" customFormat="1" x14ac:dyDescent="0.2">
      <c r="A99" s="92"/>
      <c r="B99" s="93"/>
      <c r="C99" s="94"/>
      <c r="D99" s="94"/>
      <c r="E99" s="94"/>
      <c r="F99" s="94"/>
      <c r="G99" s="30"/>
      <c r="H99" s="98"/>
      <c r="I99" s="98"/>
      <c r="J99" s="30"/>
      <c r="K99" s="31"/>
      <c r="L99" s="48"/>
      <c r="M99" s="40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36"/>
      <c r="Y99" s="36"/>
      <c r="Z99" s="37"/>
      <c r="AA99" s="38">
        <f t="shared" si="57"/>
        <v>0</v>
      </c>
      <c r="AB99" s="41">
        <f>IF(ISBLANK(K99),0,ROUND(L99*VLOOKUP($W$1,$AT$8:$AU$19,2,0)/VLOOKUP(K99,$AU$1:$AV$4,2,0),2))</f>
        <v>0</v>
      </c>
      <c r="AC99" s="39">
        <f t="shared" si="53"/>
        <v>0</v>
      </c>
      <c r="AD99" s="39">
        <f t="shared" si="54"/>
        <v>0</v>
      </c>
      <c r="AE99" s="39">
        <f t="shared" si="55"/>
        <v>0</v>
      </c>
      <c r="AF99" s="39">
        <f t="shared" si="56"/>
        <v>0</v>
      </c>
      <c r="AG99" s="7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7"/>
      <c r="AS99" s="7"/>
      <c r="AT99" s="8"/>
      <c r="AU99" s="76"/>
      <c r="AV99" s="76"/>
      <c r="AY99" s="78"/>
    </row>
    <row r="100" spans="1:51" s="77" customFormat="1" x14ac:dyDescent="0.2">
      <c r="A100" s="92"/>
      <c r="B100" s="93"/>
      <c r="C100" s="94"/>
      <c r="D100" s="94"/>
      <c r="E100" s="94"/>
      <c r="F100" s="94"/>
      <c r="G100" s="30"/>
      <c r="H100" s="98"/>
      <c r="I100" s="98"/>
      <c r="J100" s="30"/>
      <c r="K100" s="31"/>
      <c r="L100" s="48"/>
      <c r="M100" s="40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36"/>
      <c r="Y100" s="36"/>
      <c r="Z100" s="37"/>
      <c r="AA100" s="38">
        <f t="shared" si="57"/>
        <v>0</v>
      </c>
      <c r="AB100" s="41">
        <f>IF(ISBLANK(K100),0,ROUND(L100*VLOOKUP($W$1,$AT$8:$AU$19,2,0)/VLOOKUP(K100,$AU$1:$AV$4,2,0),2))</f>
        <v>0</v>
      </c>
      <c r="AC100" s="39">
        <f t="shared" si="53"/>
        <v>0</v>
      </c>
      <c r="AD100" s="39">
        <f t="shared" si="54"/>
        <v>0</v>
      </c>
      <c r="AE100" s="39">
        <f t="shared" si="55"/>
        <v>0</v>
      </c>
      <c r="AF100" s="39">
        <f t="shared" si="56"/>
        <v>0</v>
      </c>
      <c r="AG100" s="7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7"/>
      <c r="AS100" s="7"/>
      <c r="AT100" s="8"/>
      <c r="AU100" s="76"/>
      <c r="AV100" s="76"/>
      <c r="AY100" s="78"/>
    </row>
    <row r="101" spans="1:51" s="77" customFormat="1" x14ac:dyDescent="0.2">
      <c r="A101" s="28"/>
      <c r="B101" s="50"/>
      <c r="C101" s="50"/>
      <c r="D101" s="50"/>
      <c r="E101" s="50"/>
      <c r="F101" s="50"/>
      <c r="G101" s="30"/>
      <c r="H101" s="30"/>
      <c r="I101" s="30"/>
      <c r="J101" s="30"/>
      <c r="K101" s="31"/>
      <c r="L101" s="48"/>
      <c r="M101" s="40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36"/>
      <c r="Y101" s="36"/>
      <c r="Z101" s="37"/>
      <c r="AA101" s="38">
        <f t="shared" si="57"/>
        <v>0</v>
      </c>
      <c r="AB101" s="41">
        <f>IF(ISBLANK(K101),0,ROUND(L101*VLOOKUP($W$1,$AT$8:$AU$19,2,0)/VLOOKUP(K101,$AU$1:$AV$4,2,0),2))</f>
        <v>0</v>
      </c>
      <c r="AC101" s="39">
        <f t="shared" si="53"/>
        <v>0</v>
      </c>
      <c r="AD101" s="39">
        <f t="shared" si="54"/>
        <v>0</v>
      </c>
      <c r="AE101" s="39">
        <f t="shared" si="55"/>
        <v>0</v>
      </c>
      <c r="AF101" s="39">
        <f t="shared" si="56"/>
        <v>0</v>
      </c>
      <c r="AG101" s="7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7"/>
      <c r="AS101" s="7"/>
      <c r="AT101" s="8"/>
      <c r="AU101" s="76"/>
      <c r="AV101" s="76"/>
      <c r="AY101" s="78"/>
    </row>
    <row r="102" spans="1:51" s="77" customFormat="1" x14ac:dyDescent="0.2">
      <c r="A102" s="28"/>
      <c r="B102" s="50"/>
      <c r="C102" s="50"/>
      <c r="D102" s="50"/>
      <c r="E102" s="50"/>
      <c r="F102" s="50"/>
      <c r="G102" s="30"/>
      <c r="H102" s="30"/>
      <c r="I102" s="30"/>
      <c r="J102" s="30"/>
      <c r="K102" s="31"/>
      <c r="L102" s="48"/>
      <c r="M102" s="40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36"/>
      <c r="Y102" s="36"/>
      <c r="Z102" s="37"/>
      <c r="AA102" s="38">
        <f t="shared" si="57"/>
        <v>0</v>
      </c>
      <c r="AB102" s="41">
        <f>IF(ISBLANK(K102),0,ROUND(L102*VLOOKUP($W$1,$AT$8:$AU$19,2,0)/VLOOKUP(K102,$AU$1:$AV$4,2,0),2))</f>
        <v>0</v>
      </c>
      <c r="AC102" s="39">
        <f t="shared" si="53"/>
        <v>0</v>
      </c>
      <c r="AD102" s="39">
        <f t="shared" si="54"/>
        <v>0</v>
      </c>
      <c r="AE102" s="39">
        <f t="shared" si="55"/>
        <v>0</v>
      </c>
      <c r="AF102" s="39">
        <f t="shared" si="56"/>
        <v>0</v>
      </c>
      <c r="AG102" s="7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7"/>
      <c r="AS102" s="7"/>
      <c r="AT102" s="8"/>
      <c r="AU102" s="76"/>
      <c r="AV102" s="76"/>
      <c r="AY102" s="78"/>
    </row>
    <row r="103" spans="1:51" s="77" customFormat="1" x14ac:dyDescent="0.2">
      <c r="A103" s="28"/>
      <c r="B103" s="50"/>
      <c r="C103" s="50"/>
      <c r="D103" s="50"/>
      <c r="E103" s="50"/>
      <c r="F103" s="50"/>
      <c r="G103" s="30"/>
      <c r="H103" s="30"/>
      <c r="I103" s="30"/>
      <c r="J103" s="30"/>
      <c r="K103" s="31"/>
      <c r="L103" s="48"/>
      <c r="M103" s="40"/>
      <c r="N103" s="97"/>
      <c r="O103" s="97"/>
      <c r="P103" s="97"/>
      <c r="Q103" s="97"/>
      <c r="R103" s="97"/>
      <c r="S103" s="97"/>
      <c r="T103" s="97"/>
      <c r="U103" s="97"/>
      <c r="V103" s="97"/>
      <c r="W103" s="97"/>
      <c r="X103" s="36"/>
      <c r="Y103" s="36"/>
      <c r="Z103" s="37"/>
      <c r="AA103" s="38">
        <f t="shared" si="57"/>
        <v>0</v>
      </c>
      <c r="AB103" s="41">
        <f>IF(ISBLANK(K103),0,ROUND(L103*VLOOKUP($W$1,$AT$8:$AU$19,2,0)/VLOOKUP(K103,$AU$1:$AV$4,2,0),2))</f>
        <v>0</v>
      </c>
      <c r="AC103" s="39">
        <f t="shared" si="53"/>
        <v>0</v>
      </c>
      <c r="AD103" s="39">
        <f t="shared" si="54"/>
        <v>0</v>
      </c>
      <c r="AE103" s="39">
        <f t="shared" si="55"/>
        <v>0</v>
      </c>
      <c r="AF103" s="39">
        <f t="shared" si="56"/>
        <v>0</v>
      </c>
      <c r="AG103" s="7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7"/>
      <c r="AS103" s="7"/>
      <c r="AT103" s="8"/>
      <c r="AU103" s="76"/>
      <c r="AV103" s="76"/>
      <c r="AY103" s="78"/>
    </row>
    <row r="104" spans="1:51" s="77" customFormat="1" x14ac:dyDescent="0.2">
      <c r="A104" s="28"/>
      <c r="B104" s="50"/>
      <c r="C104" s="50"/>
      <c r="D104" s="50"/>
      <c r="E104" s="50"/>
      <c r="F104" s="50"/>
      <c r="G104" s="30"/>
      <c r="H104" s="30"/>
      <c r="I104" s="30"/>
      <c r="J104" s="30"/>
      <c r="K104" s="31"/>
      <c r="L104" s="48"/>
      <c r="M104" s="40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36"/>
      <c r="Y104" s="36"/>
      <c r="Z104" s="37"/>
      <c r="AA104" s="38">
        <f t="shared" si="57"/>
        <v>0</v>
      </c>
      <c r="AB104" s="41">
        <f>IF(ISBLANK(K104),0,ROUND(L104*VLOOKUP($W$1,$AT$8:$AU$19,2,0)/VLOOKUP(K104,$AU$1:$AV$4,2,0),2))</f>
        <v>0</v>
      </c>
      <c r="AC104" s="39">
        <f t="shared" si="53"/>
        <v>0</v>
      </c>
      <c r="AD104" s="39">
        <f t="shared" si="54"/>
        <v>0</v>
      </c>
      <c r="AE104" s="39">
        <f t="shared" si="55"/>
        <v>0</v>
      </c>
      <c r="AF104" s="39">
        <f t="shared" si="56"/>
        <v>0</v>
      </c>
      <c r="AG104" s="7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7"/>
      <c r="AS104" s="7"/>
      <c r="AT104" s="8"/>
      <c r="AU104" s="76"/>
      <c r="AV104" s="76"/>
      <c r="AY104" s="78"/>
    </row>
    <row r="105" spans="1:51" s="77" customFormat="1" x14ac:dyDescent="0.2">
      <c r="A105" s="28"/>
      <c r="B105" s="50"/>
      <c r="C105" s="50"/>
      <c r="D105" s="50"/>
      <c r="E105" s="50"/>
      <c r="F105" s="50"/>
      <c r="G105" s="30"/>
      <c r="H105" s="30"/>
      <c r="I105" s="30"/>
      <c r="J105" s="30"/>
      <c r="K105" s="31"/>
      <c r="L105" s="48"/>
      <c r="M105" s="40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36"/>
      <c r="Y105" s="36"/>
      <c r="Z105" s="37"/>
      <c r="AA105" s="38">
        <f t="shared" si="57"/>
        <v>0</v>
      </c>
      <c r="AB105" s="41">
        <f>IF(ISBLANK(K105),0,ROUND(L105*VLOOKUP($W$1,$AT$8:$AU$19,2,0)/VLOOKUP(K105,$AU$1:$AV$4,2,0),2))</f>
        <v>0</v>
      </c>
      <c r="AC105" s="39">
        <f t="shared" si="53"/>
        <v>0</v>
      </c>
      <c r="AD105" s="39">
        <f t="shared" si="54"/>
        <v>0</v>
      </c>
      <c r="AE105" s="39">
        <f t="shared" si="55"/>
        <v>0</v>
      </c>
      <c r="AF105" s="39">
        <f t="shared" si="56"/>
        <v>0</v>
      </c>
      <c r="AG105" s="7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7"/>
      <c r="AS105" s="7"/>
      <c r="AT105" s="8"/>
      <c r="AU105" s="76"/>
      <c r="AV105" s="76"/>
      <c r="AY105" s="78"/>
    </row>
    <row r="106" spans="1:51" s="77" customFormat="1" x14ac:dyDescent="0.2">
      <c r="A106" s="28"/>
      <c r="B106" s="50"/>
      <c r="C106" s="50"/>
      <c r="D106" s="50"/>
      <c r="E106" s="50"/>
      <c r="F106" s="50"/>
      <c r="G106" s="30"/>
      <c r="H106" s="30"/>
      <c r="I106" s="30"/>
      <c r="J106" s="30"/>
      <c r="K106" s="31"/>
      <c r="L106" s="48"/>
      <c r="M106" s="40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7"/>
      <c r="AA106" s="38">
        <f t="shared" si="57"/>
        <v>0</v>
      </c>
      <c r="AB106" s="41">
        <f>IF(ISBLANK(K106),0,ROUND(L106*VLOOKUP($W$1,$AT$8:$AU$19,2,0)/VLOOKUP(K106,$AU$1:$AV$4,2,0),2))</f>
        <v>0</v>
      </c>
      <c r="AC106" s="39">
        <f t="shared" si="53"/>
        <v>0</v>
      </c>
      <c r="AD106" s="39">
        <f t="shared" si="54"/>
        <v>0</v>
      </c>
      <c r="AE106" s="39">
        <f t="shared" si="55"/>
        <v>0</v>
      </c>
      <c r="AF106" s="39">
        <f t="shared" si="56"/>
        <v>0</v>
      </c>
      <c r="AG106" s="7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7"/>
      <c r="AS106" s="7"/>
      <c r="AT106" s="8"/>
      <c r="AU106" s="76"/>
      <c r="AV106" s="76"/>
      <c r="AY106" s="78"/>
    </row>
    <row r="107" spans="1:51" ht="5.0999999999999996" customHeight="1" collapsed="1" x14ac:dyDescent="0.2">
      <c r="A107" s="8"/>
      <c r="C107" s="10"/>
      <c r="F107" s="9"/>
      <c r="AU107" s="7"/>
      <c r="AV107" s="7"/>
      <c r="AY107" s="9"/>
    </row>
    <row r="108" spans="1:51" x14ac:dyDescent="0.2">
      <c r="A108" s="8"/>
      <c r="C108" s="10"/>
      <c r="F108" s="9"/>
      <c r="Z108" s="39">
        <f t="shared" ref="Z108:AE108" si="63">SUM(Z95:Z107)</f>
        <v>0</v>
      </c>
      <c r="AA108" s="39">
        <f t="shared" si="63"/>
        <v>-2495.23</v>
      </c>
      <c r="AB108" s="39">
        <f t="shared" si="63"/>
        <v>760.02</v>
      </c>
      <c r="AC108" s="39">
        <f t="shared" si="63"/>
        <v>510</v>
      </c>
      <c r="AD108" s="52">
        <f t="shared" si="63"/>
        <v>554.75</v>
      </c>
      <c r="AE108" s="39">
        <f t="shared" si="63"/>
        <v>-2539.98</v>
      </c>
      <c r="AU108" s="7"/>
      <c r="AV108" s="7"/>
      <c r="AY108" s="9"/>
    </row>
    <row r="109" spans="1:51" ht="5.0999999999999996" customHeight="1" x14ac:dyDescent="0.2">
      <c r="A109" s="8"/>
      <c r="C109" s="10"/>
      <c r="F109" s="9"/>
      <c r="AU109" s="7"/>
      <c r="AV109" s="7"/>
      <c r="AY109" s="9"/>
    </row>
    <row r="110" spans="1:51" x14ac:dyDescent="0.2">
      <c r="A110" s="8"/>
      <c r="C110" s="10"/>
      <c r="F110" s="9"/>
      <c r="Z110" s="9" t="s">
        <v>46</v>
      </c>
      <c r="AA110" s="48">
        <v>-2495.23</v>
      </c>
      <c r="AU110" s="7"/>
      <c r="AV110" s="7"/>
      <c r="AY110" s="9"/>
    </row>
    <row r="111" spans="1:51" ht="5.0999999999999996" customHeight="1" x14ac:dyDescent="0.2">
      <c r="A111" s="8"/>
      <c r="C111" s="10"/>
      <c r="F111" s="9"/>
      <c r="AU111" s="7"/>
      <c r="AV111" s="7"/>
      <c r="AY111" s="9"/>
    </row>
    <row r="112" spans="1:51" x14ac:dyDescent="0.2">
      <c r="A112" s="8"/>
      <c r="C112" s="10"/>
      <c r="F112" s="9"/>
      <c r="Z112" s="9" t="s">
        <v>47</v>
      </c>
      <c r="AA112" s="7">
        <f>+AA110-Z108</f>
        <v>-2495.23</v>
      </c>
      <c r="AU112" s="7"/>
      <c r="AV112" s="7"/>
      <c r="AY112" s="9"/>
    </row>
  </sheetData>
  <mergeCells count="23">
    <mergeCell ref="W14:Y14"/>
    <mergeCell ref="W15:Y15"/>
    <mergeCell ref="N16:R16"/>
    <mergeCell ref="S16:Z16"/>
    <mergeCell ref="AT7:AU7"/>
    <mergeCell ref="W13:Y13"/>
    <mergeCell ref="N15:P15"/>
    <mergeCell ref="Q15:S15"/>
    <mergeCell ref="T15:V15"/>
    <mergeCell ref="N50:Y50"/>
    <mergeCell ref="N13:P13"/>
    <mergeCell ref="Q13:S13"/>
    <mergeCell ref="T13:V13"/>
    <mergeCell ref="A4:AF4"/>
    <mergeCell ref="N49:P49"/>
    <mergeCell ref="Q49:S49"/>
    <mergeCell ref="T49:V49"/>
    <mergeCell ref="W49:Y49"/>
    <mergeCell ref="N83:U83"/>
    <mergeCell ref="V83:Z83"/>
    <mergeCell ref="N14:P14"/>
    <mergeCell ref="Q14:S14"/>
    <mergeCell ref="T14:V14"/>
  </mergeCells>
  <phoneticPr fontId="3" type="noConversion"/>
  <conditionalFormatting sqref="AA45">
    <cfRule type="cellIs" dxfId="13" priority="18" operator="notEqual">
      <formula>0</formula>
    </cfRule>
    <cfRule type="cellIs" dxfId="12" priority="19" operator="equal">
      <formula>0</formula>
    </cfRule>
  </conditionalFormatting>
  <conditionalFormatting sqref="AD41">
    <cfRule type="cellIs" dxfId="11" priority="17" operator="equal">
      <formula>$AA$41</formula>
    </cfRule>
  </conditionalFormatting>
  <conditionalFormatting sqref="AA58">
    <cfRule type="cellIs" dxfId="10" priority="15" operator="notEqual">
      <formula>0</formula>
    </cfRule>
    <cfRule type="cellIs" dxfId="9" priority="16" operator="equal">
      <formula>0</formula>
    </cfRule>
  </conditionalFormatting>
  <conditionalFormatting sqref="AD54">
    <cfRule type="cellIs" dxfId="8" priority="14" operator="equal">
      <formula>$AA$41</formula>
    </cfRule>
  </conditionalFormatting>
  <conditionalFormatting sqref="AD89">
    <cfRule type="cellIs" dxfId="6" priority="10" operator="equal">
      <formula>$AA$41</formula>
    </cfRule>
  </conditionalFormatting>
  <conditionalFormatting sqref="AA79">
    <cfRule type="cellIs" dxfId="5" priority="5" operator="notEqual">
      <formula>0</formula>
    </cfRule>
    <cfRule type="cellIs" dxfId="4" priority="6" operator="equal">
      <formula>0</formula>
    </cfRule>
  </conditionalFormatting>
  <conditionalFormatting sqref="AE22">
    <cfRule type="cellIs" dxfId="3" priority="4" operator="equal">
      <formula>$AB$21</formula>
    </cfRule>
  </conditionalFormatting>
  <conditionalFormatting sqref="AA112">
    <cfRule type="cellIs" dxfId="2" priority="2" operator="notEqual">
      <formula>0</formula>
    </cfRule>
    <cfRule type="cellIs" dxfId="1" priority="3" operator="equal">
      <formula>0</formula>
    </cfRule>
  </conditionalFormatting>
  <conditionalFormatting sqref="AD108">
    <cfRule type="cellIs" dxfId="0" priority="1" operator="equal">
      <formula>$AA$26</formula>
    </cfRule>
  </conditionalFormatting>
  <dataValidations count="6">
    <dataValidation type="list" allowBlank="1" showInputMessage="1" showErrorMessage="1" sqref="K62:K75 K83:K87 K95:K96 K30:K39 K49:K52" xr:uid="{DB357604-4DCB-4DC0-ABAD-C65B2F137E86}">
      <formula1>$AU$1:$AU$4</formula1>
    </dataValidation>
    <dataValidation type="list" allowBlank="1" showInputMessage="1" showErrorMessage="1" sqref="J62:J69 J83:J87 J49:J51 I70:J75 J30:J37 I38:J39 I52:J52" xr:uid="{E8ED731E-54A9-4322-90DA-18188A378AA2}">
      <formula1>$AS$1:$AS$2</formula1>
    </dataValidation>
    <dataValidation type="list" allowBlank="1" showInputMessage="1" showErrorMessage="1" sqref="J9:J20" xr:uid="{CD4B479A-2556-4D12-9B9D-30F47BC75AE8}">
      <formula1>$AU$1:$AU$2</formula1>
    </dataValidation>
    <dataValidation type="list" allowBlank="1" showInputMessage="1" showErrorMessage="1" sqref="K9:K20" xr:uid="{30F04003-1F0B-4335-85F4-B905F5CF66F9}">
      <formula1>$AV$1:$AV$4</formula1>
    </dataValidation>
    <dataValidation type="list" allowBlank="1" showInputMessage="1" showErrorMessage="1" sqref="J95:J106" xr:uid="{FEC3BE77-AC0B-48D2-AE52-0FD08763083D}">
      <formula1>$AW$1:$AW$2</formula1>
    </dataValidation>
    <dataValidation type="list" allowBlank="1" showInputMessage="1" showErrorMessage="1" sqref="K97:K106" xr:uid="{38BA2544-E51D-4023-A1E3-D353B9DC4021}">
      <formula1>$AX$1:$AX$4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Location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Jolaine Guénot</dc:creator>
  <cp:lastModifiedBy>Jolaine Guénot</cp:lastModifiedBy>
  <dcterms:created xsi:type="dcterms:W3CDTF">2022-03-01T08:28:19Z</dcterms:created>
  <dcterms:modified xsi:type="dcterms:W3CDTF">2022-03-01T09:12:26Z</dcterms:modified>
</cp:coreProperties>
</file>