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drawings/drawing2.xml" ContentType="application/vnd.openxmlformats-officedocument.drawing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1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2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3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4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5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6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charts/chart27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harts/chart28.xml" ContentType="application/vnd.openxmlformats-officedocument.drawingml.chart+xml"/>
  <Override PartName="/xl/charts/style28.xml" ContentType="application/vnd.ms-office.chartstyle+xml"/>
  <Override PartName="/xl/charts/colors28.xml" ContentType="application/vnd.ms-office.chartcolorstyle+xml"/>
  <Override PartName="/xl/charts/chart29.xml" ContentType="application/vnd.openxmlformats-officedocument.drawingml.chart+xml"/>
  <Override PartName="/xl/charts/style29.xml" ContentType="application/vnd.ms-office.chartstyle+xml"/>
  <Override PartName="/xl/charts/colors29.xml" ContentType="application/vnd.ms-office.chartcolorstyle+xml"/>
  <Override PartName="/xl/charts/chart30.xml" ContentType="application/vnd.openxmlformats-officedocument.drawingml.chart+xml"/>
  <Override PartName="/xl/charts/style30.xml" ContentType="application/vnd.ms-office.chartstyle+xml"/>
  <Override PartName="/xl/charts/colors30.xml" ContentType="application/vnd.ms-office.chartcolorstyle+xml"/>
  <Override PartName="/xl/charts/chart31.xml" ContentType="application/vnd.openxmlformats-officedocument.drawingml.chart+xml"/>
  <Override PartName="/xl/charts/style31.xml" ContentType="application/vnd.ms-office.chartstyle+xml"/>
  <Override PartName="/xl/charts/colors31.xml" ContentType="application/vnd.ms-office.chartcolorstyle+xml"/>
  <Override PartName="/xl/charts/chart32.xml" ContentType="application/vnd.openxmlformats-officedocument.drawingml.chart+xml"/>
  <Override PartName="/xl/charts/style32.xml" ContentType="application/vnd.ms-office.chartstyle+xml"/>
  <Override PartName="/xl/charts/colors32.xml" ContentType="application/vnd.ms-office.chartcolorstyle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dré\Desktop\forum en cours\Enquete\"/>
    </mc:Choice>
  </mc:AlternateContent>
  <bookViews>
    <workbookView xWindow="0" yWindow="0" windowWidth="23040" windowHeight="8544" activeTab="1"/>
  </bookViews>
  <sheets>
    <sheet name=" ResGlobal" sheetId="3" r:id="rId1"/>
    <sheet name="REsEtab" sheetId="4" r:id="rId2"/>
    <sheet name="Saisie" sheetId="1" r:id="rId3"/>
    <sheet name="Tables" sheetId="2" r:id="rId4"/>
  </sheets>
  <definedNames>
    <definedName name="CatSugg">OFFSET(Tables!$H$3,0,0,COUNTA(Tables!$H$3:$H$30),1)</definedName>
    <definedName name="Domaines">Tables!$N$3:$N$8</definedName>
    <definedName name="EnqDistri">Tables!$C$14:$C$19</definedName>
    <definedName name="Etablissement">Tables!$A$14:$A$19</definedName>
    <definedName name="Fréquence">Tables!$L$3:$L$8</definedName>
    <definedName name="Intitulé">Tables!$B$36:$B$67</definedName>
    <definedName name="Intlong">Tables!$B$14:$B$19</definedName>
    <definedName name="Numero">Tables!$A$36:$A$67</definedName>
    <definedName name="Q0_0">Saisie!$B$5:$B$7</definedName>
    <definedName name="Q1_0">Saisie!$C$5:$C$7</definedName>
    <definedName name="Q1_1">Saisie!$D$5:$D$7</definedName>
    <definedName name="Q2_1">Saisie!$E$5:$E$7</definedName>
    <definedName name="Q2_2">Saisie!$F$5:$F$7</definedName>
    <definedName name="Q2_3">Saisie!$G$5:$G$7</definedName>
    <definedName name="Q2_4">Saisie!$H$5:$H$7</definedName>
    <definedName name="Q2_5">Saisie!$I$5:$I$7</definedName>
    <definedName name="Q2_6">Saisie!$J$5:$J$7</definedName>
    <definedName name="Q3_0">Saisie!$K$5:$K$7</definedName>
    <definedName name="Q4_0">Saisie!$L$5:$L$7</definedName>
    <definedName name="Q4_1">Saisie!$M$5:$M$7</definedName>
    <definedName name="Q4_2">Saisie!$N$5:$N$7</definedName>
    <definedName name="Q4_3">Saisie!$O$5:$O$7</definedName>
    <definedName name="Q4_4">Saisie!$P$5:$P$7</definedName>
    <definedName name="Q4_5">Saisie!$Q$5:$Q$7</definedName>
    <definedName name="Q5_0">Saisie!$R$5:$R$7</definedName>
    <definedName name="Q6_1">Saisie!$S$5:$S$7</definedName>
    <definedName name="Q6_2">Saisie!$T$5:$T$7</definedName>
    <definedName name="Q6_3">Saisie!$U$5:$U$7</definedName>
    <definedName name="Q6_4">Saisie!$V$5:$V$7</definedName>
    <definedName name="Q6_5">Saisie!$W$5:$W$7</definedName>
    <definedName name="Q6_6">Saisie!$X$5:$X$7</definedName>
    <definedName name="Q7_0">Saisie!$Y$5:$Y$7</definedName>
    <definedName name="Q8_1">Saisie!$Z$5:$Z$7</definedName>
    <definedName name="Q8_2">Saisie!$AA$5:$AA$7</definedName>
    <definedName name="Q8_3">Saisie!$AB$5:$AB$7</definedName>
    <definedName name="Q8_4">Saisie!$AC$5:$AC$7</definedName>
    <definedName name="Q8_5">Saisie!$AD$5:$AD$7</definedName>
    <definedName name="Q8_6">Saisie!$AE$5:$AE$7</definedName>
    <definedName name="Q8_7">Saisie!$AF$5:$AF$7</definedName>
    <definedName name="Q8_8">Saisie!$AG$5:$AG$7</definedName>
    <definedName name="Question">Saisie!$A$5:$A$7</definedName>
    <definedName name="RepAccord">Tables!$E$3:$E$7</definedName>
    <definedName name="RepON">Tables!$C$3:$C$5</definedName>
    <definedName name="Satisfaction">Tables!$A$3:$A$7</definedName>
    <definedName name="Satisfait">Tables!$J$3:$J$7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8" i="4" l="1"/>
  <c r="H193" i="4" l="1"/>
  <c r="G193" i="4"/>
  <c r="F193" i="4"/>
  <c r="E193" i="4"/>
  <c r="D193" i="4"/>
  <c r="C193" i="4"/>
  <c r="H192" i="4"/>
  <c r="G192" i="4"/>
  <c r="F192" i="4"/>
  <c r="E192" i="4"/>
  <c r="D192" i="4"/>
  <c r="C192" i="4"/>
  <c r="H191" i="4"/>
  <c r="G191" i="4"/>
  <c r="F191" i="4"/>
  <c r="E191" i="4"/>
  <c r="D191" i="4"/>
  <c r="C191" i="4"/>
  <c r="H190" i="4"/>
  <c r="G190" i="4"/>
  <c r="F190" i="4"/>
  <c r="E190" i="4"/>
  <c r="D190" i="4"/>
  <c r="C190" i="4"/>
  <c r="H189" i="4"/>
  <c r="G189" i="4"/>
  <c r="F189" i="4"/>
  <c r="E189" i="4"/>
  <c r="D189" i="4"/>
  <c r="C189" i="4"/>
  <c r="H188" i="4"/>
  <c r="G188" i="4"/>
  <c r="F188" i="4"/>
  <c r="E188" i="4"/>
  <c r="D188" i="4"/>
  <c r="C188" i="4"/>
  <c r="D8" i="4"/>
  <c r="B211" i="4"/>
  <c r="I193" i="4" a="1"/>
  <c r="I192" i="4" a="1"/>
  <c r="I191" i="4" a="1"/>
  <c r="I190" i="4" a="1"/>
  <c r="I189" i="4" a="1"/>
  <c r="I188" i="4" a="1"/>
  <c r="B184" i="4"/>
  <c r="B173" i="4"/>
  <c r="B162" i="4"/>
  <c r="B150" i="4"/>
  <c r="B138" i="4"/>
  <c r="B126" i="4"/>
  <c r="B113" i="4"/>
  <c r="B102" i="4"/>
  <c r="B90" i="4"/>
  <c r="B75" i="4"/>
  <c r="B62" i="4"/>
  <c r="B49" i="4"/>
  <c r="B37" i="4"/>
  <c r="B23" i="4"/>
  <c r="B21" i="4"/>
  <c r="B11" i="4"/>
  <c r="C105" i="4"/>
  <c r="C65" i="4"/>
  <c r="D93" i="4"/>
  <c r="E141" i="4"/>
  <c r="F153" i="4"/>
  <c r="C14" i="4"/>
  <c r="D153" i="4"/>
  <c r="B40" i="4"/>
  <c r="D65" i="4"/>
  <c r="D26" i="4"/>
  <c r="B65" i="4"/>
  <c r="B129" i="4"/>
  <c r="C116" i="4"/>
  <c r="D141" i="4"/>
  <c r="F129" i="4"/>
  <c r="C40" i="4"/>
  <c r="F214" i="4"/>
  <c r="B141" i="4"/>
  <c r="E214" i="4"/>
  <c r="B14" i="4"/>
  <c r="B165" i="4"/>
  <c r="B26" i="4"/>
  <c r="C93" i="4"/>
  <c r="D78" i="4"/>
  <c r="B116" i="4"/>
  <c r="D105" i="4"/>
  <c r="D40" i="4"/>
  <c r="B93" i="4"/>
  <c r="D129" i="4"/>
  <c r="C176" i="4"/>
  <c r="B214" i="4"/>
  <c r="C52" i="4"/>
  <c r="D176" i="4"/>
  <c r="D52" i="4"/>
  <c r="B52" i="4"/>
  <c r="C78" i="4"/>
  <c r="B78" i="4"/>
  <c r="B153" i="4"/>
  <c r="E14" i="4"/>
  <c r="E153" i="4"/>
  <c r="C214" i="4"/>
  <c r="E165" i="4"/>
  <c r="F176" i="4"/>
  <c r="C26" i="4"/>
  <c r="F165" i="4"/>
  <c r="D14" i="4"/>
  <c r="E176" i="4"/>
  <c r="D214" i="4"/>
  <c r="D165" i="4"/>
  <c r="E129" i="4"/>
  <c r="B105" i="4"/>
  <c r="C129" i="4"/>
  <c r="C165" i="4"/>
  <c r="F141" i="4"/>
  <c r="B176" i="4"/>
  <c r="A176" i="4"/>
  <c r="D116" i="4"/>
  <c r="C153" i="4"/>
  <c r="C141" i="4"/>
  <c r="F14" i="4"/>
  <c r="I190" i="4" l="1"/>
  <c r="E8" i="4"/>
  <c r="I189" i="4"/>
  <c r="I193" i="4"/>
  <c r="I188" i="4"/>
  <c r="I192" i="4"/>
  <c r="I191" i="4"/>
  <c r="G141" i="4"/>
  <c r="C142" i="4" s="1"/>
  <c r="B143" i="4"/>
  <c r="E93" i="4"/>
  <c r="B94" i="4" s="1"/>
  <c r="D16" i="4"/>
  <c r="E78" i="4"/>
  <c r="C79" i="4" s="1"/>
  <c r="D155" i="4"/>
  <c r="G176" i="4"/>
  <c r="C177" i="4" s="1"/>
  <c r="E52" i="4"/>
  <c r="C53" i="4" s="1"/>
  <c r="E40" i="4"/>
  <c r="C41" i="4" s="1"/>
  <c r="D143" i="4"/>
  <c r="B167" i="4"/>
  <c r="G165" i="4"/>
  <c r="B166" i="4" s="1"/>
  <c r="E65" i="4"/>
  <c r="C66" i="4" s="1"/>
  <c r="B131" i="4"/>
  <c r="G129" i="4"/>
  <c r="B130" i="4" s="1"/>
  <c r="B216" i="4"/>
  <c r="G214" i="4"/>
  <c r="D215" i="4" s="1"/>
  <c r="D167" i="4"/>
  <c r="E26" i="4"/>
  <c r="C27" i="4" s="1"/>
  <c r="E116" i="4"/>
  <c r="C117" i="4" s="1"/>
  <c r="G14" i="4"/>
  <c r="C15" i="4" s="1"/>
  <c r="B16" i="4"/>
  <c r="E105" i="4"/>
  <c r="B106" i="4" s="1"/>
  <c r="D131" i="4"/>
  <c r="G153" i="4"/>
  <c r="D154" i="4" s="1"/>
  <c r="B155" i="4"/>
  <c r="D216" i="4"/>
  <c r="B211" i="3"/>
  <c r="H193" i="3"/>
  <c r="G193" i="3"/>
  <c r="F193" i="3"/>
  <c r="E193" i="3"/>
  <c r="D193" i="3"/>
  <c r="C193" i="3"/>
  <c r="H192" i="3"/>
  <c r="G192" i="3"/>
  <c r="F192" i="3"/>
  <c r="E192" i="3"/>
  <c r="D192" i="3"/>
  <c r="C192" i="3"/>
  <c r="I192" i="3" s="1" a="1"/>
  <c r="H191" i="3"/>
  <c r="G191" i="3"/>
  <c r="F191" i="3"/>
  <c r="E191" i="3"/>
  <c r="D191" i="3"/>
  <c r="C191" i="3"/>
  <c r="H190" i="3"/>
  <c r="G190" i="3"/>
  <c r="F190" i="3"/>
  <c r="E190" i="3"/>
  <c r="D190" i="3"/>
  <c r="C190" i="3"/>
  <c r="I190" i="3" s="1" a="1"/>
  <c r="H189" i="3"/>
  <c r="G189" i="3"/>
  <c r="F189" i="3"/>
  <c r="E189" i="3"/>
  <c r="D189" i="3"/>
  <c r="C189" i="3"/>
  <c r="I189" i="3" s="1" a="1"/>
  <c r="H188" i="3"/>
  <c r="G188" i="3"/>
  <c r="F188" i="3"/>
  <c r="E188" i="3"/>
  <c r="D188" i="3"/>
  <c r="C188" i="3"/>
  <c r="B184" i="3"/>
  <c r="B173" i="3"/>
  <c r="D176" i="3"/>
  <c r="E214" i="3"/>
  <c r="E176" i="3"/>
  <c r="A176" i="3"/>
  <c r="F214" i="3"/>
  <c r="C214" i="3"/>
  <c r="F176" i="3"/>
  <c r="B214" i="3"/>
  <c r="B176" i="3"/>
  <c r="D214" i="3"/>
  <c r="C176" i="3"/>
  <c r="J190" i="4" l="1"/>
  <c r="J188" i="4"/>
  <c r="J189" i="4"/>
  <c r="E15" i="4"/>
  <c r="B79" i="4"/>
  <c r="J191" i="4"/>
  <c r="B142" i="4"/>
  <c r="C154" i="4"/>
  <c r="B177" i="4"/>
  <c r="E166" i="4"/>
  <c r="J192" i="4"/>
  <c r="J193" i="4"/>
  <c r="B215" i="4"/>
  <c r="C166" i="4"/>
  <c r="D130" i="4"/>
  <c r="C130" i="4"/>
  <c r="D166" i="4"/>
  <c r="D177" i="4"/>
  <c r="C215" i="4"/>
  <c r="E142" i="4"/>
  <c r="D142" i="4"/>
  <c r="C106" i="4"/>
  <c r="B27" i="4"/>
  <c r="B53" i="4"/>
  <c r="E154" i="4"/>
  <c r="D15" i="4"/>
  <c r="E215" i="4"/>
  <c r="B154" i="4"/>
  <c r="B15" i="4"/>
  <c r="E177" i="4"/>
  <c r="B66" i="4"/>
  <c r="B41" i="4"/>
  <c r="A177" i="4"/>
  <c r="E130" i="4"/>
  <c r="B117" i="4"/>
  <c r="C94" i="4"/>
  <c r="I189" i="3"/>
  <c r="I190" i="3"/>
  <c r="D216" i="3"/>
  <c r="B216" i="3"/>
  <c r="I192" i="3"/>
  <c r="I193" i="3" a="1"/>
  <c r="I193" i="3" s="1"/>
  <c r="I191" i="3" a="1"/>
  <c r="I191" i="3" s="1"/>
  <c r="I188" i="3" a="1"/>
  <c r="I188" i="3" s="1"/>
  <c r="G214" i="3"/>
  <c r="B215" i="3" s="1"/>
  <c r="G176" i="3"/>
  <c r="E177" i="3" s="1"/>
  <c r="B102" i="3"/>
  <c r="B162" i="3"/>
  <c r="B150" i="3"/>
  <c r="B138" i="3"/>
  <c r="B126" i="3"/>
  <c r="B113" i="3"/>
  <c r="B90" i="3"/>
  <c r="B75" i="3"/>
  <c r="B62" i="3"/>
  <c r="B49" i="3"/>
  <c r="B37" i="3"/>
  <c r="B21" i="3"/>
  <c r="B23" i="3"/>
  <c r="B11" i="3"/>
  <c r="D8" i="3"/>
  <c r="E8" i="3" s="1"/>
  <c r="B93" i="3"/>
  <c r="B129" i="3"/>
  <c r="B105" i="3"/>
  <c r="C165" i="3"/>
  <c r="C93" i="3"/>
  <c r="C78" i="3"/>
  <c r="D52" i="3"/>
  <c r="E129" i="3"/>
  <c r="D153" i="3"/>
  <c r="D65" i="3"/>
  <c r="E14" i="3"/>
  <c r="D129" i="3"/>
  <c r="C153" i="3"/>
  <c r="B141" i="3"/>
  <c r="B153" i="3"/>
  <c r="D165" i="3"/>
  <c r="E153" i="3"/>
  <c r="C105" i="3"/>
  <c r="B26" i="3"/>
  <c r="D116" i="3"/>
  <c r="F165" i="3"/>
  <c r="C14" i="3"/>
  <c r="D105" i="3"/>
  <c r="D14" i="3"/>
  <c r="D26" i="3"/>
  <c r="B65" i="3"/>
  <c r="B14" i="3"/>
  <c r="C40" i="3"/>
  <c r="E141" i="3"/>
  <c r="D93" i="3"/>
  <c r="C52" i="3"/>
  <c r="B52" i="3"/>
  <c r="E165" i="3"/>
  <c r="B165" i="3"/>
  <c r="C129" i="3"/>
  <c r="F141" i="3"/>
  <c r="C26" i="3"/>
  <c r="F153" i="3"/>
  <c r="C65" i="3"/>
  <c r="F129" i="3"/>
  <c r="F14" i="3"/>
  <c r="D141" i="3"/>
  <c r="B40" i="3"/>
  <c r="D40" i="3"/>
  <c r="B78" i="3"/>
  <c r="B116" i="3"/>
  <c r="C116" i="3"/>
  <c r="D78" i="3"/>
  <c r="C141" i="3"/>
  <c r="D143" i="3" l="1"/>
  <c r="B143" i="3"/>
  <c r="D131" i="3"/>
  <c r="B131" i="3"/>
  <c r="D167" i="3"/>
  <c r="B167" i="3"/>
  <c r="D155" i="3"/>
  <c r="B155" i="3"/>
  <c r="D16" i="3"/>
  <c r="B16" i="3"/>
  <c r="J189" i="3"/>
  <c r="J193" i="3"/>
  <c r="J192" i="3"/>
  <c r="J190" i="3"/>
  <c r="J188" i="3"/>
  <c r="J191" i="3"/>
  <c r="D215" i="3"/>
  <c r="E215" i="3"/>
  <c r="C215" i="3"/>
  <c r="B177" i="3"/>
  <c r="D177" i="3"/>
  <c r="C177" i="3"/>
  <c r="A177" i="3"/>
  <c r="E105" i="3"/>
  <c r="B106" i="3" s="1"/>
  <c r="G165" i="3"/>
  <c r="B166" i="3" s="1"/>
  <c r="G153" i="3"/>
  <c r="C154" i="3" s="1"/>
  <c r="G141" i="3"/>
  <c r="D142" i="3" s="1"/>
  <c r="G129" i="3"/>
  <c r="E116" i="3"/>
  <c r="B117" i="3" s="1"/>
  <c r="E93" i="3"/>
  <c r="B94" i="3" s="1"/>
  <c r="E78" i="3"/>
  <c r="B79" i="3" s="1"/>
  <c r="E65" i="3"/>
  <c r="B66" i="3" s="1"/>
  <c r="E52" i="3"/>
  <c r="C53" i="3" s="1"/>
  <c r="E40" i="3"/>
  <c r="C41" i="3" s="1"/>
  <c r="G14" i="3"/>
  <c r="E26" i="3"/>
  <c r="B27" i="3" s="1"/>
  <c r="E130" i="3" l="1"/>
  <c r="B130" i="3"/>
  <c r="C106" i="3"/>
  <c r="E166" i="3"/>
  <c r="C142" i="3"/>
  <c r="D166" i="3"/>
  <c r="C166" i="3"/>
  <c r="E154" i="3"/>
  <c r="B154" i="3"/>
  <c r="D154" i="3"/>
  <c r="E142" i="3"/>
  <c r="B142" i="3"/>
  <c r="C130" i="3"/>
  <c r="D130" i="3"/>
  <c r="C117" i="3"/>
  <c r="C94" i="3"/>
  <c r="C79" i="3"/>
  <c r="C66" i="3"/>
  <c r="B53" i="3"/>
  <c r="B41" i="3"/>
  <c r="D15" i="3"/>
  <c r="E15" i="3"/>
  <c r="C15" i="3"/>
  <c r="B15" i="3"/>
  <c r="C27" i="3"/>
</calcChain>
</file>

<file path=xl/sharedStrings.xml><?xml version="1.0" encoding="utf-8"?>
<sst xmlns="http://schemas.openxmlformats.org/spreadsheetml/2006/main" count="472" uniqueCount="153">
  <si>
    <t>Sur les tarifs :</t>
  </si>
  <si>
    <t>Sur les documents administratifs à renseigner :</t>
  </si>
  <si>
    <t>Sur les aides dont je pouvais disposer :</t>
  </si>
  <si>
    <t>Sur les services proposés en plus du logement :</t>
  </si>
  <si>
    <t>Sur l’accompagnement pour m’aider dans mon projet :</t>
  </si>
  <si>
    <t>Sur les animations proposées :</t>
  </si>
  <si>
    <t>J'ai trouvé le prix intéressant :</t>
  </si>
  <si>
    <t>J'ai trouvé le logement confortable :</t>
  </si>
  <si>
    <t>J'ai trouvé le logement propre :</t>
  </si>
  <si>
    <t>Très satisfaisant</t>
  </si>
  <si>
    <t>Satisfaisant</t>
  </si>
  <si>
    <t xml:space="preserve">Peu satisfaisant  </t>
  </si>
  <si>
    <t>Pas du tout satisfaisant</t>
  </si>
  <si>
    <t>Satisfaction</t>
  </si>
  <si>
    <t>Q1-0</t>
  </si>
  <si>
    <t>Q1-1</t>
  </si>
  <si>
    <t>Pourquoi</t>
  </si>
  <si>
    <t>Q2-0</t>
  </si>
  <si>
    <t>J’ai reçu les informations que je souhaitais</t>
  </si>
  <si>
    <t>RepON</t>
  </si>
  <si>
    <t>Oui</t>
  </si>
  <si>
    <t>Non</t>
  </si>
  <si>
    <t>Q2-1</t>
  </si>
  <si>
    <t>Q2-2</t>
  </si>
  <si>
    <t>Q2-3</t>
  </si>
  <si>
    <t>Q2-4</t>
  </si>
  <si>
    <t>Q2-5</t>
  </si>
  <si>
    <t>Q2-6</t>
  </si>
  <si>
    <t>Q3-0</t>
  </si>
  <si>
    <t>Q4-0</t>
  </si>
  <si>
    <t>A mon arrivée, j’ai effectué et signé un état des lieux de mon logement avec un membre de l’équipe</t>
  </si>
  <si>
    <t>Q4-1</t>
  </si>
  <si>
    <t xml:space="preserve"> parce que </t>
  </si>
  <si>
    <t>Q4-2</t>
  </si>
  <si>
    <t>Q4-3</t>
  </si>
  <si>
    <t>Q4-4</t>
  </si>
  <si>
    <t>Q4-5</t>
  </si>
  <si>
    <t>Tout à fait d'accord</t>
  </si>
  <si>
    <t>Plutôt d'accord</t>
  </si>
  <si>
    <t>Plutôt pas d'accord</t>
  </si>
  <si>
    <t>Pas d'accord du tout</t>
  </si>
  <si>
    <t>RepAccord</t>
  </si>
  <si>
    <t>J'ai trouvé que les équipements étaient adaptés :</t>
  </si>
  <si>
    <t>Q5-0</t>
  </si>
  <si>
    <t>Q6-0</t>
  </si>
  <si>
    <t>Q6-1</t>
  </si>
  <si>
    <t>Q6-2</t>
  </si>
  <si>
    <t>Q6-3</t>
  </si>
  <si>
    <t>Q6-4</t>
  </si>
  <si>
    <t>Q6-5</t>
  </si>
  <si>
    <t>Q6-6</t>
  </si>
  <si>
    <t>Emploi, stage, formation</t>
  </si>
  <si>
    <t>Logement</t>
  </si>
  <si>
    <t>Transport</t>
  </si>
  <si>
    <t>Administratif</t>
  </si>
  <si>
    <t>Budget</t>
  </si>
  <si>
    <t>Santé</t>
  </si>
  <si>
    <t>Le logement proposé correspondait à mes attentes</t>
  </si>
  <si>
    <t>Quand j’ai eu besoin, j’ai trouvé les membres de l’équipe disponible pour m’écouter</t>
  </si>
  <si>
    <t>Grâce à mon séjour, je me sens plus à l’aise dans les domaines suivants:</t>
  </si>
  <si>
    <t>Q7-0</t>
  </si>
  <si>
    <t xml:space="preserve"> Globalement, concernant mon séjour je suis :</t>
  </si>
  <si>
    <t>Suggestion 1</t>
  </si>
  <si>
    <t>Q8-1</t>
  </si>
  <si>
    <t>Q8-2</t>
  </si>
  <si>
    <t>Q8-3</t>
  </si>
  <si>
    <t>Suggestion 2</t>
  </si>
  <si>
    <t>Suggestion 3</t>
  </si>
  <si>
    <t>Suggestion 4</t>
  </si>
  <si>
    <t>Q8-4</t>
  </si>
  <si>
    <t>Q8-5</t>
  </si>
  <si>
    <t>Q8-6</t>
  </si>
  <si>
    <t>Q8-7</t>
  </si>
  <si>
    <t>Catégorie</t>
  </si>
  <si>
    <t>Q8-8</t>
  </si>
  <si>
    <r>
      <t>Avant mon arrivée et lors de mon 1</t>
    </r>
    <r>
      <rPr>
        <vertAlign val="superscript"/>
        <sz val="12"/>
        <color theme="1"/>
        <rFont val="Times New Roman"/>
        <family val="1"/>
      </rPr>
      <t>er</t>
    </r>
    <r>
      <rPr>
        <sz val="12"/>
        <color theme="1"/>
        <rFont val="Times New Roman"/>
        <family val="1"/>
      </rPr>
      <t xml:space="preserve"> contact, l’accueil a été :</t>
    </r>
  </si>
  <si>
    <t>Question</t>
  </si>
  <si>
    <t>NRRep</t>
  </si>
  <si>
    <t>Les documents administratifs</t>
  </si>
  <si>
    <t>Les aides</t>
  </si>
  <si>
    <t>Les services en plus</t>
  </si>
  <si>
    <t>Les animations</t>
  </si>
  <si>
    <t>L'aide dans mon projet</t>
  </si>
  <si>
    <t>Membres dispo pour écoute</t>
  </si>
  <si>
    <t>Les tarifs</t>
  </si>
  <si>
    <t>Etat des lieux</t>
  </si>
  <si>
    <t>Logement  correspond</t>
  </si>
  <si>
    <t>Accueil arrivée</t>
  </si>
  <si>
    <t>Accueil arrivée et 1er contact</t>
  </si>
  <si>
    <t>Parce que </t>
  </si>
  <si>
    <t>Prix intéressant</t>
  </si>
  <si>
    <t>Logement confortable</t>
  </si>
  <si>
    <t>Equipements adaptés</t>
  </si>
  <si>
    <t>Logement propre</t>
  </si>
  <si>
    <t>Logement proposé correspond aux attentes</t>
  </si>
  <si>
    <t>Globalement je suis :</t>
  </si>
  <si>
    <t>Je suis plus à l’aise dans les domaines suivants:</t>
  </si>
  <si>
    <t>Suggestions</t>
  </si>
  <si>
    <t>CatSugg</t>
  </si>
  <si>
    <t>Formalités</t>
  </si>
  <si>
    <t>Comportement</t>
  </si>
  <si>
    <t>Vie sociale</t>
  </si>
  <si>
    <t>Satisfait</t>
  </si>
  <si>
    <t>Très satisfait</t>
  </si>
  <si>
    <t>Peu satisfait</t>
  </si>
  <si>
    <t>Pas du tout satisfait</t>
  </si>
  <si>
    <t>Bureau fermé</t>
  </si>
  <si>
    <t>Orienté plein sud</t>
  </si>
  <si>
    <t>Fréquence</t>
  </si>
  <si>
    <t>Très souvent</t>
  </si>
  <si>
    <t>Assez souvent</t>
  </si>
  <si>
    <t>Occasionnellement</t>
  </si>
  <si>
    <t>Rarement</t>
  </si>
  <si>
    <t>Jamais</t>
  </si>
  <si>
    <t>Changer d'hotesse d'accueil</t>
  </si>
  <si>
    <t>Au dernier étage</t>
  </si>
  <si>
    <t>Nb questionnaires</t>
  </si>
  <si>
    <t>Distribués</t>
  </si>
  <si>
    <t>Retournés</t>
  </si>
  <si>
    <t>%</t>
  </si>
  <si>
    <t>Numero</t>
  </si>
  <si>
    <t>Intitulé</t>
  </si>
  <si>
    <t>NR</t>
  </si>
  <si>
    <t>Total expl</t>
  </si>
  <si>
    <t>Domaines</t>
  </si>
  <si>
    <t>Pos1</t>
  </si>
  <si>
    <t>Pos2</t>
  </si>
  <si>
    <t>Pos3</t>
  </si>
  <si>
    <t>Pos4</t>
  </si>
  <si>
    <t>Pos5</t>
  </si>
  <si>
    <t>Pos6</t>
  </si>
  <si>
    <t>Pond</t>
  </si>
  <si>
    <t>Points</t>
  </si>
  <si>
    <t>Rang</t>
  </si>
  <si>
    <t>Q0-0</t>
  </si>
  <si>
    <t>Etablissement</t>
  </si>
  <si>
    <t>Site</t>
  </si>
  <si>
    <t>EnqDistri</t>
  </si>
  <si>
    <t>RESULTATS GLOBAUX DE L'ENQUETE DE SATISFACTION</t>
  </si>
  <si>
    <t>RESULTATS PAR ETABLISSEMENT DE L'ENQUETE DE SATISFACTION</t>
  </si>
  <si>
    <t>Résidence la Fruitaie</t>
  </si>
  <si>
    <t>Fruitaie</t>
  </si>
  <si>
    <t>Résidences des Trois Rois</t>
  </si>
  <si>
    <t>3Rois</t>
  </si>
  <si>
    <t>Marron</t>
  </si>
  <si>
    <t>Résidence des Marronniers</t>
  </si>
  <si>
    <t>Maison du Jeu d'Arc</t>
  </si>
  <si>
    <t>JeuArc</t>
  </si>
  <si>
    <t>Galop</t>
  </si>
  <si>
    <t>Résidence de la Haute Lisse</t>
  </si>
  <si>
    <t>HautLisse</t>
  </si>
  <si>
    <t>Résidence du Galop</t>
  </si>
  <si>
    <t>Intlong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</si>
</sst>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Times New Roman"/>
      <family val="2"/>
    </font>
    <font>
      <sz val="8"/>
      <color theme="1"/>
      <name val="Comic Sans MS"/>
      <family val="4"/>
    </font>
    <font>
      <sz val="8"/>
      <color rgb="FF000000"/>
      <name val="Comic Sans MS"/>
      <family val="4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vertAlign val="superscript"/>
      <sz val="12"/>
      <color theme="1"/>
      <name val="Times New Roman"/>
      <family val="1"/>
    </font>
    <font>
      <sz val="12"/>
      <color rgb="FF000000"/>
      <name val="Times New Roman"/>
      <family val="1"/>
    </font>
    <font>
      <b/>
      <sz val="14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1"/>
      <color theme="1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color theme="1"/>
      <name val="Times New Roman"/>
      <family val="2"/>
    </font>
    <font>
      <i/>
      <sz val="12"/>
      <color theme="1"/>
      <name val="Times New Roman"/>
      <family val="1"/>
    </font>
    <font>
      <sz val="14"/>
      <color theme="1"/>
      <name val="Times New Roman"/>
      <family val="1"/>
    </font>
    <font>
      <b/>
      <i/>
      <sz val="10"/>
      <color theme="1"/>
      <name val="Times New Roman"/>
      <family val="1"/>
    </font>
    <font>
      <b/>
      <u val="double"/>
      <sz val="14"/>
      <color theme="1"/>
      <name val="Times New Roman"/>
      <family val="1"/>
    </font>
    <font>
      <sz val="8"/>
      <color rgb="FF333333"/>
      <name val="Segoe UI"/>
      <family val="2"/>
    </font>
  </fonts>
  <fills count="7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CC00"/>
        <bgColor indexed="64"/>
      </patternFill>
    </fill>
  </fills>
  <borders count="41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dashed">
        <color auto="1"/>
      </bottom>
      <diagonal/>
    </border>
    <border>
      <left style="medium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thin">
        <color auto="1"/>
      </right>
      <top style="dashed">
        <color auto="1"/>
      </top>
      <bottom style="dashed">
        <color auto="1"/>
      </bottom>
      <diagonal/>
    </border>
    <border>
      <left style="thin">
        <color auto="1"/>
      </left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medium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dashed">
        <color auto="1"/>
      </bottom>
      <diagonal/>
    </border>
    <border>
      <left/>
      <right style="medium">
        <color auto="1"/>
      </right>
      <top style="dashed">
        <color auto="1"/>
      </top>
      <bottom style="dashed">
        <color auto="1"/>
      </bottom>
      <diagonal/>
    </border>
    <border>
      <left style="medium">
        <color auto="1"/>
      </left>
      <right/>
      <top style="dashed">
        <color auto="1"/>
      </top>
      <bottom style="medium">
        <color auto="1"/>
      </bottom>
      <diagonal/>
    </border>
    <border>
      <left/>
      <right style="medium">
        <color auto="1"/>
      </right>
      <top style="dash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/>
      <bottom style="dashed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124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justify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inden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 wrapText="1"/>
    </xf>
    <xf numFmtId="0" fontId="0" fillId="0" borderId="1" xfId="0" applyBorder="1"/>
    <xf numFmtId="0" fontId="5" fillId="0" borderId="1" xfId="0" applyFont="1" applyBorder="1" applyAlignment="1">
      <alignment horizontal="center" textRotation="90"/>
    </xf>
    <xf numFmtId="0" fontId="4" fillId="0" borderId="2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/>
    </xf>
    <xf numFmtId="0" fontId="0" fillId="0" borderId="0" xfId="0" applyAlignment="1">
      <alignment textRotation="90"/>
    </xf>
    <xf numFmtId="0" fontId="8" fillId="0" borderId="3" xfId="0" applyFont="1" applyBorder="1" applyAlignment="1">
      <alignment horizontal="center" textRotation="90"/>
    </xf>
    <xf numFmtId="0" fontId="4" fillId="0" borderId="4" xfId="0" applyFont="1" applyBorder="1" applyAlignment="1">
      <alignment horizontal="center" textRotation="90" wrapText="1"/>
    </xf>
    <xf numFmtId="0" fontId="4" fillId="0" borderId="3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/>
    </xf>
    <xf numFmtId="0" fontId="4" fillId="0" borderId="1" xfId="0" applyFont="1" applyBorder="1" applyAlignment="1">
      <alignment horizontal="center" textRotation="90" wrapText="1"/>
    </xf>
    <xf numFmtId="0" fontId="11" fillId="0" borderId="5" xfId="0" applyFont="1" applyBorder="1" applyAlignment="1">
      <alignment horizontal="center" textRotation="90"/>
    </xf>
    <xf numFmtId="0" fontId="11" fillId="6" borderId="6" xfId="0" applyFont="1" applyFill="1" applyBorder="1" applyAlignment="1">
      <alignment horizontal="center" textRotation="90"/>
    </xf>
    <xf numFmtId="0" fontId="11" fillId="6" borderId="7" xfId="0" applyFont="1" applyFill="1" applyBorder="1" applyAlignment="1">
      <alignment horizontal="center" textRotation="90"/>
    </xf>
    <xf numFmtId="0" fontId="11" fillId="2" borderId="6" xfId="0" applyFont="1" applyFill="1" applyBorder="1" applyAlignment="1">
      <alignment horizontal="center" textRotation="90"/>
    </xf>
    <xf numFmtId="0" fontId="11" fillId="2" borderId="8" xfId="0" applyFont="1" applyFill="1" applyBorder="1" applyAlignment="1">
      <alignment horizontal="center" textRotation="90"/>
    </xf>
    <xf numFmtId="0" fontId="11" fillId="2" borderId="7" xfId="0" applyFont="1" applyFill="1" applyBorder="1" applyAlignment="1">
      <alignment horizontal="center" textRotation="90"/>
    </xf>
    <xf numFmtId="0" fontId="11" fillId="6" borderId="5" xfId="0" applyFont="1" applyFill="1" applyBorder="1" applyAlignment="1">
      <alignment horizontal="center" textRotation="90"/>
    </xf>
    <xf numFmtId="0" fontId="11" fillId="4" borderId="6" xfId="0" applyFont="1" applyFill="1" applyBorder="1" applyAlignment="1">
      <alignment horizontal="center" textRotation="90"/>
    </xf>
    <xf numFmtId="0" fontId="11" fillId="4" borderId="8" xfId="0" applyFont="1" applyFill="1" applyBorder="1" applyAlignment="1">
      <alignment horizontal="center" textRotation="90"/>
    </xf>
    <xf numFmtId="0" fontId="11" fillId="4" borderId="7" xfId="0" applyFont="1" applyFill="1" applyBorder="1" applyAlignment="1">
      <alignment horizontal="center" textRotation="90"/>
    </xf>
    <xf numFmtId="0" fontId="11" fillId="3" borderId="6" xfId="0" applyFont="1" applyFill="1" applyBorder="1" applyAlignment="1">
      <alignment horizontal="center" textRotation="90"/>
    </xf>
    <xf numFmtId="0" fontId="11" fillId="3" borderId="8" xfId="0" applyFont="1" applyFill="1" applyBorder="1" applyAlignment="1">
      <alignment horizontal="center" textRotation="90"/>
    </xf>
    <xf numFmtId="0" fontId="11" fillId="3" borderId="7" xfId="0" applyFont="1" applyFill="1" applyBorder="1" applyAlignment="1">
      <alignment horizontal="center" textRotation="90"/>
    </xf>
    <xf numFmtId="0" fontId="12" fillId="5" borderId="6" xfId="0" applyFont="1" applyFill="1" applyBorder="1" applyAlignment="1">
      <alignment horizontal="center" textRotation="90"/>
    </xf>
    <xf numFmtId="0" fontId="12" fillId="5" borderId="8" xfId="0" applyFont="1" applyFill="1" applyBorder="1" applyAlignment="1">
      <alignment horizontal="center" textRotation="90"/>
    </xf>
    <xf numFmtId="0" fontId="3" fillId="0" borderId="0" xfId="0" applyFont="1" applyAlignment="1">
      <alignment wrapText="1"/>
    </xf>
    <xf numFmtId="0" fontId="3" fillId="0" borderId="0" xfId="0" applyFont="1" applyAlignment="1">
      <alignment horizontal="justify" vertical="center" wrapText="1"/>
    </xf>
    <xf numFmtId="0" fontId="0" fillId="0" borderId="12" xfId="0" applyBorder="1"/>
    <xf numFmtId="0" fontId="0" fillId="0" borderId="13" xfId="0" applyBorder="1" applyAlignment="1">
      <alignment wrapText="1"/>
    </xf>
    <xf numFmtId="0" fontId="0" fillId="0" borderId="12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4" xfId="0" applyBorder="1"/>
    <xf numFmtId="0" fontId="0" fillId="0" borderId="13" xfId="0" applyBorder="1"/>
    <xf numFmtId="0" fontId="0" fillId="0" borderId="12" xfId="0" applyBorder="1" applyAlignment="1">
      <alignment wrapText="1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10" fontId="14" fillId="0" borderId="16" xfId="1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14" fillId="0" borderId="2" xfId="0" applyFont="1" applyBorder="1" applyAlignment="1">
      <alignment horizontal="center"/>
    </xf>
    <xf numFmtId="0" fontId="14" fillId="0" borderId="3" xfId="0" applyFont="1" applyBorder="1" applyAlignment="1">
      <alignment horizontal="center"/>
    </xf>
    <xf numFmtId="0" fontId="4" fillId="0" borderId="0" xfId="0" applyFont="1"/>
    <xf numFmtId="0" fontId="4" fillId="0" borderId="2" xfId="0" applyFont="1" applyBorder="1" applyAlignment="1">
      <alignment horizontal="center" wrapText="1"/>
    </xf>
    <xf numFmtId="0" fontId="4" fillId="0" borderId="4" xfId="0" applyFont="1" applyBorder="1" applyAlignment="1">
      <alignment horizontal="center" wrapText="1"/>
    </xf>
    <xf numFmtId="0" fontId="4" fillId="0" borderId="3" xfId="0" applyFont="1" applyBorder="1" applyAlignment="1">
      <alignment horizontal="center" wrapText="1"/>
    </xf>
    <xf numFmtId="0" fontId="4" fillId="0" borderId="1" xfId="0" applyFont="1" applyBorder="1" applyAlignment="1">
      <alignment horizontal="center" wrapText="1"/>
    </xf>
    <xf numFmtId="0" fontId="5" fillId="0" borderId="17" xfId="0" applyFont="1" applyBorder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9" fontId="5" fillId="0" borderId="20" xfId="1" applyFont="1" applyBorder="1" applyAlignment="1">
      <alignment horizontal="center"/>
    </xf>
    <xf numFmtId="9" fontId="5" fillId="0" borderId="21" xfId="1" applyFont="1" applyBorder="1" applyAlignment="1">
      <alignment horizontal="center"/>
    </xf>
    <xf numFmtId="9" fontId="5" fillId="0" borderId="22" xfId="1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3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8" fillId="0" borderId="0" xfId="0" applyFont="1"/>
    <xf numFmtId="0" fontId="15" fillId="0" borderId="0" xfId="0" applyFont="1"/>
    <xf numFmtId="0" fontId="5" fillId="0" borderId="23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6" xfId="0" applyFont="1" applyBorder="1" applyAlignment="1">
      <alignment horizontal="center" wrapText="1"/>
    </xf>
    <xf numFmtId="0" fontId="0" fillId="0" borderId="0" xfId="0" applyAlignment="1">
      <alignment horizontal="center"/>
    </xf>
    <xf numFmtId="0" fontId="5" fillId="0" borderId="24" xfId="0" applyFont="1" applyBorder="1" applyAlignment="1">
      <alignment horizontal="center"/>
    </xf>
    <xf numFmtId="0" fontId="5" fillId="0" borderId="25" xfId="0" applyFont="1" applyBorder="1" applyAlignment="1">
      <alignment horizontal="center"/>
    </xf>
    <xf numFmtId="0" fontId="5" fillId="0" borderId="26" xfId="0" applyFont="1" applyBorder="1" applyAlignment="1">
      <alignment horizontal="center"/>
    </xf>
    <xf numFmtId="0" fontId="16" fillId="0" borderId="35" xfId="0" applyFont="1" applyBorder="1" applyAlignment="1">
      <alignment horizontal="center"/>
    </xf>
    <xf numFmtId="0" fontId="16" fillId="0" borderId="36" xfId="0" applyFont="1" applyBorder="1" applyAlignment="1">
      <alignment horizontal="center"/>
    </xf>
    <xf numFmtId="0" fontId="16" fillId="0" borderId="37" xfId="0" applyFont="1" applyBorder="1" applyAlignment="1">
      <alignment horizontal="center"/>
    </xf>
    <xf numFmtId="0" fontId="0" fillId="0" borderId="17" xfId="0" applyBorder="1" applyAlignment="1">
      <alignment horizontal="right" indent="2"/>
    </xf>
    <xf numFmtId="0" fontId="0" fillId="0" borderId="18" xfId="0" applyBorder="1" applyAlignment="1">
      <alignment horizontal="right" indent="2"/>
    </xf>
    <xf numFmtId="0" fontId="0" fillId="0" borderId="19" xfId="0" applyBorder="1" applyAlignment="1">
      <alignment horizontal="right" indent="2"/>
    </xf>
    <xf numFmtId="0" fontId="0" fillId="0" borderId="27" xfId="0" applyBorder="1" applyAlignment="1">
      <alignment horizontal="right" indent="2"/>
    </xf>
    <xf numFmtId="0" fontId="0" fillId="0" borderId="28" xfId="0" applyBorder="1" applyAlignment="1">
      <alignment horizontal="right" indent="2"/>
    </xf>
    <xf numFmtId="0" fontId="0" fillId="0" borderId="29" xfId="0" applyBorder="1" applyAlignment="1">
      <alignment horizontal="right" indent="2"/>
    </xf>
    <xf numFmtId="0" fontId="0" fillId="0" borderId="20" xfId="0" applyBorder="1" applyAlignment="1">
      <alignment horizontal="right" indent="2"/>
    </xf>
    <xf numFmtId="0" fontId="0" fillId="0" borderId="21" xfId="0" applyBorder="1" applyAlignment="1">
      <alignment horizontal="right" indent="2"/>
    </xf>
    <xf numFmtId="0" fontId="0" fillId="0" borderId="22" xfId="0" applyBorder="1" applyAlignment="1">
      <alignment horizontal="right" indent="2"/>
    </xf>
    <xf numFmtId="0" fontId="5" fillId="0" borderId="1" xfId="0" applyFont="1" applyBorder="1" applyAlignment="1">
      <alignment horizontal="center"/>
    </xf>
    <xf numFmtId="0" fontId="3" fillId="0" borderId="0" xfId="0" applyFont="1" applyBorder="1" applyAlignment="1">
      <alignment horizontal="left" wrapText="1"/>
    </xf>
    <xf numFmtId="0" fontId="0" fillId="0" borderId="0" xfId="0" applyAlignment="1">
      <alignment wrapText="1"/>
    </xf>
    <xf numFmtId="0" fontId="5" fillId="0" borderId="15" xfId="0" applyFont="1" applyBorder="1" applyAlignment="1">
      <alignment horizontal="center" textRotation="90"/>
    </xf>
    <xf numFmtId="0" fontId="11" fillId="0" borderId="39" xfId="0" applyFont="1" applyBorder="1" applyAlignment="1">
      <alignment horizontal="center" textRotation="90"/>
    </xf>
    <xf numFmtId="0" fontId="0" fillId="0" borderId="15" xfId="0" applyBorder="1"/>
    <xf numFmtId="0" fontId="17" fillId="0" borderId="0" xfId="0" applyFont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4" fillId="0" borderId="31" xfId="0" applyFont="1" applyBorder="1" applyAlignment="1">
      <alignment horizontal="left" indent="1"/>
    </xf>
    <xf numFmtId="0" fontId="4" fillId="0" borderId="32" xfId="0" applyFont="1" applyBorder="1" applyAlignment="1">
      <alignment horizontal="left" indent="1"/>
    </xf>
    <xf numFmtId="0" fontId="4" fillId="0" borderId="33" xfId="0" applyFont="1" applyBorder="1" applyAlignment="1">
      <alignment horizontal="left" indent="1"/>
    </xf>
    <xf numFmtId="0" fontId="4" fillId="0" borderId="34" xfId="0" applyFont="1" applyBorder="1" applyAlignment="1">
      <alignment horizontal="left" indent="1"/>
    </xf>
    <xf numFmtId="0" fontId="17" fillId="0" borderId="0" xfId="0" applyFont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0" xfId="0" applyFont="1" applyAlignment="1">
      <alignment horizontal="left" wrapText="1"/>
    </xf>
    <xf numFmtId="0" fontId="4" fillId="0" borderId="30" xfId="0" applyFont="1" applyBorder="1" applyAlignment="1">
      <alignment horizontal="left" indent="1"/>
    </xf>
    <xf numFmtId="0" fontId="4" fillId="0" borderId="38" xfId="0" applyFont="1" applyBorder="1" applyAlignment="1">
      <alignment horizontal="left" indent="1"/>
    </xf>
    <xf numFmtId="0" fontId="8" fillId="0" borderId="15" xfId="0" applyFont="1" applyBorder="1" applyAlignment="1">
      <alignment horizontal="left"/>
    </xf>
    <xf numFmtId="0" fontId="8" fillId="0" borderId="4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9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/>
    </xf>
    <xf numFmtId="0" fontId="10" fillId="0" borderId="11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1" xfId="0" applyFont="1" applyBorder="1" applyAlignment="1">
      <alignment horizontal="center"/>
    </xf>
    <xf numFmtId="0" fontId="8" fillId="0" borderId="10" xfId="0" applyFont="1" applyBorder="1" applyAlignment="1">
      <alignment horizontal="center"/>
    </xf>
    <xf numFmtId="0" fontId="9" fillId="0" borderId="9" xfId="0" applyFont="1" applyBorder="1" applyAlignment="1">
      <alignment horizontal="center"/>
    </xf>
    <xf numFmtId="0" fontId="9" fillId="0" borderId="10" xfId="0" applyFont="1" applyBorder="1" applyAlignment="1">
      <alignment horizontal="center"/>
    </xf>
    <xf numFmtId="0" fontId="18" fillId="0" borderId="0" xfId="0" applyFont="1"/>
  </cellXfs>
  <cellStyles count="2">
    <cellStyle name="Normal" xfId="0" builtinId="0"/>
    <cellStyle name="Pourcentage" xfId="1" builtinId="5"/>
  </cellStyles>
  <dxfs count="68"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ill>
        <patternFill>
          <bgColor theme="7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9" tint="-0.49998474074526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Times New Roman"/>
        <scheme val="none"/>
      </font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general" vertical="bottom" textRotation="0" wrapText="1" indent="0" justifyLastLine="0" shrinkToFit="0" readingOrder="0"/>
    </dxf>
    <dxf>
      <border outline="0">
        <top style="medium">
          <color auto="1"/>
        </top>
      </border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Times New Roman"/>
        <scheme val="none"/>
      </font>
      <fill>
        <patternFill patternType="solid">
          <fgColor indexed="64"/>
          <bgColor theme="0" tint="-4.9989318521683403E-2"/>
        </patternFill>
      </fill>
      <alignment horizontal="center" vertical="bottom" textRotation="9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</dxfs>
  <tableStyles count="0" defaultTableStyle="TableStyleMedium2" defaultPivotStyle="PivotStyleLight16"/>
  <colors>
    <mruColors>
      <color rgb="FFCC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0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8.xml"/><Relationship Id="rId1" Type="http://schemas.microsoft.com/office/2011/relationships/chartStyle" Target="style28.xml"/></Relationships>
</file>

<file path=xl/charts/_rels/chart29.xml.rels><?xml version="1.0" encoding="UTF-8" standalone="yes"?>
<Relationships xmlns="http://schemas.openxmlformats.org/package/2006/relationships"><Relationship Id="rId2" Type="http://schemas.microsoft.com/office/2011/relationships/chartColorStyle" Target="colors29.xml"/><Relationship Id="rId1" Type="http://schemas.microsoft.com/office/2011/relationships/chartStyle" Target="style29.xml"/></Relationships>
</file>

<file path=xl/charts/_rels/chart30.xml.rels><?xml version="1.0" encoding="UTF-8" standalone="yes"?>
<Relationships xmlns="http://schemas.openxmlformats.org/package/2006/relationships"><Relationship Id="rId2" Type="http://schemas.microsoft.com/office/2011/relationships/chartColorStyle" Target="colors30.xml"/><Relationship Id="rId1" Type="http://schemas.microsoft.com/office/2011/relationships/chartStyle" Target="style30.xml"/></Relationships>
</file>

<file path=xl/charts/_rels/chart31.xml.rels><?xml version="1.0" encoding="UTF-8" standalone="yes"?>
<Relationships xmlns="http://schemas.openxmlformats.org/package/2006/relationships"><Relationship Id="rId2" Type="http://schemas.microsoft.com/office/2011/relationships/chartColorStyle" Target="colors31.xml"/><Relationship Id="rId1" Type="http://schemas.microsoft.com/office/2011/relationships/chartStyle" Target="style31.xml"/></Relationships>
</file>

<file path=xl/charts/_rels/chart32.xml.rels><?xml version="1.0" encoding="UTF-8" standalone="yes"?>
<Relationships xmlns="http://schemas.openxmlformats.org/package/2006/relationships"><Relationship Id="rId2" Type="http://schemas.microsoft.com/office/2011/relationships/chartColorStyle" Target="colors32.xml"/><Relationship Id="rId1" Type="http://schemas.microsoft.com/office/2011/relationships/chartStyle" Target="style3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Accueil</a:t>
            </a:r>
            <a:r>
              <a:rPr lang="fr-FR" b="1" u="sng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arrivée</a:t>
            </a:r>
            <a:endParaRPr lang="fr-FR" b="1" u="sng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ResGlobal'!$B$13:$E$13</c:f>
              <c:strCache>
                <c:ptCount val="4"/>
                <c:pt idx="0">
                  <c:v>Très satisfaisant</c:v>
                </c:pt>
                <c:pt idx="1">
                  <c:v>Satisfaisant</c:v>
                </c:pt>
                <c:pt idx="2">
                  <c:v>Peu satisfaisant  </c:v>
                </c:pt>
                <c:pt idx="3">
                  <c:v>Pas du tout satisfaisant</c:v>
                </c:pt>
              </c:strCache>
            </c:strRef>
          </c:cat>
          <c:val>
            <c:numRef>
              <c:f>' ResGlobal'!$B$14:$E$14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ResGlobal'!$B$26:$C$26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Doc Administratifs</a:t>
            </a:r>
          </a:p>
        </c:rich>
      </c:tx>
      <c:layout>
        <c:manualLayout>
          <c:xMode val="edge"/>
          <c:yMode val="edge"/>
          <c:x val="0.31543508984453872"/>
          <c:y val="4.22705314009661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ResGlobal'!$B$39:$C$39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ResGlobal'!$B$40:$C$40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Aides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ResGlobal'!$B$51:$C$51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ResGlobal'!$B$52:$C$52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Services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ResGlobal'!$B$64:$C$64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ResGlobal'!$B$65:$C$65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ResGlobal'!$B$77:$C$77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ResGlobal'!$B$78:$C$78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Animations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ResGlobal'!$B$92:$C$92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ResGlobal'!$B$93:$C$93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Logement et attentes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ResGlobal'!$B$115:$C$115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ResGlobal'!$B$116:$C$116</c:f>
              <c:numCache>
                <c:formatCode>General</c:formatCode>
                <c:ptCount val="2"/>
                <c:pt idx="0">
                  <c:v>1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Prix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ResGlobal'!$B$129:$E$129</c:f>
              <c:numCache>
                <c:formatCode>General</c:formatCode>
                <c:ptCount val="4"/>
                <c:pt idx="0">
                  <c:v>1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Confort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ResGlobal'!$B$141:$E$141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ResGlobal'!$B$153:$E$153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Propreté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' ResGlobal'!$B$165:$E$165</c:f>
              <c:numCache>
                <c:formatCode>General</c:formatCode>
                <c:ptCount val="4"/>
                <c:pt idx="0">
                  <c:v>2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Etat des lieux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338764426340799E-2"/>
          <c:y val="0.20454545454545459"/>
          <c:w val="0.92532247114731836"/>
          <c:h val="0.59221959143218983"/>
        </c:manualLayout>
      </c:layout>
      <c:pie3DChart>
        <c:varyColors val="1"/>
        <c:ser>
          <c:idx val="0"/>
          <c:order val="0"/>
          <c:tx>
            <c:strRef>
              <c:f>' ResGlobal'!$B$104:$C$104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' ResGlobal'!$B$105:$C$105</c:f>
              <c:numCache>
                <c:formatCode>General</c:formatCode>
                <c:ptCount val="2"/>
                <c:pt idx="0">
                  <c:v>2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Ecoute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' ResGlobal'!$A$175:$E$175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cat>
          <c:val>
            <c:numRef>
              <c:f>' ResGlobal'!$A$176:$E$176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1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08846009633393"/>
          <c:y val="4.3193289649982577E-2"/>
          <c:w val="0.31493351792564389"/>
          <c:h val="0.90254115962777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Domaines</a:t>
            </a:r>
            <a:r>
              <a:rPr lang="fr-FR" b="1" baseline="0"/>
              <a:t> de progrès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840133619661182E-2"/>
          <c:y val="0.19413863404689097"/>
          <c:w val="0.89810858432905682"/>
          <c:h val="0.642464703379967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' ResGlobal'!$A$188:$A$193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' ResGlobal'!$B$188:$B$193</c:f>
              <c:numCache>
                <c:formatCode>General</c:formatCode>
                <c:ptCount val="6"/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' ResGlobal'!$A$188:$A$193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' ResGlobal'!$I$188:$I$193</c:f>
              <c:numCache>
                <c:formatCode>General</c:formatCode>
                <c:ptCount val="6"/>
                <c:pt idx="0">
                  <c:v>15</c:v>
                </c:pt>
                <c:pt idx="1">
                  <c:v>24</c:v>
                </c:pt>
                <c:pt idx="2">
                  <c:v>18</c:v>
                </c:pt>
                <c:pt idx="3">
                  <c:v>20</c:v>
                </c:pt>
                <c:pt idx="4">
                  <c:v>14</c:v>
                </c:pt>
                <c:pt idx="5">
                  <c:v>5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6618408"/>
        <c:axId val="466617624"/>
      </c:barChart>
      <c:catAx>
        <c:axId val="4666184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6617624"/>
        <c:crosses val="autoZero"/>
        <c:auto val="1"/>
        <c:lblAlgn val="ctr"/>
        <c:lblOffset val="100"/>
        <c:noMultiLvlLbl val="0"/>
      </c:catAx>
      <c:valAx>
        <c:axId val="4666176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66184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Appréciation Globale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' ResGlobal'!$B$213:$E$213</c:f>
              <c:strCache>
                <c:ptCount val="4"/>
                <c:pt idx="0">
                  <c:v>Très satisfait</c:v>
                </c:pt>
                <c:pt idx="1">
                  <c:v>Satisfait</c:v>
                </c:pt>
                <c:pt idx="2">
                  <c:v>Peu satisfait</c:v>
                </c:pt>
                <c:pt idx="3">
                  <c:v>Pas du tout satisfait</c:v>
                </c:pt>
              </c:strCache>
            </c:strRef>
          </c:cat>
          <c:val>
            <c:numRef>
              <c:f>' ResGlobal'!$B$14:$E$14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Accueil</a:t>
            </a:r>
            <a:r>
              <a:rPr lang="fr-FR" b="1" u="sng" baseline="0">
                <a:latin typeface="Times New Roman" panose="02020603050405020304" pitchFamily="18" charset="0"/>
                <a:cs typeface="Times New Roman" panose="02020603050405020304" pitchFamily="18" charset="0"/>
              </a:rPr>
              <a:t> arrivée</a:t>
            </a:r>
            <a:endParaRPr lang="fr-FR" b="1" u="sng">
              <a:latin typeface="Times New Roman" panose="02020603050405020304" pitchFamily="18" charset="0"/>
              <a:cs typeface="Times New Roman" panose="02020603050405020304" pitchFamily="18" charset="0"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REsEtab!$B$13:$E$13</c:f>
              <c:strCache>
                <c:ptCount val="4"/>
                <c:pt idx="0">
                  <c:v>Très satisfaisant</c:v>
                </c:pt>
                <c:pt idx="1">
                  <c:v>Satisfaisant</c:v>
                </c:pt>
                <c:pt idx="2">
                  <c:v>Peu satisfaisant  </c:v>
                </c:pt>
                <c:pt idx="3">
                  <c:v>Pas du tout satisfaisant</c:v>
                </c:pt>
              </c:strCache>
            </c:strRef>
          </c:cat>
          <c:val>
            <c:numRef>
              <c:f>REsEtab!$B$14:$E$14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REsEtab!$B$26:$C$26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Doc Administratifs</a:t>
            </a:r>
          </a:p>
        </c:rich>
      </c:tx>
      <c:layout>
        <c:manualLayout>
          <c:xMode val="edge"/>
          <c:yMode val="edge"/>
          <c:x val="0.31543508984453872"/>
          <c:y val="4.227053140096618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REsEtab!$B$39:$C$39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REsEtab!$B$40:$C$40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Aides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REsEtab!$B$51:$C$51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REsEtab!$B$52:$C$52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Services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REsEtab!$B$64:$C$64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REsEtab!$B$65:$C$65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Tarifs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REsEtab!$B$77:$C$77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REsEtab!$B$78:$C$78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Info Animations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REsEtab!$B$92:$C$92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REsEtab!$B$93:$C$93</c:f>
              <c:numCache>
                <c:formatCode>General</c:formatCode>
                <c:ptCount val="2"/>
                <c:pt idx="0">
                  <c:v>0</c:v>
                </c:pt>
                <c:pt idx="1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Logement et attentes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REsEtab!$B$115:$C$115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REsEtab!$B$116:$C$116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en-US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Prix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REsEtab!$B$128:$E$128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REsEtab!$B$129:$E$129</c:f>
              <c:numCache>
                <c:formatCode>General</c:formatCode>
                <c:ptCount val="4"/>
                <c:pt idx="0">
                  <c:v>0</c:v>
                </c:pt>
                <c:pt idx="1">
                  <c:v>2</c:v>
                </c:pt>
                <c:pt idx="2">
                  <c:v>0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Confort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REsEtab!$B$140:$E$140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REsEtab!$B$141:$E$141</c:f>
              <c:numCache>
                <c:formatCode>General</c:formatCode>
                <c:ptCount val="4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Equipements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REsEtab!$B$152:$E$152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REsEtab!$B$153:$E$153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Propreté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REsEtab!$B$164:$E$164</c:f>
              <c:strCache>
                <c:ptCount val="4"/>
                <c:pt idx="0">
                  <c:v>Tout à fait d'accord</c:v>
                </c:pt>
                <c:pt idx="1">
                  <c:v>Plutôt d'accord</c:v>
                </c:pt>
                <c:pt idx="2">
                  <c:v>Plutôt pas d'accord</c:v>
                </c:pt>
                <c:pt idx="3">
                  <c:v>Pas d'accord du tout</c:v>
                </c:pt>
              </c:strCache>
            </c:strRef>
          </c:cat>
          <c:val>
            <c:numRef>
              <c:f>REsEtab!$B$165:$E$165</c:f>
              <c:numCache>
                <c:formatCode>General</c:formatCode>
                <c:ptCount val="4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Etat des lieux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>
        <c:manualLayout>
          <c:layoutTarget val="inner"/>
          <c:xMode val="edge"/>
          <c:yMode val="edge"/>
          <c:x val="3.7338764426340799E-2"/>
          <c:y val="0.20454545454545459"/>
          <c:w val="0.92532247114731836"/>
          <c:h val="0.59221959143218983"/>
        </c:manualLayout>
      </c:layout>
      <c:pie3DChart>
        <c:varyColors val="1"/>
        <c:ser>
          <c:idx val="0"/>
          <c:order val="0"/>
          <c:tx>
            <c:strRef>
              <c:f>REsEtab!$B$104:$C$104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REsEtab!$B$25:$C$25</c:f>
              <c:strCache>
                <c:ptCount val="2"/>
                <c:pt idx="0">
                  <c:v>Oui</c:v>
                </c:pt>
                <c:pt idx="1">
                  <c:v>Non</c:v>
                </c:pt>
              </c:strCache>
            </c:strRef>
          </c:cat>
          <c:val>
            <c:numRef>
              <c:f>REsEtab!$B$105:$C$105</c:f>
              <c:numCache>
                <c:formatCode>General</c:formatCode>
                <c:ptCount val="2"/>
                <c:pt idx="0">
                  <c:v>1</c:v>
                </c:pt>
                <c:pt idx="1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Ecoute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tx>
            <c:strRef>
              <c:f>REsEtab!$A$175:$E$175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4"/>
            <c:bubble3D val="0"/>
            <c:spPr>
              <a:solidFill>
                <a:schemeClr val="accent5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REsEtab!$A$175:$E$175</c:f>
              <c:strCache>
                <c:ptCount val="5"/>
                <c:pt idx="0">
                  <c:v>Très souvent</c:v>
                </c:pt>
                <c:pt idx="1">
                  <c:v>Assez souvent</c:v>
                </c:pt>
                <c:pt idx="2">
                  <c:v>Occasionnellement</c:v>
                </c:pt>
                <c:pt idx="3">
                  <c:v>Rarement</c:v>
                </c:pt>
                <c:pt idx="4">
                  <c:v>Jamais</c:v>
                </c:pt>
              </c:strCache>
            </c:strRef>
          </c:cat>
          <c:val>
            <c:numRef>
              <c:f>REsEtab!$A$176:$E$176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2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6308846009633393"/>
          <c:y val="4.3193289649982577E-2"/>
          <c:w val="0.31493351792564389"/>
          <c:h val="0.90254115962777381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b="1"/>
              <a:t>Domaines</a:t>
            </a:r>
            <a:r>
              <a:rPr lang="fr-FR" b="1" baseline="0"/>
              <a:t> de progrès</a:t>
            </a:r>
            <a:endParaRPr lang="fr-FR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>
        <c:manualLayout>
          <c:layoutTarget val="inner"/>
          <c:xMode val="edge"/>
          <c:yMode val="edge"/>
          <c:x val="6.9840133619661182E-2"/>
          <c:y val="0.19413863404689097"/>
          <c:w val="0.89810858432905682"/>
          <c:h val="0.64246470337996742"/>
        </c:manualLayout>
      </c:layout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REsEtab!$A$188:$A$193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REsEtab!$B$188:$B$193</c:f>
              <c:numCache>
                <c:formatCode>General</c:formatCode>
                <c:ptCount val="6"/>
              </c:numCache>
            </c:numRef>
          </c:val>
        </c:ser>
        <c:ser>
          <c:idx val="1"/>
          <c:order val="1"/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strRef>
              <c:f>REsEtab!$A$188:$A$193</c:f>
              <c:strCache>
                <c:ptCount val="6"/>
                <c:pt idx="0">
                  <c:v>Santé</c:v>
                </c:pt>
                <c:pt idx="1">
                  <c:v>Emploi, stage, formation</c:v>
                </c:pt>
                <c:pt idx="2">
                  <c:v>Logement</c:v>
                </c:pt>
                <c:pt idx="3">
                  <c:v>Transport</c:v>
                </c:pt>
                <c:pt idx="4">
                  <c:v>Administratif</c:v>
                </c:pt>
                <c:pt idx="5">
                  <c:v>Budget</c:v>
                </c:pt>
              </c:strCache>
            </c:strRef>
          </c:cat>
          <c:val>
            <c:numRef>
              <c:f>REsEtab!$I$188:$I$193</c:f>
              <c:numCache>
                <c:formatCode>General</c:formatCode>
                <c:ptCount val="6"/>
                <c:pt idx="0">
                  <c:v>11</c:v>
                </c:pt>
                <c:pt idx="1">
                  <c:v>18</c:v>
                </c:pt>
                <c:pt idx="2">
                  <c:v>10</c:v>
                </c:pt>
                <c:pt idx="3">
                  <c:v>10</c:v>
                </c:pt>
                <c:pt idx="4">
                  <c:v>11</c:v>
                </c:pt>
                <c:pt idx="5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65013528"/>
        <c:axId val="465023328"/>
      </c:barChart>
      <c:catAx>
        <c:axId val="46501352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1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023328"/>
        <c:crosses val="autoZero"/>
        <c:auto val="1"/>
        <c:lblAlgn val="ctr"/>
        <c:lblOffset val="100"/>
        <c:noMultiLvlLbl val="0"/>
      </c:catAx>
      <c:valAx>
        <c:axId val="46502332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6501352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sng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Times New Roman" panose="02020603050405020304" pitchFamily="18" charset="0"/>
                <a:ea typeface="+mn-ea"/>
                <a:cs typeface="Times New Roman" panose="02020603050405020304" pitchFamily="18" charset="0"/>
              </a:defRPr>
            </a:pPr>
            <a:r>
              <a:rPr lang="fr-FR" b="1" u="sng">
                <a:latin typeface="Times New Roman" panose="02020603050405020304" pitchFamily="18" charset="0"/>
                <a:cs typeface="Times New Roman" panose="02020603050405020304" pitchFamily="18" charset="0"/>
              </a:rPr>
              <a:t>Appréciation Globale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sng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Times New Roman" panose="02020603050405020304" pitchFamily="18" charset="0"/>
              <a:ea typeface="+mn-ea"/>
              <a:cs typeface="Times New Roman" panose="02020603050405020304" pitchFamily="18" charset="0"/>
            </a:defRPr>
          </a:pPr>
          <a:endParaRPr lang="fr-FR"/>
        </a:p>
      </c:txPr>
    </c:title>
    <c:autoTitleDeleted val="0"/>
    <c:view3D>
      <c:rotX val="30"/>
      <c:rotY val="0"/>
      <c:depthPercent val="100"/>
      <c:rAngAx val="0"/>
    </c:view3D>
    <c:floor>
      <c:thickness val="0"/>
      <c:spPr>
        <a:noFill/>
        <a:ln>
          <a:noFill/>
        </a:ln>
        <a:effectLst/>
        <a:sp3d/>
      </c:spPr>
    </c:floor>
    <c:sideWall>
      <c:thickness val="0"/>
      <c:spPr>
        <a:noFill/>
        <a:ln>
          <a:noFill/>
        </a:ln>
        <a:effectLst/>
        <a:sp3d/>
      </c:spPr>
    </c:sideWall>
    <c:backWall>
      <c:thickness val="0"/>
      <c:spPr>
        <a:noFill/>
        <a:ln>
          <a:noFill/>
        </a:ln>
        <a:effectLst/>
        <a:sp3d/>
      </c:spPr>
    </c:backWall>
    <c:plotArea>
      <c:layout/>
      <c:pie3D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1"/>
            <c:bubble3D val="0"/>
            <c:spPr>
              <a:solidFill>
                <a:schemeClr val="accent2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2"/>
            <c:bubble3D val="0"/>
            <c:spPr>
              <a:solidFill>
                <a:schemeClr val="accent3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dPt>
            <c:idx val="3"/>
            <c:bubble3D val="0"/>
            <c:spPr>
              <a:solidFill>
                <a:schemeClr val="accent4"/>
              </a:solidFill>
              <a:ln w="25400">
                <a:solidFill>
                  <a:schemeClr val="lt1"/>
                </a:solidFill>
              </a:ln>
              <a:effectLst/>
              <a:sp3d contourW="25400">
                <a:contourClr>
                  <a:schemeClr val="lt1"/>
                </a:contourClr>
              </a:sp3d>
            </c:spPr>
          </c:dPt>
          <c:cat>
            <c:strRef>
              <c:f>REsEtab!$B$213:$E$213</c:f>
              <c:strCache>
                <c:ptCount val="4"/>
                <c:pt idx="0">
                  <c:v>Très satisfait</c:v>
                </c:pt>
                <c:pt idx="1">
                  <c:v>Satisfait</c:v>
                </c:pt>
                <c:pt idx="2">
                  <c:v>Peu satisfait</c:v>
                </c:pt>
                <c:pt idx="3">
                  <c:v>Pas du tout satisfait</c:v>
                </c:pt>
              </c:strCache>
            </c:strRef>
          </c:cat>
          <c:val>
            <c:numRef>
              <c:f>REsEtab!$B$14:$E$14</c:f>
              <c:numCache>
                <c:formatCode>General</c:formatCode>
                <c:ptCount val="4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</c:pie3D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1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8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9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0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2.xml><?xml version="1.0" encoding="utf-8"?>
<cs:chartStyle xmlns:cs="http://schemas.microsoft.com/office/drawing/2012/chartStyle" xmlns:a="http://schemas.openxmlformats.org/drawingml/2006/main" id="26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8.xml"/><Relationship Id="rId13" Type="http://schemas.openxmlformats.org/officeDocument/2006/relationships/chart" Target="../charts/chart13.xml"/><Relationship Id="rId3" Type="http://schemas.openxmlformats.org/officeDocument/2006/relationships/chart" Target="../charts/chart3.xml"/><Relationship Id="rId7" Type="http://schemas.openxmlformats.org/officeDocument/2006/relationships/chart" Target="../charts/chart7.xml"/><Relationship Id="rId12" Type="http://schemas.openxmlformats.org/officeDocument/2006/relationships/chart" Target="../charts/chart12.xml"/><Relationship Id="rId2" Type="http://schemas.openxmlformats.org/officeDocument/2006/relationships/chart" Target="../charts/chart2.xml"/><Relationship Id="rId16" Type="http://schemas.openxmlformats.org/officeDocument/2006/relationships/chart" Target="../charts/chart16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11" Type="http://schemas.openxmlformats.org/officeDocument/2006/relationships/chart" Target="../charts/chart11.xml"/><Relationship Id="rId5" Type="http://schemas.openxmlformats.org/officeDocument/2006/relationships/chart" Target="../charts/chart5.xml"/><Relationship Id="rId15" Type="http://schemas.openxmlformats.org/officeDocument/2006/relationships/chart" Target="../charts/chart15.xml"/><Relationship Id="rId10" Type="http://schemas.openxmlformats.org/officeDocument/2006/relationships/chart" Target="../charts/chart10.xml"/><Relationship Id="rId4" Type="http://schemas.openxmlformats.org/officeDocument/2006/relationships/chart" Target="../charts/chart4.xml"/><Relationship Id="rId9" Type="http://schemas.openxmlformats.org/officeDocument/2006/relationships/chart" Target="../charts/chart9.xml"/><Relationship Id="rId14" Type="http://schemas.openxmlformats.org/officeDocument/2006/relationships/chart" Target="../charts/chart14.xml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chart" Target="../charts/chart24.xml"/><Relationship Id="rId13" Type="http://schemas.openxmlformats.org/officeDocument/2006/relationships/chart" Target="../charts/chart29.xml"/><Relationship Id="rId3" Type="http://schemas.openxmlformats.org/officeDocument/2006/relationships/chart" Target="../charts/chart19.xml"/><Relationship Id="rId7" Type="http://schemas.openxmlformats.org/officeDocument/2006/relationships/chart" Target="../charts/chart23.xml"/><Relationship Id="rId12" Type="http://schemas.openxmlformats.org/officeDocument/2006/relationships/chart" Target="../charts/chart28.xml"/><Relationship Id="rId2" Type="http://schemas.openxmlformats.org/officeDocument/2006/relationships/chart" Target="../charts/chart18.xml"/><Relationship Id="rId16" Type="http://schemas.openxmlformats.org/officeDocument/2006/relationships/chart" Target="../charts/chart32.xml"/><Relationship Id="rId1" Type="http://schemas.openxmlformats.org/officeDocument/2006/relationships/chart" Target="../charts/chart17.xml"/><Relationship Id="rId6" Type="http://schemas.openxmlformats.org/officeDocument/2006/relationships/chart" Target="../charts/chart22.xml"/><Relationship Id="rId11" Type="http://schemas.openxmlformats.org/officeDocument/2006/relationships/chart" Target="../charts/chart27.xml"/><Relationship Id="rId5" Type="http://schemas.openxmlformats.org/officeDocument/2006/relationships/chart" Target="../charts/chart21.xml"/><Relationship Id="rId15" Type="http://schemas.openxmlformats.org/officeDocument/2006/relationships/chart" Target="../charts/chart31.xml"/><Relationship Id="rId10" Type="http://schemas.openxmlformats.org/officeDocument/2006/relationships/chart" Target="../charts/chart26.xml"/><Relationship Id="rId4" Type="http://schemas.openxmlformats.org/officeDocument/2006/relationships/chart" Target="../charts/chart20.xml"/><Relationship Id="rId9" Type="http://schemas.openxmlformats.org/officeDocument/2006/relationships/chart" Target="../charts/chart25.xml"/><Relationship Id="rId14" Type="http://schemas.openxmlformats.org/officeDocument/2006/relationships/chart" Target="../charts/chart3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9</xdr:row>
      <xdr:rowOff>167640</xdr:rowOff>
    </xdr:from>
    <xdr:to>
      <xdr:col>11</xdr:col>
      <xdr:colOff>754380</xdr:colOff>
      <xdr:row>20</xdr:row>
      <xdr:rowOff>68580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21</xdr:row>
      <xdr:rowOff>114300</xdr:rowOff>
    </xdr:from>
    <xdr:to>
      <xdr:col>11</xdr:col>
      <xdr:colOff>678180</xdr:colOff>
      <xdr:row>33</xdr:row>
      <xdr:rowOff>38100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502920</xdr:colOff>
      <xdr:row>35</xdr:row>
      <xdr:rowOff>99060</xdr:rowOff>
    </xdr:from>
    <xdr:to>
      <xdr:col>11</xdr:col>
      <xdr:colOff>304800</xdr:colOff>
      <xdr:row>47</xdr:row>
      <xdr:rowOff>22860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510540</xdr:colOff>
      <xdr:row>47</xdr:row>
      <xdr:rowOff>152400</xdr:rowOff>
    </xdr:from>
    <xdr:to>
      <xdr:col>11</xdr:col>
      <xdr:colOff>312420</xdr:colOff>
      <xdr:row>58</xdr:row>
      <xdr:rowOff>53340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502920</xdr:colOff>
      <xdr:row>59</xdr:row>
      <xdr:rowOff>53340</xdr:rowOff>
    </xdr:from>
    <xdr:to>
      <xdr:col>11</xdr:col>
      <xdr:colOff>304800</xdr:colOff>
      <xdr:row>70</xdr:row>
      <xdr:rowOff>152400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487680</xdr:colOff>
      <xdr:row>73</xdr:row>
      <xdr:rowOff>15240</xdr:rowOff>
    </xdr:from>
    <xdr:to>
      <xdr:col>11</xdr:col>
      <xdr:colOff>289560</xdr:colOff>
      <xdr:row>84</xdr:row>
      <xdr:rowOff>114300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464820</xdr:colOff>
      <xdr:row>87</xdr:row>
      <xdr:rowOff>114300</xdr:rowOff>
    </xdr:from>
    <xdr:to>
      <xdr:col>11</xdr:col>
      <xdr:colOff>266700</xdr:colOff>
      <xdr:row>98</xdr:row>
      <xdr:rowOff>68580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464820</xdr:colOff>
      <xdr:row>110</xdr:row>
      <xdr:rowOff>114300</xdr:rowOff>
    </xdr:from>
    <xdr:to>
      <xdr:col>11</xdr:col>
      <xdr:colOff>266700</xdr:colOff>
      <xdr:row>122</xdr:row>
      <xdr:rowOff>38100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83820</xdr:colOff>
      <xdr:row>123</xdr:row>
      <xdr:rowOff>15240</xdr:rowOff>
    </xdr:from>
    <xdr:to>
      <xdr:col>11</xdr:col>
      <xdr:colOff>678180</xdr:colOff>
      <xdr:row>134</xdr:row>
      <xdr:rowOff>45720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60960</xdr:colOff>
      <xdr:row>135</xdr:row>
      <xdr:rowOff>114300</xdr:rowOff>
    </xdr:from>
    <xdr:to>
      <xdr:col>11</xdr:col>
      <xdr:colOff>655320</xdr:colOff>
      <xdr:row>146</xdr:row>
      <xdr:rowOff>15240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45720</xdr:colOff>
      <xdr:row>147</xdr:row>
      <xdr:rowOff>0</xdr:rowOff>
    </xdr:from>
    <xdr:to>
      <xdr:col>11</xdr:col>
      <xdr:colOff>640080</xdr:colOff>
      <xdr:row>157</xdr:row>
      <xdr:rowOff>76200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45720</xdr:colOff>
      <xdr:row>159</xdr:row>
      <xdr:rowOff>0</xdr:rowOff>
    </xdr:from>
    <xdr:to>
      <xdr:col>11</xdr:col>
      <xdr:colOff>640080</xdr:colOff>
      <xdr:row>169</xdr:row>
      <xdr:rowOff>76200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487680</xdr:colOff>
      <xdr:row>99</xdr:row>
      <xdr:rowOff>76200</xdr:rowOff>
    </xdr:from>
    <xdr:to>
      <xdr:col>11</xdr:col>
      <xdr:colOff>266700</xdr:colOff>
      <xdr:row>110</xdr:row>
      <xdr:rowOff>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426720</xdr:colOff>
      <xdr:row>171</xdr:row>
      <xdr:rowOff>83820</xdr:rowOff>
    </xdr:from>
    <xdr:to>
      <xdr:col>11</xdr:col>
      <xdr:colOff>723900</xdr:colOff>
      <xdr:row>182</xdr:row>
      <xdr:rowOff>60960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769620</xdr:colOff>
      <xdr:row>193</xdr:row>
      <xdr:rowOff>152400</xdr:rowOff>
    </xdr:from>
    <xdr:to>
      <xdr:col>9</xdr:col>
      <xdr:colOff>7620</xdr:colOff>
      <xdr:row>208</xdr:row>
      <xdr:rowOff>15240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217</xdr:row>
      <xdr:rowOff>0</xdr:rowOff>
    </xdr:from>
    <xdr:to>
      <xdr:col>6</xdr:col>
      <xdr:colOff>449580</xdr:colOff>
      <xdr:row>230</xdr:row>
      <xdr:rowOff>152400</xdr:rowOff>
    </xdr:to>
    <xdr:graphicFrame macro="">
      <xdr:nvGraphicFramePr>
        <xdr:cNvPr id="18" name="Graphique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160020</xdr:colOff>
      <xdr:row>9</xdr:row>
      <xdr:rowOff>167640</xdr:rowOff>
    </xdr:from>
    <xdr:to>
      <xdr:col>11</xdr:col>
      <xdr:colOff>754380</xdr:colOff>
      <xdr:row>20</xdr:row>
      <xdr:rowOff>68580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7</xdr:col>
      <xdr:colOff>83820</xdr:colOff>
      <xdr:row>21</xdr:row>
      <xdr:rowOff>114300</xdr:rowOff>
    </xdr:from>
    <xdr:to>
      <xdr:col>11</xdr:col>
      <xdr:colOff>678180</xdr:colOff>
      <xdr:row>33</xdr:row>
      <xdr:rowOff>38100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502920</xdr:colOff>
      <xdr:row>35</xdr:row>
      <xdr:rowOff>99060</xdr:rowOff>
    </xdr:from>
    <xdr:to>
      <xdr:col>11</xdr:col>
      <xdr:colOff>304800</xdr:colOff>
      <xdr:row>47</xdr:row>
      <xdr:rowOff>22860</xdr:rowOff>
    </xdr:to>
    <xdr:graphicFrame macro="">
      <xdr:nvGraphicFramePr>
        <xdr:cNvPr id="4" name="Graphique 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6</xdr:col>
      <xdr:colOff>510540</xdr:colOff>
      <xdr:row>47</xdr:row>
      <xdr:rowOff>152400</xdr:rowOff>
    </xdr:from>
    <xdr:to>
      <xdr:col>11</xdr:col>
      <xdr:colOff>312420</xdr:colOff>
      <xdr:row>58</xdr:row>
      <xdr:rowOff>53340</xdr:rowOff>
    </xdr:to>
    <xdr:graphicFrame macro="">
      <xdr:nvGraphicFramePr>
        <xdr:cNvPr id="5" name="Graphique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6</xdr:col>
      <xdr:colOff>502920</xdr:colOff>
      <xdr:row>59</xdr:row>
      <xdr:rowOff>53340</xdr:rowOff>
    </xdr:from>
    <xdr:to>
      <xdr:col>11</xdr:col>
      <xdr:colOff>304800</xdr:colOff>
      <xdr:row>70</xdr:row>
      <xdr:rowOff>152400</xdr:rowOff>
    </xdr:to>
    <xdr:graphicFrame macro="">
      <xdr:nvGraphicFramePr>
        <xdr:cNvPr id="6" name="Graphique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6</xdr:col>
      <xdr:colOff>487680</xdr:colOff>
      <xdr:row>73</xdr:row>
      <xdr:rowOff>15240</xdr:rowOff>
    </xdr:from>
    <xdr:to>
      <xdr:col>11</xdr:col>
      <xdr:colOff>289560</xdr:colOff>
      <xdr:row>84</xdr:row>
      <xdr:rowOff>114300</xdr:rowOff>
    </xdr:to>
    <xdr:graphicFrame macro="">
      <xdr:nvGraphicFramePr>
        <xdr:cNvPr id="7" name="Graphique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6</xdr:col>
      <xdr:colOff>464820</xdr:colOff>
      <xdr:row>87</xdr:row>
      <xdr:rowOff>114300</xdr:rowOff>
    </xdr:from>
    <xdr:to>
      <xdr:col>11</xdr:col>
      <xdr:colOff>266700</xdr:colOff>
      <xdr:row>98</xdr:row>
      <xdr:rowOff>68580</xdr:rowOff>
    </xdr:to>
    <xdr:graphicFrame macro="">
      <xdr:nvGraphicFramePr>
        <xdr:cNvPr id="8" name="Graphique 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6</xdr:col>
      <xdr:colOff>464820</xdr:colOff>
      <xdr:row>110</xdr:row>
      <xdr:rowOff>114300</xdr:rowOff>
    </xdr:from>
    <xdr:to>
      <xdr:col>11</xdr:col>
      <xdr:colOff>266700</xdr:colOff>
      <xdr:row>122</xdr:row>
      <xdr:rowOff>38100</xdr:rowOff>
    </xdr:to>
    <xdr:graphicFrame macro="">
      <xdr:nvGraphicFramePr>
        <xdr:cNvPr id="9" name="Graphique 8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7</xdr:col>
      <xdr:colOff>83820</xdr:colOff>
      <xdr:row>123</xdr:row>
      <xdr:rowOff>15240</xdr:rowOff>
    </xdr:from>
    <xdr:to>
      <xdr:col>11</xdr:col>
      <xdr:colOff>678180</xdr:colOff>
      <xdr:row>134</xdr:row>
      <xdr:rowOff>45720</xdr:rowOff>
    </xdr:to>
    <xdr:graphicFrame macro="">
      <xdr:nvGraphicFramePr>
        <xdr:cNvPr id="10" name="Graphique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7</xdr:col>
      <xdr:colOff>60960</xdr:colOff>
      <xdr:row>135</xdr:row>
      <xdr:rowOff>114300</xdr:rowOff>
    </xdr:from>
    <xdr:to>
      <xdr:col>11</xdr:col>
      <xdr:colOff>655320</xdr:colOff>
      <xdr:row>146</xdr:row>
      <xdr:rowOff>15240</xdr:rowOff>
    </xdr:to>
    <xdr:graphicFrame macro="">
      <xdr:nvGraphicFramePr>
        <xdr:cNvPr id="11" name="Graphique 1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7</xdr:col>
      <xdr:colOff>45720</xdr:colOff>
      <xdr:row>147</xdr:row>
      <xdr:rowOff>0</xdr:rowOff>
    </xdr:from>
    <xdr:to>
      <xdr:col>11</xdr:col>
      <xdr:colOff>640080</xdr:colOff>
      <xdr:row>157</xdr:row>
      <xdr:rowOff>76200</xdr:rowOff>
    </xdr:to>
    <xdr:graphicFrame macro="">
      <xdr:nvGraphicFramePr>
        <xdr:cNvPr id="12" name="Graphique 1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7</xdr:col>
      <xdr:colOff>45720</xdr:colOff>
      <xdr:row>159</xdr:row>
      <xdr:rowOff>0</xdr:rowOff>
    </xdr:from>
    <xdr:to>
      <xdr:col>11</xdr:col>
      <xdr:colOff>640080</xdr:colOff>
      <xdr:row>169</xdr:row>
      <xdr:rowOff>76200</xdr:rowOff>
    </xdr:to>
    <xdr:graphicFrame macro="">
      <xdr:nvGraphicFramePr>
        <xdr:cNvPr id="13" name="Graphique 1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6</xdr:col>
      <xdr:colOff>487680</xdr:colOff>
      <xdr:row>99</xdr:row>
      <xdr:rowOff>76200</xdr:rowOff>
    </xdr:from>
    <xdr:to>
      <xdr:col>11</xdr:col>
      <xdr:colOff>266700</xdr:colOff>
      <xdr:row>110</xdr:row>
      <xdr:rowOff>0</xdr:rowOff>
    </xdr:to>
    <xdr:graphicFrame macro="">
      <xdr:nvGraphicFramePr>
        <xdr:cNvPr id="14" name="Graphique 13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  <xdr:twoCellAnchor>
    <xdr:from>
      <xdr:col>7</xdr:col>
      <xdr:colOff>426720</xdr:colOff>
      <xdr:row>171</xdr:row>
      <xdr:rowOff>83820</xdr:rowOff>
    </xdr:from>
    <xdr:to>
      <xdr:col>11</xdr:col>
      <xdr:colOff>723900</xdr:colOff>
      <xdr:row>182</xdr:row>
      <xdr:rowOff>60960</xdr:rowOff>
    </xdr:to>
    <xdr:graphicFrame macro="">
      <xdr:nvGraphicFramePr>
        <xdr:cNvPr id="15" name="Graphique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4"/>
        </a:graphicData>
      </a:graphic>
    </xdr:graphicFrame>
    <xdr:clientData/>
  </xdr:twoCellAnchor>
  <xdr:twoCellAnchor>
    <xdr:from>
      <xdr:col>1</xdr:col>
      <xdr:colOff>769620</xdr:colOff>
      <xdr:row>193</xdr:row>
      <xdr:rowOff>152400</xdr:rowOff>
    </xdr:from>
    <xdr:to>
      <xdr:col>9</xdr:col>
      <xdr:colOff>7620</xdr:colOff>
      <xdr:row>208</xdr:row>
      <xdr:rowOff>15240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5"/>
        </a:graphicData>
      </a:graphic>
    </xdr:graphicFrame>
    <xdr:clientData/>
  </xdr:twoCellAnchor>
  <xdr:twoCellAnchor>
    <xdr:from>
      <xdr:col>2</xdr:col>
      <xdr:colOff>0</xdr:colOff>
      <xdr:row>217</xdr:row>
      <xdr:rowOff>0</xdr:rowOff>
    </xdr:from>
    <xdr:to>
      <xdr:col>6</xdr:col>
      <xdr:colOff>449580</xdr:colOff>
      <xdr:row>230</xdr:row>
      <xdr:rowOff>152400</xdr:rowOff>
    </xdr:to>
    <xdr:graphicFrame macro="">
      <xdr:nvGraphicFramePr>
        <xdr:cNvPr id="17" name="Graphique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4:AG7" totalsRowShown="0" headerRowDxfId="67" headerRowBorderDxfId="66" tableBorderDxfId="65">
  <autoFilter ref="A4:AG7"/>
  <tableColumns count="33">
    <tableColumn id="1" name="Question"/>
    <tableColumn id="33" name="Q0-0"/>
    <tableColumn id="2" name="Q1-0"/>
    <tableColumn id="3" name="Q1-1" dataDxfId="64"/>
    <tableColumn id="4" name="Q2-1" dataDxfId="63"/>
    <tableColumn id="5" name="Q2-2" dataDxfId="62"/>
    <tableColumn id="6" name="Q2-3" dataDxfId="61"/>
    <tableColumn id="7" name="Q2-4" dataDxfId="60"/>
    <tableColumn id="8" name="Q2-5" dataDxfId="59"/>
    <tableColumn id="9" name="Q2-6" dataDxfId="58"/>
    <tableColumn id="10" name="Q3-0" dataDxfId="57"/>
    <tableColumn id="11" name="Q4-0" dataDxfId="56"/>
    <tableColumn id="12" name="Q4-1"/>
    <tableColumn id="13" name="Q4-2"/>
    <tableColumn id="14" name="Q4-3"/>
    <tableColumn id="15" name="Q4-4"/>
    <tableColumn id="16" name="Q4-5"/>
    <tableColumn id="17" name="Q5-0"/>
    <tableColumn id="18" name="Q6-1"/>
    <tableColumn id="19" name="Q6-2"/>
    <tableColumn id="20" name="Q6-3"/>
    <tableColumn id="21" name="Q6-4"/>
    <tableColumn id="22" name="Q6-5"/>
    <tableColumn id="23" name="Q6-6"/>
    <tableColumn id="24" name="Q7-0"/>
    <tableColumn id="25" name="Q8-1" dataDxfId="55"/>
    <tableColumn id="26" name="Q8-2"/>
    <tableColumn id="27" name="Q8-3" dataDxfId="54"/>
    <tableColumn id="28" name="Q8-4"/>
    <tableColumn id="29" name="Q8-5" dataDxfId="53"/>
    <tableColumn id="30" name="Q8-6"/>
    <tableColumn id="31" name="Q8-7" dataDxfId="52"/>
    <tableColumn id="32" name="Q8-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35:B67" totalsRowShown="0" headerRowDxfId="51" dataDxfId="50">
  <autoFilter ref="A35:B67"/>
  <tableColumns count="2">
    <tableColumn id="1" name="Numero" dataDxfId="49"/>
    <tableColumn id="2" name="Intitulé" dataDxfId="4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6"/>
  <sheetViews>
    <sheetView showZeros="0" topLeftCell="A16" workbookViewId="0">
      <selection activeCell="E4" sqref="E4"/>
    </sheetView>
  </sheetViews>
  <sheetFormatPr baseColWidth="10" defaultRowHeight="13.8" x14ac:dyDescent="0.25"/>
  <cols>
    <col min="1" max="1" width="13.6640625" customWidth="1"/>
    <col min="3" max="3" width="12.77734375" customWidth="1"/>
    <col min="5" max="5" width="14.5546875" customWidth="1"/>
  </cols>
  <sheetData>
    <row r="2" spans="1:10" ht="17.399999999999999" x14ac:dyDescent="0.3">
      <c r="A2" s="103" t="s">
        <v>138</v>
      </c>
      <c r="B2" s="103"/>
      <c r="C2" s="103"/>
      <c r="D2" s="103"/>
      <c r="E2" s="103"/>
      <c r="F2" s="103"/>
      <c r="G2" s="103"/>
      <c r="H2" s="103"/>
      <c r="I2" s="103"/>
      <c r="J2" s="103"/>
    </row>
    <row r="6" spans="1:10" ht="14.4" thickBot="1" x14ac:dyDescent="0.3"/>
    <row r="7" spans="1:10" ht="16.2" thickBot="1" x14ac:dyDescent="0.35">
      <c r="C7" s="51" t="s">
        <v>117</v>
      </c>
      <c r="D7" s="52" t="s">
        <v>118</v>
      </c>
      <c r="E7" s="49" t="s">
        <v>119</v>
      </c>
    </row>
    <row r="8" spans="1:10" ht="16.2" thickBot="1" x14ac:dyDescent="0.35">
      <c r="A8" s="104" t="s">
        <v>116</v>
      </c>
      <c r="B8" s="105"/>
      <c r="C8" s="53">
        <v>10</v>
      </c>
      <c r="D8" s="54">
        <f>COUNTA(Question)</f>
        <v>3</v>
      </c>
      <c r="E8" s="50">
        <f>IFERROR(D8/C8,0)</f>
        <v>0.3</v>
      </c>
    </row>
    <row r="11" spans="1:10" ht="15.6" x14ac:dyDescent="0.3">
      <c r="A11" s="48" t="s">
        <v>14</v>
      </c>
      <c r="B11" s="55" t="str">
        <f ca="1">IF(A11&lt;&gt;0,IFERROR(OFFSET(Tables!$A$35,MATCH(' ResGlobal'!A11,Numero,0),1),"nr question incorrect ou inexistant"),"")</f>
        <v>Avant mon arrivée et lors de mon 1er contact, l’accueil a été :</v>
      </c>
      <c r="C11" s="55"/>
      <c r="D11" s="55"/>
      <c r="E11" s="55"/>
    </row>
    <row r="12" spans="1:10" ht="14.4" thickBot="1" x14ac:dyDescent="0.3"/>
    <row r="13" spans="1:10" ht="31.8" thickBot="1" x14ac:dyDescent="0.35">
      <c r="B13" s="56" t="s">
        <v>9</v>
      </c>
      <c r="C13" s="57" t="s">
        <v>10</v>
      </c>
      <c r="D13" s="57" t="s">
        <v>11</v>
      </c>
      <c r="E13" s="58" t="s">
        <v>12</v>
      </c>
      <c r="F13" s="59" t="s">
        <v>122</v>
      </c>
      <c r="G13" s="59" t="s">
        <v>123</v>
      </c>
    </row>
    <row r="14" spans="1:10" ht="14.4" thickBot="1" x14ac:dyDescent="0.3">
      <c r="B14" s="60">
        <f t="shared" ref="B14:E14" ca="1" si="0">COUNTIF(INDIRECT(SUBSTITUTE($A11,"-","_")),B13)</f>
        <v>0</v>
      </c>
      <c r="C14" s="61">
        <f t="shared" ca="1" si="0"/>
        <v>1</v>
      </c>
      <c r="D14" s="61">
        <f t="shared" ca="1" si="0"/>
        <v>1</v>
      </c>
      <c r="E14" s="62">
        <f t="shared" ca="1" si="0"/>
        <v>1</v>
      </c>
      <c r="F14" s="66">
        <f ca="1">COUNTIF(INDIRECT(SUBSTITUTE($A11,"-","_")),F13)</f>
        <v>0</v>
      </c>
      <c r="G14" s="67">
        <f ca="1">SUM(B14:E14)</f>
        <v>3</v>
      </c>
    </row>
    <row r="15" spans="1:10" ht="14.4" thickBot="1" x14ac:dyDescent="0.3">
      <c r="B15" s="63">
        <f ca="1">IFERROR(B14/$G14,0)</f>
        <v>0</v>
      </c>
      <c r="C15" s="64">
        <f t="shared" ref="C15:E15" ca="1" si="1">IFERROR(C14/$G14,0)</f>
        <v>0.33333333333333331</v>
      </c>
      <c r="D15" s="64">
        <f t="shared" ca="1" si="1"/>
        <v>0.33333333333333331</v>
      </c>
      <c r="E15" s="65">
        <f t="shared" ca="1" si="1"/>
        <v>0.33333333333333331</v>
      </c>
    </row>
    <row r="16" spans="1:10" ht="14.4" thickBot="1" x14ac:dyDescent="0.3">
      <c r="B16" s="97">
        <f ca="1">B14+C14</f>
        <v>1</v>
      </c>
      <c r="C16" s="98"/>
      <c r="D16" s="97">
        <f ca="1">D14+E14</f>
        <v>2</v>
      </c>
      <c r="E16" s="98"/>
    </row>
    <row r="21" spans="1:5" ht="18" x14ac:dyDescent="0.35">
      <c r="A21" s="68" t="s">
        <v>17</v>
      </c>
      <c r="B21" s="69" t="str">
        <f ca="1">IF(A21&lt;&gt;0,IFERROR(OFFSET(Tables!$A$35,MATCH(' ResGlobal'!A21,Numero,0),1),"nr question incorrect ou inexistant"),"")</f>
        <v>J’ai reçu les informations que je souhaitais</v>
      </c>
      <c r="C21" s="70"/>
      <c r="D21" s="70"/>
      <c r="E21" s="70"/>
    </row>
    <row r="23" spans="1:5" ht="15.6" x14ac:dyDescent="0.3">
      <c r="A23" s="48" t="s">
        <v>22</v>
      </c>
      <c r="B23" s="55" t="str">
        <f ca="1">IF(A23&lt;&gt;0,IFERROR(OFFSET(Tables!$A$35,MATCH(' ResGlobal'!A23,Numero,0),1),"nr question incorrect ou inexistant"),"")</f>
        <v>Sur les tarifs :</v>
      </c>
      <c r="C23" s="55"/>
      <c r="D23" s="55"/>
      <c r="E23" s="55"/>
    </row>
    <row r="24" spans="1:5" ht="14.4" thickBot="1" x14ac:dyDescent="0.3"/>
    <row r="25" spans="1:5" ht="16.2" thickBot="1" x14ac:dyDescent="0.35">
      <c r="B25" s="56" t="s">
        <v>20</v>
      </c>
      <c r="C25" s="57" t="s">
        <v>21</v>
      </c>
      <c r="D25" s="59" t="s">
        <v>122</v>
      </c>
      <c r="E25" s="59" t="s">
        <v>123</v>
      </c>
    </row>
    <row r="26" spans="1:5" ht="14.4" thickBot="1" x14ac:dyDescent="0.3">
      <c r="B26" s="60">
        <f ca="1">COUNTIF(INDIRECT(SUBSTITUTE($A23,"-","_")),B25)</f>
        <v>1</v>
      </c>
      <c r="C26" s="62">
        <f ca="1">COUNTIF(INDIRECT(SUBSTITUTE($A23,"-","_")),C25)</f>
        <v>2</v>
      </c>
      <c r="D26" s="71">
        <f ca="1">COUNTIF(INDIRECT(SUBSTITUTE($A23,"-","_")),D25)</f>
        <v>0</v>
      </c>
      <c r="E26" s="67">
        <f ca="1">SUM(B26:C26)</f>
        <v>3</v>
      </c>
    </row>
    <row r="27" spans="1:5" ht="14.4" thickBot="1" x14ac:dyDescent="0.3">
      <c r="B27" s="63">
        <f ca="1">IFERROR(B26/$E26,0)</f>
        <v>0.33333333333333331</v>
      </c>
      <c r="C27" s="65">
        <f ca="1">IFERROR(C26/$E26,0)</f>
        <v>0.66666666666666663</v>
      </c>
    </row>
    <row r="37" spans="1:5" ht="15.6" x14ac:dyDescent="0.3">
      <c r="A37" s="48" t="s">
        <v>23</v>
      </c>
      <c r="B37" s="55" t="str">
        <f ca="1">IF(A37&lt;&gt;0,IFERROR(OFFSET(Tables!$A$35,MATCH(' ResGlobal'!A37,Numero,0),1),"nr question incorrect ou inexistant"),"")</f>
        <v>Sur les documents administratifs à renseigner :</v>
      </c>
      <c r="C37" s="55"/>
      <c r="D37" s="55"/>
      <c r="E37" s="55"/>
    </row>
    <row r="38" spans="1:5" ht="14.4" thickBot="1" x14ac:dyDescent="0.3"/>
    <row r="39" spans="1:5" ht="16.2" thickBot="1" x14ac:dyDescent="0.35">
      <c r="B39" s="56" t="s">
        <v>20</v>
      </c>
      <c r="C39" s="57" t="s">
        <v>21</v>
      </c>
      <c r="D39" s="59" t="s">
        <v>122</v>
      </c>
      <c r="E39" s="59" t="s">
        <v>123</v>
      </c>
    </row>
    <row r="40" spans="1:5" ht="14.4" thickBot="1" x14ac:dyDescent="0.3">
      <c r="B40" s="60">
        <f ca="1">COUNTIF(INDIRECT(SUBSTITUTE($A37,"-","_")),B39)</f>
        <v>1</v>
      </c>
      <c r="C40" s="60">
        <f ca="1">COUNTIF(INDIRECT(SUBSTITUTE($A37,"-","_")),C39)</f>
        <v>2</v>
      </c>
      <c r="D40" s="66">
        <f ca="1">COUNTIF(INDIRECT(SUBSTITUTE($A37,"-","_")),D39)</f>
        <v>0</v>
      </c>
      <c r="E40" s="67">
        <f ca="1">SUM(B40:C40)</f>
        <v>3</v>
      </c>
    </row>
    <row r="41" spans="1:5" ht="14.4" thickBot="1" x14ac:dyDescent="0.3">
      <c r="B41" s="63">
        <f ca="1">IFERROR(B40/$E40,0)</f>
        <v>0.33333333333333331</v>
      </c>
      <c r="C41" s="64">
        <f ca="1">IFERROR(C40/$E40,0)</f>
        <v>0.66666666666666663</v>
      </c>
    </row>
    <row r="49" spans="1:5" ht="15.6" x14ac:dyDescent="0.3">
      <c r="A49" s="48" t="s">
        <v>24</v>
      </c>
      <c r="B49" s="55" t="str">
        <f ca="1">IF(A49&lt;&gt;0,IFERROR(OFFSET(Tables!$A$35,MATCH(' ResGlobal'!A49,Numero,0),1),"nr question incorrect ou inexistant"),"")</f>
        <v>Sur les aides dont je pouvais disposer :</v>
      </c>
      <c r="C49" s="55"/>
      <c r="D49" s="55"/>
      <c r="E49" s="55"/>
    </row>
    <row r="50" spans="1:5" ht="14.4" thickBot="1" x14ac:dyDescent="0.3"/>
    <row r="51" spans="1:5" ht="16.2" thickBot="1" x14ac:dyDescent="0.35">
      <c r="B51" s="56" t="s">
        <v>20</v>
      </c>
      <c r="C51" s="57" t="s">
        <v>21</v>
      </c>
      <c r="D51" s="59" t="s">
        <v>122</v>
      </c>
      <c r="E51" s="59" t="s">
        <v>123</v>
      </c>
    </row>
    <row r="52" spans="1:5" ht="14.4" thickBot="1" x14ac:dyDescent="0.3">
      <c r="B52" s="60">
        <f ca="1">COUNTIF(INDIRECT(SUBSTITUTE($A49,"-","_")),B51)</f>
        <v>1</v>
      </c>
      <c r="C52" s="62">
        <f ca="1">COUNTIF(INDIRECT(SUBSTITUTE($A49,"-","_")),C51)</f>
        <v>2</v>
      </c>
      <c r="D52" s="66">
        <f ca="1">COUNTIF(INDIRECT(SUBSTITUTE($A49,"-","_")),D51)</f>
        <v>0</v>
      </c>
      <c r="E52" s="67">
        <f ca="1">SUM(B52:C52)</f>
        <v>3</v>
      </c>
    </row>
    <row r="53" spans="1:5" ht="14.4" thickBot="1" x14ac:dyDescent="0.3">
      <c r="B53" s="63">
        <f ca="1">IFERROR(B52/$E52,0)</f>
        <v>0.33333333333333331</v>
      </c>
      <c r="C53" s="65">
        <f ca="1">IFERROR(C52/$E52,0)</f>
        <v>0.66666666666666663</v>
      </c>
    </row>
    <row r="62" spans="1:5" ht="15.6" x14ac:dyDescent="0.3">
      <c r="A62" s="48" t="s">
        <v>25</v>
      </c>
      <c r="B62" s="55" t="str">
        <f ca="1">IF(A62&lt;&gt;0,IFERROR(OFFSET(Tables!$A$35,MATCH(' ResGlobal'!A62,Numero,0),1),"nr question incorrect ou inexistant"),"")</f>
        <v>Sur les services proposés en plus du logement :</v>
      </c>
      <c r="C62" s="55"/>
      <c r="D62" s="55"/>
      <c r="E62" s="55"/>
    </row>
    <row r="63" spans="1:5" ht="14.4" thickBot="1" x14ac:dyDescent="0.3"/>
    <row r="64" spans="1:5" ht="16.2" thickBot="1" x14ac:dyDescent="0.35">
      <c r="B64" s="56" t="s">
        <v>20</v>
      </c>
      <c r="C64" s="57" t="s">
        <v>21</v>
      </c>
      <c r="D64" s="59" t="s">
        <v>122</v>
      </c>
      <c r="E64" s="59" t="s">
        <v>123</v>
      </c>
    </row>
    <row r="65" spans="1:5" ht="14.4" thickBot="1" x14ac:dyDescent="0.3">
      <c r="B65" s="60">
        <f ca="1">COUNTIF(INDIRECT(SUBSTITUTE($A62,"-","_")),B64)</f>
        <v>2</v>
      </c>
      <c r="C65" s="62">
        <f ca="1">COUNTIF(INDIRECT(SUBSTITUTE($A62,"-","_")),C64)</f>
        <v>1</v>
      </c>
      <c r="D65" s="66">
        <f ca="1">COUNTIF(INDIRECT(SUBSTITUTE($A62,"-","_")),D64)</f>
        <v>0</v>
      </c>
      <c r="E65" s="67">
        <f ca="1">SUM(B65:C65)</f>
        <v>3</v>
      </c>
    </row>
    <row r="66" spans="1:5" ht="14.4" thickBot="1" x14ac:dyDescent="0.3">
      <c r="B66" s="63">
        <f ca="1">IFERROR(B65/$E65,0)</f>
        <v>0.66666666666666663</v>
      </c>
      <c r="C66" s="65">
        <f ca="1">IFERROR(C65/$E65,0)</f>
        <v>0.33333333333333331</v>
      </c>
    </row>
    <row r="75" spans="1:5" ht="15.6" x14ac:dyDescent="0.3">
      <c r="A75" s="48" t="s">
        <v>26</v>
      </c>
      <c r="B75" s="55" t="str">
        <f ca="1">IF(A75&lt;&gt;0,IFERROR(OFFSET(Tables!$A$35,MATCH(' ResGlobal'!A75,Numero,0),1),"nr question incorrect ou inexistant"),"")</f>
        <v>Sur l’accompagnement pour m’aider dans mon projet :</v>
      </c>
      <c r="C75" s="55"/>
      <c r="D75" s="55"/>
      <c r="E75" s="55"/>
    </row>
    <row r="76" spans="1:5" ht="14.4" thickBot="1" x14ac:dyDescent="0.3"/>
    <row r="77" spans="1:5" ht="16.2" thickBot="1" x14ac:dyDescent="0.35">
      <c r="B77" s="56" t="s">
        <v>20</v>
      </c>
      <c r="C77" s="57" t="s">
        <v>21</v>
      </c>
      <c r="D77" s="59" t="s">
        <v>122</v>
      </c>
      <c r="E77" s="59" t="s">
        <v>123</v>
      </c>
    </row>
    <row r="78" spans="1:5" ht="14.4" thickBot="1" x14ac:dyDescent="0.3">
      <c r="B78" s="60">
        <f ca="1">COUNTIF(INDIRECT(SUBSTITUTE($A75,"-","_")),B77)</f>
        <v>2</v>
      </c>
      <c r="C78" s="62">
        <f ca="1">COUNTIF(INDIRECT(SUBSTITUTE($A75,"-","_")),C77)</f>
        <v>1</v>
      </c>
      <c r="D78" s="66">
        <f ca="1">COUNTIF(INDIRECT(SUBSTITUTE($A75,"-","_")),D77)</f>
        <v>0</v>
      </c>
      <c r="E78" s="67">
        <f ca="1">SUM(B78:C78)</f>
        <v>3</v>
      </c>
    </row>
    <row r="79" spans="1:5" ht="14.4" thickBot="1" x14ac:dyDescent="0.3">
      <c r="B79" s="63">
        <f ca="1">IFERROR(B78/$E78,0)</f>
        <v>0.66666666666666663</v>
      </c>
      <c r="C79" s="65">
        <f ca="1">IFERROR(C78/$E78,0)</f>
        <v>0.33333333333333331</v>
      </c>
    </row>
    <row r="90" spans="1:5" ht="15.6" x14ac:dyDescent="0.3">
      <c r="A90" s="48" t="s">
        <v>27</v>
      </c>
      <c r="B90" s="55" t="str">
        <f ca="1">IF(A90&lt;&gt;0,IFERROR(OFFSET(Tables!$A$35,MATCH(' ResGlobal'!A90,Numero,0),1),"nr question incorrect ou inexistant"),"")</f>
        <v>Sur les animations proposées :</v>
      </c>
      <c r="C90" s="55"/>
      <c r="D90" s="55"/>
      <c r="E90" s="55"/>
    </row>
    <row r="91" spans="1:5" ht="14.4" thickBot="1" x14ac:dyDescent="0.3"/>
    <row r="92" spans="1:5" ht="16.2" thickBot="1" x14ac:dyDescent="0.35">
      <c r="B92" s="56" t="s">
        <v>20</v>
      </c>
      <c r="C92" s="57" t="s">
        <v>21</v>
      </c>
      <c r="D92" s="59" t="s">
        <v>122</v>
      </c>
      <c r="E92" s="59" t="s">
        <v>123</v>
      </c>
    </row>
    <row r="93" spans="1:5" ht="14.4" thickBot="1" x14ac:dyDescent="0.3">
      <c r="B93" s="60">
        <f ca="1">COUNTIF(INDIRECT(SUBSTITUTE($A90,"-","_")),B92)</f>
        <v>1</v>
      </c>
      <c r="C93" s="62">
        <f ca="1">COUNTIF(INDIRECT(SUBSTITUTE($A90,"-","_")),C92)</f>
        <v>2</v>
      </c>
      <c r="D93" s="66">
        <f ca="1">COUNTIF(INDIRECT(SUBSTITUTE($A90,"-","_")),D92)</f>
        <v>0</v>
      </c>
      <c r="E93" s="67">
        <f ca="1">SUM(B93:C93)</f>
        <v>3</v>
      </c>
    </row>
    <row r="94" spans="1:5" ht="14.4" thickBot="1" x14ac:dyDescent="0.3">
      <c r="B94" s="63">
        <f ca="1">IFERROR(B93/$E93,0)</f>
        <v>0.33333333333333331</v>
      </c>
      <c r="C94" s="65">
        <f ca="1">IFERROR(C93/$E93,0)</f>
        <v>0.66666666666666663</v>
      </c>
    </row>
    <row r="102" spans="1:6" ht="28.8" customHeight="1" x14ac:dyDescent="0.3">
      <c r="A102" s="48" t="s">
        <v>28</v>
      </c>
      <c r="B102" s="106" t="str">
        <f ca="1">IF(A102&lt;&gt;0,IFERROR(OFFSET(Tables!$A$35,MATCH(' ResGlobal'!A102,Numero,0),1),"nr question incorrect ou inexistant"),"")</f>
        <v>A mon arrivée, j’ai effectué et signé un état des lieux de mon logement avec un membre de l’équipe</v>
      </c>
      <c r="C102" s="106"/>
      <c r="D102" s="106"/>
      <c r="E102" s="106"/>
      <c r="F102" s="106"/>
    </row>
    <row r="103" spans="1:6" ht="14.4" thickBot="1" x14ac:dyDescent="0.3"/>
    <row r="104" spans="1:6" ht="16.2" thickBot="1" x14ac:dyDescent="0.35">
      <c r="B104" s="56" t="s">
        <v>20</v>
      </c>
      <c r="C104" s="57" t="s">
        <v>21</v>
      </c>
      <c r="D104" s="59" t="s">
        <v>122</v>
      </c>
      <c r="E104" s="59" t="s">
        <v>123</v>
      </c>
    </row>
    <row r="105" spans="1:6" ht="14.4" thickBot="1" x14ac:dyDescent="0.3">
      <c r="B105" s="60">
        <f ca="1">COUNTIF(INDIRECT(SUBSTITUTE($A102,"-","_")),B104)</f>
        <v>2</v>
      </c>
      <c r="C105" s="62">
        <f ca="1">COUNTIF(INDIRECT(SUBSTITUTE($A102,"-","_")),C104)</f>
        <v>1</v>
      </c>
      <c r="D105" s="66">
        <f ca="1">COUNTIF(INDIRECT(SUBSTITUTE($A102,"-","_")),D104)</f>
        <v>0</v>
      </c>
      <c r="E105" s="67">
        <f ca="1">SUM(B105:C105)</f>
        <v>3</v>
      </c>
    </row>
    <row r="106" spans="1:6" ht="14.4" thickBot="1" x14ac:dyDescent="0.3">
      <c r="B106" s="63">
        <f ca="1">IFERROR(B105/$E105,0)</f>
        <v>0.66666666666666663</v>
      </c>
      <c r="C106" s="65">
        <f ca="1">IFERROR(C105/$E105,0)</f>
        <v>0.33333333333333331</v>
      </c>
    </row>
    <row r="113" spans="1:7" ht="15.6" x14ac:dyDescent="0.3">
      <c r="A113" s="48" t="s">
        <v>29</v>
      </c>
      <c r="B113" s="55" t="str">
        <f ca="1">IF(A113&lt;&gt;0,IFERROR(OFFSET(Tables!$A$35,MATCH(' ResGlobal'!A113,Numero,0),1),"nr question incorrect ou inexistant"),"")</f>
        <v>Le logement proposé correspondait à mes attentes</v>
      </c>
      <c r="C113" s="55"/>
      <c r="D113" s="55"/>
      <c r="E113" s="55"/>
    </row>
    <row r="114" spans="1:7" ht="14.4" thickBot="1" x14ac:dyDescent="0.3"/>
    <row r="115" spans="1:7" ht="16.2" thickBot="1" x14ac:dyDescent="0.35">
      <c r="B115" s="56" t="s">
        <v>20</v>
      </c>
      <c r="C115" s="57" t="s">
        <v>21</v>
      </c>
      <c r="D115" s="59" t="s">
        <v>122</v>
      </c>
      <c r="E115" s="59" t="s">
        <v>123</v>
      </c>
    </row>
    <row r="116" spans="1:7" ht="14.4" thickBot="1" x14ac:dyDescent="0.3">
      <c r="B116" s="60">
        <f ca="1">COUNTIF(INDIRECT(SUBSTITUTE($A113,"-","_")),B115)</f>
        <v>1</v>
      </c>
      <c r="C116" s="62">
        <f ca="1">COUNTIF(INDIRECT(SUBSTITUTE($A113,"-","_")),C115)</f>
        <v>2</v>
      </c>
      <c r="D116" s="66">
        <f ca="1">COUNTIF(INDIRECT(SUBSTITUTE($A113,"-","_")),D115)</f>
        <v>0</v>
      </c>
      <c r="E116" s="67">
        <f ca="1">SUM(B116:C116)</f>
        <v>3</v>
      </c>
    </row>
    <row r="117" spans="1:7" ht="14.4" thickBot="1" x14ac:dyDescent="0.3">
      <c r="B117" s="63">
        <f ca="1">IFERROR(B116/$E116,0)</f>
        <v>0.33333333333333331</v>
      </c>
      <c r="C117" s="65">
        <f ca="1">IFERROR(C116/$E116,0)</f>
        <v>0.66666666666666663</v>
      </c>
    </row>
    <row r="126" spans="1:7" ht="15.6" x14ac:dyDescent="0.3">
      <c r="A126" s="48" t="s">
        <v>33</v>
      </c>
      <c r="B126" s="55" t="str">
        <f ca="1">IF(A126&lt;&gt;0,IFERROR(OFFSET(Tables!$A$35,MATCH(' ResGlobal'!A126,Numero,0),1),"nr question incorrect ou inexistant"),"")</f>
        <v>J'ai trouvé le prix intéressant :</v>
      </c>
      <c r="C126" s="55"/>
      <c r="D126" s="55"/>
      <c r="E126" s="55"/>
    </row>
    <row r="127" spans="1:7" ht="14.4" thickBot="1" x14ac:dyDescent="0.3"/>
    <row r="128" spans="1:7" ht="31.8" thickBot="1" x14ac:dyDescent="0.35">
      <c r="B128" s="56" t="s">
        <v>37</v>
      </c>
      <c r="C128" s="57" t="s">
        <v>38</v>
      </c>
      <c r="D128" s="57" t="s">
        <v>39</v>
      </c>
      <c r="E128" s="58" t="s">
        <v>40</v>
      </c>
      <c r="F128" s="59" t="s">
        <v>122</v>
      </c>
      <c r="G128" s="59" t="s">
        <v>123</v>
      </c>
    </row>
    <row r="129" spans="1:7" ht="14.4" thickBot="1" x14ac:dyDescent="0.3">
      <c r="B129" s="60">
        <f t="shared" ref="B129" ca="1" si="2">COUNTIF(INDIRECT(SUBSTITUTE($A126,"-","_")),B128)</f>
        <v>1</v>
      </c>
      <c r="C129" s="61">
        <f t="shared" ref="C129" ca="1" si="3">COUNTIF(INDIRECT(SUBSTITUTE($A126,"-","_")),C128)</f>
        <v>2</v>
      </c>
      <c r="D129" s="61">
        <f t="shared" ref="D129" ca="1" si="4">COUNTIF(INDIRECT(SUBSTITUTE($A126,"-","_")),D128)</f>
        <v>0</v>
      </c>
      <c r="E129" s="62">
        <f t="shared" ref="E129" ca="1" si="5">COUNTIF(INDIRECT(SUBSTITUTE($A126,"-","_")),E128)</f>
        <v>0</v>
      </c>
      <c r="F129" s="66">
        <f ca="1">COUNTIF(INDIRECT(SUBSTITUTE($A126,"-","_")),F128)</f>
        <v>0</v>
      </c>
      <c r="G129" s="67">
        <f ca="1">SUM(B129:E129)</f>
        <v>3</v>
      </c>
    </row>
    <row r="130" spans="1:7" ht="14.4" thickBot="1" x14ac:dyDescent="0.3">
      <c r="B130" s="63">
        <f ca="1">IFERROR(B129/$G129,0)</f>
        <v>0.33333333333333331</v>
      </c>
      <c r="C130" s="64">
        <f t="shared" ref="C130" ca="1" si="6">IFERROR(C129/$G129,0)</f>
        <v>0.66666666666666663</v>
      </c>
      <c r="D130" s="64">
        <f t="shared" ref="D130" ca="1" si="7">IFERROR(D129/$G129,0)</f>
        <v>0</v>
      </c>
      <c r="E130" s="65">
        <f t="shared" ref="E130" ca="1" si="8">IFERROR(E129/$G129,0)</f>
        <v>0</v>
      </c>
    </row>
    <row r="131" spans="1:7" ht="14.4" thickBot="1" x14ac:dyDescent="0.3">
      <c r="B131" s="97">
        <f ca="1">B129+C129</f>
        <v>3</v>
      </c>
      <c r="C131" s="98"/>
      <c r="D131" s="97">
        <f ca="1">D129+E129</f>
        <v>0</v>
      </c>
      <c r="E131" s="98"/>
    </row>
    <row r="138" spans="1:7" ht="15.6" x14ac:dyDescent="0.3">
      <c r="A138" s="48" t="s">
        <v>34</v>
      </c>
      <c r="B138" s="55" t="str">
        <f ca="1">IF(A138&lt;&gt;0,IFERROR(OFFSET(Tables!$A$35,MATCH(' ResGlobal'!A138,Numero,0),1),"nr question incorrect ou inexistant"),"")</f>
        <v>J'ai trouvé le logement confortable :</v>
      </c>
      <c r="C138" s="55"/>
      <c r="D138" s="55"/>
      <c r="E138" s="55"/>
    </row>
    <row r="139" spans="1:7" ht="14.4" thickBot="1" x14ac:dyDescent="0.3"/>
    <row r="140" spans="1:7" ht="31.8" thickBot="1" x14ac:dyDescent="0.35">
      <c r="B140" s="56" t="s">
        <v>37</v>
      </c>
      <c r="C140" s="57" t="s">
        <v>38</v>
      </c>
      <c r="D140" s="57" t="s">
        <v>39</v>
      </c>
      <c r="E140" s="58" t="s">
        <v>40</v>
      </c>
      <c r="F140" s="59" t="s">
        <v>122</v>
      </c>
      <c r="G140" s="59" t="s">
        <v>123</v>
      </c>
    </row>
    <row r="141" spans="1:7" ht="14.4" thickBot="1" x14ac:dyDescent="0.3">
      <c r="B141" s="60">
        <f t="shared" ref="B141" ca="1" si="9">COUNTIF(INDIRECT(SUBSTITUTE($A138,"-","_")),B140)</f>
        <v>0</v>
      </c>
      <c r="C141" s="61">
        <f t="shared" ref="C141" ca="1" si="10">COUNTIF(INDIRECT(SUBSTITUTE($A138,"-","_")),C140)</f>
        <v>1</v>
      </c>
      <c r="D141" s="61">
        <f t="shared" ref="D141" ca="1" si="11">COUNTIF(INDIRECT(SUBSTITUTE($A138,"-","_")),D140)</f>
        <v>0</v>
      </c>
      <c r="E141" s="62">
        <f t="shared" ref="E141" ca="1" si="12">COUNTIF(INDIRECT(SUBSTITUTE($A138,"-","_")),E140)</f>
        <v>2</v>
      </c>
      <c r="F141" s="66">
        <f ca="1">COUNTIF(INDIRECT(SUBSTITUTE($A138,"-","_")),F140)</f>
        <v>0</v>
      </c>
      <c r="G141" s="67">
        <f ca="1">SUM(B141:E141)</f>
        <v>3</v>
      </c>
    </row>
    <row r="142" spans="1:7" ht="14.4" thickBot="1" x14ac:dyDescent="0.3">
      <c r="B142" s="63">
        <f ca="1">IFERROR(B141/$G141,0)</f>
        <v>0</v>
      </c>
      <c r="C142" s="64">
        <f t="shared" ref="C142" ca="1" si="13">IFERROR(C141/$G141,0)</f>
        <v>0.33333333333333331</v>
      </c>
      <c r="D142" s="64">
        <f t="shared" ref="D142" ca="1" si="14">IFERROR(D141/$G141,0)</f>
        <v>0</v>
      </c>
      <c r="E142" s="65">
        <f t="shared" ref="E142" ca="1" si="15">IFERROR(E141/$G141,0)</f>
        <v>0.66666666666666663</v>
      </c>
    </row>
    <row r="143" spans="1:7" ht="14.4" thickBot="1" x14ac:dyDescent="0.3">
      <c r="B143" s="97">
        <f ca="1">B141+C141</f>
        <v>1</v>
      </c>
      <c r="C143" s="98"/>
      <c r="D143" s="97">
        <f ca="1">D141+E141</f>
        <v>2</v>
      </c>
      <c r="E143" s="98"/>
    </row>
    <row r="150" spans="1:7" ht="15.6" x14ac:dyDescent="0.3">
      <c r="A150" s="48" t="s">
        <v>35</v>
      </c>
      <c r="B150" s="55" t="str">
        <f ca="1">IF(A150&lt;&gt;0,IFERROR(OFFSET(Tables!$A$35,MATCH(' ResGlobal'!A150,Numero,0),1),"nr question incorrect ou inexistant"),"")</f>
        <v>J'ai trouvé que les équipements étaient adaptés :</v>
      </c>
      <c r="C150" s="55"/>
      <c r="D150" s="55"/>
      <c r="E150" s="55"/>
    </row>
    <row r="151" spans="1:7" ht="14.4" thickBot="1" x14ac:dyDescent="0.3"/>
    <row r="152" spans="1:7" ht="31.8" thickBot="1" x14ac:dyDescent="0.35">
      <c r="B152" s="56" t="s">
        <v>37</v>
      </c>
      <c r="C152" s="57" t="s">
        <v>38</v>
      </c>
      <c r="D152" s="57" t="s">
        <v>39</v>
      </c>
      <c r="E152" s="58" t="s">
        <v>40</v>
      </c>
      <c r="F152" s="59" t="s">
        <v>122</v>
      </c>
      <c r="G152" s="59" t="s">
        <v>123</v>
      </c>
    </row>
    <row r="153" spans="1:7" ht="14.4" thickBot="1" x14ac:dyDescent="0.3">
      <c r="B153" s="60">
        <f t="shared" ref="B153" ca="1" si="16">COUNTIF(INDIRECT(SUBSTITUTE($A150,"-","_")),B152)</f>
        <v>1</v>
      </c>
      <c r="C153" s="61">
        <f t="shared" ref="C153" ca="1" si="17">COUNTIF(INDIRECT(SUBSTITUTE($A150,"-","_")),C152)</f>
        <v>0</v>
      </c>
      <c r="D153" s="61">
        <f t="shared" ref="D153" ca="1" si="18">COUNTIF(INDIRECT(SUBSTITUTE($A150,"-","_")),D152)</f>
        <v>2</v>
      </c>
      <c r="E153" s="62">
        <f t="shared" ref="E153" ca="1" si="19">COUNTIF(INDIRECT(SUBSTITUTE($A150,"-","_")),E152)</f>
        <v>0</v>
      </c>
      <c r="F153" s="66">
        <f ca="1">COUNTIF(INDIRECT(SUBSTITUTE($A150,"-","_")),F152)</f>
        <v>0</v>
      </c>
      <c r="G153" s="67">
        <f ca="1">SUM(B153:E153)</f>
        <v>3</v>
      </c>
    </row>
    <row r="154" spans="1:7" ht="14.4" thickBot="1" x14ac:dyDescent="0.3">
      <c r="B154" s="63">
        <f ca="1">IFERROR(B153/$G153,0)</f>
        <v>0.33333333333333331</v>
      </c>
      <c r="C154" s="64">
        <f t="shared" ref="C154" ca="1" si="20">IFERROR(C153/$G153,0)</f>
        <v>0</v>
      </c>
      <c r="D154" s="64">
        <f t="shared" ref="D154" ca="1" si="21">IFERROR(D153/$G153,0)</f>
        <v>0.66666666666666663</v>
      </c>
      <c r="E154" s="65">
        <f t="shared" ref="E154" ca="1" si="22">IFERROR(E153/$G153,0)</f>
        <v>0</v>
      </c>
    </row>
    <row r="155" spans="1:7" ht="14.4" thickBot="1" x14ac:dyDescent="0.3">
      <c r="B155" s="97">
        <f ca="1">B153+C153</f>
        <v>1</v>
      </c>
      <c r="C155" s="98"/>
      <c r="D155" s="97">
        <f ca="1">D153+E153</f>
        <v>2</v>
      </c>
      <c r="E155" s="98"/>
    </row>
    <row r="162" spans="1:7" ht="15.6" x14ac:dyDescent="0.3">
      <c r="A162" s="48" t="s">
        <v>36</v>
      </c>
      <c r="B162" s="55" t="str">
        <f ca="1">IF(A162&lt;&gt;0,IFERROR(OFFSET(Tables!$A$35,MATCH(' ResGlobal'!A162,Numero,0),1),"nr question incorrect ou inexistant"),"")</f>
        <v>J'ai trouvé le logement propre :</v>
      </c>
      <c r="C162" s="55"/>
      <c r="D162" s="55"/>
      <c r="E162" s="55"/>
    </row>
    <row r="163" spans="1:7" ht="14.4" thickBot="1" x14ac:dyDescent="0.3"/>
    <row r="164" spans="1:7" ht="31.8" thickBot="1" x14ac:dyDescent="0.35">
      <c r="B164" s="56" t="s">
        <v>37</v>
      </c>
      <c r="C164" s="57" t="s">
        <v>38</v>
      </c>
      <c r="D164" s="57" t="s">
        <v>39</v>
      </c>
      <c r="E164" s="58" t="s">
        <v>40</v>
      </c>
      <c r="F164" s="59" t="s">
        <v>122</v>
      </c>
      <c r="G164" s="59" t="s">
        <v>123</v>
      </c>
    </row>
    <row r="165" spans="1:7" ht="14.4" thickBot="1" x14ac:dyDescent="0.3">
      <c r="B165" s="60">
        <f t="shared" ref="B165" ca="1" si="23">COUNTIF(INDIRECT(SUBSTITUTE($A162,"-","_")),B164)</f>
        <v>2</v>
      </c>
      <c r="C165" s="61">
        <f t="shared" ref="C165" ca="1" si="24">COUNTIF(INDIRECT(SUBSTITUTE($A162,"-","_")),C164)</f>
        <v>0</v>
      </c>
      <c r="D165" s="61">
        <f t="shared" ref="D165" ca="1" si="25">COUNTIF(INDIRECT(SUBSTITUTE($A162,"-","_")),D164)</f>
        <v>1</v>
      </c>
      <c r="E165" s="62">
        <f t="shared" ref="E165" ca="1" si="26">COUNTIF(INDIRECT(SUBSTITUTE($A162,"-","_")),E164)</f>
        <v>0</v>
      </c>
      <c r="F165" s="66">
        <f ca="1">COUNTIF(INDIRECT(SUBSTITUTE($A162,"-","_")),F164)</f>
        <v>0</v>
      </c>
      <c r="G165" s="67">
        <f ca="1">SUM(B165:E165)</f>
        <v>3</v>
      </c>
    </row>
    <row r="166" spans="1:7" ht="14.4" thickBot="1" x14ac:dyDescent="0.3">
      <c r="B166" s="63">
        <f ca="1">IFERROR(B165/$G165,0)</f>
        <v>0.66666666666666663</v>
      </c>
      <c r="C166" s="64">
        <f t="shared" ref="C166" ca="1" si="27">IFERROR(C165/$G165,0)</f>
        <v>0</v>
      </c>
      <c r="D166" s="64">
        <f t="shared" ref="D166" ca="1" si="28">IFERROR(D165/$G165,0)</f>
        <v>0.33333333333333331</v>
      </c>
      <c r="E166" s="65">
        <f t="shared" ref="E166" ca="1" si="29">IFERROR(E165/$G165,0)</f>
        <v>0</v>
      </c>
    </row>
    <row r="167" spans="1:7" ht="14.4" thickBot="1" x14ac:dyDescent="0.3">
      <c r="B167" s="97">
        <f ca="1">B165+C165</f>
        <v>2</v>
      </c>
      <c r="C167" s="98"/>
      <c r="D167" s="97">
        <f ca="1">D165+E165</f>
        <v>1</v>
      </c>
      <c r="E167" s="98"/>
    </row>
    <row r="173" spans="1:7" ht="15.6" x14ac:dyDescent="0.3">
      <c r="A173" s="48" t="s">
        <v>43</v>
      </c>
      <c r="B173" s="55" t="str">
        <f ca="1">IF(A173&lt;&gt;0,IFERROR(OFFSET(Tables!$A$35,MATCH(' ResGlobal'!A173,Numero,0),1),"nr question incorrect ou inexistant"),"")</f>
        <v>Quand j’ai eu besoin, j’ai trouvé les membres de l’équipe disponible pour m’écouter</v>
      </c>
      <c r="C173" s="55"/>
      <c r="D173" s="55"/>
      <c r="E173" s="55"/>
    </row>
    <row r="174" spans="1:7" ht="14.4" thickBot="1" x14ac:dyDescent="0.3"/>
    <row r="175" spans="1:7" ht="31.8" thickBot="1" x14ac:dyDescent="0.35">
      <c r="A175" s="56" t="s">
        <v>109</v>
      </c>
      <c r="B175" s="57" t="s">
        <v>110</v>
      </c>
      <c r="C175" s="57" t="s">
        <v>111</v>
      </c>
      <c r="D175" s="57" t="s">
        <v>112</v>
      </c>
      <c r="E175" s="58" t="s">
        <v>113</v>
      </c>
      <c r="F175" s="59" t="s">
        <v>122</v>
      </c>
      <c r="G175" s="73" t="s">
        <v>123</v>
      </c>
    </row>
    <row r="176" spans="1:7" ht="14.4" thickBot="1" x14ac:dyDescent="0.3">
      <c r="A176" s="60">
        <f t="shared" ref="A176" ca="1" si="30">COUNTIF(INDIRECT(SUBSTITUTE($A173,"-","_")),A175)</f>
        <v>0</v>
      </c>
      <c r="B176" s="60">
        <f t="shared" ref="B176:E176" ca="1" si="31">COUNTIF(INDIRECT(SUBSTITUTE($A173,"-","_")),B175)</f>
        <v>0</v>
      </c>
      <c r="C176" s="60">
        <f t="shared" ca="1" si="31"/>
        <v>2</v>
      </c>
      <c r="D176" s="60">
        <f t="shared" ca="1" si="31"/>
        <v>1</v>
      </c>
      <c r="E176" s="60">
        <f t="shared" ca="1" si="31"/>
        <v>0</v>
      </c>
      <c r="F176" s="66">
        <f ca="1">COUNTIF(INDIRECT(SUBSTITUTE($A173,"-","_")),F175)</f>
        <v>0</v>
      </c>
      <c r="G176" s="67">
        <f ca="1">SUM(A176:E176)</f>
        <v>3</v>
      </c>
    </row>
    <row r="177" spans="1:10" ht="14.4" thickBot="1" x14ac:dyDescent="0.3">
      <c r="A177" s="63">
        <f ca="1">IFERROR(A176/$G176,0)</f>
        <v>0</v>
      </c>
      <c r="B177" s="63">
        <f t="shared" ref="B177:E177" ca="1" si="32">IFERROR(B176/$G176,0)</f>
        <v>0</v>
      </c>
      <c r="C177" s="63">
        <f t="shared" ca="1" si="32"/>
        <v>0.66666666666666663</v>
      </c>
      <c r="D177" s="63">
        <f t="shared" ca="1" si="32"/>
        <v>0.33333333333333331</v>
      </c>
      <c r="E177" s="63">
        <f t="shared" ca="1" si="32"/>
        <v>0</v>
      </c>
    </row>
    <row r="184" spans="1:10" ht="15.6" x14ac:dyDescent="0.3">
      <c r="A184" s="48" t="s">
        <v>44</v>
      </c>
      <c r="B184" s="55" t="str">
        <f ca="1">IF(A184&lt;&gt;0,IFERROR(OFFSET(Tables!$A$35,MATCH(' ResGlobal'!A184,Numero,0),1),"nr question incorrect ou inexistant"),"")</f>
        <v>Grâce à mon séjour, je me sens plus à l’aise dans les domaines suivants:</v>
      </c>
      <c r="C184" s="55"/>
      <c r="D184" s="55"/>
      <c r="E184" s="55"/>
    </row>
    <row r="185" spans="1:10" ht="16.2" thickBot="1" x14ac:dyDescent="0.35">
      <c r="A185" s="48"/>
      <c r="B185" s="55"/>
      <c r="C185" s="55"/>
      <c r="D185" s="55"/>
      <c r="E185" s="55"/>
    </row>
    <row r="186" spans="1:10" ht="14.4" thickBot="1" x14ac:dyDescent="0.3">
      <c r="C186" s="75" t="s">
        <v>125</v>
      </c>
      <c r="D186" s="76" t="s">
        <v>126</v>
      </c>
      <c r="E186" s="76" t="s">
        <v>127</v>
      </c>
      <c r="F186" s="76" t="s">
        <v>128</v>
      </c>
      <c r="G186" s="76" t="s">
        <v>129</v>
      </c>
      <c r="H186" s="77" t="s">
        <v>130</v>
      </c>
    </row>
    <row r="187" spans="1:10" ht="15" thickBot="1" x14ac:dyDescent="0.35">
      <c r="B187" s="90" t="s">
        <v>131</v>
      </c>
      <c r="C187" s="78">
        <v>10</v>
      </c>
      <c r="D187" s="79">
        <v>8</v>
      </c>
      <c r="E187" s="79">
        <v>6</v>
      </c>
      <c r="F187" s="79">
        <v>4</v>
      </c>
      <c r="G187" s="79">
        <v>3</v>
      </c>
      <c r="H187" s="80">
        <v>1</v>
      </c>
      <c r="I187" s="90" t="s">
        <v>132</v>
      </c>
      <c r="J187" s="90" t="s">
        <v>133</v>
      </c>
    </row>
    <row r="188" spans="1:10" ht="15.6" x14ac:dyDescent="0.3">
      <c r="A188" s="107" t="s">
        <v>56</v>
      </c>
      <c r="B188" s="108"/>
      <c r="C188" s="81">
        <f>COUNTIF(Q6_1,1)</f>
        <v>1</v>
      </c>
      <c r="D188" s="82">
        <f>COUNTIF(Q6_1,2)</f>
        <v>0</v>
      </c>
      <c r="E188" s="82">
        <f>COUNTIF(Q6_1,3)</f>
        <v>0</v>
      </c>
      <c r="F188" s="82">
        <f>COUNTIF(Q6_1,4)</f>
        <v>1</v>
      </c>
      <c r="G188" s="82">
        <f>COUNTIF(Q6_1,5)</f>
        <v>0</v>
      </c>
      <c r="H188" s="83">
        <f>COUNTIF(Q6_1,6)</f>
        <v>1</v>
      </c>
      <c r="I188" s="83">
        <f t="array" ref="I188">SUM($C$187:$H$187*(C188:H188))</f>
        <v>15</v>
      </c>
      <c r="J188" s="83">
        <f>RANK(I188,$I$188:$I$193,0)</f>
        <v>4</v>
      </c>
    </row>
    <row r="189" spans="1:10" ht="15.6" x14ac:dyDescent="0.3">
      <c r="A189" s="99" t="s">
        <v>51</v>
      </c>
      <c r="B189" s="100"/>
      <c r="C189" s="84">
        <f>COUNTIF(Q6_2,1)</f>
        <v>1</v>
      </c>
      <c r="D189" s="85">
        <f>COUNTIF(Q6_2,2)</f>
        <v>1</v>
      </c>
      <c r="E189" s="85">
        <f>COUNTIF(Q6_2,3)</f>
        <v>1</v>
      </c>
      <c r="F189" s="85">
        <f>COUNTIF(Q6_2,4)</f>
        <v>0</v>
      </c>
      <c r="G189" s="85">
        <f>COUNTIF(Q6_2,5)</f>
        <v>0</v>
      </c>
      <c r="H189" s="86">
        <f>COUNTIF(Q6_2,6)</f>
        <v>0</v>
      </c>
      <c r="I189" s="86">
        <f t="array" ref="I189">SUM($C$187:$H$187*(C189:H189))</f>
        <v>24</v>
      </c>
      <c r="J189" s="86">
        <f t="shared" ref="J189:J193" si="33">RANK(I189,$I$188:$I$193,0)</f>
        <v>1</v>
      </c>
    </row>
    <row r="190" spans="1:10" ht="15.6" x14ac:dyDescent="0.3">
      <c r="A190" s="99" t="s">
        <v>52</v>
      </c>
      <c r="B190" s="100"/>
      <c r="C190" s="84">
        <f>COUNTIF(Q6_3,1)</f>
        <v>0</v>
      </c>
      <c r="D190" s="85">
        <f>COUNTIF(Q6_3,2)</f>
        <v>1</v>
      </c>
      <c r="E190" s="85">
        <f>COUNTIF(Q6_3,3)</f>
        <v>1</v>
      </c>
      <c r="F190" s="85">
        <f>COUNTIF(Q6_3,4)</f>
        <v>1</v>
      </c>
      <c r="G190" s="85">
        <f>COUNTIF(Q6_3,5)</f>
        <v>0</v>
      </c>
      <c r="H190" s="86">
        <f>COUNTIF(Q6_3,6)</f>
        <v>0</v>
      </c>
      <c r="I190" s="86">
        <f t="array" ref="I190">SUM($C$187:$H$187*(C190:H190))</f>
        <v>18</v>
      </c>
      <c r="J190" s="86">
        <f t="shared" si="33"/>
        <v>3</v>
      </c>
    </row>
    <row r="191" spans="1:10" ht="15.6" x14ac:dyDescent="0.3">
      <c r="A191" s="99" t="s">
        <v>53</v>
      </c>
      <c r="B191" s="100"/>
      <c r="C191" s="84">
        <f>COUNTIF(Q6_4,1)</f>
        <v>1</v>
      </c>
      <c r="D191" s="85">
        <f>COUNTIF(Q6_4,2)</f>
        <v>0</v>
      </c>
      <c r="E191" s="85">
        <f>COUNTIF(Q6_4,3)</f>
        <v>1</v>
      </c>
      <c r="F191" s="85">
        <f>COUNTIF(Q6_4,4)</f>
        <v>1</v>
      </c>
      <c r="G191" s="85">
        <f>COUNTIF(Q6_4,5)</f>
        <v>0</v>
      </c>
      <c r="H191" s="86">
        <f>COUNTIF(Q6_4,6)</f>
        <v>0</v>
      </c>
      <c r="I191" s="86">
        <f t="array" ref="I191">SUM($C$187:$H$187*(C191:H191))</f>
        <v>20</v>
      </c>
      <c r="J191" s="86">
        <f t="shared" si="33"/>
        <v>2</v>
      </c>
    </row>
    <row r="192" spans="1:10" ht="15.6" x14ac:dyDescent="0.3">
      <c r="A192" s="99" t="s">
        <v>54</v>
      </c>
      <c r="B192" s="100"/>
      <c r="C192" s="84">
        <f>COUNTIF(Q6_5,1)</f>
        <v>0</v>
      </c>
      <c r="D192" s="85">
        <f>COUNTIF(Q6_5,2)</f>
        <v>1</v>
      </c>
      <c r="E192" s="85">
        <f>COUNTIF(Q6_5,3)</f>
        <v>0</v>
      </c>
      <c r="F192" s="85">
        <f>COUNTIF(Q6_5,4)</f>
        <v>0</v>
      </c>
      <c r="G192" s="85">
        <f>COUNTIF(Q6_5,5)</f>
        <v>2</v>
      </c>
      <c r="H192" s="86">
        <f>COUNTIF(Q6_5,6)</f>
        <v>0</v>
      </c>
      <c r="I192" s="86">
        <f t="array" ref="I192">SUM($C$187:$H$187*(C192:H192))</f>
        <v>14</v>
      </c>
      <c r="J192" s="86">
        <f t="shared" si="33"/>
        <v>5</v>
      </c>
    </row>
    <row r="193" spans="1:10" ht="16.2" thickBot="1" x14ac:dyDescent="0.35">
      <c r="A193" s="101" t="s">
        <v>55</v>
      </c>
      <c r="B193" s="102"/>
      <c r="C193" s="87">
        <f>COUNTIF(Q6_6,1)</f>
        <v>0</v>
      </c>
      <c r="D193" s="88">
        <f>COUNTIF(Q6_6,2)</f>
        <v>0</v>
      </c>
      <c r="E193" s="88">
        <f>COUNTIF(Q6_6,3)</f>
        <v>0</v>
      </c>
      <c r="F193" s="88">
        <f>COUNTIF(Q6_6,4)</f>
        <v>0</v>
      </c>
      <c r="G193" s="88">
        <f>COUNTIF(Q6_6,5)</f>
        <v>1</v>
      </c>
      <c r="H193" s="89">
        <f>COUNTIF(Q6_6,6)</f>
        <v>2</v>
      </c>
      <c r="I193" s="89">
        <f t="array" ref="I193">SUM($C$187:$H$187*(C193:H193))</f>
        <v>5</v>
      </c>
      <c r="J193" s="89">
        <f t="shared" si="33"/>
        <v>6</v>
      </c>
    </row>
    <row r="211" spans="1:7" ht="15.6" x14ac:dyDescent="0.3">
      <c r="A211" s="48" t="s">
        <v>60</v>
      </c>
      <c r="B211" s="55" t="str">
        <f ca="1">IF(A211&lt;&gt;0,IFERROR(OFFSET(Tables!$A$35,MATCH(' ResGlobal'!A211,Numero,0),1),"nr question incorrect ou inexistant"),"")</f>
        <v xml:space="preserve"> Globalement, concernant mon séjour je suis :</v>
      </c>
      <c r="C211" s="55"/>
      <c r="D211" s="55"/>
      <c r="E211" s="55"/>
    </row>
    <row r="212" spans="1:7" ht="14.4" thickBot="1" x14ac:dyDescent="0.3"/>
    <row r="213" spans="1:7" ht="31.8" thickBot="1" x14ac:dyDescent="0.35">
      <c r="B213" s="56" t="s">
        <v>103</v>
      </c>
      <c r="C213" s="57" t="s">
        <v>102</v>
      </c>
      <c r="D213" s="57" t="s">
        <v>104</v>
      </c>
      <c r="E213" s="58" t="s">
        <v>105</v>
      </c>
      <c r="F213" s="59" t="s">
        <v>122</v>
      </c>
      <c r="G213" s="59" t="s">
        <v>123</v>
      </c>
    </row>
    <row r="214" spans="1:7" ht="14.4" thickBot="1" x14ac:dyDescent="0.3">
      <c r="B214" s="60">
        <f t="shared" ref="B214:E214" ca="1" si="34">COUNTIF(INDIRECT(SUBSTITUTE($A211,"-","_")),B213)</f>
        <v>0</v>
      </c>
      <c r="C214" s="61">
        <f t="shared" ca="1" si="34"/>
        <v>2</v>
      </c>
      <c r="D214" s="61">
        <f t="shared" ca="1" si="34"/>
        <v>0</v>
      </c>
      <c r="E214" s="62">
        <f t="shared" ca="1" si="34"/>
        <v>1</v>
      </c>
      <c r="F214" s="66">
        <f ca="1">COUNTIF(INDIRECT(SUBSTITUTE($A211,"-","_")),F213)</f>
        <v>0</v>
      </c>
      <c r="G214" s="67">
        <f ca="1">SUM(B214:E214)</f>
        <v>3</v>
      </c>
    </row>
    <row r="215" spans="1:7" ht="14.4" thickBot="1" x14ac:dyDescent="0.3">
      <c r="B215" s="63">
        <f ca="1">IFERROR(B214/$G214,0)</f>
        <v>0</v>
      </c>
      <c r="C215" s="64">
        <f t="shared" ref="C215:E215" ca="1" si="35">IFERROR(C214/$G214,0)</f>
        <v>0.66666666666666663</v>
      </c>
      <c r="D215" s="64">
        <f t="shared" ca="1" si="35"/>
        <v>0</v>
      </c>
      <c r="E215" s="65">
        <f t="shared" ca="1" si="35"/>
        <v>0.33333333333333331</v>
      </c>
    </row>
    <row r="216" spans="1:7" ht="14.4" thickBot="1" x14ac:dyDescent="0.3">
      <c r="B216" s="97">
        <f ca="1">B214+C214</f>
        <v>2</v>
      </c>
      <c r="C216" s="98"/>
      <c r="D216" s="97">
        <f ca="1">D214+E214</f>
        <v>1</v>
      </c>
      <c r="E216" s="98"/>
    </row>
  </sheetData>
  <mergeCells count="21">
    <mergeCell ref="A2:J2"/>
    <mergeCell ref="A8:B8"/>
    <mergeCell ref="B102:F102"/>
    <mergeCell ref="A188:B188"/>
    <mergeCell ref="A189:B189"/>
    <mergeCell ref="B16:C16"/>
    <mergeCell ref="D16:E16"/>
    <mergeCell ref="B155:C155"/>
    <mergeCell ref="D155:E155"/>
    <mergeCell ref="B167:C167"/>
    <mergeCell ref="D167:E167"/>
    <mergeCell ref="B216:C216"/>
    <mergeCell ref="D216:E216"/>
    <mergeCell ref="B131:C131"/>
    <mergeCell ref="D131:E131"/>
    <mergeCell ref="B143:C143"/>
    <mergeCell ref="D143:E143"/>
    <mergeCell ref="A191:B191"/>
    <mergeCell ref="A192:B192"/>
    <mergeCell ref="A193:B193"/>
    <mergeCell ref="A190:B190"/>
  </mergeCells>
  <conditionalFormatting sqref="B16:C16">
    <cfRule type="cellIs" dxfId="47" priority="23" operator="greaterThan">
      <formula>D16</formula>
    </cfRule>
    <cfRule type="cellIs" dxfId="46" priority="24" operator="equal">
      <formula>D16</formula>
    </cfRule>
  </conditionalFormatting>
  <conditionalFormatting sqref="D16:E16">
    <cfRule type="cellIs" dxfId="45" priority="21" operator="greaterThan">
      <formula>B16</formula>
    </cfRule>
    <cfRule type="cellIs" dxfId="44" priority="22" operator="equal">
      <formula>B16</formula>
    </cfRule>
  </conditionalFormatting>
  <conditionalFormatting sqref="B155:C155">
    <cfRule type="cellIs" dxfId="43" priority="19" operator="greaterThan">
      <formula>D155</formula>
    </cfRule>
    <cfRule type="cellIs" dxfId="42" priority="20" operator="equal">
      <formula>D155</formula>
    </cfRule>
  </conditionalFormatting>
  <conditionalFormatting sqref="D155:E155">
    <cfRule type="cellIs" dxfId="41" priority="17" operator="greaterThan">
      <formula>B155</formula>
    </cfRule>
    <cfRule type="cellIs" dxfId="40" priority="18" operator="equal">
      <formula>B155</formula>
    </cfRule>
  </conditionalFormatting>
  <conditionalFormatting sqref="B167:C167">
    <cfRule type="cellIs" dxfId="39" priority="15" operator="greaterThan">
      <formula>D167</formula>
    </cfRule>
    <cfRule type="cellIs" dxfId="38" priority="16" operator="equal">
      <formula>D167</formula>
    </cfRule>
  </conditionalFormatting>
  <conditionalFormatting sqref="D167:E167">
    <cfRule type="cellIs" dxfId="37" priority="13" operator="greaterThan">
      <formula>B167</formula>
    </cfRule>
    <cfRule type="cellIs" dxfId="36" priority="14" operator="equal">
      <formula>B167</formula>
    </cfRule>
  </conditionalFormatting>
  <conditionalFormatting sqref="B216:C216">
    <cfRule type="cellIs" dxfId="35" priority="11" operator="greaterThan">
      <formula>D216</formula>
    </cfRule>
    <cfRule type="cellIs" dxfId="34" priority="12" operator="equal">
      <formula>D216</formula>
    </cfRule>
  </conditionalFormatting>
  <conditionalFormatting sqref="D216:E216">
    <cfRule type="cellIs" dxfId="33" priority="9" operator="greaterThan">
      <formula>B216</formula>
    </cfRule>
    <cfRule type="cellIs" dxfId="32" priority="10" operator="equal">
      <formula>B216</formula>
    </cfRule>
  </conditionalFormatting>
  <conditionalFormatting sqref="B131:C131">
    <cfRule type="cellIs" dxfId="31" priority="7" operator="greaterThan">
      <formula>D131</formula>
    </cfRule>
    <cfRule type="cellIs" dxfId="30" priority="8" operator="equal">
      <formula>D131</formula>
    </cfRule>
  </conditionalFormatting>
  <conditionalFormatting sqref="D131:E131">
    <cfRule type="cellIs" dxfId="29" priority="5" operator="greaterThan">
      <formula>B131</formula>
    </cfRule>
    <cfRule type="cellIs" dxfId="28" priority="6" operator="equal">
      <formula>B131</formula>
    </cfRule>
  </conditionalFormatting>
  <conditionalFormatting sqref="B143:C143">
    <cfRule type="cellIs" dxfId="27" priority="3" operator="greaterThan">
      <formula>D143</formula>
    </cfRule>
    <cfRule type="cellIs" dxfId="26" priority="4" operator="equal">
      <formula>D143</formula>
    </cfRule>
  </conditionalFormatting>
  <conditionalFormatting sqref="D143:E143">
    <cfRule type="cellIs" dxfId="25" priority="1" operator="greaterThan">
      <formula>B143</formula>
    </cfRule>
    <cfRule type="cellIs" dxfId="24" priority="2" operator="equal">
      <formula>B143</formula>
    </cfRule>
  </conditionalFormatting>
  <dataValidations count="1">
    <dataValidation type="list" allowBlank="1" showInputMessage="1" showErrorMessage="1" sqref="A11 A23 A21 A37 A49 A62 A75 A90 A113 A126 A138 A150 A162 A102 A173 A184:A185 A211">
      <formula1>Numero</formula1>
    </dataValidation>
  </dataValidations>
  <pageMargins left="0" right="0" top="0" bottom="0" header="0" footer="0"/>
  <pageSetup paperSize="9" orientation="landscape" r:id="rId1"/>
  <headerFooter>
    <oddFooter>&amp;CPage &amp;P /&amp;N</oddFooter>
  </headerFooter>
  <rowBreaks count="3" manualBreakCount="3">
    <brk id="35" max="16383" man="1"/>
    <brk id="72" max="16383" man="1"/>
    <brk id="99" max="1638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216"/>
  <sheetViews>
    <sheetView showZeros="0" tabSelected="1" workbookViewId="0">
      <selection activeCell="C4" sqref="C4:G4"/>
    </sheetView>
  </sheetViews>
  <sheetFormatPr baseColWidth="10" defaultRowHeight="13.8" x14ac:dyDescent="0.25"/>
  <cols>
    <col min="1" max="1" width="13.6640625" customWidth="1"/>
    <col min="3" max="3" width="12.77734375" customWidth="1"/>
    <col min="5" max="5" width="14.5546875" customWidth="1"/>
  </cols>
  <sheetData>
    <row r="2" spans="1:10" ht="17.399999999999999" x14ac:dyDescent="0.3">
      <c r="A2" s="103" t="s">
        <v>139</v>
      </c>
      <c r="B2" s="103"/>
      <c r="C2" s="103"/>
      <c r="D2" s="103"/>
      <c r="E2" s="103"/>
      <c r="F2" s="103"/>
      <c r="G2" s="103"/>
      <c r="H2" s="103"/>
      <c r="I2" s="103"/>
      <c r="J2" s="103"/>
    </row>
    <row r="3" spans="1:10" ht="14.4" thickBot="1" x14ac:dyDescent="0.3"/>
    <row r="4" spans="1:10" ht="18" thickBot="1" x14ac:dyDescent="0.35">
      <c r="B4" s="96" t="s">
        <v>136</v>
      </c>
      <c r="C4" s="109" t="s">
        <v>148</v>
      </c>
      <c r="D4" s="110"/>
      <c r="E4" s="110"/>
      <c r="F4" s="110"/>
      <c r="G4" s="111"/>
    </row>
    <row r="6" spans="1:10" ht="14.4" thickBot="1" x14ac:dyDescent="0.3"/>
    <row r="7" spans="1:10" ht="16.2" thickBot="1" x14ac:dyDescent="0.35">
      <c r="C7" s="51" t="s">
        <v>117</v>
      </c>
      <c r="D7" s="52" t="s">
        <v>118</v>
      </c>
      <c r="E7" s="72" t="s">
        <v>119</v>
      </c>
    </row>
    <row r="8" spans="1:10" ht="16.2" thickBot="1" x14ac:dyDescent="0.35">
      <c r="A8" s="104" t="s">
        <v>116</v>
      </c>
      <c r="B8" s="105"/>
      <c r="C8" s="53">
        <f ca="1">OFFSET(Tables!$A$13,MATCH(REsEtab!$C$4,Etablissement,0),2)</f>
        <v>20</v>
      </c>
      <c r="D8" s="54">
        <f>COUNTIF(Q0_0,$C$4)</f>
        <v>2</v>
      </c>
      <c r="E8" s="50">
        <f ca="1">IFERROR(D8/C8,0)</f>
        <v>0.1</v>
      </c>
    </row>
    <row r="11" spans="1:10" ht="15.6" x14ac:dyDescent="0.3">
      <c r="A11" s="48" t="s">
        <v>14</v>
      </c>
      <c r="B11" s="55" t="str">
        <f ca="1">IF(A11&lt;&gt;0,IFERROR(OFFSET(Tables!$A$35,MATCH(REsEtab!A11,Numero,0),1),"nr question incorrect ou inexistant"),"")</f>
        <v>Avant mon arrivée et lors de mon 1er contact, l’accueil a été :</v>
      </c>
      <c r="C11" s="55"/>
      <c r="D11" s="55"/>
      <c r="E11" s="55"/>
    </row>
    <row r="12" spans="1:10" ht="14.4" thickBot="1" x14ac:dyDescent="0.3"/>
    <row r="13" spans="1:10" ht="31.8" thickBot="1" x14ac:dyDescent="0.35">
      <c r="B13" s="56" t="s">
        <v>9</v>
      </c>
      <c r="C13" s="57" t="s">
        <v>10</v>
      </c>
      <c r="D13" s="57" t="s">
        <v>11</v>
      </c>
      <c r="E13" s="58" t="s">
        <v>12</v>
      </c>
      <c r="F13" s="59" t="s">
        <v>122</v>
      </c>
      <c r="G13" s="59" t="s">
        <v>123</v>
      </c>
    </row>
    <row r="14" spans="1:10" ht="14.4" thickBot="1" x14ac:dyDescent="0.3">
      <c r="B14" s="60">
        <f ca="1">COUNTIFS(Q0_0,$C$4,INDIRECT(SUBSTITUTE($A11,"-","_")),B13)</f>
        <v>0</v>
      </c>
      <c r="C14" s="61">
        <f ca="1">COUNTIFS(Q0_0,$C$4,INDIRECT(SUBSTITUTE($A11,"-","_")),C13)</f>
        <v>0</v>
      </c>
      <c r="D14" s="61">
        <f ca="1">COUNTIFS(Q0_0,$C$4,INDIRECT(SUBSTITUTE($A11,"-","_")),D13)</f>
        <v>1</v>
      </c>
      <c r="E14" s="62">
        <f ca="1">COUNTIFS(Q0_0,$C$4,INDIRECT(SUBSTITUTE($A11,"-","_")),E13)</f>
        <v>1</v>
      </c>
      <c r="F14" s="66">
        <f ca="1">COUNTIFS(Q0_0,$C$4,INDIRECT(SUBSTITUTE($A11,"-","_")),F13)</f>
        <v>0</v>
      </c>
      <c r="G14" s="67">
        <f ca="1">SUM(B14:E14)</f>
        <v>2</v>
      </c>
    </row>
    <row r="15" spans="1:10" ht="14.4" thickBot="1" x14ac:dyDescent="0.3">
      <c r="B15" s="63">
        <f ca="1">IFERROR(B14/$G14,0)</f>
        <v>0</v>
      </c>
      <c r="C15" s="64">
        <f t="shared" ref="C15:E15" ca="1" si="0">IFERROR(C14/$G14,0)</f>
        <v>0</v>
      </c>
      <c r="D15" s="64">
        <f t="shared" ca="1" si="0"/>
        <v>0.5</v>
      </c>
      <c r="E15" s="65">
        <f t="shared" ca="1" si="0"/>
        <v>0.5</v>
      </c>
    </row>
    <row r="16" spans="1:10" ht="14.4" thickBot="1" x14ac:dyDescent="0.3">
      <c r="B16" s="97">
        <f ca="1">B14+C14</f>
        <v>0</v>
      </c>
      <c r="C16" s="98"/>
      <c r="D16" s="97">
        <f ca="1">D14+E14</f>
        <v>2</v>
      </c>
      <c r="E16" s="98"/>
    </row>
    <row r="21" spans="1:5" ht="18" x14ac:dyDescent="0.35">
      <c r="A21" s="68" t="s">
        <v>17</v>
      </c>
      <c r="B21" s="69" t="str">
        <f ca="1">IF(A21&lt;&gt;0,IFERROR(OFFSET(Tables!$A$35,MATCH(REsEtab!A21,Numero,0),1),"nr question incorrect ou inexistant"),"")</f>
        <v>J’ai reçu les informations que je souhaitais</v>
      </c>
      <c r="C21" s="70"/>
      <c r="D21" s="70"/>
      <c r="E21" s="70"/>
    </row>
    <row r="23" spans="1:5" ht="15.6" x14ac:dyDescent="0.3">
      <c r="A23" s="48" t="s">
        <v>22</v>
      </c>
      <c r="B23" s="55" t="str">
        <f ca="1">IF(A23&lt;&gt;0,IFERROR(OFFSET(Tables!$A$35,MATCH(REsEtab!A23,Numero,0),1),"nr question incorrect ou inexistant"),"")</f>
        <v>Sur les tarifs :</v>
      </c>
      <c r="C23" s="55"/>
      <c r="D23" s="55"/>
      <c r="E23" s="55"/>
    </row>
    <row r="24" spans="1:5" ht="14.4" thickBot="1" x14ac:dyDescent="0.3"/>
    <row r="25" spans="1:5" ht="16.2" thickBot="1" x14ac:dyDescent="0.35">
      <c r="B25" s="56" t="s">
        <v>20</v>
      </c>
      <c r="C25" s="57" t="s">
        <v>21</v>
      </c>
      <c r="D25" s="59" t="s">
        <v>122</v>
      </c>
      <c r="E25" s="59" t="s">
        <v>123</v>
      </c>
    </row>
    <row r="26" spans="1:5" ht="14.4" thickBot="1" x14ac:dyDescent="0.3">
      <c r="B26" s="60">
        <f ca="1">COUNTIFS(Q0_0,$C$4,INDIRECT(SUBSTITUTE($A23,"-","_")),B25)</f>
        <v>1</v>
      </c>
      <c r="C26" s="62">
        <f ca="1">COUNTIFS(Q0_0,$C$4,INDIRECT(SUBSTITUTE($A23,"-","_")),C25)</f>
        <v>1</v>
      </c>
      <c r="D26" s="71">
        <f ca="1">COUNTIFS(Q0_0,$C$4,INDIRECT(SUBSTITUTE($A23,"-","_")),D25)</f>
        <v>0</v>
      </c>
      <c r="E26" s="67">
        <f ca="1">SUM(B26:C26)</f>
        <v>2</v>
      </c>
    </row>
    <row r="27" spans="1:5" ht="14.4" thickBot="1" x14ac:dyDescent="0.3">
      <c r="B27" s="63">
        <f ca="1">IFERROR(B26/$E26,0)</f>
        <v>0.5</v>
      </c>
      <c r="C27" s="65">
        <f ca="1">IFERROR(C26/$E26,0)</f>
        <v>0.5</v>
      </c>
    </row>
    <row r="37" spans="1:5" ht="15.6" x14ac:dyDescent="0.3">
      <c r="A37" s="48" t="s">
        <v>23</v>
      </c>
      <c r="B37" s="55" t="str">
        <f ca="1">IF(A37&lt;&gt;0,IFERROR(OFFSET(Tables!$A$35,MATCH(REsEtab!A37,Numero,0),1),"nr question incorrect ou inexistant"),"")</f>
        <v>Sur les documents administratifs à renseigner :</v>
      </c>
      <c r="C37" s="55"/>
      <c r="D37" s="55"/>
      <c r="E37" s="55"/>
    </row>
    <row r="38" spans="1:5" ht="14.4" thickBot="1" x14ac:dyDescent="0.3"/>
    <row r="39" spans="1:5" ht="16.2" thickBot="1" x14ac:dyDescent="0.35">
      <c r="B39" s="56" t="s">
        <v>20</v>
      </c>
      <c r="C39" s="57" t="s">
        <v>21</v>
      </c>
      <c r="D39" s="59" t="s">
        <v>122</v>
      </c>
      <c r="E39" s="59" t="s">
        <v>123</v>
      </c>
    </row>
    <row r="40" spans="1:5" ht="14.4" thickBot="1" x14ac:dyDescent="0.3">
      <c r="B40" s="60">
        <f ca="1">COUNTIFS(Q0_0,$C$4,INDIRECT(SUBSTITUTE($A37,"-","_")),B39)</f>
        <v>1</v>
      </c>
      <c r="C40" s="60">
        <f ca="1">COUNTIFS(Q0_0,$C$4,INDIRECT(SUBSTITUTE($A37,"-","_")),C39)</f>
        <v>1</v>
      </c>
      <c r="D40" s="66">
        <f ca="1">COUNTIFS(Q0_0,$C$4,INDIRECT(SUBSTITUTE($A37,"-","_")),D39)</f>
        <v>0</v>
      </c>
      <c r="E40" s="67">
        <f ca="1">SUM(B40:C40)</f>
        <v>2</v>
      </c>
    </row>
    <row r="41" spans="1:5" ht="14.4" thickBot="1" x14ac:dyDescent="0.3">
      <c r="B41" s="63">
        <f ca="1">IFERROR(B40/$E40,0)</f>
        <v>0.5</v>
      </c>
      <c r="C41" s="64">
        <f ca="1">IFERROR(C40/$E40,0)</f>
        <v>0.5</v>
      </c>
    </row>
    <row r="49" spans="1:5" ht="15.6" x14ac:dyDescent="0.3">
      <c r="A49" s="48" t="s">
        <v>24</v>
      </c>
      <c r="B49" s="55" t="str">
        <f ca="1">IF(A49&lt;&gt;0,IFERROR(OFFSET(Tables!$A$35,MATCH(REsEtab!A49,Numero,0),1),"nr question incorrect ou inexistant"),"")</f>
        <v>Sur les aides dont je pouvais disposer :</v>
      </c>
      <c r="C49" s="55"/>
      <c r="D49" s="55"/>
      <c r="E49" s="55"/>
    </row>
    <row r="50" spans="1:5" ht="14.4" thickBot="1" x14ac:dyDescent="0.3"/>
    <row r="51" spans="1:5" ht="16.2" thickBot="1" x14ac:dyDescent="0.35">
      <c r="B51" s="56" t="s">
        <v>20</v>
      </c>
      <c r="C51" s="57" t="s">
        <v>21</v>
      </c>
      <c r="D51" s="59" t="s">
        <v>122</v>
      </c>
      <c r="E51" s="59" t="s">
        <v>123</v>
      </c>
    </row>
    <row r="52" spans="1:5" ht="14.4" thickBot="1" x14ac:dyDescent="0.3">
      <c r="B52" s="60">
        <f ca="1">COUNTIFS(Q0_0,$C$4,INDIRECT(SUBSTITUTE($A49,"-","_")),B51)</f>
        <v>1</v>
      </c>
      <c r="C52" s="62">
        <f ca="1">COUNTIFS(Q0_0,$C$4,INDIRECT(SUBSTITUTE($A49,"-","_")),C51)</f>
        <v>1</v>
      </c>
      <c r="D52" s="66">
        <f ca="1">COUNTIFS(Q0_0,$C$4,INDIRECT(SUBSTITUTE($A49,"-","_")),D51)</f>
        <v>0</v>
      </c>
      <c r="E52" s="67">
        <f ca="1">SUM(B52:C52)</f>
        <v>2</v>
      </c>
    </row>
    <row r="53" spans="1:5" ht="14.4" thickBot="1" x14ac:dyDescent="0.3">
      <c r="B53" s="63">
        <f ca="1">IFERROR(B52/$E52,0)</f>
        <v>0.5</v>
      </c>
      <c r="C53" s="65">
        <f ca="1">IFERROR(C52/$E52,0)</f>
        <v>0.5</v>
      </c>
    </row>
    <row r="62" spans="1:5" ht="15.6" x14ac:dyDescent="0.3">
      <c r="A62" s="48" t="s">
        <v>25</v>
      </c>
      <c r="B62" s="55" t="str">
        <f ca="1">IF(A62&lt;&gt;0,IFERROR(OFFSET(Tables!$A$35,MATCH(REsEtab!A62,Numero,0),1),"nr question incorrect ou inexistant"),"")</f>
        <v>Sur les services proposés en plus du logement :</v>
      </c>
      <c r="C62" s="55"/>
      <c r="D62" s="55"/>
      <c r="E62" s="55"/>
    </row>
    <row r="63" spans="1:5" ht="14.4" thickBot="1" x14ac:dyDescent="0.3"/>
    <row r="64" spans="1:5" ht="16.2" thickBot="1" x14ac:dyDescent="0.35">
      <c r="B64" s="56" t="s">
        <v>20</v>
      </c>
      <c r="C64" s="57" t="s">
        <v>21</v>
      </c>
      <c r="D64" s="59" t="s">
        <v>122</v>
      </c>
      <c r="E64" s="59" t="s">
        <v>123</v>
      </c>
    </row>
    <row r="65" spans="1:5" ht="14.4" thickBot="1" x14ac:dyDescent="0.3">
      <c r="B65" s="60">
        <f ca="1">COUNTIFS(Q0_0,$C$4,INDIRECT(SUBSTITUTE($A62,"-","_")),B64)</f>
        <v>1</v>
      </c>
      <c r="C65" s="62">
        <f ca="1">COUNTIFS(Q0_0,$C$4,INDIRECT(SUBSTITUTE($A62,"-","_")),C64)</f>
        <v>1</v>
      </c>
      <c r="D65" s="66">
        <f ca="1">COUNTIFS(Q0_0,$C$4,INDIRECT(SUBSTITUTE($A62,"-","_")),D64)</f>
        <v>0</v>
      </c>
      <c r="E65" s="67">
        <f ca="1">SUM(B65:C65)</f>
        <v>2</v>
      </c>
    </row>
    <row r="66" spans="1:5" ht="14.4" thickBot="1" x14ac:dyDescent="0.3">
      <c r="B66" s="63">
        <f ca="1">IFERROR(B65/$E65,0)</f>
        <v>0.5</v>
      </c>
      <c r="C66" s="65">
        <f ca="1">IFERROR(C65/$E65,0)</f>
        <v>0.5</v>
      </c>
    </row>
    <row r="75" spans="1:5" ht="15.6" x14ac:dyDescent="0.3">
      <c r="A75" s="48" t="s">
        <v>26</v>
      </c>
      <c r="B75" s="55" t="str">
        <f ca="1">IF(A75&lt;&gt;0,IFERROR(OFFSET(Tables!$A$35,MATCH(REsEtab!A75,Numero,0),1),"nr question incorrect ou inexistant"),"")</f>
        <v>Sur l’accompagnement pour m’aider dans mon projet :</v>
      </c>
      <c r="C75" s="55"/>
      <c r="D75" s="55"/>
      <c r="E75" s="55"/>
    </row>
    <row r="76" spans="1:5" ht="14.4" thickBot="1" x14ac:dyDescent="0.3"/>
    <row r="77" spans="1:5" ht="16.2" thickBot="1" x14ac:dyDescent="0.35">
      <c r="B77" s="56" t="s">
        <v>20</v>
      </c>
      <c r="C77" s="57" t="s">
        <v>21</v>
      </c>
      <c r="D77" s="59" t="s">
        <v>122</v>
      </c>
      <c r="E77" s="59" t="s">
        <v>123</v>
      </c>
    </row>
    <row r="78" spans="1:5" ht="14.4" thickBot="1" x14ac:dyDescent="0.3">
      <c r="B78" s="60">
        <f ca="1">COUNTIFS(Q0_0,$C$4,INDIRECT(SUBSTITUTE($A75,"-","_")),B77)</f>
        <v>1</v>
      </c>
      <c r="C78" s="62">
        <f ca="1">COUNTIFS(Q0_0,$C$4,INDIRECT(SUBSTITUTE($A75,"-","_")),C77)</f>
        <v>1</v>
      </c>
      <c r="D78" s="66">
        <f ca="1">COUNTIFS(Q0_0,$C$4,INDIRECT(SUBSTITUTE($A75,"-","_")),D77)</f>
        <v>0</v>
      </c>
      <c r="E78" s="67">
        <f ca="1">SUM(B78:C78)</f>
        <v>2</v>
      </c>
    </row>
    <row r="79" spans="1:5" ht="14.4" thickBot="1" x14ac:dyDescent="0.3">
      <c r="B79" s="63">
        <f ca="1">IFERROR(B78/$E78,0)</f>
        <v>0.5</v>
      </c>
      <c r="C79" s="65">
        <f ca="1">IFERROR(C78/$E78,0)</f>
        <v>0.5</v>
      </c>
    </row>
    <row r="90" spans="1:5" ht="15.6" x14ac:dyDescent="0.3">
      <c r="A90" s="48" t="s">
        <v>27</v>
      </c>
      <c r="B90" s="55" t="str">
        <f ca="1">IF(A90&lt;&gt;0,IFERROR(OFFSET(Tables!$A$35,MATCH(REsEtab!A90,Numero,0),1),"nr question incorrect ou inexistant"),"")</f>
        <v>Sur les animations proposées :</v>
      </c>
      <c r="C90" s="55"/>
      <c r="D90" s="55"/>
      <c r="E90" s="55"/>
    </row>
    <row r="91" spans="1:5" ht="14.4" thickBot="1" x14ac:dyDescent="0.3"/>
    <row r="92" spans="1:5" ht="16.2" thickBot="1" x14ac:dyDescent="0.35">
      <c r="B92" s="56" t="s">
        <v>20</v>
      </c>
      <c r="C92" s="57" t="s">
        <v>21</v>
      </c>
      <c r="D92" s="59" t="s">
        <v>122</v>
      </c>
      <c r="E92" s="59" t="s">
        <v>123</v>
      </c>
    </row>
    <row r="93" spans="1:5" ht="14.4" thickBot="1" x14ac:dyDescent="0.3">
      <c r="B93" s="60">
        <f ca="1">COUNTIFS(Q0_0,$C$4,INDIRECT(SUBSTITUTE($A90,"-","_")),B92)</f>
        <v>0</v>
      </c>
      <c r="C93" s="62">
        <f ca="1">COUNTIFS(Q0_0,$C$4,INDIRECT(SUBSTITUTE($A90,"-","_")),C92)</f>
        <v>2</v>
      </c>
      <c r="D93" s="66">
        <f ca="1">COUNTIFS(Q0_0,$C$4,INDIRECT(SUBSTITUTE($A90,"-","_")),D92)</f>
        <v>0</v>
      </c>
      <c r="E93" s="67">
        <f ca="1">SUM(B93:C93)</f>
        <v>2</v>
      </c>
    </row>
    <row r="94" spans="1:5" ht="14.4" thickBot="1" x14ac:dyDescent="0.3">
      <c r="B94" s="63">
        <f ca="1">IFERROR(B93/$E93,0)</f>
        <v>0</v>
      </c>
      <c r="C94" s="65">
        <f ca="1">IFERROR(C93/$E93,0)</f>
        <v>1</v>
      </c>
    </row>
    <row r="102" spans="1:6" ht="28.8" customHeight="1" x14ac:dyDescent="0.3">
      <c r="A102" s="48" t="s">
        <v>28</v>
      </c>
      <c r="B102" s="106" t="str">
        <f ca="1">IF(A102&lt;&gt;0,IFERROR(OFFSET(Tables!$A$35,MATCH(REsEtab!A102,Numero,0),1),"nr question incorrect ou inexistant"),"")</f>
        <v>A mon arrivée, j’ai effectué et signé un état des lieux de mon logement avec un membre de l’équipe</v>
      </c>
      <c r="C102" s="106"/>
      <c r="D102" s="106"/>
      <c r="E102" s="106"/>
      <c r="F102" s="106"/>
    </row>
    <row r="103" spans="1:6" ht="14.4" thickBot="1" x14ac:dyDescent="0.3"/>
    <row r="104" spans="1:6" ht="16.2" thickBot="1" x14ac:dyDescent="0.35">
      <c r="B104" s="56" t="s">
        <v>20</v>
      </c>
      <c r="C104" s="57" t="s">
        <v>21</v>
      </c>
      <c r="D104" s="59" t="s">
        <v>122</v>
      </c>
      <c r="E104" s="59" t="s">
        <v>123</v>
      </c>
    </row>
    <row r="105" spans="1:6" ht="14.4" thickBot="1" x14ac:dyDescent="0.3">
      <c r="B105" s="60">
        <f ca="1">COUNTIFS(Q0_0,$C$4,INDIRECT(SUBSTITUTE($A102,"-","_")),B104)</f>
        <v>1</v>
      </c>
      <c r="C105" s="62">
        <f ca="1">COUNTIFS(Q0_0,$C$4,INDIRECT(SUBSTITUTE($A102,"-","_")),C104)</f>
        <v>1</v>
      </c>
      <c r="D105" s="66">
        <f ca="1">COUNTIFS(Q0_0,$C$4,INDIRECT(SUBSTITUTE($A102,"-","_")),D104)</f>
        <v>0</v>
      </c>
      <c r="E105" s="67">
        <f ca="1">SUM(B105:C105)</f>
        <v>2</v>
      </c>
    </row>
    <row r="106" spans="1:6" ht="14.4" thickBot="1" x14ac:dyDescent="0.3">
      <c r="B106" s="63">
        <f ca="1">IFERROR(B105/$E105,0)</f>
        <v>0.5</v>
      </c>
      <c r="C106" s="65">
        <f ca="1">IFERROR(C105/$E105,0)</f>
        <v>0.5</v>
      </c>
    </row>
    <row r="113" spans="1:7" ht="15.6" x14ac:dyDescent="0.3">
      <c r="A113" s="48" t="s">
        <v>29</v>
      </c>
      <c r="B113" s="55" t="str">
        <f ca="1">IF(A113&lt;&gt;0,IFERROR(OFFSET(Tables!$A$35,MATCH(REsEtab!A113,Numero,0),1),"nr question incorrect ou inexistant"),"")</f>
        <v>Le logement proposé correspondait à mes attentes</v>
      </c>
      <c r="C113" s="55"/>
      <c r="D113" s="55"/>
      <c r="E113" s="55"/>
    </row>
    <row r="114" spans="1:7" ht="14.4" thickBot="1" x14ac:dyDescent="0.3"/>
    <row r="115" spans="1:7" ht="16.2" thickBot="1" x14ac:dyDescent="0.35">
      <c r="B115" s="56" t="s">
        <v>20</v>
      </c>
      <c r="C115" s="57" t="s">
        <v>21</v>
      </c>
      <c r="D115" s="59" t="s">
        <v>122</v>
      </c>
      <c r="E115" s="59" t="s">
        <v>123</v>
      </c>
    </row>
    <row r="116" spans="1:7" ht="14.4" thickBot="1" x14ac:dyDescent="0.3">
      <c r="B116" s="60">
        <f ca="1">COUNTIFS(Q0_0,$C$4,INDIRECT(SUBSTITUTE($A113,"-","_")),B115)</f>
        <v>1</v>
      </c>
      <c r="C116" s="62">
        <f ca="1">COUNTIFS(Q0_0,$C$4,INDIRECT(SUBSTITUTE($A113,"-","_")),C115)</f>
        <v>1</v>
      </c>
      <c r="D116" s="66">
        <f ca="1">COUNTIFS(Q0_0,$C$4,INDIRECT(SUBSTITUTE($A113,"-","_")),D115)</f>
        <v>0</v>
      </c>
      <c r="E116" s="67">
        <f ca="1">SUM(B116:C116)</f>
        <v>2</v>
      </c>
    </row>
    <row r="117" spans="1:7" ht="14.4" thickBot="1" x14ac:dyDescent="0.3">
      <c r="B117" s="63">
        <f ca="1">IFERROR(B116/$E116,0)</f>
        <v>0.5</v>
      </c>
      <c r="C117" s="65">
        <f ca="1">IFERROR(C116/$E116,0)</f>
        <v>0.5</v>
      </c>
    </row>
    <row r="126" spans="1:7" ht="15.6" x14ac:dyDescent="0.3">
      <c r="A126" s="48" t="s">
        <v>33</v>
      </c>
      <c r="B126" s="55" t="str">
        <f ca="1">IF(A126&lt;&gt;0,IFERROR(OFFSET(Tables!$A$35,MATCH(REsEtab!A126,Numero,0),1),"nr question incorrect ou inexistant"),"")</f>
        <v>J'ai trouvé le prix intéressant :</v>
      </c>
      <c r="C126" s="55"/>
      <c r="D126" s="55"/>
      <c r="E126" s="55"/>
    </row>
    <row r="127" spans="1:7" ht="14.4" thickBot="1" x14ac:dyDescent="0.3"/>
    <row r="128" spans="1:7" ht="31.8" thickBot="1" x14ac:dyDescent="0.35">
      <c r="B128" s="56" t="s">
        <v>37</v>
      </c>
      <c r="C128" s="57" t="s">
        <v>38</v>
      </c>
      <c r="D128" s="57" t="s">
        <v>39</v>
      </c>
      <c r="E128" s="58" t="s">
        <v>40</v>
      </c>
      <c r="F128" s="59" t="s">
        <v>122</v>
      </c>
      <c r="G128" s="59" t="s">
        <v>123</v>
      </c>
    </row>
    <row r="129" spans="1:7" ht="14.4" thickBot="1" x14ac:dyDescent="0.3">
      <c r="B129" s="60">
        <f ca="1">COUNTIFS(Q0_0,$C$4,INDIRECT(SUBSTITUTE($A126,"-","_")),B128)</f>
        <v>0</v>
      </c>
      <c r="C129" s="61">
        <f ca="1">COUNTIFS(Q0_0,$C$4,INDIRECT(SUBSTITUTE($A126,"-","_")),C128)</f>
        <v>2</v>
      </c>
      <c r="D129" s="61">
        <f ca="1">COUNTIFS(Q0_0,$C$4,INDIRECT(SUBSTITUTE($A126,"-","_")),D128)</f>
        <v>0</v>
      </c>
      <c r="E129" s="62">
        <f ca="1">COUNTIFS(Q0_0,$C$4,INDIRECT(SUBSTITUTE($A126,"-","_")),E128)</f>
        <v>0</v>
      </c>
      <c r="F129" s="66">
        <f ca="1">COUNTIFS(Q0_0,$C$4,INDIRECT(SUBSTITUTE($A126,"-","_")),F128)</f>
        <v>0</v>
      </c>
      <c r="G129" s="67">
        <f ca="1">SUM(B129:E129)</f>
        <v>2</v>
      </c>
    </row>
    <row r="130" spans="1:7" ht="14.4" thickBot="1" x14ac:dyDescent="0.3">
      <c r="B130" s="63">
        <f ca="1">IFERROR(B129/$G129,0)</f>
        <v>0</v>
      </c>
      <c r="C130" s="64">
        <f t="shared" ref="C130:E130" ca="1" si="1">IFERROR(C129/$G129,0)</f>
        <v>1</v>
      </c>
      <c r="D130" s="64">
        <f t="shared" ca="1" si="1"/>
        <v>0</v>
      </c>
      <c r="E130" s="65">
        <f t="shared" ca="1" si="1"/>
        <v>0</v>
      </c>
    </row>
    <row r="131" spans="1:7" ht="14.4" thickBot="1" x14ac:dyDescent="0.3">
      <c r="B131" s="97">
        <f ca="1">B129+C129</f>
        <v>2</v>
      </c>
      <c r="C131" s="98"/>
      <c r="D131" s="97">
        <f ca="1">D129+E129</f>
        <v>0</v>
      </c>
      <c r="E131" s="98"/>
    </row>
    <row r="138" spans="1:7" ht="15.6" x14ac:dyDescent="0.3">
      <c r="A138" s="48" t="s">
        <v>34</v>
      </c>
      <c r="B138" s="55" t="str">
        <f ca="1">IF(A138&lt;&gt;0,IFERROR(OFFSET(Tables!$A$35,MATCH(REsEtab!A138,Numero,0),1),"nr question incorrect ou inexistant"),"")</f>
        <v>J'ai trouvé le logement confortable :</v>
      </c>
      <c r="C138" s="55"/>
      <c r="D138" s="55"/>
      <c r="E138" s="55"/>
    </row>
    <row r="139" spans="1:7" ht="14.4" thickBot="1" x14ac:dyDescent="0.3"/>
    <row r="140" spans="1:7" ht="31.8" thickBot="1" x14ac:dyDescent="0.35">
      <c r="B140" s="56" t="s">
        <v>37</v>
      </c>
      <c r="C140" s="57" t="s">
        <v>38</v>
      </c>
      <c r="D140" s="57" t="s">
        <v>39</v>
      </c>
      <c r="E140" s="58" t="s">
        <v>40</v>
      </c>
      <c r="F140" s="59" t="s">
        <v>122</v>
      </c>
      <c r="G140" s="59" t="s">
        <v>123</v>
      </c>
    </row>
    <row r="141" spans="1:7" ht="14.4" thickBot="1" x14ac:dyDescent="0.3">
      <c r="B141" s="60">
        <f ca="1">COUNTIFS(Q0_0,$C$4,INDIRECT(SUBSTITUTE($A138,"-","_")),B140)</f>
        <v>0</v>
      </c>
      <c r="C141" s="61">
        <f ca="1">COUNTIFS(Q0_0,$C$4,INDIRECT(SUBSTITUTE($A138,"-","_")),C140)</f>
        <v>1</v>
      </c>
      <c r="D141" s="61">
        <f ca="1">COUNTIFS(Q0_0,$C$4,INDIRECT(SUBSTITUTE($A138,"-","_")),D140)</f>
        <v>0</v>
      </c>
      <c r="E141" s="62">
        <f ca="1">COUNTIFS(Q0_0,$C$4,INDIRECT(SUBSTITUTE($A138,"-","_")),E140)</f>
        <v>1</v>
      </c>
      <c r="F141" s="66">
        <f ca="1">COUNTIFS(Q0_0,$C$4,INDIRECT(SUBSTITUTE($A138,"-","_")),F140)</f>
        <v>0</v>
      </c>
      <c r="G141" s="67">
        <f ca="1">SUM(B141:E141)</f>
        <v>2</v>
      </c>
    </row>
    <row r="142" spans="1:7" ht="14.4" thickBot="1" x14ac:dyDescent="0.3">
      <c r="B142" s="63">
        <f ca="1">IFERROR(B141/$G141,0)</f>
        <v>0</v>
      </c>
      <c r="C142" s="64">
        <f t="shared" ref="C142:E142" ca="1" si="2">IFERROR(C141/$G141,0)</f>
        <v>0.5</v>
      </c>
      <c r="D142" s="64">
        <f t="shared" ca="1" si="2"/>
        <v>0</v>
      </c>
      <c r="E142" s="65">
        <f t="shared" ca="1" si="2"/>
        <v>0.5</v>
      </c>
    </row>
    <row r="143" spans="1:7" ht="14.4" thickBot="1" x14ac:dyDescent="0.3">
      <c r="B143" s="97">
        <f ca="1">B141+C141</f>
        <v>1</v>
      </c>
      <c r="C143" s="98"/>
      <c r="D143" s="97">
        <f ca="1">D141+E141</f>
        <v>1</v>
      </c>
      <c r="E143" s="98"/>
    </row>
    <row r="150" spans="1:7" ht="15.6" x14ac:dyDescent="0.3">
      <c r="A150" s="48" t="s">
        <v>35</v>
      </c>
      <c r="B150" s="55" t="str">
        <f ca="1">IF(A150&lt;&gt;0,IFERROR(OFFSET(Tables!$A$35,MATCH(REsEtab!A150,Numero,0),1),"nr question incorrect ou inexistant"),"")</f>
        <v>J'ai trouvé que les équipements étaient adaptés :</v>
      </c>
      <c r="C150" s="55"/>
      <c r="D150" s="55"/>
      <c r="E150" s="55"/>
    </row>
    <row r="151" spans="1:7" ht="14.4" thickBot="1" x14ac:dyDescent="0.3"/>
    <row r="152" spans="1:7" ht="31.8" thickBot="1" x14ac:dyDescent="0.35">
      <c r="B152" s="56" t="s">
        <v>37</v>
      </c>
      <c r="C152" s="57" t="s">
        <v>38</v>
      </c>
      <c r="D152" s="57" t="s">
        <v>39</v>
      </c>
      <c r="E152" s="58" t="s">
        <v>40</v>
      </c>
      <c r="F152" s="59" t="s">
        <v>122</v>
      </c>
      <c r="G152" s="59" t="s">
        <v>123</v>
      </c>
    </row>
    <row r="153" spans="1:7" ht="14.4" thickBot="1" x14ac:dyDescent="0.3">
      <c r="B153" s="60">
        <f ca="1">COUNTIFS(Q0_0,$C$4,INDIRECT(SUBSTITUTE($A150,"-","_")),B152)</f>
        <v>1</v>
      </c>
      <c r="C153" s="61">
        <f ca="1">COUNTIFS(Q0_0,$C$4,INDIRECT(SUBSTITUTE($A150,"-","_")),C152)</f>
        <v>0</v>
      </c>
      <c r="D153" s="61">
        <f ca="1">COUNTIFS(Q0_0,$C$4,INDIRECT(SUBSTITUTE($A150,"-","_")),D152)</f>
        <v>1</v>
      </c>
      <c r="E153" s="62">
        <f ca="1">COUNTIFS(Q0_0,$C$4,INDIRECT(SUBSTITUTE($A150,"-","_")),E152)</f>
        <v>0</v>
      </c>
      <c r="F153" s="66">
        <f ca="1">COUNTIFS(Q0_0,$C$4,INDIRECT(SUBSTITUTE($A150,"-","_")),F152)</f>
        <v>0</v>
      </c>
      <c r="G153" s="67">
        <f ca="1">SUM(B153:E153)</f>
        <v>2</v>
      </c>
    </row>
    <row r="154" spans="1:7" ht="14.4" thickBot="1" x14ac:dyDescent="0.3">
      <c r="B154" s="63">
        <f ca="1">IFERROR(B153/$G153,0)</f>
        <v>0.5</v>
      </c>
      <c r="C154" s="64">
        <f t="shared" ref="C154:E154" ca="1" si="3">IFERROR(C153/$G153,0)</f>
        <v>0</v>
      </c>
      <c r="D154" s="64">
        <f t="shared" ca="1" si="3"/>
        <v>0.5</v>
      </c>
      <c r="E154" s="65">
        <f t="shared" ca="1" si="3"/>
        <v>0</v>
      </c>
    </row>
    <row r="155" spans="1:7" ht="14.4" thickBot="1" x14ac:dyDescent="0.3">
      <c r="B155" s="97">
        <f ca="1">B153+C153</f>
        <v>1</v>
      </c>
      <c r="C155" s="98"/>
      <c r="D155" s="97">
        <f ca="1">D153+E153</f>
        <v>1</v>
      </c>
      <c r="E155" s="98"/>
    </row>
    <row r="162" spans="1:7" ht="15.6" x14ac:dyDescent="0.3">
      <c r="A162" s="48" t="s">
        <v>36</v>
      </c>
      <c r="B162" s="55" t="str">
        <f ca="1">IF(A162&lt;&gt;0,IFERROR(OFFSET(Tables!$A$35,MATCH(REsEtab!A162,Numero,0),1),"nr question incorrect ou inexistant"),"")</f>
        <v>J'ai trouvé le logement propre :</v>
      </c>
      <c r="C162" s="55"/>
      <c r="D162" s="55"/>
      <c r="E162" s="55"/>
    </row>
    <row r="163" spans="1:7" ht="14.4" thickBot="1" x14ac:dyDescent="0.3"/>
    <row r="164" spans="1:7" ht="31.8" thickBot="1" x14ac:dyDescent="0.35">
      <c r="B164" s="56" t="s">
        <v>37</v>
      </c>
      <c r="C164" s="57" t="s">
        <v>38</v>
      </c>
      <c r="D164" s="57" t="s">
        <v>39</v>
      </c>
      <c r="E164" s="58" t="s">
        <v>40</v>
      </c>
      <c r="F164" s="59" t="s">
        <v>122</v>
      </c>
      <c r="G164" s="59" t="s">
        <v>123</v>
      </c>
    </row>
    <row r="165" spans="1:7" ht="14.4" thickBot="1" x14ac:dyDescent="0.3">
      <c r="B165" s="60">
        <f ca="1">COUNTIFS(Q0_0,$C$4,INDIRECT(SUBSTITUTE($A162,"-","_")),B164)</f>
        <v>1</v>
      </c>
      <c r="C165" s="61">
        <f ca="1">COUNTIFS(Q0_0,$C$4,INDIRECT(SUBSTITUTE($A162,"-","_")),C164)</f>
        <v>0</v>
      </c>
      <c r="D165" s="61">
        <f ca="1">COUNTIFS(Q0_0,$C$4,INDIRECT(SUBSTITUTE($A162,"-","_")),D164)</f>
        <v>1</v>
      </c>
      <c r="E165" s="62">
        <f ca="1">COUNTIFS(Q0_0,$C$4,INDIRECT(SUBSTITUTE($A162,"-","_")),E164)</f>
        <v>0</v>
      </c>
      <c r="F165" s="66">
        <f ca="1">COUNTIFS(Q0_0,$C$4,INDIRECT(SUBSTITUTE($A162,"-","_")),F164)</f>
        <v>0</v>
      </c>
      <c r="G165" s="67">
        <f ca="1">SUM(B165:E165)</f>
        <v>2</v>
      </c>
    </row>
    <row r="166" spans="1:7" ht="14.4" thickBot="1" x14ac:dyDescent="0.3">
      <c r="B166" s="63">
        <f ca="1">IFERROR(B165/$G165,0)</f>
        <v>0.5</v>
      </c>
      <c r="C166" s="64">
        <f t="shared" ref="C166:E166" ca="1" si="4">IFERROR(C165/$G165,0)</f>
        <v>0</v>
      </c>
      <c r="D166" s="64">
        <f t="shared" ca="1" si="4"/>
        <v>0.5</v>
      </c>
      <c r="E166" s="65">
        <f t="shared" ca="1" si="4"/>
        <v>0</v>
      </c>
    </row>
    <row r="167" spans="1:7" ht="14.4" thickBot="1" x14ac:dyDescent="0.3">
      <c r="B167" s="97">
        <f ca="1">B165+C165</f>
        <v>1</v>
      </c>
      <c r="C167" s="98"/>
      <c r="D167" s="97">
        <f ca="1">D165+E165</f>
        <v>1</v>
      </c>
      <c r="E167" s="98"/>
    </row>
    <row r="173" spans="1:7" ht="15.6" x14ac:dyDescent="0.3">
      <c r="A173" s="48" t="s">
        <v>43</v>
      </c>
      <c r="B173" s="55" t="str">
        <f ca="1">IF(A173&lt;&gt;0,IFERROR(OFFSET(Tables!$A$35,MATCH(REsEtab!A173,Numero,0),1),"nr question incorrect ou inexistant"),"")</f>
        <v>Quand j’ai eu besoin, j’ai trouvé les membres de l’équipe disponible pour m’écouter</v>
      </c>
      <c r="C173" s="55"/>
      <c r="D173" s="55"/>
      <c r="E173" s="55"/>
    </row>
    <row r="174" spans="1:7" ht="14.4" thickBot="1" x14ac:dyDescent="0.3"/>
    <row r="175" spans="1:7" ht="31.8" thickBot="1" x14ac:dyDescent="0.35">
      <c r="A175" s="56" t="s">
        <v>109</v>
      </c>
      <c r="B175" s="57" t="s">
        <v>110</v>
      </c>
      <c r="C175" s="57" t="s">
        <v>111</v>
      </c>
      <c r="D175" s="57" t="s">
        <v>112</v>
      </c>
      <c r="E175" s="58" t="s">
        <v>113</v>
      </c>
      <c r="F175" s="59" t="s">
        <v>122</v>
      </c>
      <c r="G175" s="73" t="s">
        <v>123</v>
      </c>
    </row>
    <row r="176" spans="1:7" ht="14.4" thickBot="1" x14ac:dyDescent="0.3">
      <c r="A176" s="60">
        <f t="shared" ref="A176:F176" ca="1" si="5">COUNTIFS(Q0_0,$C$4,INDIRECT(SUBSTITUTE($A173,"-","_")),A175)</f>
        <v>0</v>
      </c>
      <c r="B176" s="60">
        <f t="shared" ca="1" si="5"/>
        <v>0</v>
      </c>
      <c r="C176" s="60">
        <f t="shared" ca="1" si="5"/>
        <v>2</v>
      </c>
      <c r="D176" s="60">
        <f t="shared" ca="1" si="5"/>
        <v>0</v>
      </c>
      <c r="E176" s="60">
        <f t="shared" ca="1" si="5"/>
        <v>0</v>
      </c>
      <c r="F176" s="66">
        <f t="shared" ca="1" si="5"/>
        <v>0</v>
      </c>
      <c r="G176" s="67">
        <f ca="1">SUM(A176:E176)</f>
        <v>2</v>
      </c>
    </row>
    <row r="177" spans="1:10" ht="14.4" thickBot="1" x14ac:dyDescent="0.3">
      <c r="A177" s="63">
        <f ca="1">IFERROR(A176/$G176,0)</f>
        <v>0</v>
      </c>
      <c r="B177" s="63">
        <f t="shared" ref="B177:E177" ca="1" si="6">IFERROR(B176/$G176,0)</f>
        <v>0</v>
      </c>
      <c r="C177" s="63">
        <f t="shared" ca="1" si="6"/>
        <v>1</v>
      </c>
      <c r="D177" s="63">
        <f t="shared" ca="1" si="6"/>
        <v>0</v>
      </c>
      <c r="E177" s="63">
        <f t="shared" ca="1" si="6"/>
        <v>0</v>
      </c>
    </row>
    <row r="184" spans="1:10" ht="15.6" x14ac:dyDescent="0.3">
      <c r="A184" s="48" t="s">
        <v>44</v>
      </c>
      <c r="B184" s="55" t="str">
        <f ca="1">IF(A184&lt;&gt;0,IFERROR(OFFSET(Tables!$A$35,MATCH(REsEtab!A184,Numero,0),1),"nr question incorrect ou inexistant"),"")</f>
        <v>Grâce à mon séjour, je me sens plus à l’aise dans les domaines suivants:</v>
      </c>
      <c r="C184" s="55"/>
      <c r="D184" s="55"/>
      <c r="E184" s="55"/>
    </row>
    <row r="185" spans="1:10" ht="16.2" thickBot="1" x14ac:dyDescent="0.35">
      <c r="A185" s="48"/>
      <c r="B185" s="55"/>
      <c r="C185" s="55"/>
      <c r="D185" s="55"/>
      <c r="E185" s="55"/>
    </row>
    <row r="186" spans="1:10" ht="14.4" thickBot="1" x14ac:dyDescent="0.3">
      <c r="C186" s="75" t="s">
        <v>125</v>
      </c>
      <c r="D186" s="76" t="s">
        <v>126</v>
      </c>
      <c r="E186" s="76" t="s">
        <v>127</v>
      </c>
      <c r="F186" s="76" t="s">
        <v>128</v>
      </c>
      <c r="G186" s="76" t="s">
        <v>129</v>
      </c>
      <c r="H186" s="77" t="s">
        <v>130</v>
      </c>
    </row>
    <row r="187" spans="1:10" ht="15" thickBot="1" x14ac:dyDescent="0.35">
      <c r="B187" s="90" t="s">
        <v>131</v>
      </c>
      <c r="C187" s="78">
        <v>10</v>
      </c>
      <c r="D187" s="79">
        <v>8</v>
      </c>
      <c r="E187" s="79">
        <v>6</v>
      </c>
      <c r="F187" s="79">
        <v>4</v>
      </c>
      <c r="G187" s="79">
        <v>3</v>
      </c>
      <c r="H187" s="80">
        <v>1</v>
      </c>
      <c r="I187" s="90" t="s">
        <v>132</v>
      </c>
      <c r="J187" s="90" t="s">
        <v>133</v>
      </c>
    </row>
    <row r="188" spans="1:10" ht="15.6" x14ac:dyDescent="0.3">
      <c r="A188" s="107" t="s">
        <v>56</v>
      </c>
      <c r="B188" s="108"/>
      <c r="C188" s="81">
        <f>COUNTIFS(Q0_0,$C$4,Q6_1,1)</f>
        <v>1</v>
      </c>
      <c r="D188" s="82">
        <f>COUNTIFS(Q0_0,$C$4,Q6_1,2)</f>
        <v>0</v>
      </c>
      <c r="E188" s="82">
        <f>COUNTIFS(Q0_0,$C$4,Q6_1,3)</f>
        <v>0</v>
      </c>
      <c r="F188" s="82">
        <f>COUNTIFS(Q0_0,$C$4,Q6_1,4)</f>
        <v>0</v>
      </c>
      <c r="G188" s="82">
        <f>COUNTIFS(Q0_0,$C$4,Q6_1,5)</f>
        <v>0</v>
      </c>
      <c r="H188" s="83">
        <f>COUNTIFS(Q0_0,$C$4,Q6_1,6)</f>
        <v>1</v>
      </c>
      <c r="I188" s="83">
        <f t="array" ref="I188">SUM($C$187:$H$187*(C188:H188))</f>
        <v>11</v>
      </c>
      <c r="J188" s="83">
        <f>RANK(I188,$I$188:$I$193,0)</f>
        <v>2</v>
      </c>
    </row>
    <row r="189" spans="1:10" ht="15.6" x14ac:dyDescent="0.3">
      <c r="A189" s="99" t="s">
        <v>51</v>
      </c>
      <c r="B189" s="100"/>
      <c r="C189" s="84">
        <f>COUNTIFS(Q0_0,$C$4,Q6_2,1)</f>
        <v>1</v>
      </c>
      <c r="D189" s="85">
        <f>COUNTIFS(Q0_0,$C$4,Q6_2,2)</f>
        <v>1</v>
      </c>
      <c r="E189" s="85">
        <f>COUNTIFS(Q0_0,$C$4,Q6_2,3)</f>
        <v>0</v>
      </c>
      <c r="F189" s="85">
        <f>COUNTIFS(Q0_0,$C$4,Q6_2,4)</f>
        <v>0</v>
      </c>
      <c r="G189" s="85">
        <f>COUNTIFS(Q0_0,$C$4,Q6_2,5)</f>
        <v>0</v>
      </c>
      <c r="H189" s="86">
        <f>COUNTIFS(Q0_0,$C$4,Q6_2,6)</f>
        <v>0</v>
      </c>
      <c r="I189" s="86">
        <f t="array" ref="I189">SUM($C$187:$H$187*(C189:H189))</f>
        <v>18</v>
      </c>
      <c r="J189" s="86">
        <f t="shared" ref="J189:J193" si="7">RANK(I189,$I$188:$I$193,0)</f>
        <v>1</v>
      </c>
    </row>
    <row r="190" spans="1:10" ht="15.6" x14ac:dyDescent="0.3">
      <c r="A190" s="99" t="s">
        <v>52</v>
      </c>
      <c r="B190" s="100"/>
      <c r="C190" s="84">
        <f>COUNTIFS(Q0_0,$C$4,Q6_3,1)</f>
        <v>0</v>
      </c>
      <c r="D190" s="85">
        <f>COUNTIFS(Q0_0,$C$4,Q6_3,2)</f>
        <v>0</v>
      </c>
      <c r="E190" s="85">
        <f>COUNTIFS(Q0_0,$C$4,Q6_3,3)</f>
        <v>1</v>
      </c>
      <c r="F190" s="85">
        <f>COUNTIFS(Q0_0,$C$4,Q6_3,4)</f>
        <v>1</v>
      </c>
      <c r="G190" s="85">
        <f>COUNTIFS(Q0_0,$C$4,Q6_3,5)</f>
        <v>0</v>
      </c>
      <c r="H190" s="86">
        <f>COUNTIFS(Q0_0,$C$4,Q6_3,6)</f>
        <v>0</v>
      </c>
      <c r="I190" s="86">
        <f t="array" ref="I190">SUM($C$187:$H$187*(C190:H190))</f>
        <v>10</v>
      </c>
      <c r="J190" s="86">
        <f t="shared" si="7"/>
        <v>4</v>
      </c>
    </row>
    <row r="191" spans="1:10" ht="15.6" x14ac:dyDescent="0.3">
      <c r="A191" s="99" t="s">
        <v>53</v>
      </c>
      <c r="B191" s="100"/>
      <c r="C191" s="84">
        <f>COUNTIFS(Q0_0,$C$4,Q6_4,1)</f>
        <v>0</v>
      </c>
      <c r="D191" s="85">
        <f>COUNTIFS(Q0_0,$C$4,Q6_4,2)</f>
        <v>0</v>
      </c>
      <c r="E191" s="85">
        <f>COUNTIFS(Q0_0,$C$4,Q6_4,3)</f>
        <v>1</v>
      </c>
      <c r="F191" s="85">
        <f>COUNTIFS(Q0_0,$C$4,Q6_4,4)</f>
        <v>1</v>
      </c>
      <c r="G191" s="85">
        <f>COUNTIFS(Q0_0,$C$4,Q6_4,5)</f>
        <v>0</v>
      </c>
      <c r="H191" s="86">
        <f>COUNTIFS(Q0_0,$C$4,Q6_4,6)</f>
        <v>0</v>
      </c>
      <c r="I191" s="86">
        <f t="array" ref="I191">SUM($C$187:$H$187*(C191:H191))</f>
        <v>10</v>
      </c>
      <c r="J191" s="86">
        <f t="shared" si="7"/>
        <v>4</v>
      </c>
    </row>
    <row r="192" spans="1:10" ht="15.6" x14ac:dyDescent="0.3">
      <c r="A192" s="99" t="s">
        <v>54</v>
      </c>
      <c r="B192" s="100"/>
      <c r="C192" s="84">
        <f>COUNTIFS(Q0_0,$C$4,Q6_5,1)</f>
        <v>0</v>
      </c>
      <c r="D192" s="85">
        <f>COUNTIFS(Q0_0,$C$4,Q6_5,2)</f>
        <v>1</v>
      </c>
      <c r="E192" s="85">
        <f>COUNTIFS(Q0_0,$C$4,Q6_5,3)</f>
        <v>0</v>
      </c>
      <c r="F192" s="85">
        <f>COUNTIFS(Q0_0,$C$4,Q6_5,4)</f>
        <v>0</v>
      </c>
      <c r="G192" s="85">
        <f>COUNTIFS(Q0_0,$C$4,Q6_5,5)</f>
        <v>1</v>
      </c>
      <c r="H192" s="86">
        <f>COUNTIFS(Q0_0,$C$4,Q6_5,6)</f>
        <v>0</v>
      </c>
      <c r="I192" s="86">
        <f t="array" ref="I192">SUM($C$187:$H$187*(C192:H192))</f>
        <v>11</v>
      </c>
      <c r="J192" s="86">
        <f t="shared" si="7"/>
        <v>2</v>
      </c>
    </row>
    <row r="193" spans="1:10" ht="16.2" thickBot="1" x14ac:dyDescent="0.35">
      <c r="A193" s="101" t="s">
        <v>55</v>
      </c>
      <c r="B193" s="102"/>
      <c r="C193" s="87">
        <f>COUNTIFS(Q0_0,$C$4,Q6_6,1)</f>
        <v>0</v>
      </c>
      <c r="D193" s="88">
        <f>COUNTIFS(Q0_0,$C$4,Q6_6,2)</f>
        <v>0</v>
      </c>
      <c r="E193" s="88">
        <f>COUNTIFS(Q0_0,$C$4,Q6_6,3)</f>
        <v>0</v>
      </c>
      <c r="F193" s="88">
        <f>COUNTIFS(Q0_0,$C$4,Q6_6,4)</f>
        <v>0</v>
      </c>
      <c r="G193" s="88">
        <f>COUNTIFS(Q0_0,$C$4,Q6_6,5)</f>
        <v>1</v>
      </c>
      <c r="H193" s="89">
        <f>COUNTIFS(Q0_0,$C$4,Q6_6,6)</f>
        <v>1</v>
      </c>
      <c r="I193" s="89">
        <f t="array" ref="I193">SUM($C$187:$H$187*(C193:H193))</f>
        <v>4</v>
      </c>
      <c r="J193" s="89">
        <f t="shared" si="7"/>
        <v>6</v>
      </c>
    </row>
    <row r="211" spans="1:7" ht="15.6" x14ac:dyDescent="0.3">
      <c r="A211" s="48" t="s">
        <v>60</v>
      </c>
      <c r="B211" s="55" t="str">
        <f ca="1">IF(A211&lt;&gt;0,IFERROR(OFFSET(Tables!$A$35,MATCH(REsEtab!A211,Numero,0),1),"nr question incorrect ou inexistant"),"")</f>
        <v xml:space="preserve"> Globalement, concernant mon séjour je suis :</v>
      </c>
      <c r="C211" s="55"/>
      <c r="D211" s="55"/>
      <c r="E211" s="55"/>
    </row>
    <row r="212" spans="1:7" ht="14.4" thickBot="1" x14ac:dyDescent="0.3"/>
    <row r="213" spans="1:7" ht="31.8" thickBot="1" x14ac:dyDescent="0.35">
      <c r="B213" s="56" t="s">
        <v>103</v>
      </c>
      <c r="C213" s="57" t="s">
        <v>102</v>
      </c>
      <c r="D213" s="57" t="s">
        <v>104</v>
      </c>
      <c r="E213" s="58" t="s">
        <v>105</v>
      </c>
      <c r="F213" s="59" t="s">
        <v>122</v>
      </c>
      <c r="G213" s="59" t="s">
        <v>123</v>
      </c>
    </row>
    <row r="214" spans="1:7" ht="14.4" thickBot="1" x14ac:dyDescent="0.3">
      <c r="B214" s="60">
        <f ca="1">COUNTIFS(Q0_0,$C$4,INDIRECT(SUBSTITUTE($A211,"-","_")),B213)</f>
        <v>0</v>
      </c>
      <c r="C214" s="61">
        <f ca="1">COUNTIFS(Q0_0,$C$4,INDIRECT(SUBSTITUTE($A211,"-","_")),C213)</f>
        <v>1</v>
      </c>
      <c r="D214" s="61">
        <f ca="1">COUNTIFS(Q0_0,$C$4,INDIRECT(SUBSTITUTE($A211,"-","_")),D213)</f>
        <v>0</v>
      </c>
      <c r="E214" s="62">
        <f ca="1">COUNTIFS(Q0_0,$C$4,INDIRECT(SUBSTITUTE($A211,"-","_")),E213)</f>
        <v>1</v>
      </c>
      <c r="F214" s="66">
        <f ca="1">COUNTIFS(Q0_0,$C$4,INDIRECT(SUBSTITUTE($A211,"-","_")),F213)</f>
        <v>0</v>
      </c>
      <c r="G214" s="67">
        <f ca="1">SUM(B214:E214)</f>
        <v>2</v>
      </c>
    </row>
    <row r="215" spans="1:7" ht="14.4" thickBot="1" x14ac:dyDescent="0.3">
      <c r="B215" s="63">
        <f ca="1">IFERROR(B214/$G214,0)</f>
        <v>0</v>
      </c>
      <c r="C215" s="64">
        <f t="shared" ref="C215:E215" ca="1" si="8">IFERROR(C214/$G214,0)</f>
        <v>0.5</v>
      </c>
      <c r="D215" s="64">
        <f t="shared" ca="1" si="8"/>
        <v>0</v>
      </c>
      <c r="E215" s="65">
        <f t="shared" ca="1" si="8"/>
        <v>0.5</v>
      </c>
    </row>
    <row r="216" spans="1:7" ht="14.4" thickBot="1" x14ac:dyDescent="0.3">
      <c r="B216" s="97">
        <f ca="1">B214+C214</f>
        <v>1</v>
      </c>
      <c r="C216" s="98"/>
      <c r="D216" s="97">
        <f ca="1">D214+E214</f>
        <v>1</v>
      </c>
      <c r="E216" s="98"/>
    </row>
  </sheetData>
  <mergeCells count="22">
    <mergeCell ref="B216:C216"/>
    <mergeCell ref="D216:E216"/>
    <mergeCell ref="C4:G4"/>
    <mergeCell ref="A2:J2"/>
    <mergeCell ref="A188:B188"/>
    <mergeCell ref="A189:B189"/>
    <mergeCell ref="A190:B190"/>
    <mergeCell ref="A191:B191"/>
    <mergeCell ref="A192:B192"/>
    <mergeCell ref="A193:B193"/>
    <mergeCell ref="B143:C143"/>
    <mergeCell ref="D143:E143"/>
    <mergeCell ref="B155:C155"/>
    <mergeCell ref="D155:E155"/>
    <mergeCell ref="B167:C167"/>
    <mergeCell ref="D167:E167"/>
    <mergeCell ref="A8:B8"/>
    <mergeCell ref="B16:C16"/>
    <mergeCell ref="D16:E16"/>
    <mergeCell ref="B102:F102"/>
    <mergeCell ref="B131:C131"/>
    <mergeCell ref="D131:E131"/>
  </mergeCells>
  <conditionalFormatting sqref="B16:C16">
    <cfRule type="cellIs" dxfId="23" priority="23" operator="greaterThan">
      <formula>D16</formula>
    </cfRule>
    <cfRule type="cellIs" dxfId="22" priority="24" operator="equal">
      <formula>D16</formula>
    </cfRule>
  </conditionalFormatting>
  <conditionalFormatting sqref="D16:E16">
    <cfRule type="cellIs" dxfId="21" priority="21" operator="greaterThan">
      <formula>B16</formula>
    </cfRule>
    <cfRule type="cellIs" dxfId="20" priority="22" operator="equal">
      <formula>B16</formula>
    </cfRule>
  </conditionalFormatting>
  <conditionalFormatting sqref="B155:C155">
    <cfRule type="cellIs" dxfId="19" priority="19" operator="greaterThan">
      <formula>D155</formula>
    </cfRule>
    <cfRule type="cellIs" dxfId="18" priority="20" operator="equal">
      <formula>D155</formula>
    </cfRule>
  </conditionalFormatting>
  <conditionalFormatting sqref="D155:E155">
    <cfRule type="cellIs" dxfId="17" priority="17" operator="greaterThan">
      <formula>B155</formula>
    </cfRule>
    <cfRule type="cellIs" dxfId="16" priority="18" operator="equal">
      <formula>B155</formula>
    </cfRule>
  </conditionalFormatting>
  <conditionalFormatting sqref="B167:C167">
    <cfRule type="cellIs" dxfId="15" priority="15" operator="greaterThan">
      <formula>D167</formula>
    </cfRule>
    <cfRule type="cellIs" dxfId="14" priority="16" operator="equal">
      <formula>D167</formula>
    </cfRule>
  </conditionalFormatting>
  <conditionalFormatting sqref="D167:E167">
    <cfRule type="cellIs" dxfId="13" priority="13" operator="greaterThan">
      <formula>B167</formula>
    </cfRule>
    <cfRule type="cellIs" dxfId="12" priority="14" operator="equal">
      <formula>B167</formula>
    </cfRule>
  </conditionalFormatting>
  <conditionalFormatting sqref="B216:C216">
    <cfRule type="cellIs" dxfId="11" priority="11" operator="greaterThan">
      <formula>D216</formula>
    </cfRule>
    <cfRule type="cellIs" dxfId="10" priority="12" operator="equal">
      <formula>D216</formula>
    </cfRule>
  </conditionalFormatting>
  <conditionalFormatting sqref="D216:E216">
    <cfRule type="cellIs" dxfId="9" priority="9" operator="greaterThan">
      <formula>B216</formula>
    </cfRule>
    <cfRule type="cellIs" dxfId="8" priority="10" operator="equal">
      <formula>B216</formula>
    </cfRule>
  </conditionalFormatting>
  <conditionalFormatting sqref="B131:C131">
    <cfRule type="cellIs" dxfId="7" priority="7" operator="greaterThan">
      <formula>D131</formula>
    </cfRule>
    <cfRule type="cellIs" dxfId="6" priority="8" operator="equal">
      <formula>D131</formula>
    </cfRule>
  </conditionalFormatting>
  <conditionalFormatting sqref="D131:E131">
    <cfRule type="cellIs" dxfId="5" priority="5" operator="greaterThan">
      <formula>B131</formula>
    </cfRule>
    <cfRule type="cellIs" dxfId="4" priority="6" operator="equal">
      <formula>B131</formula>
    </cfRule>
  </conditionalFormatting>
  <conditionalFormatting sqref="B143:C143">
    <cfRule type="cellIs" dxfId="3" priority="3" operator="greaterThan">
      <formula>D143</formula>
    </cfRule>
    <cfRule type="cellIs" dxfId="2" priority="4" operator="equal">
      <formula>D143</formula>
    </cfRule>
  </conditionalFormatting>
  <conditionalFormatting sqref="D143:E143">
    <cfRule type="cellIs" dxfId="1" priority="1" operator="greaterThan">
      <formula>B143</formula>
    </cfRule>
    <cfRule type="cellIs" dxfId="0" priority="2" operator="equal">
      <formula>B143</formula>
    </cfRule>
  </conditionalFormatting>
  <dataValidations count="2">
    <dataValidation type="list" allowBlank="1" showInputMessage="1" showErrorMessage="1" sqref="A11 A23 A21 A37 A49 A62 A75 A90 A113 A126 A138 A150 A162 A102 A173 A184:A185 A211">
      <formula1>Numero</formula1>
    </dataValidation>
    <dataValidation type="list" allowBlank="1" showInputMessage="1" showErrorMessage="1" sqref="C4">
      <formula1>Etablissement</formula1>
    </dataValidation>
  </dataValidations>
  <pageMargins left="0" right="0" top="0" bottom="0" header="0" footer="0"/>
  <pageSetup paperSize="9" orientation="landscape" r:id="rId1"/>
  <headerFooter>
    <oddFooter>&amp;CPage &amp;P /&amp;N</oddFooter>
  </headerFooter>
  <rowBreaks count="3" manualBreakCount="3">
    <brk id="35" max="16383" man="1"/>
    <brk id="72" max="16383" man="1"/>
    <brk id="99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18"/>
  <sheetViews>
    <sheetView workbookViewId="0">
      <selection activeCell="C10" sqref="C10"/>
    </sheetView>
  </sheetViews>
  <sheetFormatPr baseColWidth="10" defaultRowHeight="13.8" x14ac:dyDescent="0.25"/>
  <cols>
    <col min="3" max="3" width="20.77734375" customWidth="1"/>
    <col min="4" max="4" width="54.33203125" customWidth="1"/>
    <col min="5" max="5" width="7.5546875" customWidth="1"/>
    <col min="6" max="6" width="9.88671875" bestFit="1" customWidth="1"/>
    <col min="7" max="7" width="7.5546875" customWidth="1"/>
    <col min="8" max="8" width="8.21875" bestFit="1" customWidth="1"/>
    <col min="9" max="9" width="9" bestFit="1" customWidth="1"/>
    <col min="10" max="11" width="7.5546875" customWidth="1"/>
    <col min="12" max="12" width="16.88671875" customWidth="1"/>
    <col min="13" max="13" width="35.5546875" customWidth="1"/>
    <col min="14" max="17" width="16.88671875" customWidth="1"/>
    <col min="18" max="18" width="17.44140625" bestFit="1" customWidth="1"/>
    <col min="19" max="22" width="8" customWidth="1"/>
    <col min="23" max="23" width="9.109375" customWidth="1"/>
    <col min="24" max="24" width="7.5546875" customWidth="1"/>
    <col min="25" max="25" width="17.5546875" bestFit="1" customWidth="1"/>
    <col min="26" max="32" width="29.33203125" customWidth="1"/>
    <col min="33" max="33" width="13.77734375" bestFit="1" customWidth="1"/>
  </cols>
  <sheetData>
    <row r="1" spans="1:33" ht="19.2" thickTop="1" thickBot="1" x14ac:dyDescent="0.4">
      <c r="C1" s="121" t="s">
        <v>88</v>
      </c>
      <c r="D1" s="122"/>
      <c r="E1" s="112" t="s">
        <v>18</v>
      </c>
      <c r="F1" s="113"/>
      <c r="G1" s="113"/>
      <c r="H1" s="113"/>
      <c r="I1" s="113"/>
      <c r="J1" s="114"/>
      <c r="L1" s="112" t="s">
        <v>94</v>
      </c>
      <c r="M1" s="113"/>
      <c r="N1" s="113"/>
      <c r="O1" s="113"/>
      <c r="P1" s="113"/>
      <c r="Q1" s="114"/>
      <c r="S1" s="115" t="s">
        <v>96</v>
      </c>
      <c r="T1" s="116"/>
      <c r="U1" s="116"/>
      <c r="V1" s="116"/>
      <c r="W1" s="116"/>
      <c r="X1" s="117"/>
      <c r="Z1" s="118" t="s">
        <v>97</v>
      </c>
      <c r="AA1" s="119"/>
      <c r="AB1" s="119"/>
      <c r="AC1" s="119"/>
      <c r="AD1" s="119"/>
      <c r="AE1" s="119"/>
      <c r="AF1" s="119"/>
      <c r="AG1" s="120"/>
    </row>
    <row r="2" spans="1:33" ht="2.4" customHeight="1" thickTop="1" thickBot="1" x14ac:dyDescent="0.3"/>
    <row r="3" spans="1:33" s="16" customFormat="1" ht="126.6" customHeight="1" thickBot="1" x14ac:dyDescent="0.3">
      <c r="A3" s="13" t="s">
        <v>77</v>
      </c>
      <c r="B3" s="93" t="s">
        <v>135</v>
      </c>
      <c r="C3" s="14" t="s">
        <v>87</v>
      </c>
      <c r="D3" s="17" t="s">
        <v>16</v>
      </c>
      <c r="E3" s="14" t="s">
        <v>84</v>
      </c>
      <c r="F3" s="18" t="s">
        <v>78</v>
      </c>
      <c r="G3" s="15" t="s">
        <v>79</v>
      </c>
      <c r="H3" s="15" t="s">
        <v>80</v>
      </c>
      <c r="I3" s="15" t="s">
        <v>82</v>
      </c>
      <c r="J3" s="19" t="s">
        <v>81</v>
      </c>
      <c r="K3" s="20" t="s">
        <v>85</v>
      </c>
      <c r="L3" s="14" t="s">
        <v>86</v>
      </c>
      <c r="M3" s="15" t="s">
        <v>89</v>
      </c>
      <c r="N3" s="15" t="s">
        <v>90</v>
      </c>
      <c r="O3" s="15" t="s">
        <v>91</v>
      </c>
      <c r="P3" s="15" t="s">
        <v>92</v>
      </c>
      <c r="Q3" s="19" t="s">
        <v>93</v>
      </c>
      <c r="R3" s="21" t="s">
        <v>83</v>
      </c>
      <c r="S3" s="14" t="s">
        <v>56</v>
      </c>
      <c r="T3" s="18" t="s">
        <v>51</v>
      </c>
      <c r="U3" s="15" t="s">
        <v>52</v>
      </c>
      <c r="V3" s="15" t="s">
        <v>53</v>
      </c>
      <c r="W3" s="15" t="s">
        <v>54</v>
      </c>
      <c r="X3" s="19" t="s">
        <v>55</v>
      </c>
      <c r="Y3" s="20" t="s">
        <v>95</v>
      </c>
      <c r="Z3" s="14" t="s">
        <v>62</v>
      </c>
      <c r="AA3" s="15" t="s">
        <v>73</v>
      </c>
      <c r="AB3" s="14" t="s">
        <v>66</v>
      </c>
      <c r="AC3" s="15" t="s">
        <v>73</v>
      </c>
      <c r="AD3" s="14" t="s">
        <v>67</v>
      </c>
      <c r="AE3" s="15" t="s">
        <v>73</v>
      </c>
      <c r="AF3" s="14" t="s">
        <v>68</v>
      </c>
      <c r="AG3" s="15" t="s">
        <v>73</v>
      </c>
    </row>
    <row r="4" spans="1:33" s="16" customFormat="1" ht="51.6" customHeight="1" thickBot="1" x14ac:dyDescent="0.3">
      <c r="A4" s="22" t="s">
        <v>76</v>
      </c>
      <c r="B4" s="94" t="s">
        <v>134</v>
      </c>
      <c r="C4" s="23" t="s">
        <v>14</v>
      </c>
      <c r="D4" s="24" t="s">
        <v>15</v>
      </c>
      <c r="E4" s="25" t="s">
        <v>22</v>
      </c>
      <c r="F4" s="26" t="s">
        <v>23</v>
      </c>
      <c r="G4" s="26" t="s">
        <v>24</v>
      </c>
      <c r="H4" s="26" t="s">
        <v>25</v>
      </c>
      <c r="I4" s="26" t="s">
        <v>26</v>
      </c>
      <c r="J4" s="27" t="s">
        <v>27</v>
      </c>
      <c r="K4" s="28" t="s">
        <v>28</v>
      </c>
      <c r="L4" s="29" t="s">
        <v>29</v>
      </c>
      <c r="M4" s="30" t="s">
        <v>31</v>
      </c>
      <c r="N4" s="30" t="s">
        <v>33</v>
      </c>
      <c r="O4" s="30" t="s">
        <v>34</v>
      </c>
      <c r="P4" s="30" t="s">
        <v>35</v>
      </c>
      <c r="Q4" s="31" t="s">
        <v>36</v>
      </c>
      <c r="R4" s="28" t="s">
        <v>43</v>
      </c>
      <c r="S4" s="32" t="s">
        <v>45</v>
      </c>
      <c r="T4" s="33" t="s">
        <v>46</v>
      </c>
      <c r="U4" s="33" t="s">
        <v>47</v>
      </c>
      <c r="V4" s="33" t="s">
        <v>48</v>
      </c>
      <c r="W4" s="33" t="s">
        <v>49</v>
      </c>
      <c r="X4" s="34" t="s">
        <v>50</v>
      </c>
      <c r="Y4" s="28" t="s">
        <v>60</v>
      </c>
      <c r="Z4" s="35" t="s">
        <v>63</v>
      </c>
      <c r="AA4" s="36" t="s">
        <v>64</v>
      </c>
      <c r="AB4" s="35" t="s">
        <v>65</v>
      </c>
      <c r="AC4" s="36" t="s">
        <v>69</v>
      </c>
      <c r="AD4" s="35" t="s">
        <v>70</v>
      </c>
      <c r="AE4" s="36" t="s">
        <v>71</v>
      </c>
      <c r="AF4" s="35" t="s">
        <v>72</v>
      </c>
      <c r="AG4" s="36" t="s">
        <v>74</v>
      </c>
    </row>
    <row r="5" spans="1:33" ht="14.4" thickBot="1" x14ac:dyDescent="0.3">
      <c r="A5" s="12">
        <v>1</v>
      </c>
      <c r="B5" s="95" t="s">
        <v>148</v>
      </c>
      <c r="C5" s="39" t="s">
        <v>12</v>
      </c>
      <c r="D5" s="40" t="s">
        <v>106</v>
      </c>
      <c r="E5" s="41" t="s">
        <v>20</v>
      </c>
      <c r="F5" s="42" t="s">
        <v>21</v>
      </c>
      <c r="G5" s="42" t="s">
        <v>21</v>
      </c>
      <c r="H5" s="42" t="s">
        <v>20</v>
      </c>
      <c r="I5" s="42" t="s">
        <v>20</v>
      </c>
      <c r="J5" s="43" t="s">
        <v>21</v>
      </c>
      <c r="K5" s="44" t="s">
        <v>20</v>
      </c>
      <c r="L5" s="41" t="s">
        <v>20</v>
      </c>
      <c r="M5" s="45" t="s">
        <v>107</v>
      </c>
      <c r="N5" s="45" t="s">
        <v>38</v>
      </c>
      <c r="O5" s="45" t="s">
        <v>38</v>
      </c>
      <c r="P5" s="45" t="s">
        <v>37</v>
      </c>
      <c r="Q5" s="46" t="s">
        <v>39</v>
      </c>
      <c r="R5" s="12" t="s">
        <v>111</v>
      </c>
      <c r="S5" s="39">
        <v>6</v>
      </c>
      <c r="T5" s="45">
        <v>1</v>
      </c>
      <c r="U5" s="45">
        <v>4</v>
      </c>
      <c r="V5" s="45">
        <v>3</v>
      </c>
      <c r="W5" s="45">
        <v>2</v>
      </c>
      <c r="X5" s="46">
        <v>5</v>
      </c>
      <c r="Y5" s="12" t="s">
        <v>105</v>
      </c>
      <c r="Z5" s="47" t="s">
        <v>114</v>
      </c>
      <c r="AA5" s="46" t="s">
        <v>100</v>
      </c>
      <c r="AB5" s="47"/>
      <c r="AC5" s="46"/>
      <c r="AD5" s="47"/>
      <c r="AE5" s="46"/>
      <c r="AF5" s="47"/>
      <c r="AG5" s="46"/>
    </row>
    <row r="6" spans="1:33" ht="14.4" thickBot="1" x14ac:dyDescent="0.3">
      <c r="A6" s="12">
        <v>2</v>
      </c>
      <c r="B6" s="95" t="s">
        <v>147</v>
      </c>
      <c r="C6" s="39" t="s">
        <v>10</v>
      </c>
      <c r="D6" s="40"/>
      <c r="E6" s="41" t="s">
        <v>21</v>
      </c>
      <c r="F6" s="42" t="s">
        <v>21</v>
      </c>
      <c r="G6" s="42" t="s">
        <v>21</v>
      </c>
      <c r="H6" s="42" t="s">
        <v>20</v>
      </c>
      <c r="I6" s="42" t="s">
        <v>20</v>
      </c>
      <c r="J6" s="43" t="s">
        <v>20</v>
      </c>
      <c r="K6" s="44" t="s">
        <v>20</v>
      </c>
      <c r="L6" s="41" t="s">
        <v>21</v>
      </c>
      <c r="M6" s="45" t="s">
        <v>115</v>
      </c>
      <c r="N6" s="45" t="s">
        <v>37</v>
      </c>
      <c r="O6" s="45" t="s">
        <v>40</v>
      </c>
      <c r="P6" s="45" t="s">
        <v>39</v>
      </c>
      <c r="Q6" s="46" t="s">
        <v>37</v>
      </c>
      <c r="R6" s="12" t="s">
        <v>112</v>
      </c>
      <c r="S6" s="39">
        <v>4</v>
      </c>
      <c r="T6" s="45">
        <v>3</v>
      </c>
      <c r="U6" s="45">
        <v>2</v>
      </c>
      <c r="V6" s="45">
        <v>1</v>
      </c>
      <c r="W6" s="45">
        <v>5</v>
      </c>
      <c r="X6" s="46">
        <v>6</v>
      </c>
      <c r="Y6" s="12" t="s">
        <v>102</v>
      </c>
      <c r="Z6" s="47"/>
      <c r="AA6" s="46"/>
      <c r="AB6" s="47"/>
      <c r="AC6" s="46"/>
      <c r="AD6" s="47"/>
      <c r="AE6" s="46"/>
      <c r="AF6" s="47"/>
      <c r="AG6" s="46"/>
    </row>
    <row r="7" spans="1:33" x14ac:dyDescent="0.25">
      <c r="A7">
        <v>3</v>
      </c>
      <c r="B7" t="s">
        <v>148</v>
      </c>
      <c r="C7" t="s">
        <v>11</v>
      </c>
      <c r="D7" s="92"/>
      <c r="E7" s="74" t="s">
        <v>21</v>
      </c>
      <c r="F7" s="74" t="s">
        <v>20</v>
      </c>
      <c r="G7" s="74" t="s">
        <v>20</v>
      </c>
      <c r="H7" s="74" t="s">
        <v>21</v>
      </c>
      <c r="I7" s="74" t="s">
        <v>21</v>
      </c>
      <c r="J7" s="74" t="s">
        <v>21</v>
      </c>
      <c r="K7" s="74" t="s">
        <v>21</v>
      </c>
      <c r="L7" s="74" t="s">
        <v>21</v>
      </c>
      <c r="N7" t="s">
        <v>38</v>
      </c>
      <c r="O7" t="s">
        <v>40</v>
      </c>
      <c r="P7" t="s">
        <v>39</v>
      </c>
      <c r="Q7" t="s">
        <v>37</v>
      </c>
      <c r="R7" t="s">
        <v>111</v>
      </c>
      <c r="S7">
        <v>1</v>
      </c>
      <c r="T7">
        <v>2</v>
      </c>
      <c r="U7">
        <v>3</v>
      </c>
      <c r="V7">
        <v>4</v>
      </c>
      <c r="W7">
        <v>5</v>
      </c>
      <c r="X7">
        <v>6</v>
      </c>
      <c r="Y7" t="s">
        <v>102</v>
      </c>
      <c r="Z7" s="92"/>
      <c r="AB7" s="92"/>
      <c r="AD7" s="92"/>
      <c r="AF7" s="92"/>
    </row>
    <row r="12" spans="1:33" x14ac:dyDescent="0.25">
      <c r="D12" s="1"/>
    </row>
    <row r="13" spans="1:33" x14ac:dyDescent="0.25">
      <c r="G13" s="1"/>
      <c r="I13" s="1"/>
    </row>
    <row r="14" spans="1:33" x14ac:dyDescent="0.25">
      <c r="D14" s="1"/>
      <c r="E14" s="1"/>
    </row>
    <row r="15" spans="1:33" x14ac:dyDescent="0.25">
      <c r="F15" s="1"/>
    </row>
    <row r="16" spans="1:33" x14ac:dyDescent="0.25">
      <c r="D16" s="1"/>
      <c r="F16" s="1"/>
    </row>
    <row r="17" spans="3:7" x14ac:dyDescent="0.25">
      <c r="C17" s="1"/>
      <c r="D17" s="1"/>
      <c r="E17" s="1"/>
    </row>
    <row r="18" spans="3:7" x14ac:dyDescent="0.25">
      <c r="E18" s="1"/>
      <c r="G18" s="1"/>
    </row>
  </sheetData>
  <mergeCells count="5">
    <mergeCell ref="L1:Q1"/>
    <mergeCell ref="S1:X1"/>
    <mergeCell ref="Z1:AG1"/>
    <mergeCell ref="C1:D1"/>
    <mergeCell ref="E1:J1"/>
  </mergeCells>
  <dataValidations count="8">
    <dataValidation type="list" allowBlank="1" showInputMessage="1" showErrorMessage="1" sqref="C5:C7">
      <formula1>Satisfaction</formula1>
    </dataValidation>
    <dataValidation type="list" allowBlank="1" showInputMessage="1" showErrorMessage="1" sqref="E5:L7">
      <formula1>RepON</formula1>
    </dataValidation>
    <dataValidation type="list" allowBlank="1" showInputMessage="1" showErrorMessage="1" sqref="AA5:AA7 AC5:AC7 AE5:AE7 AG5:AG7">
      <formula1>CatSugg</formula1>
    </dataValidation>
    <dataValidation type="list" allowBlank="1" showInputMessage="1" showErrorMessage="1" sqref="N5:Q7">
      <formula1>RepAccord</formula1>
    </dataValidation>
    <dataValidation type="list" allowBlank="1" showInputMessage="1" showErrorMessage="1" sqref="S5:X7">
      <formula1>"1,2,3,4,5,6"</formula1>
    </dataValidation>
    <dataValidation type="list" allowBlank="1" showInputMessage="1" showErrorMessage="1" sqref="Y5:Y7">
      <formula1>Satisfait</formula1>
    </dataValidation>
    <dataValidation type="list" allowBlank="1" showInputMessage="1" showErrorMessage="1" sqref="R5:R7">
      <formula1>Fréquence</formula1>
    </dataValidation>
    <dataValidation type="list" allowBlank="1" showInputMessage="1" showErrorMessage="1" sqref="B5:B7">
      <formula1>Etablissement</formula1>
    </dataValidation>
  </dataValidations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7"/>
  <sheetViews>
    <sheetView topLeftCell="A6" workbookViewId="0">
      <selection activeCell="A13" sqref="A13:C19"/>
    </sheetView>
  </sheetViews>
  <sheetFormatPr baseColWidth="10" defaultRowHeight="15.6" x14ac:dyDescent="0.3"/>
  <cols>
    <col min="1" max="1" width="23.21875" style="3" customWidth="1"/>
    <col min="2" max="2" width="55.5546875" style="3" bestFit="1" customWidth="1"/>
    <col min="3" max="3" width="14.21875" style="3" customWidth="1"/>
    <col min="4" max="7" width="11.5546875" style="3"/>
    <col min="8" max="8" width="14" style="3" customWidth="1"/>
    <col min="9" max="9" width="11.5546875" style="3"/>
    <col min="10" max="10" width="20.6640625" style="3" customWidth="1"/>
    <col min="11" max="13" width="11.5546875" style="3"/>
    <col min="14" max="14" width="39.6640625" style="3" customWidth="1"/>
    <col min="15" max="16384" width="11.5546875" style="3"/>
  </cols>
  <sheetData>
    <row r="2" spans="1:14" x14ac:dyDescent="0.3">
      <c r="A2" s="3" t="s">
        <v>13</v>
      </c>
      <c r="C2" s="3" t="s">
        <v>19</v>
      </c>
      <c r="E2" s="3" t="s">
        <v>41</v>
      </c>
      <c r="H2" s="3" t="s">
        <v>98</v>
      </c>
      <c r="J2" s="37" t="s">
        <v>102</v>
      </c>
      <c r="L2" s="3" t="s">
        <v>108</v>
      </c>
      <c r="N2" s="3" t="s">
        <v>124</v>
      </c>
    </row>
    <row r="3" spans="1:14" x14ac:dyDescent="0.3">
      <c r="A3" s="4" t="s">
        <v>9</v>
      </c>
      <c r="C3" s="3" t="s">
        <v>20</v>
      </c>
      <c r="E3" s="3" t="s">
        <v>37</v>
      </c>
      <c r="F3" s="2"/>
      <c r="G3" s="2"/>
      <c r="H3" s="11" t="s">
        <v>52</v>
      </c>
      <c r="J3" s="38" t="s">
        <v>103</v>
      </c>
      <c r="L3" s="3" t="s">
        <v>109</v>
      </c>
      <c r="N3" s="91" t="s">
        <v>56</v>
      </c>
    </row>
    <row r="4" spans="1:14" x14ac:dyDescent="0.3">
      <c r="A4" s="4" t="s">
        <v>10</v>
      </c>
      <c r="C4" s="3" t="s">
        <v>21</v>
      </c>
      <c r="E4" s="3" t="s">
        <v>38</v>
      </c>
      <c r="F4" s="2"/>
      <c r="G4" s="2"/>
      <c r="H4" s="11" t="s">
        <v>99</v>
      </c>
      <c r="J4" s="38" t="s">
        <v>102</v>
      </c>
      <c r="L4" s="3" t="s">
        <v>110</v>
      </c>
      <c r="N4" s="91" t="s">
        <v>51</v>
      </c>
    </row>
    <row r="5" spans="1:14" x14ac:dyDescent="0.3">
      <c r="A5" s="4" t="s">
        <v>11</v>
      </c>
      <c r="C5" s="3" t="s">
        <v>122</v>
      </c>
      <c r="E5" s="3" t="s">
        <v>39</v>
      </c>
      <c r="H5" s="7" t="s">
        <v>100</v>
      </c>
      <c r="J5" s="38" t="s">
        <v>104</v>
      </c>
      <c r="L5" s="3" t="s">
        <v>111</v>
      </c>
      <c r="N5" s="91" t="s">
        <v>52</v>
      </c>
    </row>
    <row r="6" spans="1:14" x14ac:dyDescent="0.3">
      <c r="A6" s="4" t="s">
        <v>12</v>
      </c>
      <c r="E6" s="3" t="s">
        <v>40</v>
      </c>
      <c r="H6" s="7" t="s">
        <v>101</v>
      </c>
      <c r="J6" s="38" t="s">
        <v>105</v>
      </c>
      <c r="L6" s="3" t="s">
        <v>112</v>
      </c>
      <c r="N6" s="91" t="s">
        <v>53</v>
      </c>
    </row>
    <row r="7" spans="1:14" x14ac:dyDescent="0.3">
      <c r="A7" s="3" t="s">
        <v>122</v>
      </c>
      <c r="E7" s="3" t="s">
        <v>122</v>
      </c>
      <c r="J7" s="3" t="s">
        <v>122</v>
      </c>
      <c r="L7" s="3" t="s">
        <v>113</v>
      </c>
      <c r="N7" s="91" t="s">
        <v>54</v>
      </c>
    </row>
    <row r="8" spans="1:14" x14ac:dyDescent="0.3">
      <c r="L8" s="3" t="s">
        <v>122</v>
      </c>
      <c r="N8" s="91" t="s">
        <v>55</v>
      </c>
    </row>
    <row r="13" spans="1:14" x14ac:dyDescent="0.3">
      <c r="A13" s="3" t="s">
        <v>135</v>
      </c>
      <c r="B13" s="3" t="s">
        <v>152</v>
      </c>
      <c r="C13" s="3" t="s">
        <v>137</v>
      </c>
    </row>
    <row r="14" spans="1:14" x14ac:dyDescent="0.3">
      <c r="A14" s="3" t="s">
        <v>148</v>
      </c>
      <c r="B14" s="3" t="s">
        <v>151</v>
      </c>
      <c r="C14" s="3">
        <v>20</v>
      </c>
    </row>
    <row r="15" spans="1:14" x14ac:dyDescent="0.3">
      <c r="A15" s="3" t="s">
        <v>147</v>
      </c>
      <c r="B15" s="3" t="s">
        <v>146</v>
      </c>
      <c r="C15" s="3">
        <v>15</v>
      </c>
    </row>
    <row r="16" spans="1:14" x14ac:dyDescent="0.3">
      <c r="A16" s="3" t="s">
        <v>150</v>
      </c>
      <c r="B16" s="3" t="s">
        <v>149</v>
      </c>
      <c r="C16" s="3">
        <v>36</v>
      </c>
    </row>
    <row r="17" spans="1:6" x14ac:dyDescent="0.3">
      <c r="A17" s="3" t="s">
        <v>144</v>
      </c>
      <c r="B17" s="3" t="s">
        <v>145</v>
      </c>
      <c r="C17" s="3">
        <v>45</v>
      </c>
    </row>
    <row r="18" spans="1:6" x14ac:dyDescent="0.3">
      <c r="A18" s="3" t="s">
        <v>141</v>
      </c>
      <c r="B18" s="3" t="s">
        <v>140</v>
      </c>
    </row>
    <row r="19" spans="1:6" x14ac:dyDescent="0.3">
      <c r="A19" s="3" t="s">
        <v>143</v>
      </c>
      <c r="B19" s="3" t="s">
        <v>142</v>
      </c>
    </row>
    <row r="20" spans="1:6" x14ac:dyDescent="0.3">
      <c r="F20"/>
    </row>
    <row r="21" spans="1:6" x14ac:dyDescent="0.3">
      <c r="F21"/>
    </row>
    <row r="22" spans="1:6" x14ac:dyDescent="0.3">
      <c r="F22"/>
    </row>
    <row r="23" spans="1:6" x14ac:dyDescent="0.3">
      <c r="F23"/>
    </row>
    <row r="24" spans="1:6" x14ac:dyDescent="0.3">
      <c r="F24" s="123"/>
    </row>
    <row r="35" spans="1:2" x14ac:dyDescent="0.3">
      <c r="A35" s="3" t="s">
        <v>120</v>
      </c>
      <c r="B35" s="3" t="s">
        <v>121</v>
      </c>
    </row>
    <row r="36" spans="1:2" s="6" customFormat="1" ht="18.600000000000001" x14ac:dyDescent="0.25">
      <c r="A36" s="5" t="s">
        <v>14</v>
      </c>
      <c r="B36" s="8" t="s">
        <v>75</v>
      </c>
    </row>
    <row r="37" spans="1:2" ht="46.8" x14ac:dyDescent="0.3">
      <c r="A37" s="7" t="s">
        <v>17</v>
      </c>
      <c r="B37" s="4" t="s">
        <v>18</v>
      </c>
    </row>
    <row r="38" spans="1:2" x14ac:dyDescent="0.3">
      <c r="A38" s="9" t="s">
        <v>22</v>
      </c>
      <c r="B38" s="4" t="s">
        <v>0</v>
      </c>
    </row>
    <row r="39" spans="1:2" ht="46.8" x14ac:dyDescent="0.3">
      <c r="A39" s="9" t="s">
        <v>23</v>
      </c>
      <c r="B39" s="4" t="s">
        <v>1</v>
      </c>
    </row>
    <row r="40" spans="1:2" ht="31.2" x14ac:dyDescent="0.3">
      <c r="A40" s="9" t="s">
        <v>24</v>
      </c>
      <c r="B40" s="4" t="s">
        <v>2</v>
      </c>
    </row>
    <row r="41" spans="1:2" ht="46.8" x14ac:dyDescent="0.3">
      <c r="A41" s="9" t="s">
        <v>25</v>
      </c>
      <c r="B41" s="4" t="s">
        <v>3</v>
      </c>
    </row>
    <row r="42" spans="1:2" ht="46.8" x14ac:dyDescent="0.3">
      <c r="A42" s="9" t="s">
        <v>26</v>
      </c>
      <c r="B42" s="4" t="s">
        <v>4</v>
      </c>
    </row>
    <row r="43" spans="1:2" ht="31.2" x14ac:dyDescent="0.3">
      <c r="A43" s="9" t="s">
        <v>27</v>
      </c>
      <c r="B43" s="4" t="s">
        <v>5</v>
      </c>
    </row>
    <row r="44" spans="1:2" ht="78" x14ac:dyDescent="0.3">
      <c r="A44" s="3" t="s">
        <v>28</v>
      </c>
      <c r="B44" s="4" t="s">
        <v>30</v>
      </c>
    </row>
    <row r="45" spans="1:2" ht="46.8" x14ac:dyDescent="0.3">
      <c r="A45" s="3" t="s">
        <v>29</v>
      </c>
      <c r="B45" s="4" t="s">
        <v>57</v>
      </c>
    </row>
    <row r="46" spans="1:2" x14ac:dyDescent="0.3">
      <c r="A46" s="3" t="s">
        <v>31</v>
      </c>
      <c r="B46" s="4" t="s">
        <v>32</v>
      </c>
    </row>
    <row r="47" spans="1:2" x14ac:dyDescent="0.3">
      <c r="A47" s="3" t="s">
        <v>33</v>
      </c>
      <c r="B47" s="10" t="s">
        <v>6</v>
      </c>
    </row>
    <row r="48" spans="1:2" x14ac:dyDescent="0.3">
      <c r="A48" s="3" t="s">
        <v>34</v>
      </c>
      <c r="B48" s="10" t="s">
        <v>7</v>
      </c>
    </row>
    <row r="49" spans="1:2" ht="46.8" x14ac:dyDescent="0.3">
      <c r="A49" s="3" t="s">
        <v>35</v>
      </c>
      <c r="B49" s="11" t="s">
        <v>42</v>
      </c>
    </row>
    <row r="50" spans="1:2" x14ac:dyDescent="0.3">
      <c r="A50" s="3" t="s">
        <v>36</v>
      </c>
      <c r="B50" s="10" t="s">
        <v>8</v>
      </c>
    </row>
    <row r="51" spans="1:2" ht="62.4" x14ac:dyDescent="0.3">
      <c r="A51" s="3" t="s">
        <v>43</v>
      </c>
      <c r="B51" s="5" t="s">
        <v>58</v>
      </c>
    </row>
    <row r="52" spans="1:2" ht="62.4" x14ac:dyDescent="0.3">
      <c r="A52" s="3" t="s">
        <v>44</v>
      </c>
      <c r="B52" s="4" t="s">
        <v>59</v>
      </c>
    </row>
    <row r="53" spans="1:2" x14ac:dyDescent="0.3">
      <c r="A53" s="3" t="s">
        <v>45</v>
      </c>
      <c r="B53" s="5" t="s">
        <v>56</v>
      </c>
    </row>
    <row r="54" spans="1:2" x14ac:dyDescent="0.3">
      <c r="A54" s="3" t="s">
        <v>46</v>
      </c>
      <c r="B54" s="5" t="s">
        <v>51</v>
      </c>
    </row>
    <row r="55" spans="1:2" x14ac:dyDescent="0.3">
      <c r="A55" s="3" t="s">
        <v>47</v>
      </c>
      <c r="B55" s="5" t="s">
        <v>52</v>
      </c>
    </row>
    <row r="56" spans="1:2" x14ac:dyDescent="0.3">
      <c r="A56" s="3" t="s">
        <v>48</v>
      </c>
      <c r="B56" s="5" t="s">
        <v>53</v>
      </c>
    </row>
    <row r="57" spans="1:2" x14ac:dyDescent="0.3">
      <c r="A57" s="3" t="s">
        <v>49</v>
      </c>
      <c r="B57" s="5" t="s">
        <v>54</v>
      </c>
    </row>
    <row r="58" spans="1:2" x14ac:dyDescent="0.3">
      <c r="A58" s="3" t="s">
        <v>50</v>
      </c>
      <c r="B58" s="5" t="s">
        <v>55</v>
      </c>
    </row>
    <row r="59" spans="1:2" x14ac:dyDescent="0.3">
      <c r="A59" s="3" t="s">
        <v>60</v>
      </c>
      <c r="B59" s="8" t="s">
        <v>61</v>
      </c>
    </row>
    <row r="60" spans="1:2" x14ac:dyDescent="0.3">
      <c r="A60" s="3" t="s">
        <v>63</v>
      </c>
      <c r="B60" s="3" t="s">
        <v>62</v>
      </c>
    </row>
    <row r="61" spans="1:2" x14ac:dyDescent="0.3">
      <c r="A61" s="3" t="s">
        <v>64</v>
      </c>
      <c r="B61" s="3" t="s">
        <v>73</v>
      </c>
    </row>
    <row r="62" spans="1:2" x14ac:dyDescent="0.3">
      <c r="A62" s="3" t="s">
        <v>65</v>
      </c>
      <c r="B62" s="3" t="s">
        <v>66</v>
      </c>
    </row>
    <row r="63" spans="1:2" x14ac:dyDescent="0.3">
      <c r="A63" s="3" t="s">
        <v>69</v>
      </c>
      <c r="B63" s="3" t="s">
        <v>73</v>
      </c>
    </row>
    <row r="64" spans="1:2" x14ac:dyDescent="0.3">
      <c r="A64" s="3" t="s">
        <v>70</v>
      </c>
      <c r="B64" s="3" t="s">
        <v>67</v>
      </c>
    </row>
    <row r="65" spans="1:2" x14ac:dyDescent="0.3">
      <c r="A65" s="3" t="s">
        <v>71</v>
      </c>
      <c r="B65" s="3" t="s">
        <v>73</v>
      </c>
    </row>
    <row r="66" spans="1:2" x14ac:dyDescent="0.3">
      <c r="A66" s="3" t="s">
        <v>72</v>
      </c>
      <c r="B66" s="3" t="s">
        <v>68</v>
      </c>
    </row>
    <row r="67" spans="1:2" x14ac:dyDescent="0.3">
      <c r="A67" s="3" t="s">
        <v>74</v>
      </c>
      <c r="B67" s="3" t="s">
        <v>73</v>
      </c>
    </row>
  </sheetData>
  <sortState ref="F14:G24">
    <sortCondition ref="F14:F24"/>
  </sortState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44</vt:i4>
      </vt:variant>
    </vt:vector>
  </HeadingPairs>
  <TitlesOfParts>
    <vt:vector size="48" baseType="lpstr">
      <vt:lpstr> ResGlobal</vt:lpstr>
      <vt:lpstr>REsEtab</vt:lpstr>
      <vt:lpstr>Saisie</vt:lpstr>
      <vt:lpstr>Tables</vt:lpstr>
      <vt:lpstr>Domaines</vt:lpstr>
      <vt:lpstr>EnqDistri</vt:lpstr>
      <vt:lpstr>Etablissement</vt:lpstr>
      <vt:lpstr>Fréquence</vt:lpstr>
      <vt:lpstr>Intitulé</vt:lpstr>
      <vt:lpstr>Intlong</vt:lpstr>
      <vt:lpstr>Numero</vt:lpstr>
      <vt:lpstr>Q0_0</vt:lpstr>
      <vt:lpstr>Q1_0</vt:lpstr>
      <vt:lpstr>Q1_1</vt:lpstr>
      <vt:lpstr>Q2_1</vt:lpstr>
      <vt:lpstr>Q2_2</vt:lpstr>
      <vt:lpstr>Q2_3</vt:lpstr>
      <vt:lpstr>Q2_4</vt:lpstr>
      <vt:lpstr>Q2_5</vt:lpstr>
      <vt:lpstr>Q2_6</vt:lpstr>
      <vt:lpstr>Q3_0</vt:lpstr>
      <vt:lpstr>Q4_0</vt:lpstr>
      <vt:lpstr>Q4_1</vt:lpstr>
      <vt:lpstr>Q4_2</vt:lpstr>
      <vt:lpstr>Q4_3</vt:lpstr>
      <vt:lpstr>Q4_4</vt:lpstr>
      <vt:lpstr>Q4_5</vt:lpstr>
      <vt:lpstr>Q5_0</vt:lpstr>
      <vt:lpstr>Q6_1</vt:lpstr>
      <vt:lpstr>Q6_2</vt:lpstr>
      <vt:lpstr>Q6_3</vt:lpstr>
      <vt:lpstr>Q6_4</vt:lpstr>
      <vt:lpstr>Q6_5</vt:lpstr>
      <vt:lpstr>Q6_6</vt:lpstr>
      <vt:lpstr>Q7_0</vt:lpstr>
      <vt:lpstr>Q8_1</vt:lpstr>
      <vt:lpstr>Q8_2</vt:lpstr>
      <vt:lpstr>Q8_3</vt:lpstr>
      <vt:lpstr>Q8_4</vt:lpstr>
      <vt:lpstr>Q8_5</vt:lpstr>
      <vt:lpstr>Q8_6</vt:lpstr>
      <vt:lpstr>Q8_7</vt:lpstr>
      <vt:lpstr>Q8_8</vt:lpstr>
      <vt:lpstr>Question</vt:lpstr>
      <vt:lpstr>RepAccord</vt:lpstr>
      <vt:lpstr>RepON</vt:lpstr>
      <vt:lpstr>Satisfaction</vt:lpstr>
      <vt:lpstr>Satisfait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BOSCHI</dc:creator>
  <cp:lastModifiedBy>André BOSCHI</cp:lastModifiedBy>
  <cp:lastPrinted>2015-01-21T08:15:57Z</cp:lastPrinted>
  <dcterms:created xsi:type="dcterms:W3CDTF">2015-01-16T09:53:12Z</dcterms:created>
  <dcterms:modified xsi:type="dcterms:W3CDTF">2015-01-21T20:51:02Z</dcterms:modified>
</cp:coreProperties>
</file>