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15" windowWidth="19995" windowHeight="8190" activeTab="2"/>
  </bookViews>
  <sheets>
    <sheet name="Data" sheetId="1" r:id="rId1"/>
    <sheet name="Milestones" sheetId="2" r:id="rId2"/>
    <sheet name="Diagrams" sheetId="4" r:id="rId3"/>
  </sheets>
  <definedNames>
    <definedName name="_xlnm._FilterDatabase" localSheetId="0" hidden="1">Data!$A$2:$R$108</definedName>
    <definedName name="apr">OFFSET(Data!$I$3,,,COUNTA(Data!$A:$A)-2)</definedName>
    <definedName name="aug">OFFSET(Data!$M$3,,,COUNTA(Data!$A:$A)-2)</definedName>
    <definedName name="dates">OFFSET(Diagrams!$F$9,,,COUNTIF(Data!$B:$B,Diagrams!$A$2),12)</definedName>
    <definedName name="dec">OFFSET(Data!$Q$3,,,COUNTA(Data!$A:$A)-2)</definedName>
    <definedName name="feb">OFFSET(Data!$G$3,,,COUNTA(Data!$A:$A)-2)</definedName>
    <definedName name="jan">OFFSET(Data!$F$3,,,COUNTA(Data!$A:$A)-2)</definedName>
    <definedName name="jul">OFFSET(Data!$L$3,,,COUNTA(Data!$A:$A)-2)</definedName>
    <definedName name="jun">OFFSET(Data!$K$3,,,COUNTA(Data!$A:$A)-2)</definedName>
    <definedName name="labels">OFFSET(Diagrams!$C$9,,,COUNTIF(Data!$B:$B,Diagrams!$A$2),1)</definedName>
    <definedName name="mar">OFFSET(Data!$H$3,,,COUNTA(Data!$A:$A)-2)</definedName>
    <definedName name="may">OFFSET(Data!$J$3,,,COUNTA(Data!$A:$A)-2)</definedName>
    <definedName name="met">OFFSET(Data!$E$3,,,COUNTA(Data!$A:$A)-2)</definedName>
    <definedName name="nextjan">OFFSET(Data!$R$3,,,COUNTA(Data!$A:$A)-2)</definedName>
    <definedName name="nov">OFFSET(Data!$P$3,,,COUNTA(Data!$A:$A)-2)</definedName>
    <definedName name="oct">OFFSET(Data!$O$3,,,COUNTA(Data!$A:$A)-2)</definedName>
    <definedName name="sep">OFFSET(Data!$N$3,,,COUNTA(Data!$A:$A)-2)</definedName>
    <definedName name="target">OFFSET(Data!$D$3,,,COUNTA(Data!$A:$A)-2)</definedName>
  </definedNames>
  <calcPr calcId="145621"/>
</workbook>
</file>

<file path=xl/calcChain.xml><?xml version="1.0" encoding="utf-8"?>
<calcChain xmlns="http://schemas.openxmlformats.org/spreadsheetml/2006/main">
  <c r="D25" i="4" l="1"/>
  <c r="G26" i="1" l="1"/>
  <c r="H26" i="1" s="1"/>
  <c r="I26" i="1" s="1"/>
  <c r="J26" i="1" s="1"/>
  <c r="K26" i="1" s="1"/>
  <c r="L26" i="1" s="1"/>
  <c r="M26" i="1" s="1"/>
  <c r="N26" i="1" s="1"/>
  <c r="O26" i="1" s="1"/>
  <c r="P26" i="1" s="1"/>
  <c r="Q26" i="1" s="1"/>
  <c r="R26" i="1" s="1"/>
  <c r="E26" i="1" s="1"/>
  <c r="G56" i="1"/>
  <c r="H56" i="1" s="1"/>
  <c r="I56" i="1" s="1"/>
  <c r="J56" i="1" s="1"/>
  <c r="K56" i="1" s="1"/>
  <c r="L56" i="1" s="1"/>
  <c r="M56" i="1" s="1"/>
  <c r="N56" i="1" s="1"/>
  <c r="O56" i="1" s="1"/>
  <c r="P56" i="1" s="1"/>
  <c r="Q56" i="1" s="1"/>
  <c r="R56" i="1" s="1"/>
  <c r="E56" i="1" s="1"/>
  <c r="H55" i="1"/>
  <c r="I55" i="1" s="1"/>
  <c r="J55" i="1" s="1"/>
  <c r="K55" i="1" s="1"/>
  <c r="L55" i="1" s="1"/>
  <c r="M55" i="1" s="1"/>
  <c r="N55" i="1" s="1"/>
  <c r="O55" i="1" s="1"/>
  <c r="P55" i="1" s="1"/>
  <c r="Q55" i="1" s="1"/>
  <c r="R55" i="1" s="1"/>
  <c r="E55" i="1" s="1"/>
  <c r="G55" i="1"/>
  <c r="N21" i="1" l="1"/>
  <c r="O21" i="1" s="1"/>
  <c r="P21" i="1" s="1"/>
  <c r="Q21" i="1" s="1"/>
  <c r="R21" i="1" s="1"/>
  <c r="E21" i="1" s="1"/>
  <c r="R18" i="1"/>
  <c r="R19" i="1"/>
  <c r="R20" i="1"/>
  <c r="R22" i="1"/>
  <c r="R23" i="1"/>
  <c r="G4" i="1"/>
  <c r="H4" i="1" s="1"/>
  <c r="I4" i="1" s="1"/>
  <c r="J4" i="1" s="1"/>
  <c r="K4" i="1" s="1"/>
  <c r="L4" i="1" s="1"/>
  <c r="M4" i="1" s="1"/>
  <c r="N4" i="1" s="1"/>
  <c r="O4" i="1" s="1"/>
  <c r="P4" i="1" s="1"/>
  <c r="Q4" i="1" s="1"/>
  <c r="R4" i="1" s="1"/>
  <c r="E4" i="1" s="1"/>
  <c r="G5" i="1"/>
  <c r="H5" i="1" s="1"/>
  <c r="I5" i="1" s="1"/>
  <c r="J5" i="1" s="1"/>
  <c r="K5" i="1" s="1"/>
  <c r="L5" i="1" s="1"/>
  <c r="M5" i="1" s="1"/>
  <c r="N5" i="1" s="1"/>
  <c r="O5" i="1" s="1"/>
  <c r="P5" i="1" s="1"/>
  <c r="Q5" i="1" s="1"/>
  <c r="R5" i="1" s="1"/>
  <c r="E5" i="1" s="1"/>
  <c r="G6" i="1"/>
  <c r="H6" i="1" s="1"/>
  <c r="I6" i="1" s="1"/>
  <c r="J6" i="1" s="1"/>
  <c r="K6" i="1" s="1"/>
  <c r="L6" i="1" s="1"/>
  <c r="M6" i="1" s="1"/>
  <c r="N6" i="1" s="1"/>
  <c r="O6" i="1" s="1"/>
  <c r="P6" i="1" s="1"/>
  <c r="Q6" i="1" s="1"/>
  <c r="R6" i="1" s="1"/>
  <c r="E6" i="1" s="1"/>
  <c r="G7" i="1"/>
  <c r="H7" i="1" s="1"/>
  <c r="I7" i="1" s="1"/>
  <c r="J7" i="1" s="1"/>
  <c r="K7" i="1" s="1"/>
  <c r="L7" i="1" s="1"/>
  <c r="M7" i="1" s="1"/>
  <c r="N7" i="1" s="1"/>
  <c r="O7" i="1" s="1"/>
  <c r="P7" i="1" s="1"/>
  <c r="Q7" i="1" s="1"/>
  <c r="R7" i="1" s="1"/>
  <c r="E7" i="1" s="1"/>
  <c r="G8" i="1"/>
  <c r="H8" i="1" s="1"/>
  <c r="I8" i="1" s="1"/>
  <c r="J8" i="1" s="1"/>
  <c r="K8" i="1" s="1"/>
  <c r="L8" i="1" s="1"/>
  <c r="M8" i="1" s="1"/>
  <c r="N8" i="1" s="1"/>
  <c r="O8" i="1" s="1"/>
  <c r="P8" i="1" s="1"/>
  <c r="Q8" i="1" s="1"/>
  <c r="R8" i="1" s="1"/>
  <c r="E8" i="1" s="1"/>
  <c r="G9" i="1"/>
  <c r="H9" i="1" s="1"/>
  <c r="I9" i="1" s="1"/>
  <c r="J9" i="1" s="1"/>
  <c r="K9" i="1" s="1"/>
  <c r="L9" i="1" s="1"/>
  <c r="M9" i="1" s="1"/>
  <c r="N9" i="1" s="1"/>
  <c r="O9" i="1" s="1"/>
  <c r="P9" i="1" s="1"/>
  <c r="Q9" i="1" s="1"/>
  <c r="R9" i="1" s="1"/>
  <c r="E9" i="1" s="1"/>
  <c r="G10" i="1"/>
  <c r="H10" i="1" s="1"/>
  <c r="I10" i="1" s="1"/>
  <c r="J10" i="1" s="1"/>
  <c r="K10" i="1" s="1"/>
  <c r="L10" i="1" s="1"/>
  <c r="M10" i="1" s="1"/>
  <c r="N10" i="1" s="1"/>
  <c r="O10" i="1" s="1"/>
  <c r="P10" i="1" s="1"/>
  <c r="Q10" i="1" s="1"/>
  <c r="R10" i="1" s="1"/>
  <c r="E10" i="1" s="1"/>
  <c r="G11" i="1"/>
  <c r="H11" i="1" s="1"/>
  <c r="I11" i="1" s="1"/>
  <c r="J11" i="1" s="1"/>
  <c r="K11" i="1" s="1"/>
  <c r="L11" i="1" s="1"/>
  <c r="M11" i="1" s="1"/>
  <c r="N11" i="1" s="1"/>
  <c r="O11" i="1" s="1"/>
  <c r="P11" i="1" s="1"/>
  <c r="Q11" i="1" s="1"/>
  <c r="R11" i="1" s="1"/>
  <c r="E11" i="1" s="1"/>
  <c r="H17" i="1"/>
  <c r="I17" i="1" s="1"/>
  <c r="J17" i="1" s="1"/>
  <c r="K17" i="1" s="1"/>
  <c r="L17" i="1" s="1"/>
  <c r="M17" i="1" l="1"/>
  <c r="N17" i="1" s="1"/>
  <c r="O17" i="1" s="1"/>
  <c r="P17" i="1" s="1"/>
  <c r="Q17" i="1" s="1"/>
  <c r="R17" i="1" s="1"/>
  <c r="E17" i="1" s="1"/>
  <c r="A7" i="4"/>
  <c r="B7" i="4"/>
  <c r="C7" i="4"/>
  <c r="D7" i="4"/>
  <c r="E7" i="4"/>
  <c r="F7" i="4"/>
  <c r="G7" i="4"/>
  <c r="H7" i="4"/>
  <c r="I7" i="4"/>
  <c r="J7" i="4"/>
  <c r="K7" i="4"/>
  <c r="L7" i="4"/>
  <c r="M7" i="4"/>
  <c r="N7" i="4"/>
  <c r="O7" i="4"/>
  <c r="P7" i="4"/>
  <c r="Q7" i="4"/>
  <c r="R7" i="4"/>
  <c r="S7" i="4"/>
  <c r="B2" i="4"/>
  <c r="F6" i="4" l="1"/>
  <c r="A17" i="4"/>
  <c r="A16" i="4"/>
  <c r="A9" i="4"/>
  <c r="A13" i="4"/>
  <c r="A10" i="4"/>
  <c r="A14" i="4"/>
  <c r="A11" i="4"/>
  <c r="A15" i="4"/>
  <c r="A12" i="4"/>
  <c r="C14" i="2"/>
  <c r="P1" i="2"/>
  <c r="M2" i="2"/>
  <c r="D1" i="2"/>
  <c r="E1" i="2"/>
  <c r="F1" i="2"/>
  <c r="G1" i="2"/>
  <c r="H1" i="2"/>
  <c r="I1" i="2"/>
  <c r="J1" i="2"/>
  <c r="K1" i="2"/>
  <c r="L1" i="2"/>
  <c r="M1" i="2"/>
  <c r="N1" i="2"/>
  <c r="O1" i="2"/>
  <c r="C1" i="2"/>
  <c r="K12" i="4" l="1"/>
  <c r="J12" i="4"/>
  <c r="C4" i="2"/>
  <c r="O2" i="2"/>
  <c r="F11" i="4"/>
  <c r="F9" i="4"/>
  <c r="F14" i="4"/>
  <c r="G14" i="4"/>
  <c r="K14" i="4"/>
  <c r="O14" i="4"/>
  <c r="H14" i="4"/>
  <c r="L14" i="4"/>
  <c r="P14" i="4"/>
  <c r="I14" i="4"/>
  <c r="M14" i="4"/>
  <c r="Q14" i="4"/>
  <c r="J14" i="4"/>
  <c r="N14" i="4"/>
  <c r="R14" i="4"/>
  <c r="F16" i="4"/>
  <c r="G16" i="4"/>
  <c r="K16" i="4"/>
  <c r="O16" i="4"/>
  <c r="H16" i="4"/>
  <c r="L16" i="4"/>
  <c r="P16" i="4"/>
  <c r="I16" i="4"/>
  <c r="M16" i="4"/>
  <c r="Q16" i="4"/>
  <c r="J16" i="4"/>
  <c r="N16" i="4"/>
  <c r="R16" i="4"/>
  <c r="F12" i="4"/>
  <c r="F10" i="4"/>
  <c r="F17" i="4"/>
  <c r="G17" i="4"/>
  <c r="K17" i="4"/>
  <c r="O17" i="4"/>
  <c r="H17" i="4"/>
  <c r="L17" i="4"/>
  <c r="P17" i="4"/>
  <c r="I17" i="4"/>
  <c r="M17" i="4"/>
  <c r="Q17" i="4"/>
  <c r="J17" i="4"/>
  <c r="N17" i="4"/>
  <c r="R17" i="4"/>
  <c r="F15" i="4"/>
  <c r="G15" i="4"/>
  <c r="K15" i="4"/>
  <c r="O15" i="4"/>
  <c r="H15" i="4"/>
  <c r="L15" i="4"/>
  <c r="P15" i="4"/>
  <c r="I15" i="4"/>
  <c r="M15" i="4"/>
  <c r="Q15" i="4"/>
  <c r="J15" i="4"/>
  <c r="N15" i="4"/>
  <c r="R15" i="4"/>
  <c r="F13" i="4"/>
  <c r="G13" i="4"/>
  <c r="K13" i="4"/>
  <c r="O13" i="4"/>
  <c r="H13" i="4"/>
  <c r="L13" i="4"/>
  <c r="P13" i="4"/>
  <c r="I13" i="4"/>
  <c r="M13" i="4"/>
  <c r="Q13" i="4"/>
  <c r="J13" i="4"/>
  <c r="N13" i="4"/>
  <c r="R13" i="4"/>
  <c r="B14" i="4"/>
  <c r="B11" i="4"/>
  <c r="B12" i="4"/>
  <c r="B10" i="4"/>
  <c r="B17" i="4"/>
  <c r="B15" i="4"/>
  <c r="B13" i="4"/>
  <c r="B16" i="4"/>
  <c r="C16" i="4"/>
  <c r="D16" i="4"/>
  <c r="B9" i="4"/>
  <c r="C9" i="4"/>
  <c r="D17" i="4"/>
  <c r="C17" i="4"/>
  <c r="D15" i="4"/>
  <c r="C15" i="4"/>
  <c r="D14" i="4"/>
  <c r="C14" i="4"/>
  <c r="C13" i="4"/>
  <c r="D13" i="4"/>
  <c r="D12" i="4"/>
  <c r="C12" i="4"/>
  <c r="C11" i="4"/>
  <c r="D11" i="4"/>
  <c r="D9" i="4"/>
  <c r="D10" i="4"/>
  <c r="C10" i="4"/>
  <c r="O4" i="2"/>
  <c r="E2" i="2"/>
  <c r="C2" i="2"/>
  <c r="L2" i="2"/>
  <c r="H2" i="2"/>
  <c r="D2" i="2"/>
  <c r="G2" i="2"/>
  <c r="K2" i="2"/>
  <c r="N2" i="2"/>
  <c r="J2" i="2"/>
  <c r="F2" i="2"/>
  <c r="I2" i="2"/>
  <c r="C3" i="2" l="1"/>
  <c r="J3" i="2"/>
  <c r="G3" i="2"/>
  <c r="K3" i="2"/>
  <c r="O3" i="2"/>
  <c r="H3" i="2"/>
  <c r="L3" i="2"/>
  <c r="D3" i="2"/>
  <c r="E3" i="2"/>
  <c r="I3" i="2"/>
  <c r="M3" i="2"/>
  <c r="F3" i="2"/>
  <c r="N3" i="2"/>
  <c r="G54" i="1"/>
  <c r="H54" i="1" s="1"/>
  <c r="I54" i="1" s="1"/>
  <c r="J54" i="1" s="1"/>
  <c r="K54" i="1" s="1"/>
  <c r="L54" i="1" s="1"/>
  <c r="M54" i="1" s="1"/>
  <c r="N54" i="1" s="1"/>
  <c r="O54" i="1" s="1"/>
  <c r="P54" i="1" s="1"/>
  <c r="Q54" i="1" s="1"/>
  <c r="R54" i="1" s="1"/>
  <c r="E54" i="1" s="1"/>
  <c r="G53" i="1"/>
  <c r="H53" i="1" s="1"/>
  <c r="I53" i="1" s="1"/>
  <c r="J53" i="1" s="1"/>
  <c r="K53" i="1" s="1"/>
  <c r="L53" i="1" s="1"/>
  <c r="M53" i="1" s="1"/>
  <c r="N53" i="1" s="1"/>
  <c r="O53" i="1" s="1"/>
  <c r="P53" i="1" s="1"/>
  <c r="Q53" i="1" s="1"/>
  <c r="R53" i="1" s="1"/>
  <c r="E53" i="1" s="1"/>
  <c r="G52" i="1"/>
  <c r="H52" i="1" s="1"/>
  <c r="I52" i="1" s="1"/>
  <c r="J52" i="1" s="1"/>
  <c r="K52" i="1" s="1"/>
  <c r="L52" i="1" s="1"/>
  <c r="M52" i="1" s="1"/>
  <c r="N52" i="1" s="1"/>
  <c r="O52" i="1" s="1"/>
  <c r="P52" i="1" s="1"/>
  <c r="Q52" i="1" s="1"/>
  <c r="R52" i="1" s="1"/>
  <c r="E52" i="1" s="1"/>
  <c r="G51" i="1"/>
  <c r="H51" i="1" s="1"/>
  <c r="I51" i="1" s="1"/>
  <c r="J51" i="1" s="1"/>
  <c r="K51" i="1" s="1"/>
  <c r="L51" i="1" s="1"/>
  <c r="M51" i="1" s="1"/>
  <c r="N51" i="1" s="1"/>
  <c r="O51" i="1" s="1"/>
  <c r="P51" i="1" s="1"/>
  <c r="Q51" i="1" s="1"/>
  <c r="R51" i="1" s="1"/>
  <c r="E51" i="1" s="1"/>
  <c r="G50" i="1"/>
  <c r="G49" i="1"/>
  <c r="G11" i="4" s="1"/>
  <c r="G48" i="1"/>
  <c r="G10" i="4" s="1"/>
  <c r="G47" i="1"/>
  <c r="G46" i="1"/>
  <c r="H46" i="1" s="1"/>
  <c r="I46" i="1" s="1"/>
  <c r="J46" i="1" s="1"/>
  <c r="K46" i="1" s="1"/>
  <c r="L46" i="1" s="1"/>
  <c r="M46" i="1" s="1"/>
  <c r="N46" i="1" s="1"/>
  <c r="O46" i="1" s="1"/>
  <c r="P46" i="1" s="1"/>
  <c r="G45" i="1"/>
  <c r="H45" i="1" s="1"/>
  <c r="I45" i="1" s="1"/>
  <c r="J45" i="1" s="1"/>
  <c r="K45" i="1" s="1"/>
  <c r="L45" i="1" s="1"/>
  <c r="M45" i="1" s="1"/>
  <c r="N45" i="1" s="1"/>
  <c r="O45" i="1" s="1"/>
  <c r="P45" i="1" s="1"/>
  <c r="Q45" i="1" s="1"/>
  <c r="G44" i="1"/>
  <c r="H44" i="1" s="1"/>
  <c r="I44" i="1" s="1"/>
  <c r="J44" i="1" s="1"/>
  <c r="K44" i="1" s="1"/>
  <c r="L44" i="1" s="1"/>
  <c r="M44" i="1" s="1"/>
  <c r="N44" i="1" s="1"/>
  <c r="O44" i="1" s="1"/>
  <c r="P44" i="1" s="1"/>
  <c r="Q44" i="1" s="1"/>
  <c r="R44" i="1" s="1"/>
  <c r="E44" i="1" s="1"/>
  <c r="G43" i="1"/>
  <c r="H43" i="1" s="1"/>
  <c r="I43" i="1" s="1"/>
  <c r="J43" i="1" s="1"/>
  <c r="K43" i="1" s="1"/>
  <c r="L43" i="1" s="1"/>
  <c r="M43" i="1" s="1"/>
  <c r="N43" i="1" s="1"/>
  <c r="O43" i="1" s="1"/>
  <c r="P43" i="1" s="1"/>
  <c r="Q43" i="1" s="1"/>
  <c r="R43" i="1" s="1"/>
  <c r="E43" i="1" s="1"/>
  <c r="G42" i="1"/>
  <c r="H42" i="1" s="1"/>
  <c r="I42" i="1" s="1"/>
  <c r="J42" i="1" s="1"/>
  <c r="K42" i="1" s="1"/>
  <c r="L42" i="1" s="1"/>
  <c r="M42" i="1" s="1"/>
  <c r="N42" i="1" s="1"/>
  <c r="O42" i="1" s="1"/>
  <c r="P42" i="1" s="1"/>
  <c r="Q42" i="1" s="1"/>
  <c r="R42" i="1" s="1"/>
  <c r="E42" i="1" s="1"/>
  <c r="G41" i="1"/>
  <c r="H41" i="1" s="1"/>
  <c r="I41" i="1" s="1"/>
  <c r="J41" i="1" s="1"/>
  <c r="K41" i="1" s="1"/>
  <c r="L41" i="1" s="1"/>
  <c r="M41" i="1" s="1"/>
  <c r="N41" i="1" s="1"/>
  <c r="O41" i="1" s="1"/>
  <c r="P41" i="1" s="1"/>
  <c r="Q41" i="1" s="1"/>
  <c r="R41" i="1" s="1"/>
  <c r="E41" i="1" s="1"/>
  <c r="G40" i="1"/>
  <c r="H40" i="1" s="1"/>
  <c r="I40" i="1" s="1"/>
  <c r="J40" i="1" s="1"/>
  <c r="K40" i="1" s="1"/>
  <c r="L40" i="1" s="1"/>
  <c r="M40" i="1" s="1"/>
  <c r="N40" i="1" s="1"/>
  <c r="O40" i="1" s="1"/>
  <c r="P40" i="1" s="1"/>
  <c r="Q40" i="1" s="1"/>
  <c r="R40" i="1" s="1"/>
  <c r="E40" i="1" s="1"/>
  <c r="G39" i="1"/>
  <c r="H39" i="1" s="1"/>
  <c r="I39" i="1" s="1"/>
  <c r="J39" i="1" s="1"/>
  <c r="K39" i="1" s="1"/>
  <c r="G38" i="1"/>
  <c r="H38" i="1" s="1"/>
  <c r="I38" i="1" s="1"/>
  <c r="J38" i="1" s="1"/>
  <c r="K38" i="1" s="1"/>
  <c r="L38" i="1" s="1"/>
  <c r="M38" i="1" s="1"/>
  <c r="N38" i="1" s="1"/>
  <c r="G37" i="1"/>
  <c r="H37" i="1" s="1"/>
  <c r="I37" i="1" s="1"/>
  <c r="J37" i="1" s="1"/>
  <c r="K37" i="1" s="1"/>
  <c r="L37" i="1" s="1"/>
  <c r="M37" i="1" s="1"/>
  <c r="G36" i="1"/>
  <c r="H36" i="1" s="1"/>
  <c r="I36" i="1" s="1"/>
  <c r="J36" i="1" s="1"/>
  <c r="K36" i="1" s="1"/>
  <c r="L36" i="1" s="1"/>
  <c r="M36" i="1" s="1"/>
  <c r="N36" i="1" s="1"/>
  <c r="G35" i="1"/>
  <c r="H35" i="1" s="1"/>
  <c r="I35" i="1" s="1"/>
  <c r="J35" i="1" s="1"/>
  <c r="K35" i="1" s="1"/>
  <c r="L35" i="1" s="1"/>
  <c r="M35" i="1" s="1"/>
  <c r="G34" i="1"/>
  <c r="H34" i="1" s="1"/>
  <c r="I34" i="1" s="1"/>
  <c r="J34" i="1" s="1"/>
  <c r="K34" i="1" s="1"/>
  <c r="L34" i="1" s="1"/>
  <c r="M34" i="1" s="1"/>
  <c r="N34" i="1" s="1"/>
  <c r="G33" i="1"/>
  <c r="H33" i="1" s="1"/>
  <c r="I33" i="1" s="1"/>
  <c r="J33" i="1" s="1"/>
  <c r="K33" i="1" s="1"/>
  <c r="L33" i="1" s="1"/>
  <c r="M33" i="1" s="1"/>
  <c r="N33" i="1" s="1"/>
  <c r="G32" i="1"/>
  <c r="G31" i="1"/>
  <c r="G30" i="1"/>
  <c r="G29" i="1"/>
  <c r="G28" i="1"/>
  <c r="G27" i="1"/>
  <c r="H27" i="1" s="1"/>
  <c r="I27" i="1" s="1"/>
  <c r="J27" i="1" s="1"/>
  <c r="K27" i="1" s="1"/>
  <c r="L27" i="1" s="1"/>
  <c r="M27" i="1" s="1"/>
  <c r="N27" i="1" s="1"/>
  <c r="O27" i="1" s="1"/>
  <c r="P27" i="1" s="1"/>
  <c r="Q27" i="1" s="1"/>
  <c r="R27" i="1" s="1"/>
  <c r="E27" i="1" s="1"/>
  <c r="G25" i="1"/>
  <c r="H25" i="1" s="1"/>
  <c r="I25" i="1" s="1"/>
  <c r="J25" i="1" s="1"/>
  <c r="K25" i="1" s="1"/>
  <c r="L25" i="1" s="1"/>
  <c r="M25" i="1" s="1"/>
  <c r="N25" i="1" s="1"/>
  <c r="O25" i="1" s="1"/>
  <c r="P25" i="1" s="1"/>
  <c r="Q25" i="1" s="1"/>
  <c r="R25" i="1" s="1"/>
  <c r="E25" i="1" s="1"/>
  <c r="G24" i="1"/>
  <c r="E20" i="1"/>
  <c r="E19" i="1"/>
  <c r="E18" i="1"/>
  <c r="G16" i="1"/>
  <c r="H16" i="1" s="1"/>
  <c r="I16" i="1" s="1"/>
  <c r="J16" i="1" s="1"/>
  <c r="K16" i="1" s="1"/>
  <c r="L16" i="1" s="1"/>
  <c r="M16" i="1" s="1"/>
  <c r="N16" i="1" s="1"/>
  <c r="O16" i="1" s="1"/>
  <c r="P16" i="1" s="1"/>
  <c r="Q16" i="1" s="1"/>
  <c r="R16" i="1" s="1"/>
  <c r="E16" i="1" s="1"/>
  <c r="G15" i="1"/>
  <c r="H15" i="1" s="1"/>
  <c r="I15" i="1" s="1"/>
  <c r="J15" i="1" s="1"/>
  <c r="K15" i="1" s="1"/>
  <c r="L15" i="1" s="1"/>
  <c r="M15" i="1" s="1"/>
  <c r="N15" i="1" s="1"/>
  <c r="O15" i="1" s="1"/>
  <c r="P15" i="1" s="1"/>
  <c r="Q15" i="1" s="1"/>
  <c r="R15" i="1" s="1"/>
  <c r="E15" i="1" s="1"/>
  <c r="G14" i="1"/>
  <c r="H14" i="1" s="1"/>
  <c r="I14" i="1" s="1"/>
  <c r="J14" i="1" s="1"/>
  <c r="K14" i="1" s="1"/>
  <c r="L14" i="1" s="1"/>
  <c r="M14" i="1" s="1"/>
  <c r="N14" i="1" s="1"/>
  <c r="O14" i="1" s="1"/>
  <c r="P14" i="1" s="1"/>
  <c r="Q14" i="1" s="1"/>
  <c r="R14" i="1" s="1"/>
  <c r="E14" i="1" s="1"/>
  <c r="G13" i="1"/>
  <c r="H13" i="1" s="1"/>
  <c r="I13" i="1" s="1"/>
  <c r="J13" i="1" s="1"/>
  <c r="K13" i="1" s="1"/>
  <c r="L13" i="1" s="1"/>
  <c r="M13" i="1" s="1"/>
  <c r="N13" i="1" s="1"/>
  <c r="O13" i="1" s="1"/>
  <c r="P13" i="1" s="1"/>
  <c r="Q13" i="1" s="1"/>
  <c r="R13" i="1" s="1"/>
  <c r="E13" i="1" s="1"/>
  <c r="G12" i="1"/>
  <c r="H12" i="1" s="1"/>
  <c r="I12" i="1" s="1"/>
  <c r="J12" i="1" s="1"/>
  <c r="K12" i="1" s="1"/>
  <c r="L12" i="1" s="1"/>
  <c r="M12" i="1" s="1"/>
  <c r="N12" i="1" s="1"/>
  <c r="O12" i="1" s="1"/>
  <c r="P12" i="1" s="1"/>
  <c r="Q12" i="1" s="1"/>
  <c r="R12" i="1" s="1"/>
  <c r="E12" i="1" s="1"/>
  <c r="G3" i="1"/>
  <c r="H3" i="1" s="1"/>
  <c r="I3" i="1" s="1"/>
  <c r="J3" i="1" s="1"/>
  <c r="K3" i="1" s="1"/>
  <c r="L3" i="1" s="1"/>
  <c r="M3" i="1" s="1"/>
  <c r="N3" i="1" s="1"/>
  <c r="O3" i="1" s="1"/>
  <c r="P3" i="1" s="1"/>
  <c r="Q3" i="1" s="1"/>
  <c r="R3" i="1" s="1"/>
  <c r="E3" i="1" s="1"/>
  <c r="H47" i="1" l="1"/>
  <c r="G9" i="4"/>
  <c r="H50" i="1"/>
  <c r="G12" i="4"/>
  <c r="H49" i="1"/>
  <c r="H11" i="4" s="1"/>
  <c r="H48" i="1"/>
  <c r="H10" i="4" s="1"/>
  <c r="L39" i="1"/>
  <c r="M39" i="1" s="1"/>
  <c r="G6" i="4"/>
  <c r="H28" i="1"/>
  <c r="H32" i="1"/>
  <c r="H29" i="1"/>
  <c r="H30" i="1"/>
  <c r="H31" i="1"/>
  <c r="D15" i="2"/>
  <c r="C15" i="2"/>
  <c r="H24" i="1"/>
  <c r="D14" i="2"/>
  <c r="D4" i="2"/>
  <c r="O36" i="1"/>
  <c r="P36" i="1" s="1"/>
  <c r="Q36" i="1" s="1"/>
  <c r="R36" i="1" s="1"/>
  <c r="E36" i="1" s="1"/>
  <c r="N39" i="1"/>
  <c r="O39" i="1" s="1"/>
  <c r="P39" i="1" s="1"/>
  <c r="Q39" i="1" s="1"/>
  <c r="R39" i="1" s="1"/>
  <c r="E39" i="1" s="1"/>
  <c r="N35" i="1"/>
  <c r="O35" i="1" s="1"/>
  <c r="P35" i="1" s="1"/>
  <c r="R45" i="1"/>
  <c r="E45" i="1" s="1"/>
  <c r="Q46" i="1"/>
  <c r="R46" i="1" s="1"/>
  <c r="E46" i="1" s="1"/>
  <c r="N37" i="1"/>
  <c r="O37" i="1" s="1"/>
  <c r="P37" i="1" s="1"/>
  <c r="Q37" i="1" s="1"/>
  <c r="R37" i="1" s="1"/>
  <c r="E37" i="1" s="1"/>
  <c r="O34" i="1"/>
  <c r="P34" i="1" s="1"/>
  <c r="Q34" i="1" s="1"/>
  <c r="R34" i="1" s="1"/>
  <c r="E34" i="1" s="1"/>
  <c r="O38" i="1"/>
  <c r="P38" i="1" s="1"/>
  <c r="Q38" i="1" s="1"/>
  <c r="R38" i="1" s="1"/>
  <c r="E38" i="1" s="1"/>
  <c r="O33" i="1"/>
  <c r="P33" i="1" s="1"/>
  <c r="Q33" i="1" s="1"/>
  <c r="R33" i="1" s="1"/>
  <c r="E33" i="1" s="1"/>
  <c r="I50" i="1" l="1"/>
  <c r="H12" i="4"/>
  <c r="I47" i="1"/>
  <c r="H9" i="4"/>
  <c r="I49" i="1"/>
  <c r="I11" i="4" s="1"/>
  <c r="I48" i="1"/>
  <c r="I10" i="4" s="1"/>
  <c r="H6" i="4"/>
  <c r="E15" i="2"/>
  <c r="I30" i="1"/>
  <c r="I32" i="1"/>
  <c r="I31" i="1"/>
  <c r="I29" i="1"/>
  <c r="I28" i="1"/>
  <c r="I24" i="1"/>
  <c r="E4" i="2"/>
  <c r="E14" i="2"/>
  <c r="Q35" i="1"/>
  <c r="J47" i="1" l="1"/>
  <c r="I9" i="4"/>
  <c r="J50" i="1"/>
  <c r="I12" i="4"/>
  <c r="J49" i="1"/>
  <c r="J11" i="4" s="1"/>
  <c r="J48" i="1"/>
  <c r="J10" i="4" s="1"/>
  <c r="I6" i="4"/>
  <c r="F15" i="2"/>
  <c r="J32" i="1"/>
  <c r="J29" i="1"/>
  <c r="J28" i="1"/>
  <c r="J31" i="1"/>
  <c r="J30" i="1"/>
  <c r="J24" i="1"/>
  <c r="F4" i="2"/>
  <c r="F14" i="2"/>
  <c r="R35" i="1"/>
  <c r="K50" i="1" l="1"/>
  <c r="K47" i="1"/>
  <c r="J9" i="4"/>
  <c r="K49" i="1"/>
  <c r="K11" i="4" s="1"/>
  <c r="K48" i="1"/>
  <c r="K10" i="4" s="1"/>
  <c r="J6" i="4"/>
  <c r="K30" i="1"/>
  <c r="G15" i="2"/>
  <c r="K31" i="1"/>
  <c r="K29" i="1"/>
  <c r="K28" i="1"/>
  <c r="K32" i="1"/>
  <c r="K24" i="1"/>
  <c r="G4" i="2"/>
  <c r="G14" i="2"/>
  <c r="E35" i="1"/>
  <c r="L47" i="1" l="1"/>
  <c r="K9" i="4"/>
  <c r="L50" i="1"/>
  <c r="L49" i="1"/>
  <c r="L11" i="4" s="1"/>
  <c r="L48" i="1"/>
  <c r="L10" i="4" s="1"/>
  <c r="K6" i="4"/>
  <c r="H15" i="2"/>
  <c r="L28" i="1"/>
  <c r="L31" i="1"/>
  <c r="L32" i="1"/>
  <c r="L29" i="1"/>
  <c r="L30" i="1"/>
  <c r="L24" i="1"/>
  <c r="H14" i="2"/>
  <c r="H4" i="2"/>
  <c r="M50" i="1" l="1"/>
  <c r="L12" i="4"/>
  <c r="M47" i="1"/>
  <c r="L9" i="4"/>
  <c r="M49" i="1"/>
  <c r="M11" i="4" s="1"/>
  <c r="M48" i="1"/>
  <c r="M10" i="4" s="1"/>
  <c r="L6" i="4"/>
  <c r="I15" i="2"/>
  <c r="M29" i="1"/>
  <c r="M31" i="1"/>
  <c r="M30" i="1"/>
  <c r="M32" i="1"/>
  <c r="M28" i="1"/>
  <c r="M24" i="1"/>
  <c r="I4" i="2"/>
  <c r="I14" i="2"/>
  <c r="N47" i="1" l="1"/>
  <c r="M9" i="4"/>
  <c r="N50" i="1"/>
  <c r="M12" i="4"/>
  <c r="N49" i="1"/>
  <c r="N11" i="4" s="1"/>
  <c r="N48" i="1"/>
  <c r="N10" i="4" s="1"/>
  <c r="M6" i="4"/>
  <c r="N32" i="1"/>
  <c r="N31" i="1"/>
  <c r="N28" i="1"/>
  <c r="N30" i="1"/>
  <c r="N29" i="1"/>
  <c r="J15" i="2"/>
  <c r="N24" i="1"/>
  <c r="J4" i="2"/>
  <c r="J14" i="2"/>
  <c r="O50" i="1" l="1"/>
  <c r="N12" i="4"/>
  <c r="O47" i="1"/>
  <c r="N9" i="4"/>
  <c r="O49" i="1"/>
  <c r="O11" i="4" s="1"/>
  <c r="O48" i="1"/>
  <c r="O10" i="4" s="1"/>
  <c r="N6" i="4"/>
  <c r="K15" i="2"/>
  <c r="O30" i="1"/>
  <c r="O31" i="1"/>
  <c r="O29" i="1"/>
  <c r="O28" i="1"/>
  <c r="O32" i="1"/>
  <c r="O24" i="1"/>
  <c r="K4" i="2"/>
  <c r="K14" i="2"/>
  <c r="P47" i="1" l="1"/>
  <c r="O9" i="4"/>
  <c r="P50" i="1"/>
  <c r="O12" i="4"/>
  <c r="P49" i="1"/>
  <c r="P11" i="4" s="1"/>
  <c r="P48" i="1"/>
  <c r="P10" i="4" s="1"/>
  <c r="O6" i="4"/>
  <c r="L15" i="2"/>
  <c r="P28" i="1"/>
  <c r="P31" i="1"/>
  <c r="P32" i="1"/>
  <c r="P29" i="1"/>
  <c r="P30" i="1"/>
  <c r="P24" i="1"/>
  <c r="L14" i="2"/>
  <c r="L4" i="2"/>
  <c r="Q50" i="1" l="1"/>
  <c r="P12" i="4"/>
  <c r="P9" i="4"/>
  <c r="Q47" i="1"/>
  <c r="Q49" i="1"/>
  <c r="Q11" i="4" s="1"/>
  <c r="Q48" i="1"/>
  <c r="Q10" i="4" s="1"/>
  <c r="P6" i="4"/>
  <c r="M15" i="2"/>
  <c r="Q29" i="1"/>
  <c r="Q31" i="1"/>
  <c r="Q30" i="1"/>
  <c r="Q32" i="1"/>
  <c r="Q28" i="1"/>
  <c r="Q24" i="1"/>
  <c r="M4" i="2"/>
  <c r="M14" i="2"/>
  <c r="R47" i="1" l="1"/>
  <c r="Q9" i="4"/>
  <c r="R50" i="1"/>
  <c r="Q12" i="4"/>
  <c r="R49" i="1"/>
  <c r="R11" i="4" s="1"/>
  <c r="R48" i="1"/>
  <c r="R10" i="4" s="1"/>
  <c r="Q6" i="4"/>
  <c r="E17" i="4"/>
  <c r="N15" i="2"/>
  <c r="R32" i="1"/>
  <c r="R31" i="1"/>
  <c r="R28" i="1"/>
  <c r="R30" i="1"/>
  <c r="R29" i="1"/>
  <c r="R24" i="1"/>
  <c r="N4" i="2"/>
  <c r="N14" i="2"/>
  <c r="C5" i="2"/>
  <c r="E50" i="1" l="1"/>
  <c r="R12" i="4"/>
  <c r="E47" i="1"/>
  <c r="R9" i="4"/>
  <c r="E49" i="1"/>
  <c r="E48" i="1"/>
  <c r="R6" i="4"/>
  <c r="E22" i="1"/>
  <c r="E23" i="1"/>
  <c r="O15" i="2"/>
  <c r="E30" i="1"/>
  <c r="E31" i="1"/>
  <c r="E29" i="1"/>
  <c r="E28" i="1"/>
  <c r="E32" i="1"/>
  <c r="E16" i="4"/>
  <c r="E24" i="1"/>
  <c r="O14" i="2"/>
  <c r="E10" i="4" l="1"/>
  <c r="E9" i="4"/>
  <c r="E12" i="4"/>
  <c r="E15" i="4"/>
  <c r="E13" i="4"/>
  <c r="E11" i="4"/>
  <c r="E14" i="4"/>
  <c r="M13" i="2"/>
  <c r="I13" i="2"/>
  <c r="D13" i="2"/>
  <c r="L13" i="2"/>
  <c r="H13" i="2"/>
  <c r="C13" i="2"/>
  <c r="G13" i="2"/>
  <c r="K13" i="2"/>
  <c r="F13" i="2"/>
  <c r="N13" i="2"/>
  <c r="J13" i="2"/>
  <c r="E13" i="2"/>
  <c r="O13" i="2"/>
  <c r="M9" i="2"/>
  <c r="O7" i="2"/>
  <c r="F11" i="2"/>
  <c r="D6" i="2"/>
  <c r="E11" i="2"/>
  <c r="J6" i="2"/>
  <c r="G11" i="2"/>
  <c r="H7" i="2"/>
  <c r="I7" i="2"/>
  <c r="E6" i="2"/>
  <c r="D9" i="2"/>
  <c r="E9" i="2"/>
  <c r="C9" i="2"/>
  <c r="N9" i="2"/>
  <c r="O9" i="2"/>
  <c r="M6" i="2"/>
  <c r="O6" i="2"/>
  <c r="N6" i="2"/>
  <c r="D11" i="2"/>
  <c r="I6" i="2"/>
  <c r="H9" i="2"/>
  <c r="F7" i="2"/>
  <c r="J9" i="2"/>
  <c r="K7" i="2"/>
  <c r="L7" i="2"/>
  <c r="C11" i="2"/>
  <c r="H6" i="2"/>
  <c r="N11" i="2"/>
  <c r="O11" i="2"/>
  <c r="N7" i="2"/>
  <c r="E7" i="2"/>
  <c r="L6" i="2"/>
  <c r="G7" i="2"/>
  <c r="H11" i="2"/>
  <c r="J7" i="2"/>
  <c r="G6" i="2"/>
  <c r="J11" i="2"/>
  <c r="K9" i="2"/>
  <c r="L9" i="2"/>
  <c r="L11" i="2"/>
  <c r="F9" i="2"/>
  <c r="D7" i="2"/>
  <c r="C6" i="2"/>
  <c r="I11" i="2"/>
  <c r="G9" i="2"/>
  <c r="I9" i="2"/>
  <c r="K6" i="2"/>
  <c r="M7" i="2"/>
  <c r="F6" i="2"/>
  <c r="K11" i="2"/>
  <c r="C7" i="2"/>
  <c r="M11" i="2"/>
  <c r="H8" i="2" l="1"/>
  <c r="N8" i="2"/>
  <c r="K8" i="2"/>
  <c r="J8" i="2"/>
  <c r="C8" i="2"/>
  <c r="D8" i="2"/>
  <c r="G8" i="2"/>
  <c r="M8" i="2"/>
  <c r="F8" i="2"/>
  <c r="E8" i="2"/>
  <c r="O8" i="2"/>
  <c r="I8" i="2"/>
  <c r="L8" i="2"/>
  <c r="O5" i="2"/>
  <c r="D5" i="2"/>
  <c r="E5" i="2"/>
  <c r="F5" i="2"/>
  <c r="G5" i="2"/>
  <c r="H5" i="2"/>
  <c r="I5" i="2"/>
  <c r="J5" i="2"/>
  <c r="K5" i="2"/>
  <c r="L5" i="2"/>
  <c r="M5" i="2"/>
  <c r="N5" i="2"/>
  <c r="D12" i="2"/>
  <c r="M12" i="2"/>
  <c r="G12" i="2"/>
  <c r="H12" i="2"/>
  <c r="E12" i="2"/>
  <c r="O12" i="2"/>
  <c r="L12" i="2"/>
  <c r="N12" i="2"/>
  <c r="I12" i="2"/>
  <c r="C12" i="2"/>
  <c r="J12" i="2"/>
  <c r="F12" i="2"/>
  <c r="K12" i="2"/>
  <c r="J10" i="2"/>
  <c r="O10" i="2"/>
  <c r="M10" i="2"/>
  <c r="I10" i="2"/>
  <c r="H10" i="2"/>
  <c r="N10" i="2"/>
  <c r="F10" i="2"/>
  <c r="G10" i="2"/>
  <c r="C10" i="2"/>
  <c r="D10" i="2"/>
  <c r="E10" i="2"/>
  <c r="L10" i="2"/>
  <c r="K10" i="2"/>
</calcChain>
</file>

<file path=xl/comments1.xml><?xml version="1.0" encoding="utf-8"?>
<comments xmlns="http://schemas.openxmlformats.org/spreadsheetml/2006/main">
  <authors>
    <author>ODOUX Jean (AREVA NP SAS)</author>
  </authors>
  <commentList>
    <comment ref="F2" authorId="0">
      <text>
        <r>
          <rPr>
            <b/>
            <sz val="8"/>
            <color indexed="81"/>
            <rFont val="Tahoma"/>
            <family val="2"/>
          </rPr>
          <t>To re-use this file, only change the dates from F2 to S2.
Write them following the 01/mm/yy template, and then formatting them into mmm-yy as done here</t>
        </r>
      </text>
    </comment>
  </commentList>
</comments>
</file>

<file path=xl/comments2.xml><?xml version="1.0" encoding="utf-8"?>
<comments xmlns="http://schemas.openxmlformats.org/spreadsheetml/2006/main">
  <authors>
    <author>ODOUX Jean (AREVA NP SAS)</author>
  </authors>
  <commentList>
    <comment ref="D1" authorId="0">
      <text>
        <r>
          <rPr>
            <b/>
            <sz val="8"/>
            <color indexed="81"/>
            <rFont val="Tahoma"/>
            <family val="2"/>
          </rPr>
          <t>Write in the cells besides all project
names</t>
        </r>
      </text>
    </comment>
  </commentList>
</comments>
</file>

<file path=xl/sharedStrings.xml><?xml version="1.0" encoding="utf-8"?>
<sst xmlns="http://schemas.openxmlformats.org/spreadsheetml/2006/main" count="220" uniqueCount="111">
  <si>
    <t>BU</t>
  </si>
  <si>
    <t>Project</t>
  </si>
  <si>
    <t>Milestone Name / short description</t>
  </si>
  <si>
    <t>Monthly update</t>
  </si>
  <si>
    <t>Completion date</t>
  </si>
  <si>
    <t>Initial Target</t>
  </si>
  <si>
    <t>Initial target</t>
  </si>
  <si>
    <t>Current target</t>
  </si>
  <si>
    <t>Met in advance</t>
  </si>
  <si>
    <t>Met just in time</t>
  </si>
  <si>
    <t>Met late</t>
  </si>
  <si>
    <t>Met</t>
  </si>
  <si>
    <t>Table1</t>
  </si>
  <si>
    <t>Postponed</t>
  </si>
  <si>
    <t>Late - cmltd</t>
  </si>
  <si>
    <t>In time - cmltd</t>
  </si>
  <si>
    <t>In advance - cmltd</t>
  </si>
  <si>
    <t>Target - cmltd</t>
  </si>
  <si>
    <t>Updated target - cmltd</t>
  </si>
  <si>
    <t>Late</t>
  </si>
  <si>
    <t>Start</t>
  </si>
  <si>
    <t>List of projects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</si>
  <si>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</si>
  <si>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</si>
  <si>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</si>
  <si>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</si>
  <si>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</si>
  <si>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</si>
  <si>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</si>
  <si>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</si>
  <si>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</si>
  <si>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</si>
  <si>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</si>
  <si>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</si>
  <si>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</si>
  <si>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</si>
  <si>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</si>
  <si>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</si>
  <si>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</si>
  <si>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</si>
  <si>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% on-time vs planned</t>
  </si>
  <si>
    <t>Milestone 1</t>
  </si>
  <si>
    <t>Milestone 2</t>
  </si>
  <si>
    <t>Milestone 3</t>
  </si>
  <si>
    <t>Milestone 4</t>
  </si>
  <si>
    <t>Milestone 5</t>
  </si>
  <si>
    <t>Milestone 6</t>
  </si>
  <si>
    <t>Milestone 7</t>
  </si>
  <si>
    <t>Milestone 8</t>
  </si>
  <si>
    <t>Milestone 9</t>
  </si>
  <si>
    <t>Milestone 10</t>
  </si>
  <si>
    <t>Milestone 11</t>
  </si>
  <si>
    <t>Milestone 12</t>
  </si>
  <si>
    <t>Milestone 13</t>
  </si>
  <si>
    <t>Milestone 14</t>
  </si>
  <si>
    <t>Milestone 15</t>
  </si>
  <si>
    <t>Milestone 16</t>
  </si>
  <si>
    <t>Milestone 17</t>
  </si>
  <si>
    <t>Milestone 18</t>
  </si>
  <si>
    <t>Milestone 19</t>
  </si>
  <si>
    <t>Milestone 20</t>
  </si>
  <si>
    <t>Milestone 21</t>
  </si>
  <si>
    <t>Milestone 22</t>
  </si>
  <si>
    <t>Milestone 23</t>
  </si>
  <si>
    <t>Milestone 24</t>
  </si>
  <si>
    <t>Milestone 25</t>
  </si>
  <si>
    <t>Milestone 26</t>
  </si>
  <si>
    <t>Milestone 27</t>
  </si>
  <si>
    <t>Milestone 28</t>
  </si>
  <si>
    <t>Milestone 29</t>
  </si>
  <si>
    <t>Milestone 30</t>
  </si>
  <si>
    <t>Milestone 31</t>
  </si>
  <si>
    <t>Milestone 32</t>
  </si>
  <si>
    <t>Milestone 33</t>
  </si>
  <si>
    <t>Milestone 34</t>
  </si>
  <si>
    <t>Milestone 35</t>
  </si>
  <si>
    <t>Milestone 36</t>
  </si>
  <si>
    <t>Milestone 37</t>
  </si>
  <si>
    <t>Milestone 38</t>
  </si>
  <si>
    <t>Milestone 39</t>
  </si>
  <si>
    <t>Milestone 40</t>
  </si>
  <si>
    <t>Milestone 41</t>
  </si>
  <si>
    <t>Milestone 42</t>
  </si>
  <si>
    <t>Milestone 43</t>
  </si>
  <si>
    <t>Milestone 44</t>
  </si>
  <si>
    <t>Milestone 45</t>
  </si>
  <si>
    <t>Milestone 46</t>
  </si>
  <si>
    <t>Milestone 47</t>
  </si>
  <si>
    <t>Milestone 48</t>
  </si>
  <si>
    <t>Milestone 49</t>
  </si>
  <si>
    <t>Milestone 50</t>
  </si>
  <si>
    <t>Milestone 51</t>
  </si>
  <si>
    <t>Milestone 52</t>
  </si>
  <si>
    <t>Milestone 53</t>
  </si>
  <si>
    <t>Milestone 54</t>
  </si>
  <si>
    <t>BU1</t>
  </si>
  <si>
    <t>BU2</t>
  </si>
  <si>
    <t>Project 1</t>
  </si>
  <si>
    <t>Project 2</t>
  </si>
  <si>
    <t>Project 3</t>
  </si>
  <si>
    <t>Project 4</t>
  </si>
  <si>
    <t>Project 5</t>
  </si>
  <si>
    <t>Project 6</t>
  </si>
  <si>
    <t>Project 7</t>
  </si>
  <si>
    <t>Project 8</t>
  </si>
  <si>
    <t>Project 9</t>
  </si>
  <si>
    <t>Project 10</t>
  </si>
  <si>
    <t>Project 11</t>
  </si>
  <si>
    <t>Project 12</t>
  </si>
  <si>
    <t>Project 13</t>
  </si>
  <si>
    <t>31/04/2013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</si>
</sst>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3">
    <numFmt numFmtId="164" formatCode="_(* #,##0.00_);_(* \(#,##0.00\);_(* &quot;-&quot;??_);_(@_)"/>
    <numFmt numFmtId="165" formatCode="&quot;$&quot;#,##0_);[Red]\(&quot;$&quot;#,##0\)"/>
    <numFmt numFmtId="166" formatCode="_(&quot;$&quot;* #,##0_);_(&quot;$&quot;* \(#,##0\);_(&quot;$&quot;* &quot;-&quot;_);_(@_)"/>
    <numFmt numFmtId="167" formatCode="_(* #,##0_);_(* \(#,##0\);_(* &quot;-&quot;_);_(@_)"/>
    <numFmt numFmtId="168" formatCode="_(&quot;$&quot;* #,##0.00_);_(&quot;$&quot;* \(#,##0.00\);_(&quot;$&quot;* &quot;-&quot;??_);_(@_)"/>
    <numFmt numFmtId="169" formatCode="_-* #,##0.00\ [$€-1]_-;\-* #,##0.00\ [$€-1]_-;_-* &quot;-&quot;??\ [$€-1]_-"/>
    <numFmt numFmtId="170" formatCode="\$#,##0.00;[Red]\-\$#,##0.00"/>
    <numFmt numFmtId="171" formatCode="0.00_)"/>
    <numFmt numFmtId="172" formatCode="_-* #,##0\ _D_M_-;\-* #,##0\ _D_M_-;_-* &quot;-&quot;\ _D_M_-;_-@_-"/>
    <numFmt numFmtId="173" formatCode="dd\ mmm\ yy"/>
    <numFmt numFmtId="174" formatCode="_-* #,##0.00\ &quot;F&quot;_-;\-* #,##0.00\ &quot;F&quot;_-;_-* &quot;-&quot;??\ &quot;F&quot;_-;_-@_-"/>
    <numFmt numFmtId="175" formatCode="#,##0\ &quot;Euro&quot;\ \ ;[Red]\-#,##0\ &quot;Euro&quot;\ \ "/>
    <numFmt numFmtId="176" formatCode="#,##0.00\ \€\ \ ;[Red]\-#,##0.00\ \€\ \ "/>
    <numFmt numFmtId="177" formatCode="#,##0\ \€\ \ ;[Red]\-#,##0\ \€\ \ "/>
    <numFmt numFmtId="178" formatCode="ddd"/>
    <numFmt numFmtId="179" formatCode="[Red]&quot;Too long&quot;;[Red]&quot;Mandatory field&quot;;&quot;OK&quot;"/>
    <numFmt numFmtId="180" formatCode="0%\ \ "/>
    <numFmt numFmtId="181" formatCode="#,##0.00\ &quot;DM&quot;\ \ ;[Red]\-#,##0.00\ &quot;DM&quot;\ \ ;"/>
    <numFmt numFmtId="182" formatCode="_(&quot;R$&quot;* #,##0_);_(&quot;R$&quot;* \(#,##0\);_(&quot;R$&quot;* &quot;-&quot;_);_(@_)"/>
    <numFmt numFmtId="183" formatCode="_(&quot;R$&quot;* #,##0.00_);_(&quot;R$&quot;* \(#,##0.00\);_(&quot;R$&quot;* &quot;-&quot;??_);_(@_)"/>
    <numFmt numFmtId="184" formatCode="[$-409]mmm\-yy;@"/>
    <numFmt numFmtId="185" formatCode="dd/mm/yy;@"/>
    <numFmt numFmtId="186" formatCode="d/m/yy;@"/>
  </numFmts>
  <fonts count="76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u/>
      <sz val="10"/>
      <color indexed="12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0"/>
      <color indexed="9"/>
      <name val="Arial"/>
      <family val="2"/>
    </font>
    <font>
      <sz val="11"/>
      <color indexed="10"/>
      <name val="Calibri"/>
      <family val="2"/>
    </font>
    <font>
      <sz val="11"/>
      <color indexed="16"/>
      <name val="Calibri"/>
      <family val="2"/>
    </font>
    <font>
      <b/>
      <sz val="11"/>
      <color indexed="52"/>
      <name val="Calibri"/>
      <family val="2"/>
    </font>
    <font>
      <b/>
      <sz val="11"/>
      <color indexed="53"/>
      <name val="Calibri"/>
      <family val="2"/>
    </font>
    <font>
      <b/>
      <sz val="10"/>
      <name val="Helv"/>
    </font>
    <font>
      <sz val="11"/>
      <color indexed="52"/>
      <name val="Calibri"/>
      <family val="2"/>
    </font>
    <font>
      <sz val="12"/>
      <color indexed="18"/>
      <name val="Arial"/>
      <family val="2"/>
    </font>
    <font>
      <b/>
      <sz val="11"/>
      <color indexed="9"/>
      <name val="Calibri"/>
      <family val="2"/>
    </font>
    <font>
      <sz val="10"/>
      <name val="Times New Roman"/>
      <family val="1"/>
    </font>
    <font>
      <sz val="10"/>
      <name val="Arial"/>
      <family val="2"/>
    </font>
    <font>
      <b/>
      <sz val="12"/>
      <name val="Avalon"/>
    </font>
    <font>
      <b/>
      <sz val="11"/>
      <name val="Arial"/>
      <family val="2"/>
    </font>
    <font>
      <b/>
      <sz val="11"/>
      <color indexed="8"/>
      <name val="Calibri"/>
      <family val="2"/>
    </font>
    <font>
      <sz val="11"/>
      <color indexed="62"/>
      <name val="Calibri"/>
      <family val="2"/>
    </font>
    <font>
      <i/>
      <sz val="10"/>
      <color indexed="23"/>
      <name val="Arial"/>
      <family val="2"/>
    </font>
    <font>
      <sz val="11"/>
      <color indexed="17"/>
      <name val="Calibri"/>
      <family val="2"/>
    </font>
    <font>
      <b/>
      <sz val="12"/>
      <name val="Helv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5"/>
      <name val="Avalon"/>
    </font>
    <font>
      <sz val="11"/>
      <color indexed="48"/>
      <name val="Calibri"/>
      <family val="2"/>
    </font>
    <font>
      <sz val="11"/>
      <color indexed="20"/>
      <name val="Calibri"/>
      <family val="2"/>
    </font>
    <font>
      <sz val="11"/>
      <color indexed="53"/>
      <name val="Calibri"/>
      <family val="2"/>
    </font>
    <font>
      <b/>
      <sz val="11"/>
      <name val="Helv"/>
    </font>
    <font>
      <b/>
      <sz val="14"/>
      <name val="Avalon"/>
    </font>
    <font>
      <sz val="11"/>
      <color indexed="60"/>
      <name val="Calibri"/>
      <family val="2"/>
    </font>
    <font>
      <b/>
      <i/>
      <sz val="16"/>
      <name val="Helv"/>
    </font>
    <font>
      <b/>
      <sz val="11"/>
      <color indexed="63"/>
      <name val="Calibri"/>
      <family val="2"/>
    </font>
    <font>
      <b/>
      <sz val="10"/>
      <color indexed="39"/>
      <name val="Arial"/>
      <family val="2"/>
    </font>
    <font>
      <b/>
      <sz val="12"/>
      <color indexed="8"/>
      <name val="Arial"/>
      <family val="2"/>
    </font>
    <font>
      <sz val="10"/>
      <color indexed="39"/>
      <name val="Arial"/>
      <family val="2"/>
    </font>
    <font>
      <sz val="19"/>
      <color indexed="48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0"/>
      <name val="Courier"/>
      <family val="3"/>
    </font>
    <font>
      <sz val="7"/>
      <name val="Avalon"/>
    </font>
    <font>
      <sz val="7"/>
      <name val="Frutiger"/>
    </font>
    <font>
      <sz val="10"/>
      <name val="Helv"/>
    </font>
    <font>
      <sz val="10"/>
      <name val="Geneva"/>
    </font>
    <font>
      <b/>
      <sz val="10"/>
      <color theme="0"/>
      <name val="Arial"/>
      <family val="2"/>
    </font>
    <font>
      <b/>
      <sz val="9"/>
      <color theme="0"/>
      <name val="Arial"/>
      <family val="2"/>
    </font>
    <font>
      <i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sz val="8"/>
      <color indexed="81"/>
      <name val="Tahoma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Arial"/>
      <family val="2"/>
    </font>
    <font>
      <sz val="10"/>
      <name val="Times New Roman"/>
      <family val="1"/>
    </font>
    <font>
      <b/>
      <sz val="11"/>
      <name val="Arial"/>
      <family val="2"/>
    </font>
    <font>
      <b/>
      <sz val="12"/>
      <color indexed="8"/>
      <name val="Arial"/>
      <family val="2"/>
    </font>
    <font>
      <sz val="19"/>
      <color indexed="48"/>
      <name val="Arial"/>
      <family val="2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 tint="-0.14999847407452621"/>
      <name val="Calibri"/>
      <family val="2"/>
      <scheme val="minor"/>
    </font>
    <font>
      <sz val="9"/>
      <color theme="0" tint="-0.14999847407452621"/>
      <name val="Calibri"/>
      <family val="2"/>
      <scheme val="minor"/>
    </font>
  </fonts>
  <fills count="5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0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4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54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4"/>
        <bgColor indexed="24"/>
      </patternFill>
    </fill>
    <fill>
      <patternFill patternType="solid">
        <fgColor indexed="10"/>
      </patternFill>
    </fill>
    <fill>
      <patternFill patternType="solid">
        <fgColor indexed="15"/>
        <bgColor indexed="15"/>
      </patternFill>
    </fill>
    <fill>
      <patternFill patternType="solid">
        <fgColor indexed="45"/>
        <bgColor indexed="45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40"/>
        <bgColor indexed="40"/>
      </patternFill>
    </fill>
    <fill>
      <patternFill patternType="solid">
        <fgColor indexed="22"/>
        <bgColor indexed="22"/>
      </patternFill>
    </fill>
    <fill>
      <patternFill patternType="solid">
        <f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57"/>
      </patternFill>
    </fill>
    <fill>
      <patternFill patternType="solid">
        <fgColor indexed="42"/>
        <bgColor indexed="42"/>
      </patternFill>
    </fill>
    <fill>
      <patternFill patternType="solid">
        <fgColor indexed="9"/>
        <bgColor indexed="64"/>
      </patternFill>
    </fill>
    <fill>
      <patternFill patternType="gray0625"/>
    </fill>
    <fill>
      <patternFill patternType="solid">
        <fgColor indexed="43"/>
        <bgColor indexed="64"/>
      </patternFill>
    </fill>
    <fill>
      <patternFill patternType="solid">
        <fgColor indexed="43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15"/>
      </patternFill>
    </fill>
    <fill>
      <patternFill patternType="solid">
        <fgColor indexed="55"/>
      </patternFill>
    </fill>
    <fill>
      <patternFill patternType="solid">
        <fgColor theme="4"/>
        <bgColor theme="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3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ck">
        <color indexed="10"/>
      </top>
      <bottom/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2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3"/>
      </bottom>
      <diagonal/>
    </border>
    <border>
      <left/>
      <right/>
      <top/>
      <bottom style="medium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theme="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30">
    <xf numFmtId="0" fontId="0" fillId="0" borderId="0"/>
    <xf numFmtId="0" fontId="1" fillId="0" borderId="0"/>
    <xf numFmtId="0" fontId="4" fillId="0" borderId="0"/>
    <xf numFmtId="0" fontId="9" fillId="0" borderId="0">
      <alignment vertical="top"/>
    </xf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3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3" borderId="0" applyNumberFormat="0" applyBorder="0" applyAlignment="0" applyProtection="0"/>
    <xf numFmtId="0" fontId="10" fillId="5" borderId="0" applyNumberFormat="0" applyBorder="0" applyAlignment="0" applyProtection="0"/>
    <xf numFmtId="0" fontId="10" fillId="12" borderId="0" applyNumberFormat="0" applyBorder="0" applyAlignment="0" applyProtection="0"/>
    <xf numFmtId="0" fontId="10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9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5" borderId="0" applyNumberFormat="0" applyBorder="0" applyAlignment="0" applyProtection="0"/>
    <xf numFmtId="0" fontId="8" fillId="7" borderId="0" applyNumberFormat="0" applyBorder="0" applyAlignment="0" applyProtection="0"/>
    <xf numFmtId="0" fontId="11" fillId="18" borderId="0" applyNumberFormat="0" applyBorder="0" applyAlignment="0" applyProtection="0"/>
    <xf numFmtId="0" fontId="11" fillId="9" borderId="0" applyNumberFormat="0" applyBorder="0" applyAlignment="0" applyProtection="0"/>
    <xf numFmtId="0" fontId="11" fillId="13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1" borderId="0" applyNumberFormat="0" applyBorder="0" applyAlignment="0" applyProtection="0"/>
    <xf numFmtId="0" fontId="12" fillId="15" borderId="0" applyNumberFormat="0" applyBorder="0" applyAlignment="0" applyProtection="0"/>
    <xf numFmtId="0" fontId="12" fillId="9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5" borderId="0" applyNumberFormat="0" applyBorder="0" applyAlignment="0" applyProtection="0"/>
    <xf numFmtId="0" fontId="12" fillId="7" borderId="0" applyNumberFormat="0" applyBorder="0" applyAlignment="0" applyProtection="0"/>
    <xf numFmtId="0" fontId="11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1" fillId="25" borderId="0" applyNumberFormat="0" applyBorder="0" applyAlignment="0" applyProtection="0"/>
    <xf numFmtId="0" fontId="11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1" fillId="29" borderId="0" applyNumberFormat="0" applyBorder="0" applyAlignment="0" applyProtection="0"/>
    <xf numFmtId="0" fontId="11" fillId="16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19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33" borderId="0" applyNumberFormat="0" applyBorder="0" applyAlignment="0" applyProtection="0"/>
    <xf numFmtId="0" fontId="10" fillId="34" borderId="0" applyNumberFormat="0" applyBorder="0" applyAlignment="0" applyProtection="0"/>
    <xf numFmtId="0" fontId="10" fillId="28" borderId="0" applyNumberFormat="0" applyBorder="0" applyAlignment="0" applyProtection="0"/>
    <xf numFmtId="0" fontId="11" fillId="35" borderId="0" applyNumberFormat="0" applyBorder="0" applyAlignment="0" applyProtection="0"/>
    <xf numFmtId="0" fontId="13" fillId="0" borderId="0" applyNumberFormat="0" applyFill="0" applyBorder="0" applyAlignment="0" applyProtection="0"/>
    <xf numFmtId="0" fontId="14" fillId="28" borderId="0" applyNumberFormat="0" applyBorder="0" applyAlignment="0" applyProtection="0"/>
    <xf numFmtId="0" fontId="15" fillId="17" borderId="1" applyNumberFormat="0" applyAlignment="0" applyProtection="0"/>
    <xf numFmtId="0" fontId="16" fillId="36" borderId="1" applyNumberFormat="0" applyAlignment="0" applyProtection="0"/>
    <xf numFmtId="0" fontId="17" fillId="0" borderId="0"/>
    <xf numFmtId="0" fontId="18" fillId="0" borderId="2" applyNumberFormat="0" applyFill="0" applyAlignment="0" applyProtection="0"/>
    <xf numFmtId="0" fontId="19" fillId="0" borderId="0" applyNumberFormat="0"/>
    <xf numFmtId="0" fontId="20" fillId="29" borderId="3" applyNumberFormat="0" applyAlignment="0" applyProtection="0"/>
    <xf numFmtId="38" fontId="56" fillId="0" borderId="0" applyFill="0" applyBorder="0" applyAlignment="0" applyProtection="0"/>
    <xf numFmtId="164" fontId="1" fillId="0" borderId="0" applyFont="0" applyFill="0" applyBorder="0" applyAlignment="0" applyProtection="0"/>
    <xf numFmtId="0" fontId="10" fillId="10" borderId="4" applyNumberFormat="0" applyFont="0" applyAlignment="0" applyProtection="0"/>
    <xf numFmtId="170" fontId="21" fillId="0" borderId="0">
      <alignment horizontal="center"/>
    </xf>
    <xf numFmtId="165" fontId="57" fillId="0" borderId="0" applyFont="0" applyFill="0" applyBorder="0" applyAlignment="0" applyProtection="0"/>
    <xf numFmtId="174" fontId="1" fillId="0" borderId="0" applyFont="0" applyFill="0" applyBorder="0" applyAlignment="0" applyProtection="0"/>
    <xf numFmtId="173" fontId="22" fillId="0" borderId="0" applyFont="0" applyFill="0" applyBorder="0" applyAlignment="0" applyProtection="0">
      <alignment vertical="center"/>
    </xf>
    <xf numFmtId="14" fontId="22" fillId="0" borderId="0" applyFont="0" applyFill="0" applyBorder="0" applyProtection="0">
      <alignment horizontal="right" vertical="center"/>
    </xf>
    <xf numFmtId="0" fontId="23" fillId="1" borderId="0" applyFill="0">
      <alignment horizontal="center"/>
    </xf>
    <xf numFmtId="172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24" fillId="0" borderId="5" applyNumberFormat="0" applyFont="0" applyAlignment="0">
      <alignment horizontal="left"/>
    </xf>
    <xf numFmtId="0" fontId="25" fillId="37" borderId="0" applyNumberFormat="0" applyBorder="0" applyAlignment="0" applyProtection="0"/>
    <xf numFmtId="0" fontId="25" fillId="38" borderId="0" applyNumberFormat="0" applyBorder="0" applyAlignment="0" applyProtection="0"/>
    <xf numFmtId="0" fontId="25" fillId="39" borderId="0" applyNumberFormat="0" applyBorder="0" applyAlignment="0" applyProtection="0"/>
    <xf numFmtId="0" fontId="26" fillId="7" borderId="1" applyNumberFormat="0" applyAlignment="0" applyProtection="0"/>
    <xf numFmtId="169" fontId="1" fillId="0" borderId="0" applyFont="0" applyFill="0" applyBorder="0" applyAlignment="0" applyProtection="0"/>
    <xf numFmtId="175" fontId="4" fillId="0" borderId="0" applyFont="0" applyFill="0" applyBorder="0" applyAlignment="0" applyProtection="0"/>
    <xf numFmtId="176" fontId="4" fillId="0" borderId="0">
      <alignment vertical="center" wrapText="1"/>
      <protection locked="0"/>
    </xf>
    <xf numFmtId="177" fontId="4" fillId="0" borderId="0">
      <alignment vertical="center" wrapText="1"/>
      <protection locked="0"/>
    </xf>
    <xf numFmtId="176" fontId="1" fillId="0" borderId="0">
      <alignment vertical="center" wrapText="1"/>
      <protection locked="0"/>
    </xf>
    <xf numFmtId="169" fontId="4" fillId="0" borderId="0" applyFont="0" applyFill="0" applyBorder="0" applyAlignment="0" applyProtection="0"/>
    <xf numFmtId="0" fontId="27" fillId="0" borderId="0" applyNumberFormat="0" applyFill="0" applyBorder="0" applyAlignment="0" applyProtection="0"/>
    <xf numFmtId="0" fontId="28" fillId="40" borderId="0" applyNumberFormat="0" applyBorder="0" applyAlignment="0" applyProtection="0"/>
    <xf numFmtId="38" fontId="2" fillId="41" borderId="0" applyNumberFormat="0" applyBorder="0" applyAlignment="0" applyProtection="0"/>
    <xf numFmtId="0" fontId="29" fillId="0" borderId="0">
      <alignment horizontal="left"/>
    </xf>
    <xf numFmtId="0" fontId="30" fillId="0" borderId="6" applyNumberFormat="0" applyFill="0" applyAlignment="0" applyProtection="0"/>
    <xf numFmtId="0" fontId="31" fillId="0" borderId="7" applyNumberFormat="0" applyFill="0" applyAlignment="0" applyProtection="0"/>
    <xf numFmtId="0" fontId="32" fillId="0" borderId="8" applyNumberFormat="0" applyFill="0" applyAlignment="0" applyProtection="0"/>
    <xf numFmtId="0" fontId="32" fillId="0" borderId="0" applyNumberFormat="0" applyFill="0" applyBorder="0" applyAlignment="0" applyProtection="0"/>
    <xf numFmtId="178" fontId="33" fillId="42" borderId="9">
      <alignment horizontal="left" vertical="top" textRotation="90"/>
    </xf>
    <xf numFmtId="0" fontId="7" fillId="0" borderId="0" applyNumberFormat="0" applyFill="0" applyBorder="0" applyAlignment="0" applyProtection="0">
      <alignment vertical="top"/>
      <protection locked="0"/>
    </xf>
    <xf numFmtId="0" fontId="34" fillId="35" borderId="1" applyNumberFormat="0" applyAlignment="0" applyProtection="0"/>
    <xf numFmtId="10" fontId="2" fillId="41" borderId="10" applyNumberFormat="0" applyBorder="0" applyAlignment="0" applyProtection="0"/>
    <xf numFmtId="0" fontId="35" fillId="3" borderId="0" applyNumberFormat="0" applyBorder="0" applyAlignment="0" applyProtection="0"/>
    <xf numFmtId="3" fontId="22" fillId="0" borderId="0" applyFont="0" applyFill="0" applyBorder="0" applyAlignment="0" applyProtection="0">
      <alignment vertical="center"/>
    </xf>
    <xf numFmtId="0" fontId="36" fillId="0" borderId="11" applyNumberFormat="0" applyFill="0" applyAlignment="0" applyProtection="0"/>
    <xf numFmtId="179" fontId="3" fillId="43" borderId="10" applyFont="0" applyFill="0" applyBorder="0" applyAlignment="0">
      <alignment horizontal="centerContinuous"/>
    </xf>
    <xf numFmtId="175" fontId="4" fillId="0" borderId="0" applyFont="0" applyFill="0" applyBorder="0" applyAlignment="0" applyProtection="0"/>
    <xf numFmtId="175" fontId="4" fillId="0" borderId="0" applyFont="0" applyFill="0" applyBorder="0" applyAlignment="0" applyProtection="0"/>
    <xf numFmtId="0" fontId="37" fillId="0" borderId="12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38" fillId="1" borderId="0" applyFill="0">
      <alignment horizontal="center" vertical="center" textRotation="90"/>
    </xf>
    <xf numFmtId="0" fontId="39" fillId="35" borderId="0" applyNumberFormat="0" applyBorder="0" applyAlignment="0" applyProtection="0"/>
    <xf numFmtId="0" fontId="39" fillId="44" borderId="0" applyNumberFormat="0" applyBorder="0" applyAlignment="0" applyProtection="0"/>
    <xf numFmtId="171" fontId="4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34" borderId="4" applyNumberFormat="0" applyFont="0" applyAlignment="0" applyProtection="0"/>
    <xf numFmtId="0" fontId="41" fillId="36" borderId="13" applyNumberFormat="0" applyAlignment="0" applyProtection="0"/>
    <xf numFmtId="10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4" fontId="6" fillId="44" borderId="14" applyNumberFormat="0" applyProtection="0">
      <alignment vertical="center"/>
    </xf>
    <xf numFmtId="4" fontId="42" fillId="44" borderId="14" applyNumberFormat="0" applyProtection="0">
      <alignment vertical="center"/>
    </xf>
    <xf numFmtId="4" fontId="6" fillId="44" borderId="14" applyNumberFormat="0" applyProtection="0">
      <alignment horizontal="left" vertical="center" indent="1"/>
    </xf>
    <xf numFmtId="0" fontId="6" fillId="44" borderId="14" applyNumberFormat="0" applyProtection="0">
      <alignment horizontal="left" vertical="top" indent="1"/>
    </xf>
    <xf numFmtId="4" fontId="6" fillId="8" borderId="0" applyNumberFormat="0" applyProtection="0">
      <alignment horizontal="left" vertical="center" indent="1"/>
    </xf>
    <xf numFmtId="4" fontId="8" fillId="3" borderId="14" applyNumberFormat="0" applyProtection="0">
      <alignment horizontal="right" vertical="center"/>
    </xf>
    <xf numFmtId="4" fontId="8" fillId="9" borderId="14" applyNumberFormat="0" applyProtection="0">
      <alignment horizontal="right" vertical="center"/>
    </xf>
    <xf numFmtId="4" fontId="8" fillId="26" borderId="14" applyNumberFormat="0" applyProtection="0">
      <alignment horizontal="right" vertical="center"/>
    </xf>
    <xf numFmtId="4" fontId="8" fillId="14" borderId="14" applyNumberFormat="0" applyProtection="0">
      <alignment horizontal="right" vertical="center"/>
    </xf>
    <xf numFmtId="4" fontId="8" fillId="21" borderId="14" applyNumberFormat="0" applyProtection="0">
      <alignment horizontal="right" vertical="center"/>
    </xf>
    <xf numFmtId="4" fontId="8" fillId="33" borderId="14" applyNumberFormat="0" applyProtection="0">
      <alignment horizontal="right" vertical="center"/>
    </xf>
    <xf numFmtId="4" fontId="8" fillId="16" borderId="14" applyNumberFormat="0" applyProtection="0">
      <alignment horizontal="right" vertical="center"/>
    </xf>
    <xf numFmtId="4" fontId="8" fillId="45" borderId="14" applyNumberFormat="0" applyProtection="0">
      <alignment horizontal="right" vertical="center"/>
    </xf>
    <xf numFmtId="4" fontId="8" fillId="13" borderId="14" applyNumberFormat="0" applyProtection="0">
      <alignment horizontal="right" vertical="center"/>
    </xf>
    <xf numFmtId="4" fontId="6" fillId="46" borderId="15" applyNumberFormat="0" applyProtection="0">
      <alignment horizontal="left" vertical="center" indent="1"/>
    </xf>
    <xf numFmtId="4" fontId="8" fillId="47" borderId="0" applyNumberFormat="0" applyProtection="0">
      <alignment horizontal="left" vertical="center" indent="1"/>
    </xf>
    <xf numFmtId="4" fontId="43" fillId="15" borderId="0" applyNumberFormat="0" applyProtection="0">
      <alignment horizontal="left" vertical="center" indent="1"/>
    </xf>
    <xf numFmtId="4" fontId="8" fillId="8" borderId="14" applyNumberFormat="0" applyProtection="0">
      <alignment horizontal="right" vertical="center"/>
    </xf>
    <xf numFmtId="4" fontId="5" fillId="47" borderId="0" applyNumberFormat="0" applyProtection="0">
      <alignment horizontal="left" vertical="center" indent="1"/>
    </xf>
    <xf numFmtId="4" fontId="5" fillId="8" borderId="0" applyNumberFormat="0" applyProtection="0">
      <alignment horizontal="left" vertical="center" indent="1"/>
    </xf>
    <xf numFmtId="0" fontId="1" fillId="15" borderId="14" applyNumberFormat="0" applyProtection="0">
      <alignment horizontal="left" vertical="center" indent="1"/>
    </xf>
    <xf numFmtId="0" fontId="1" fillId="15" borderId="14" applyNumberFormat="0" applyProtection="0">
      <alignment horizontal="left" vertical="top" indent="1"/>
    </xf>
    <xf numFmtId="0" fontId="1" fillId="8" borderId="14" applyNumberFormat="0" applyProtection="0">
      <alignment horizontal="left" vertical="center" indent="1"/>
    </xf>
    <xf numFmtId="0" fontId="1" fillId="8" borderId="14" applyNumberFormat="0" applyProtection="0">
      <alignment horizontal="left" vertical="top" indent="1"/>
    </xf>
    <xf numFmtId="0" fontId="1" fillId="12" borderId="14" applyNumberFormat="0" applyProtection="0">
      <alignment horizontal="left" vertical="center" indent="1"/>
    </xf>
    <xf numFmtId="0" fontId="1" fillId="12" borderId="14" applyNumberFormat="0" applyProtection="0">
      <alignment horizontal="left" vertical="top" indent="1"/>
    </xf>
    <xf numFmtId="0" fontId="1" fillId="47" borderId="14" applyNumberFormat="0" applyProtection="0">
      <alignment horizontal="left" vertical="center" indent="1"/>
    </xf>
    <xf numFmtId="0" fontId="1" fillId="47" borderId="14" applyNumberFormat="0" applyProtection="0">
      <alignment horizontal="left" vertical="top" indent="1"/>
    </xf>
    <xf numFmtId="0" fontId="1" fillId="11" borderId="10" applyNumberFormat="0">
      <protection locked="0"/>
    </xf>
    <xf numFmtId="4" fontId="8" fillId="10" borderId="14" applyNumberFormat="0" applyProtection="0">
      <alignment vertical="center"/>
    </xf>
    <xf numFmtId="4" fontId="44" fillId="10" borderId="14" applyNumberFormat="0" applyProtection="0">
      <alignment vertical="center"/>
    </xf>
    <xf numFmtId="4" fontId="8" fillId="10" borderId="14" applyNumberFormat="0" applyProtection="0">
      <alignment horizontal="left" vertical="center" indent="1"/>
    </xf>
    <xf numFmtId="0" fontId="8" fillId="10" borderId="14" applyNumberFormat="0" applyProtection="0">
      <alignment horizontal="left" vertical="top" indent="1"/>
    </xf>
    <xf numFmtId="4" fontId="8" fillId="47" borderId="14" applyNumberFormat="0" applyProtection="0">
      <alignment horizontal="right" vertical="center"/>
    </xf>
    <xf numFmtId="4" fontId="44" fillId="47" borderId="14" applyNumberFormat="0" applyProtection="0">
      <alignment horizontal="right" vertical="center"/>
    </xf>
    <xf numFmtId="4" fontId="8" fillId="8" borderId="14" applyNumberFormat="0" applyProtection="0">
      <alignment horizontal="left" vertical="center" indent="1"/>
    </xf>
    <xf numFmtId="0" fontId="8" fillId="8" borderId="14" applyNumberFormat="0" applyProtection="0">
      <alignment horizontal="left" vertical="top" indent="1"/>
    </xf>
    <xf numFmtId="4" fontId="45" fillId="48" borderId="0" applyNumberFormat="0" applyProtection="0">
      <alignment horizontal="left" vertical="center" indent="1"/>
    </xf>
    <xf numFmtId="4" fontId="46" fillId="47" borderId="14" applyNumberFormat="0" applyProtection="0">
      <alignment horizontal="right" vertical="center"/>
    </xf>
    <xf numFmtId="0" fontId="28" fillId="4" borderId="0" applyNumberFormat="0" applyBorder="0" applyAlignment="0" applyProtection="0"/>
    <xf numFmtId="167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7" fillId="0" borderId="0" applyNumberFormat="0" applyFill="0" applyBorder="0" applyAlignment="0" applyProtection="0"/>
    <xf numFmtId="0" fontId="41" fillId="17" borderId="13" applyNumberFormat="0" applyAlignment="0" applyProtection="0"/>
    <xf numFmtId="0" fontId="1" fillId="0" borderId="0"/>
    <xf numFmtId="0" fontId="8" fillId="0" borderId="0">
      <alignment vertical="top"/>
    </xf>
    <xf numFmtId="0" fontId="37" fillId="0" borderId="0"/>
    <xf numFmtId="49" fontId="22" fillId="0" borderId="0">
      <alignment horizontal="right"/>
    </xf>
    <xf numFmtId="0" fontId="48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50" fillId="0" borderId="16" applyNumberFormat="0" applyFill="0" applyAlignment="0" applyProtection="0"/>
    <xf numFmtId="0" fontId="51" fillId="0" borderId="7" applyNumberFormat="0" applyFill="0" applyAlignment="0" applyProtection="0"/>
    <xf numFmtId="0" fontId="52" fillId="0" borderId="17" applyNumberFormat="0" applyFill="0" applyAlignment="0" applyProtection="0"/>
    <xf numFmtId="0" fontId="52" fillId="0" borderId="0" applyNumberFormat="0" applyFill="0" applyBorder="0" applyAlignment="0" applyProtection="0"/>
    <xf numFmtId="0" fontId="25" fillId="0" borderId="18" applyNumberFormat="0" applyFill="0" applyAlignment="0" applyProtection="0"/>
    <xf numFmtId="0" fontId="53" fillId="0" borderId="0"/>
    <xf numFmtId="0" fontId="20" fillId="49" borderId="3" applyNumberFormat="0" applyAlignment="0" applyProtection="0"/>
    <xf numFmtId="166" fontId="4" fillId="0" borderId="0" applyFont="0" applyFill="0" applyBorder="0" applyAlignment="0" applyProtection="0"/>
    <xf numFmtId="181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0" fontId="13" fillId="0" borderId="0" applyNumberFormat="0" applyFill="0" applyBorder="0" applyAlignment="0" applyProtection="0"/>
    <xf numFmtId="178" fontId="54" fillId="0" borderId="9">
      <alignment horizontal="left" vertical="top"/>
    </xf>
    <xf numFmtId="178" fontId="55" fillId="42" borderId="9">
      <alignment horizontal="left" vertical="top"/>
    </xf>
    <xf numFmtId="9" fontId="64" fillId="0" borderId="0" applyFont="0" applyFill="0" applyBorder="0" applyAlignment="0" applyProtection="0"/>
    <xf numFmtId="0" fontId="4" fillId="0" borderId="0"/>
    <xf numFmtId="0" fontId="8" fillId="0" borderId="0">
      <alignment vertical="top"/>
    </xf>
    <xf numFmtId="169" fontId="4" fillId="0" borderId="0" applyFont="0" applyFill="0" applyBorder="0" applyAlignment="0" applyProtection="0"/>
    <xf numFmtId="170" fontId="68" fillId="0" borderId="0">
      <alignment horizontal="center"/>
    </xf>
    <xf numFmtId="173" fontId="4" fillId="0" borderId="0" applyFont="0" applyFill="0" applyBorder="0" applyAlignment="0" applyProtection="0">
      <alignment vertical="center"/>
    </xf>
    <xf numFmtId="14" fontId="4" fillId="0" borderId="0" applyFont="0" applyFill="0" applyBorder="0" applyProtection="0">
      <alignment horizontal="right" vertical="center"/>
    </xf>
    <xf numFmtId="0" fontId="69" fillId="0" borderId="5" applyNumberFormat="0" applyFont="0" applyAlignment="0">
      <alignment horizontal="left"/>
    </xf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38" fontId="67" fillId="41" borderId="0" applyNumberFormat="0" applyBorder="0" applyAlignment="0" applyProtection="0"/>
    <xf numFmtId="10" fontId="67" fillId="41" borderId="10" applyNumberFormat="0" applyBorder="0" applyAlignment="0" applyProtection="0"/>
    <xf numFmtId="3" fontId="4" fillId="0" borderId="0" applyFont="0" applyFill="0" applyBorder="0" applyAlignment="0" applyProtection="0">
      <alignment vertical="center"/>
    </xf>
    <xf numFmtId="0" fontId="4" fillId="34" borderId="4" applyNumberFormat="0" applyFont="0" applyAlignment="0" applyProtection="0"/>
    <xf numFmtId="10" fontId="4" fillId="0" borderId="0" applyFont="0" applyFill="0" applyBorder="0" applyAlignment="0" applyProtection="0"/>
    <xf numFmtId="4" fontId="70" fillId="15" borderId="0" applyNumberFormat="0" applyProtection="0">
      <alignment horizontal="left" vertical="center" indent="1"/>
    </xf>
    <xf numFmtId="4" fontId="8" fillId="47" borderId="0" applyNumberFormat="0" applyProtection="0">
      <alignment horizontal="left" vertical="center" indent="1"/>
    </xf>
    <xf numFmtId="4" fontId="8" fillId="8" borderId="0" applyNumberFormat="0" applyProtection="0">
      <alignment horizontal="left" vertical="center" indent="1"/>
    </xf>
    <xf numFmtId="0" fontId="4" fillId="15" borderId="14" applyNumberFormat="0" applyProtection="0">
      <alignment horizontal="left" vertical="center" indent="1"/>
    </xf>
    <xf numFmtId="0" fontId="4" fillId="15" borderId="14" applyNumberFormat="0" applyProtection="0">
      <alignment horizontal="left" vertical="top" indent="1"/>
    </xf>
    <xf numFmtId="0" fontId="4" fillId="8" borderId="14" applyNumberFormat="0" applyProtection="0">
      <alignment horizontal="left" vertical="center" indent="1"/>
    </xf>
    <xf numFmtId="0" fontId="4" fillId="8" borderId="14" applyNumberFormat="0" applyProtection="0">
      <alignment horizontal="left" vertical="top" indent="1"/>
    </xf>
    <xf numFmtId="0" fontId="4" fillId="12" borderId="14" applyNumberFormat="0" applyProtection="0">
      <alignment horizontal="left" vertical="center" indent="1"/>
    </xf>
    <xf numFmtId="0" fontId="4" fillId="12" borderId="14" applyNumberFormat="0" applyProtection="0">
      <alignment horizontal="left" vertical="top" indent="1"/>
    </xf>
    <xf numFmtId="0" fontId="4" fillId="47" borderId="14" applyNumberFormat="0" applyProtection="0">
      <alignment horizontal="left" vertical="center" indent="1"/>
    </xf>
    <xf numFmtId="0" fontId="4" fillId="47" borderId="14" applyNumberFormat="0" applyProtection="0">
      <alignment horizontal="left" vertical="top" indent="1"/>
    </xf>
    <xf numFmtId="0" fontId="4" fillId="11" borderId="10" applyNumberFormat="0">
      <protection locked="0"/>
    </xf>
    <xf numFmtId="4" fontId="71" fillId="48" borderId="0" applyNumberFormat="0" applyProtection="0">
      <alignment horizontal="left" vertical="center" indent="1"/>
    </xf>
    <xf numFmtId="49" fontId="4" fillId="0" borderId="0">
      <alignment horizontal="right"/>
    </xf>
  </cellStyleXfs>
  <cellXfs count="89">
    <xf numFmtId="0" fontId="0" fillId="0" borderId="0" xfId="0"/>
    <xf numFmtId="0" fontId="4" fillId="0" borderId="10" xfId="1" applyNumberFormat="1" applyFont="1" applyBorder="1" applyAlignment="1">
      <alignment vertical="center" wrapText="1"/>
    </xf>
    <xf numFmtId="0" fontId="0" fillId="0" borderId="0" xfId="0" applyAlignment="1"/>
    <xf numFmtId="184" fontId="0" fillId="0" borderId="0" xfId="0" applyNumberFormat="1" applyAlignment="1">
      <alignment horizontal="center"/>
    </xf>
    <xf numFmtId="0" fontId="4" fillId="0" borderId="20" xfId="1" applyNumberFormat="1" applyFont="1" applyBorder="1" applyAlignment="1">
      <alignment vertical="center" wrapText="1"/>
    </xf>
    <xf numFmtId="184" fontId="58" fillId="50" borderId="23" xfId="1" applyNumberFormat="1" applyFont="1" applyFill="1" applyBorder="1" applyAlignment="1">
      <alignment horizontal="center" vertical="center" wrapText="1"/>
    </xf>
    <xf numFmtId="0" fontId="3" fillId="0" borderId="23" xfId="1" applyNumberFormat="1" applyFont="1" applyBorder="1" applyAlignment="1">
      <alignment horizontal="center" vertical="center" wrapText="1"/>
    </xf>
    <xf numFmtId="0" fontId="4" fillId="0" borderId="23" xfId="1" applyNumberFormat="1" applyFont="1" applyBorder="1" applyAlignment="1">
      <alignment horizontal="center" vertical="center" wrapText="1"/>
    </xf>
    <xf numFmtId="0" fontId="4" fillId="0" borderId="23" xfId="1" applyNumberFormat="1" applyFont="1" applyBorder="1" applyAlignment="1">
      <alignment vertical="center" wrapText="1" shrinkToFit="1"/>
    </xf>
    <xf numFmtId="0" fontId="3" fillId="0" borderId="21" xfId="1" applyNumberFormat="1" applyFont="1" applyBorder="1" applyAlignment="1">
      <alignment horizontal="center" vertical="center" wrapText="1"/>
    </xf>
    <xf numFmtId="0" fontId="4" fillId="0" borderId="21" xfId="1" applyNumberFormat="1" applyFont="1" applyBorder="1" applyAlignment="1">
      <alignment horizontal="center" vertical="center" wrapText="1"/>
    </xf>
    <xf numFmtId="0" fontId="4" fillId="0" borderId="21" xfId="1" applyNumberFormat="1" applyFont="1" applyBorder="1" applyAlignment="1">
      <alignment vertical="center" wrapText="1" shrinkToFit="1"/>
    </xf>
    <xf numFmtId="0" fontId="4" fillId="0" borderId="21" xfId="1" applyNumberFormat="1" applyFont="1" applyBorder="1" applyAlignment="1">
      <alignment vertical="center" wrapText="1"/>
    </xf>
    <xf numFmtId="0" fontId="4" fillId="0" borderId="21" xfId="1" applyNumberFormat="1" applyFont="1" applyBorder="1" applyAlignment="1">
      <alignment vertical="center"/>
    </xf>
    <xf numFmtId="0" fontId="4" fillId="0" borderId="21" xfId="1" applyNumberFormat="1" applyFont="1" applyBorder="1" applyAlignment="1">
      <alignment horizontal="center" vertical="center"/>
    </xf>
    <xf numFmtId="0" fontId="4" fillId="0" borderId="21" xfId="1" applyNumberFormat="1" applyFont="1" applyBorder="1" applyAlignment="1">
      <alignment horizontal="center" wrapText="1"/>
    </xf>
    <xf numFmtId="0" fontId="4" fillId="0" borderId="21" xfId="1" applyNumberFormat="1" applyFont="1" applyBorder="1" applyAlignment="1">
      <alignment wrapText="1"/>
    </xf>
    <xf numFmtId="0" fontId="3" fillId="0" borderId="20" xfId="1" applyNumberFormat="1" applyFont="1" applyBorder="1" applyAlignment="1">
      <alignment horizontal="center" vertical="center" wrapText="1"/>
    </xf>
    <xf numFmtId="0" fontId="4" fillId="0" borderId="20" xfId="1" applyNumberFormat="1" applyFont="1" applyBorder="1" applyAlignment="1">
      <alignment horizontal="center" vertical="center"/>
    </xf>
    <xf numFmtId="0" fontId="58" fillId="50" borderId="24" xfId="1" applyNumberFormat="1" applyFont="1" applyFill="1" applyBorder="1" applyAlignment="1">
      <alignment horizontal="center" vertical="center" wrapText="1"/>
    </xf>
    <xf numFmtId="0" fontId="59" fillId="50" borderId="23" xfId="1" applyNumberFormat="1" applyFont="1" applyFill="1" applyBorder="1" applyAlignment="1">
      <alignment horizontal="center" vertical="center" wrapText="1"/>
    </xf>
    <xf numFmtId="0" fontId="58" fillId="50" borderId="23" xfId="1" applyNumberFormat="1" applyFont="1" applyFill="1" applyBorder="1" applyAlignment="1">
      <alignment horizontal="center" vertical="center" wrapText="1"/>
    </xf>
    <xf numFmtId="0" fontId="58" fillId="51" borderId="23" xfId="1" applyNumberFormat="1" applyFont="1" applyFill="1" applyBorder="1" applyAlignment="1">
      <alignment horizontal="center" vertical="center" wrapText="1"/>
    </xf>
    <xf numFmtId="185" fontId="4" fillId="0" borderId="10" xfId="1" applyNumberFormat="1" applyFont="1" applyBorder="1" applyAlignment="1">
      <alignment horizontal="center" vertical="center"/>
    </xf>
    <xf numFmtId="185" fontId="4" fillId="0" borderId="10" xfId="1" applyNumberFormat="1" applyFont="1" applyBorder="1" applyAlignment="1">
      <alignment horizontal="center" vertical="center" wrapText="1"/>
    </xf>
    <xf numFmtId="185" fontId="4" fillId="0" borderId="10" xfId="1" applyNumberFormat="1" applyFont="1" applyBorder="1" applyAlignment="1">
      <alignment horizontal="center" wrapText="1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0" fillId="0" borderId="27" xfId="0" applyFont="1" applyBorder="1" applyAlignment="1">
      <alignment horizontal="center" vertical="center"/>
    </xf>
    <xf numFmtId="0" fontId="60" fillId="0" borderId="28" xfId="0" applyFon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0" fillId="0" borderId="0" xfId="0" applyFon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60" fillId="0" borderId="12" xfId="0" applyFont="1" applyBorder="1" applyAlignment="1">
      <alignment horizontal="center" vertical="center"/>
    </xf>
    <xf numFmtId="184" fontId="62" fillId="0" borderId="0" xfId="0" applyNumberFormat="1" applyFont="1" applyAlignment="1">
      <alignment vertical="center"/>
    </xf>
    <xf numFmtId="0" fontId="3" fillId="0" borderId="10" xfId="1" applyNumberFormat="1" applyFont="1" applyBorder="1" applyAlignment="1">
      <alignment horizontal="center" vertical="center" wrapText="1"/>
    </xf>
    <xf numFmtId="0" fontId="4" fillId="0" borderId="10" xfId="1" applyNumberFormat="1" applyFont="1" applyBorder="1" applyAlignment="1">
      <alignment horizontal="center" vertical="center"/>
    </xf>
    <xf numFmtId="185" fontId="4" fillId="52" borderId="10" xfId="1" applyNumberFormat="1" applyFont="1" applyFill="1" applyBorder="1" applyAlignment="1">
      <alignment horizontal="center" vertical="center"/>
    </xf>
    <xf numFmtId="185" fontId="4" fillId="52" borderId="10" xfId="1" applyNumberFormat="1" applyFont="1" applyFill="1" applyBorder="1" applyAlignment="1">
      <alignment horizontal="center" vertical="center" wrapText="1"/>
    </xf>
    <xf numFmtId="185" fontId="4" fillId="52" borderId="10" xfId="1" applyNumberFormat="1" applyFont="1" applyFill="1" applyBorder="1" applyAlignment="1">
      <alignment horizontal="center" wrapText="1"/>
    </xf>
    <xf numFmtId="0" fontId="66" fillId="52" borderId="10" xfId="0" applyFont="1" applyFill="1" applyBorder="1"/>
    <xf numFmtId="0" fontId="65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9" fontId="0" fillId="0" borderId="22" xfId="201" applyFont="1" applyBorder="1" applyAlignment="1">
      <alignment horizontal="center" vertical="center"/>
    </xf>
    <xf numFmtId="184" fontId="66" fillId="0" borderId="0" xfId="0" applyNumberFormat="1" applyFont="1" applyAlignment="1">
      <alignment horizontal="center" vertical="center"/>
    </xf>
    <xf numFmtId="9" fontId="0" fillId="0" borderId="33" xfId="201" applyFont="1" applyBorder="1" applyAlignment="1">
      <alignment horizontal="center" vertical="center"/>
    </xf>
    <xf numFmtId="0" fontId="0" fillId="0" borderId="0" xfId="0"/>
    <xf numFmtId="9" fontId="0" fillId="0" borderId="0" xfId="201" applyFont="1" applyAlignment="1">
      <alignment horizontal="center" vertical="center"/>
    </xf>
    <xf numFmtId="0" fontId="0" fillId="0" borderId="0" xfId="0" applyAlignment="1">
      <alignment horizontal="right"/>
    </xf>
    <xf numFmtId="9" fontId="0" fillId="0" borderId="0" xfId="201" applyFont="1"/>
    <xf numFmtId="9" fontId="0" fillId="0" borderId="34" xfId="201" applyFont="1" applyBorder="1" applyAlignment="1">
      <alignment horizontal="center" vertical="center"/>
    </xf>
    <xf numFmtId="9" fontId="0" fillId="0" borderId="0" xfId="201" applyFont="1" applyBorder="1" applyAlignment="1">
      <alignment horizontal="center" vertical="center"/>
    </xf>
    <xf numFmtId="0" fontId="65" fillId="0" borderId="34" xfId="0" applyFont="1" applyBorder="1" applyAlignment="1">
      <alignment wrapText="1"/>
    </xf>
    <xf numFmtId="0" fontId="72" fillId="0" borderId="0" xfId="0" applyFont="1" applyAlignment="1">
      <alignment horizontal="center" vertical="center" wrapText="1"/>
    </xf>
    <xf numFmtId="0" fontId="72" fillId="0" borderId="0" xfId="0" applyFont="1" applyAlignment="1">
      <alignment horizontal="center" vertical="center"/>
    </xf>
    <xf numFmtId="0" fontId="73" fillId="53" borderId="10" xfId="0" applyFont="1" applyFill="1" applyBorder="1" applyAlignment="1">
      <alignment horizontal="center" vertical="center" wrapText="1"/>
    </xf>
    <xf numFmtId="0" fontId="74" fillId="0" borderId="0" xfId="0" applyFont="1" applyAlignment="1">
      <alignment horizontal="center" vertical="center"/>
    </xf>
    <xf numFmtId="0" fontId="75" fillId="0" borderId="0" xfId="0" applyFont="1" applyAlignment="1">
      <alignment horizontal="center" vertical="center"/>
    </xf>
    <xf numFmtId="186" fontId="1" fillId="54" borderId="10" xfId="202" applyNumberFormat="1" applyFont="1" applyFill="1" applyBorder="1" applyAlignment="1">
      <alignment horizontal="center" vertical="center"/>
    </xf>
    <xf numFmtId="0" fontId="58" fillId="50" borderId="35" xfId="1" applyNumberFormat="1" applyFont="1" applyFill="1" applyBorder="1" applyAlignment="1">
      <alignment horizontal="center" vertical="center" wrapText="1"/>
    </xf>
    <xf numFmtId="0" fontId="58" fillId="50" borderId="36" xfId="1" applyNumberFormat="1" applyFont="1" applyFill="1" applyBorder="1" applyAlignment="1">
      <alignment horizontal="center" vertical="center" wrapText="1"/>
    </xf>
    <xf numFmtId="0" fontId="58" fillId="50" borderId="37" xfId="1" applyNumberFormat="1" applyFont="1" applyFill="1" applyBorder="1" applyAlignment="1">
      <alignment horizontal="center" vertical="center" wrapText="1"/>
    </xf>
    <xf numFmtId="0" fontId="0" fillId="54" borderId="21" xfId="0" applyFont="1" applyFill="1" applyBorder="1"/>
    <xf numFmtId="186" fontId="1" fillId="54" borderId="21" xfId="202" applyNumberFormat="1" applyFont="1" applyFill="1" applyBorder="1" applyAlignment="1">
      <alignment horizontal="center" vertical="center"/>
    </xf>
    <xf numFmtId="186" fontId="1" fillId="54" borderId="38" xfId="202" applyNumberFormat="1" applyFont="1" applyFill="1" applyBorder="1" applyAlignment="1">
      <alignment horizontal="center" vertical="center"/>
    </xf>
    <xf numFmtId="0" fontId="0" fillId="0" borderId="21" xfId="0" applyFont="1" applyBorder="1"/>
    <xf numFmtId="186" fontId="1" fillId="0" borderId="21" xfId="202" applyNumberFormat="1" applyFont="1" applyBorder="1" applyAlignment="1">
      <alignment horizontal="center" vertical="center"/>
    </xf>
    <xf numFmtId="186" fontId="1" fillId="0" borderId="38" xfId="202" applyNumberFormat="1" applyFont="1" applyBorder="1" applyAlignment="1">
      <alignment horizontal="center" vertical="center"/>
    </xf>
    <xf numFmtId="0" fontId="0" fillId="54" borderId="20" xfId="0" applyFont="1" applyFill="1" applyBorder="1"/>
    <xf numFmtId="186" fontId="1" fillId="54" borderId="20" xfId="202" applyNumberFormat="1" applyFont="1" applyFill="1" applyBorder="1" applyAlignment="1">
      <alignment horizontal="center" vertical="center"/>
    </xf>
    <xf numFmtId="184" fontId="58" fillId="50" borderId="19" xfId="1" applyNumberFormat="1" applyFont="1" applyFill="1" applyBorder="1" applyAlignment="1">
      <alignment horizontal="center" vertical="center" wrapText="1"/>
    </xf>
    <xf numFmtId="184" fontId="58" fillId="50" borderId="22" xfId="1" applyNumberFormat="1" applyFont="1" applyFill="1" applyBorder="1" applyAlignment="1">
      <alignment horizontal="center" vertical="center" wrapText="1"/>
    </xf>
    <xf numFmtId="0" fontId="0" fillId="0" borderId="29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61" fillId="0" borderId="29" xfId="0" applyFont="1" applyBorder="1" applyAlignment="1">
      <alignment horizontal="center" vertical="center" wrapText="1"/>
    </xf>
    <xf numFmtId="0" fontId="61" fillId="0" borderId="0" xfId="0" applyFont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0" fillId="0" borderId="31" xfId="0" applyFont="1" applyFill="1" applyBorder="1" applyAlignment="1">
      <alignment horizontal="center" vertical="center" wrapText="1"/>
    </xf>
    <xf numFmtId="0" fontId="0" fillId="0" borderId="25" xfId="0" applyFont="1" applyBorder="1" applyAlignment="1">
      <alignment horizontal="center" vertical="center" wrapText="1"/>
    </xf>
    <xf numFmtId="0" fontId="0" fillId="0" borderId="31" xfId="0" applyFont="1" applyBorder="1" applyAlignment="1">
      <alignment horizontal="center" vertical="center" wrapText="1"/>
    </xf>
    <xf numFmtId="0" fontId="61" fillId="0" borderId="30" xfId="0" applyFont="1" applyBorder="1" applyAlignment="1">
      <alignment horizontal="center" vertical="center" wrapText="1"/>
    </xf>
    <xf numFmtId="0" fontId="61" fillId="0" borderId="12" xfId="0" applyFont="1" applyBorder="1" applyAlignment="1">
      <alignment horizontal="center" vertical="center" wrapText="1"/>
    </xf>
    <xf numFmtId="0" fontId="0" fillId="0" borderId="3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30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</cellXfs>
  <cellStyles count="230">
    <cellStyle name="%" xfId="2"/>
    <cellStyle name="_Commercial report_DEC_BG R&amp;S " xfId="3"/>
    <cellStyle name="_Commercial report_DEC_BG R&amp;S  2" xfId="203"/>
    <cellStyle name="20 % - Accent1 2" xfId="4"/>
    <cellStyle name="20 % - Accent2 2" xfId="5"/>
    <cellStyle name="20 % - Accent3 2" xfId="6"/>
    <cellStyle name="20 % - Accent4 2" xfId="7"/>
    <cellStyle name="20 % - Accent5 2" xfId="8"/>
    <cellStyle name="20 % - Accent6 2" xfId="9"/>
    <cellStyle name="20% - Accent1" xfId="10"/>
    <cellStyle name="20% - Accent2" xfId="11"/>
    <cellStyle name="20% - Accent3" xfId="12"/>
    <cellStyle name="20% - Accent4" xfId="13"/>
    <cellStyle name="20% - Accent5" xfId="14"/>
    <cellStyle name="20% - Accent6" xfId="15"/>
    <cellStyle name="40 % - Accent1 2" xfId="16"/>
    <cellStyle name="40 % - Accent2 2" xfId="17"/>
    <cellStyle name="40 % - Accent3 2" xfId="18"/>
    <cellStyle name="40 % - Accent4 2" xfId="19"/>
    <cellStyle name="40 % - Accent5 2" xfId="20"/>
    <cellStyle name="40 % - Accent6 2" xfId="21"/>
    <cellStyle name="40% - Accent1" xfId="22"/>
    <cellStyle name="40% - Accent2" xfId="23"/>
    <cellStyle name="40% - Accent3" xfId="24"/>
    <cellStyle name="40% - Accent4" xfId="25"/>
    <cellStyle name="40% - Accent5" xfId="26"/>
    <cellStyle name="40% - Accent6" xfId="27"/>
    <cellStyle name="60 % - Accent1 2" xfId="28"/>
    <cellStyle name="60 % - Accent2 2" xfId="29"/>
    <cellStyle name="60 % - Accent3 2" xfId="30"/>
    <cellStyle name="60 % - Accent4 2" xfId="31"/>
    <cellStyle name="60 % - Accent5 2" xfId="32"/>
    <cellStyle name="60 % - Accent6 2" xfId="33"/>
    <cellStyle name="60% - Accent1" xfId="34"/>
    <cellStyle name="60% - Accent2" xfId="35"/>
    <cellStyle name="60% - Accent3" xfId="36"/>
    <cellStyle name="60% - Accent4" xfId="37"/>
    <cellStyle name="60% - Accent5" xfId="38"/>
    <cellStyle name="60% - Accent6" xfId="39"/>
    <cellStyle name="Accent1 - 20%" xfId="41"/>
    <cellStyle name="Accent1 - 40%" xfId="42"/>
    <cellStyle name="Accent1 - 60%" xfId="43"/>
    <cellStyle name="Accent1 2" xfId="40"/>
    <cellStyle name="Accent2 - 20%" xfId="45"/>
    <cellStyle name="Accent2 - 40%" xfId="46"/>
    <cellStyle name="Accent2 - 60%" xfId="47"/>
    <cellStyle name="Accent2 2" xfId="44"/>
    <cellStyle name="Accent3 - 20%" xfId="49"/>
    <cellStyle name="Accent3 - 40%" xfId="50"/>
    <cellStyle name="Accent3 - 60%" xfId="51"/>
    <cellStyle name="Accent3 2" xfId="48"/>
    <cellStyle name="Accent4 - 20%" xfId="53"/>
    <cellStyle name="Accent4 - 40%" xfId="54"/>
    <cellStyle name="Accent4 - 60%" xfId="55"/>
    <cellStyle name="Accent4 2" xfId="52"/>
    <cellStyle name="Accent5 - 20%" xfId="57"/>
    <cellStyle name="Accent5 - 40%" xfId="58"/>
    <cellStyle name="Accent5 - 60%" xfId="59"/>
    <cellStyle name="Accent5 2" xfId="56"/>
    <cellStyle name="Accent6 - 20%" xfId="61"/>
    <cellStyle name="Accent6 - 40%" xfId="62"/>
    <cellStyle name="Accent6 - 60%" xfId="63"/>
    <cellStyle name="Accent6 2" xfId="60"/>
    <cellStyle name="Avertissement 2" xfId="64"/>
    <cellStyle name="Bad" xfId="65"/>
    <cellStyle name="Calcul 2" xfId="66"/>
    <cellStyle name="Calculation" xfId="67"/>
    <cellStyle name="category" xfId="68"/>
    <cellStyle name="Cellule liée 2" xfId="69"/>
    <cellStyle name="charte" xfId="70"/>
    <cellStyle name="Check Cell" xfId="71"/>
    <cellStyle name="Comma [0]_ARN (2)" xfId="72"/>
    <cellStyle name="Comma_~8873190" xfId="73"/>
    <cellStyle name="Commentaire 2" xfId="74"/>
    <cellStyle name="Currency $" xfId="75"/>
    <cellStyle name="Currency $ 2" xfId="205"/>
    <cellStyle name="Currency [0]_ARN (2)" xfId="76"/>
    <cellStyle name="Currency_2002.01 BUDGET Human Resources Function" xfId="77"/>
    <cellStyle name="Date Long" xfId="78"/>
    <cellStyle name="Date Long 2" xfId="206"/>
    <cellStyle name="Date Short" xfId="79"/>
    <cellStyle name="Date Short 2" xfId="207"/>
    <cellStyle name="days" xfId="80"/>
    <cellStyle name="Dezimal [0]_Kost 0102 nach GL" xfId="81"/>
    <cellStyle name="Dezimal_ActualBudgetForecast by unit - 03_03 II" xfId="82"/>
    <cellStyle name="Emilie" xfId="83"/>
    <cellStyle name="Emilie 2" xfId="208"/>
    <cellStyle name="Emphasis 1" xfId="84"/>
    <cellStyle name="Emphasis 2" xfId="85"/>
    <cellStyle name="Emphasis 3" xfId="86"/>
    <cellStyle name="Entrée 2" xfId="87"/>
    <cellStyle name="Euro" xfId="88"/>
    <cellStyle name="Euro [0]" xfId="89"/>
    <cellStyle name="Euro €" xfId="90"/>
    <cellStyle name="Euro € [0]" xfId="91"/>
    <cellStyle name="Euro €_BU PRO-TDFGX 2008.10 FC2 2008 &amp; BUDGET 2009 15-10-08 à 13h" xfId="92"/>
    <cellStyle name="Euro 2" xfId="210"/>
    <cellStyle name="Euro 3" xfId="209"/>
    <cellStyle name="Euro 4" xfId="204"/>
    <cellStyle name="Euro_analyse bilan 9130 2006.09" xfId="93"/>
    <cellStyle name="Explanatory Text" xfId="94"/>
    <cellStyle name="Good" xfId="95"/>
    <cellStyle name="Grey" xfId="96"/>
    <cellStyle name="Grey 2" xfId="211"/>
    <cellStyle name="HEADER" xfId="97"/>
    <cellStyle name="Heading 1" xfId="98"/>
    <cellStyle name="Heading 2" xfId="99"/>
    <cellStyle name="Heading 3" xfId="100"/>
    <cellStyle name="Heading 4" xfId="101"/>
    <cellStyle name="holiday" xfId="102"/>
    <cellStyle name="Hyperlink_BU Template" xfId="103"/>
    <cellStyle name="Input" xfId="104"/>
    <cellStyle name="Input [yellow]" xfId="105"/>
    <cellStyle name="Input [yellow] 2" xfId="212"/>
    <cellStyle name="Insatisfaisant 2" xfId="106"/>
    <cellStyle name="Integer" xfId="107"/>
    <cellStyle name="Integer 2" xfId="213"/>
    <cellStyle name="Linked Cell" xfId="108"/>
    <cellStyle name="MandatoryText" xfId="109"/>
    <cellStyle name="Milliers 2" xfId="110"/>
    <cellStyle name="Milliers 3" xfId="111"/>
    <cellStyle name="Model" xfId="112"/>
    <cellStyle name="Moeda [0]_1" xfId="113"/>
    <cellStyle name="Moeda_1" xfId="114"/>
    <cellStyle name="month" xfId="115"/>
    <cellStyle name="Neutral" xfId="116"/>
    <cellStyle name="Neutre 2" xfId="117"/>
    <cellStyle name="Normal" xfId="0" builtinId="0"/>
    <cellStyle name="Normal - Style1" xfId="118"/>
    <cellStyle name="Normal 10" xfId="119"/>
    <cellStyle name="Normal 11" xfId="120"/>
    <cellStyle name="Normal 12" xfId="1"/>
    <cellStyle name="Normal 12 2" xfId="202"/>
    <cellStyle name="Normal 2" xfId="121"/>
    <cellStyle name="Normal 2 2" xfId="122"/>
    <cellStyle name="Normal 3" xfId="123"/>
    <cellStyle name="Normal 4" xfId="124"/>
    <cellStyle name="Normal 5" xfId="125"/>
    <cellStyle name="Normal 6" xfId="126"/>
    <cellStyle name="Normal 7" xfId="127"/>
    <cellStyle name="Normal 8" xfId="128"/>
    <cellStyle name="Normal 9" xfId="129"/>
    <cellStyle name="Normalny_Zeszyt2" xfId="130"/>
    <cellStyle name="Note" xfId="131"/>
    <cellStyle name="Note 2" xfId="214"/>
    <cellStyle name="Output" xfId="132"/>
    <cellStyle name="Percent [2]" xfId="133"/>
    <cellStyle name="Percent [2] 2" xfId="215"/>
    <cellStyle name="Pourcentage" xfId="201" builtinId="5"/>
    <cellStyle name="Pourcentage 2" xfId="134"/>
    <cellStyle name="Pourcentage 3" xfId="135"/>
    <cellStyle name="Prozent [0]" xfId="136"/>
    <cellStyle name="SAPBEXaggData" xfId="137"/>
    <cellStyle name="SAPBEXaggDataEmph" xfId="138"/>
    <cellStyle name="SAPBEXaggItem" xfId="139"/>
    <cellStyle name="SAPBEXaggItemX" xfId="140"/>
    <cellStyle name="SAPBEXchaText" xfId="141"/>
    <cellStyle name="SAPBEXexcBad7" xfId="142"/>
    <cellStyle name="SAPBEXexcBad8" xfId="143"/>
    <cellStyle name="SAPBEXexcBad9" xfId="144"/>
    <cellStyle name="SAPBEXexcCritical4" xfId="145"/>
    <cellStyle name="SAPBEXexcCritical5" xfId="146"/>
    <cellStyle name="SAPBEXexcCritical6" xfId="147"/>
    <cellStyle name="SAPBEXexcGood1" xfId="148"/>
    <cellStyle name="SAPBEXexcGood2" xfId="149"/>
    <cellStyle name="SAPBEXexcGood3" xfId="150"/>
    <cellStyle name="SAPBEXfilterDrill" xfId="151"/>
    <cellStyle name="SAPBEXfilterItem" xfId="152"/>
    <cellStyle name="SAPBEXfilterText" xfId="153"/>
    <cellStyle name="SAPBEXfilterText 2" xfId="216"/>
    <cellStyle name="SAPBEXformats" xfId="154"/>
    <cellStyle name="SAPBEXheaderItem" xfId="155"/>
    <cellStyle name="SAPBEXheaderItem 2" xfId="217"/>
    <cellStyle name="SAPBEXheaderText" xfId="156"/>
    <cellStyle name="SAPBEXheaderText 2" xfId="218"/>
    <cellStyle name="SAPBEXHLevel0" xfId="157"/>
    <cellStyle name="SAPBEXHLevel0 2" xfId="219"/>
    <cellStyle name="SAPBEXHLevel0X" xfId="158"/>
    <cellStyle name="SAPBEXHLevel0X 2" xfId="220"/>
    <cellStyle name="SAPBEXHLevel1" xfId="159"/>
    <cellStyle name="SAPBEXHLevel1 2" xfId="221"/>
    <cellStyle name="SAPBEXHLevel1X" xfId="160"/>
    <cellStyle name="SAPBEXHLevel1X 2" xfId="222"/>
    <cellStyle name="SAPBEXHLevel2" xfId="161"/>
    <cellStyle name="SAPBEXHLevel2 2" xfId="223"/>
    <cellStyle name="SAPBEXHLevel2X" xfId="162"/>
    <cellStyle name="SAPBEXHLevel2X 2" xfId="224"/>
    <cellStyle name="SAPBEXHLevel3" xfId="163"/>
    <cellStyle name="SAPBEXHLevel3 2" xfId="225"/>
    <cellStyle name="SAPBEXHLevel3X" xfId="164"/>
    <cellStyle name="SAPBEXHLevel3X 2" xfId="226"/>
    <cellStyle name="SAPBEXinputData" xfId="165"/>
    <cellStyle name="SAPBEXinputData 2" xfId="227"/>
    <cellStyle name="SAPBEXresData" xfId="166"/>
    <cellStyle name="SAPBEXresDataEmph" xfId="167"/>
    <cellStyle name="SAPBEXresItem" xfId="168"/>
    <cellStyle name="SAPBEXresItemX" xfId="169"/>
    <cellStyle name="SAPBEXstdData" xfId="170"/>
    <cellStyle name="SAPBEXstdDataEmph" xfId="171"/>
    <cellStyle name="SAPBEXstdItem" xfId="172"/>
    <cellStyle name="SAPBEXstdItemX" xfId="173"/>
    <cellStyle name="SAPBEXtitle" xfId="174"/>
    <cellStyle name="SAPBEXtitle 2" xfId="228"/>
    <cellStyle name="SAPBEXundefined" xfId="175"/>
    <cellStyle name="Satisfaisant 2" xfId="176"/>
    <cellStyle name="Separador de milhares [0]_1" xfId="177"/>
    <cellStyle name="Separador de milhares_1" xfId="178"/>
    <cellStyle name="Sheet Title" xfId="179"/>
    <cellStyle name="Sortie 2" xfId="180"/>
    <cellStyle name="Standard_ANALYSE_1103" xfId="181"/>
    <cellStyle name="Style 1" xfId="182"/>
    <cellStyle name="subhead" xfId="183"/>
    <cellStyle name="Text" xfId="184"/>
    <cellStyle name="Text 2" xfId="229"/>
    <cellStyle name="Texte explicatif 2" xfId="185"/>
    <cellStyle name="Title" xfId="186"/>
    <cellStyle name="Titre 2" xfId="187"/>
    <cellStyle name="Titre 1 2" xfId="188"/>
    <cellStyle name="Titre 2 2" xfId="189"/>
    <cellStyle name="Titre 3 2" xfId="190"/>
    <cellStyle name="Titre 4 2" xfId="191"/>
    <cellStyle name="Total 2" xfId="192"/>
    <cellStyle name="Undefiniert" xfId="193"/>
    <cellStyle name="Vérification 2" xfId="194"/>
    <cellStyle name="Währung [0]_ActualBudgetForecast by unit - 03_03 II" xfId="195"/>
    <cellStyle name="Währung o. Nullwerte" xfId="196"/>
    <cellStyle name="Währung_ActualBudgetForecast by unit - 03_03 II" xfId="197"/>
    <cellStyle name="Warning Text" xfId="198"/>
    <cellStyle name="weekdays" xfId="199"/>
    <cellStyle name="weekend" xfId="200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9787198019208911E-2"/>
          <c:y val="5.2141409935497186E-2"/>
          <c:w val="0.57183097408566674"/>
          <c:h val="0.74163373360850793"/>
        </c:manualLayout>
      </c:layout>
      <c:areaChart>
        <c:grouping val="stacked"/>
        <c:varyColors val="0"/>
        <c:ser>
          <c:idx val="1"/>
          <c:order val="0"/>
          <c:tx>
            <c:strRef>
              <c:f>Milestones!$A$12</c:f>
              <c:strCache>
                <c:ptCount val="1"/>
                <c:pt idx="0">
                  <c:v>In advance - cmltd</c:v>
                </c:pt>
              </c:strCache>
            </c:strRef>
          </c:tx>
          <c:spPr>
            <a:solidFill>
              <a:schemeClr val="accent3">
                <a:lumMod val="50000"/>
              </a:schemeClr>
            </a:solidFill>
            <a:ln w="25400">
              <a:noFill/>
            </a:ln>
          </c:spPr>
          <c:cat>
            <c:numRef>
              <c:f>Milestones!$C$1:$N$1</c:f>
              <c:numCache>
                <c:formatCode>[$-409]mmm\-yy;@</c:formatCode>
                <c:ptCount val="12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</c:numCache>
            </c:numRef>
          </c:cat>
          <c:val>
            <c:numRef>
              <c:f>Milestones!$C$12:$N$12</c:f>
              <c:numCache>
                <c:formatCode>General</c:formatCode>
                <c:ptCount val="12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</c:numCache>
            </c:numRef>
          </c:val>
        </c:ser>
        <c:ser>
          <c:idx val="2"/>
          <c:order val="1"/>
          <c:tx>
            <c:strRef>
              <c:f>Milestones!$A$10</c:f>
              <c:strCache>
                <c:ptCount val="1"/>
                <c:pt idx="0">
                  <c:v>In time - cmltd</c:v>
                </c:pt>
              </c:strCache>
            </c:strRef>
          </c:tx>
          <c:spPr>
            <a:ln w="25400">
              <a:noFill/>
            </a:ln>
          </c:spPr>
          <c:cat>
            <c:numRef>
              <c:f>Milestones!$C$1:$N$1</c:f>
              <c:numCache>
                <c:formatCode>[$-409]mmm\-yy;@</c:formatCode>
                <c:ptCount val="12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</c:numCache>
            </c:numRef>
          </c:cat>
          <c:val>
            <c:numRef>
              <c:f>Milestones!$C$10:$N$10</c:f>
              <c:numCache>
                <c:formatCode>General</c:formatCode>
                <c:ptCount val="12"/>
                <c:pt idx="0">
                  <c:v>1</c:v>
                </c:pt>
                <c:pt idx="1">
                  <c:v>2</c:v>
                </c:pt>
                <c:pt idx="2">
                  <c:v>5</c:v>
                </c:pt>
                <c:pt idx="3">
                  <c:v>12</c:v>
                </c:pt>
                <c:pt idx="4">
                  <c:v>15</c:v>
                </c:pt>
                <c:pt idx="5">
                  <c:v>24</c:v>
                </c:pt>
                <c:pt idx="6">
                  <c:v>30</c:v>
                </c:pt>
                <c:pt idx="7">
                  <c:v>31</c:v>
                </c:pt>
                <c:pt idx="8">
                  <c:v>38</c:v>
                </c:pt>
                <c:pt idx="9">
                  <c:v>40</c:v>
                </c:pt>
                <c:pt idx="10">
                  <c:v>43</c:v>
                </c:pt>
                <c:pt idx="11">
                  <c:v>47</c:v>
                </c:pt>
              </c:numCache>
            </c:numRef>
          </c:val>
        </c:ser>
        <c:ser>
          <c:idx val="3"/>
          <c:order val="2"/>
          <c:tx>
            <c:strRef>
              <c:f>Milestones!$A$8</c:f>
              <c:strCache>
                <c:ptCount val="1"/>
                <c:pt idx="0">
                  <c:v>Late - cmltd</c:v>
                </c:pt>
              </c:strCache>
            </c:strRef>
          </c:tx>
          <c:spPr>
            <a:solidFill>
              <a:schemeClr val="accent3">
                <a:lumMod val="60000"/>
                <a:lumOff val="40000"/>
              </a:schemeClr>
            </a:solidFill>
            <a:ln w="25400">
              <a:noFill/>
            </a:ln>
          </c:spPr>
          <c:cat>
            <c:numRef>
              <c:f>Milestones!$C$1:$N$1</c:f>
              <c:numCache>
                <c:formatCode>[$-409]mmm\-yy;@</c:formatCode>
                <c:ptCount val="12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</c:numCache>
            </c:numRef>
          </c:cat>
          <c:val>
            <c:numRef>
              <c:f>Milestones!$C$8:$N$8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6148736"/>
        <c:axId val="76146944"/>
      </c:areaChart>
      <c:lineChart>
        <c:grouping val="standard"/>
        <c:varyColors val="0"/>
        <c:ser>
          <c:idx val="0"/>
          <c:order val="3"/>
          <c:tx>
            <c:strRef>
              <c:f>Milestones!$A$3</c:f>
              <c:strCache>
                <c:ptCount val="1"/>
                <c:pt idx="0">
                  <c:v>Target - cmltd</c:v>
                </c:pt>
              </c:strCache>
            </c:strRef>
          </c:tx>
          <c:spPr>
            <a:ln>
              <a:solidFill>
                <a:srgbClr val="C00000"/>
              </a:solidFill>
            </a:ln>
          </c:spPr>
          <c:marker>
            <c:symbol val="none"/>
          </c:marker>
          <c:cat>
            <c:numRef>
              <c:f>Milestones!$C$1:$N$1</c:f>
              <c:numCache>
                <c:formatCode>[$-409]mmm\-yy;@</c:formatCode>
                <c:ptCount val="12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</c:numCache>
            </c:numRef>
          </c:cat>
          <c:val>
            <c:numRef>
              <c:f>Milestones!$C$3:$N$3</c:f>
              <c:numCache>
                <c:formatCode>General</c:formatCode>
                <c:ptCount val="12"/>
                <c:pt idx="0">
                  <c:v>1</c:v>
                </c:pt>
                <c:pt idx="1">
                  <c:v>3</c:v>
                </c:pt>
                <c:pt idx="2">
                  <c:v>8</c:v>
                </c:pt>
                <c:pt idx="3">
                  <c:v>15</c:v>
                </c:pt>
                <c:pt idx="4">
                  <c:v>18</c:v>
                </c:pt>
                <c:pt idx="5">
                  <c:v>27</c:v>
                </c:pt>
                <c:pt idx="6">
                  <c:v>36</c:v>
                </c:pt>
                <c:pt idx="7">
                  <c:v>38</c:v>
                </c:pt>
                <c:pt idx="8">
                  <c:v>42</c:v>
                </c:pt>
                <c:pt idx="9">
                  <c:v>45</c:v>
                </c:pt>
                <c:pt idx="10">
                  <c:v>48</c:v>
                </c:pt>
                <c:pt idx="11">
                  <c:v>54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Milestones!$A$5</c:f>
              <c:strCache>
                <c:ptCount val="1"/>
                <c:pt idx="0">
                  <c:v>Updated target - cmltd</c:v>
                </c:pt>
              </c:strCache>
            </c:strRef>
          </c:tx>
          <c:spPr>
            <a:ln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val>
            <c:numRef>
              <c:f>Milestones!$C$5:$O$5</c:f>
              <c:numCache>
                <c:formatCode>General</c:formatCode>
                <c:ptCount val="13"/>
                <c:pt idx="0">
                  <c:v>1</c:v>
                </c:pt>
                <c:pt idx="1">
                  <c:v>3</c:v>
                </c:pt>
                <c:pt idx="2">
                  <c:v>7</c:v>
                </c:pt>
                <c:pt idx="3">
                  <c:v>13</c:v>
                </c:pt>
                <c:pt idx="4">
                  <c:v>16</c:v>
                </c:pt>
                <c:pt idx="5">
                  <c:v>25</c:v>
                </c:pt>
                <c:pt idx="6">
                  <c:v>35</c:v>
                </c:pt>
                <c:pt idx="7">
                  <c:v>35</c:v>
                </c:pt>
                <c:pt idx="8">
                  <c:v>40</c:v>
                </c:pt>
                <c:pt idx="9">
                  <c:v>43</c:v>
                </c:pt>
                <c:pt idx="10">
                  <c:v>47</c:v>
                </c:pt>
                <c:pt idx="11">
                  <c:v>51</c:v>
                </c:pt>
                <c:pt idx="12">
                  <c:v>51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6148736"/>
        <c:axId val="76146944"/>
      </c:lineChart>
      <c:valAx>
        <c:axId val="76146944"/>
        <c:scaling>
          <c:orientation val="minMax"/>
        </c:scaling>
        <c:delete val="0"/>
        <c:axPos val="r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fr-FR"/>
          </a:p>
        </c:txPr>
        <c:crossAx val="76148736"/>
        <c:crosses val="max"/>
        <c:crossBetween val="midCat"/>
      </c:valAx>
      <c:dateAx>
        <c:axId val="76148736"/>
        <c:scaling>
          <c:orientation val="minMax"/>
        </c:scaling>
        <c:delete val="0"/>
        <c:axPos val="b"/>
        <c:numFmt formatCode="[$-409]mmm\-yy;@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fr-FR"/>
          </a:p>
        </c:txPr>
        <c:crossAx val="76146944"/>
        <c:crosses val="autoZero"/>
        <c:auto val="1"/>
        <c:lblOffset val="100"/>
        <c:baseTimeUnit val="months"/>
      </c:dateAx>
    </c:plotArea>
    <c:legend>
      <c:legendPos val="r"/>
      <c:layout>
        <c:manualLayout>
          <c:xMode val="edge"/>
          <c:yMode val="edge"/>
          <c:x val="0.74250401115941134"/>
          <c:y val="0.14716574779520772"/>
          <c:w val="0.24065342941696674"/>
          <c:h val="0.67279399664894513"/>
        </c:manualLayout>
      </c:layout>
      <c:overlay val="0"/>
      <c:txPr>
        <a:bodyPr/>
        <a:lstStyle/>
        <a:p>
          <a:pPr>
            <a:defRPr sz="600"/>
          </a:pPr>
          <a:endParaRPr lang="fr-FR"/>
        </a:p>
      </c:txPr>
    </c:legend>
    <c:plotVisOnly val="0"/>
    <c:dispBlanksAs val="zero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Diagrams!$B$9</c:f>
          <c:strCache>
            <c:ptCount val="1"/>
            <c:pt idx="0">
              <c:v>Project 5</c:v>
            </c:pt>
          </c:strCache>
        </c:strRef>
      </c:tx>
      <c:layout>
        <c:manualLayout>
          <c:xMode val="edge"/>
          <c:yMode val="edge"/>
          <c:x val="0.44751904383287594"/>
          <c:y val="0"/>
        </c:manualLayout>
      </c:layout>
      <c:overlay val="0"/>
      <c:txPr>
        <a:bodyPr/>
        <a:lstStyle/>
        <a:p>
          <a:pPr>
            <a:defRPr sz="1600"/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8.5435323325227658E-2"/>
          <c:y val="6.0502556839647531E-2"/>
          <c:w val="0.87820097631132088"/>
          <c:h val="0.64613123840461195"/>
        </c:manualLayout>
      </c:layout>
      <c:areaChart>
        <c:grouping val="standard"/>
        <c:varyColors val="0"/>
        <c:ser>
          <c:idx val="7"/>
          <c:order val="0"/>
          <c:tx>
            <c:v>.</c:v>
          </c:tx>
          <c:spPr>
            <a:solidFill>
              <a:schemeClr val="bg1">
                <a:lumMod val="85000"/>
              </a:schemeClr>
            </a:solidFill>
          </c:spPr>
          <c:val>
            <c:numRef>
              <c:f>Diagrams!$G$7:$S$7</c:f>
              <c:numCache>
                <c:formatCode>[$-409]mmm\-yy;@</c:formatCode>
                <c:ptCount val="13"/>
                <c:pt idx="0">
                  <c:v>41306</c:v>
                </c:pt>
                <c:pt idx="1">
                  <c:v>41334</c:v>
                </c:pt>
                <c:pt idx="2">
                  <c:v>41365</c:v>
                </c:pt>
                <c:pt idx="3">
                  <c:v>41395</c:v>
                </c:pt>
                <c:pt idx="4">
                  <c:v>41426</c:v>
                </c:pt>
                <c:pt idx="5">
                  <c:v>41456</c:v>
                </c:pt>
                <c:pt idx="6">
                  <c:v>41487</c:v>
                </c:pt>
                <c:pt idx="7">
                  <c:v>41518</c:v>
                </c:pt>
                <c:pt idx="8">
                  <c:v>41548</c:v>
                </c:pt>
                <c:pt idx="9">
                  <c:v>41579</c:v>
                </c:pt>
                <c:pt idx="10">
                  <c:v>41609</c:v>
                </c:pt>
                <c:pt idx="11">
                  <c:v>41640</c:v>
                </c:pt>
                <c:pt idx="12">
                  <c:v>41671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2566528"/>
        <c:axId val="82642432"/>
      </c:areaChart>
      <c:lineChart>
        <c:grouping val="standard"/>
        <c:varyColors val="0"/>
        <c:ser>
          <c:idx val="1"/>
          <c:order val="1"/>
          <c:tx>
            <c:strRef>
              <c:f>Diagrams!$C$9</c:f>
              <c:strCache>
                <c:ptCount val="1"/>
                <c:pt idx="0">
                  <c:v>Milestone 26</c:v>
                </c:pt>
              </c:strCache>
            </c:strRef>
          </c:tx>
          <c:marker>
            <c:symbol val="none"/>
          </c:marker>
          <c:cat>
            <c:numRef>
              <c:f>Diagrams!$F$7:$R$7</c:f>
              <c:numCache>
                <c:formatCode>[$-409]mmm\-yy;@</c:formatCode>
                <c:ptCount val="13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</c:numCache>
            </c:numRef>
          </c:cat>
          <c:val>
            <c:numRef>
              <c:f>Diagrams!$F$9:$R$9</c:f>
              <c:numCache>
                <c:formatCode>d/m/yy;@</c:formatCode>
                <c:ptCount val="13"/>
                <c:pt idx="0">
                  <c:v>41333</c:v>
                </c:pt>
                <c:pt idx="1">
                  <c:v>41333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</c:numCache>
            </c:numRef>
          </c:val>
          <c:smooth val="0"/>
        </c:ser>
        <c:ser>
          <c:idx val="0"/>
          <c:order val="2"/>
          <c:tx>
            <c:strRef>
              <c:f>Diagrams!$C$10</c:f>
              <c:strCache>
                <c:ptCount val="1"/>
                <c:pt idx="0">
                  <c:v>Milestone 27</c:v>
                </c:pt>
              </c:strCache>
            </c:strRef>
          </c:tx>
          <c:marker>
            <c:symbol val="none"/>
          </c:marker>
          <c:cat>
            <c:numRef>
              <c:f>Diagrams!$F$7:$R$7</c:f>
              <c:numCache>
                <c:formatCode>[$-409]mmm\-yy;@</c:formatCode>
                <c:ptCount val="13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</c:numCache>
            </c:numRef>
          </c:cat>
          <c:val>
            <c:numRef>
              <c:f>Diagrams!$F$10:$R$10</c:f>
              <c:numCache>
                <c:formatCode>d/m/yy;@</c:formatCode>
                <c:ptCount val="13"/>
                <c:pt idx="0">
                  <c:v>41364</c:v>
                </c:pt>
                <c:pt idx="1">
                  <c:v>41364</c:v>
                </c:pt>
                <c:pt idx="2">
                  <c:v>41364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</c:numCache>
            </c:numRef>
          </c:val>
          <c:smooth val="0"/>
        </c:ser>
        <c:ser>
          <c:idx val="2"/>
          <c:order val="3"/>
          <c:tx>
            <c:strRef>
              <c:f>Diagrams!$C$11</c:f>
              <c:strCache>
                <c:ptCount val="1"/>
                <c:pt idx="0">
                  <c:v>Milestone 28</c:v>
                </c:pt>
              </c:strCache>
            </c:strRef>
          </c:tx>
          <c:marker>
            <c:symbol val="none"/>
          </c:marker>
          <c:cat>
            <c:numRef>
              <c:f>Diagrams!$F$7:$R$7</c:f>
              <c:numCache>
                <c:formatCode>[$-409]mmm\-yy;@</c:formatCode>
                <c:ptCount val="13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</c:numCache>
            </c:numRef>
          </c:cat>
          <c:val>
            <c:numRef>
              <c:f>Diagrams!$F$11:$R$11</c:f>
              <c:numCache>
                <c:formatCode>d/m/yy;@</c:formatCode>
                <c:ptCount val="13"/>
                <c:pt idx="0">
                  <c:v>41455</c:v>
                </c:pt>
                <c:pt idx="1">
                  <c:v>41455</c:v>
                </c:pt>
                <c:pt idx="2">
                  <c:v>41455</c:v>
                </c:pt>
                <c:pt idx="3">
                  <c:v>41455</c:v>
                </c:pt>
                <c:pt idx="4">
                  <c:v>41455</c:v>
                </c:pt>
                <c:pt idx="5">
                  <c:v>41455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</c:numCache>
            </c:numRef>
          </c:val>
          <c:smooth val="0"/>
        </c:ser>
        <c:ser>
          <c:idx val="3"/>
          <c:order val="4"/>
          <c:tx>
            <c:strRef>
              <c:f>Diagrams!$C$12</c:f>
              <c:strCache>
                <c:ptCount val="1"/>
                <c:pt idx="0">
                  <c:v>Milestone 29</c:v>
                </c:pt>
              </c:strCache>
            </c:strRef>
          </c:tx>
          <c:marker>
            <c:symbol val="none"/>
          </c:marker>
          <c:cat>
            <c:numRef>
              <c:f>Diagrams!$F$7:$R$7</c:f>
              <c:numCache>
                <c:formatCode>[$-409]mmm\-yy;@</c:formatCode>
                <c:ptCount val="13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</c:numCache>
            </c:numRef>
          </c:cat>
          <c:val>
            <c:numRef>
              <c:f>Diagrams!$F$12:$R$12</c:f>
              <c:numCache>
                <c:formatCode>d/m/yy;@</c:formatCode>
                <c:ptCount val="13"/>
                <c:pt idx="0">
                  <c:v>41547</c:v>
                </c:pt>
                <c:pt idx="1">
                  <c:v>41547</c:v>
                </c:pt>
                <c:pt idx="2">
                  <c:v>41547</c:v>
                </c:pt>
                <c:pt idx="3">
                  <c:v>41547</c:v>
                </c:pt>
                <c:pt idx="4">
                  <c:v>41547</c:v>
                </c:pt>
                <c:pt idx="5">
                  <c:v>41547</c:v>
                </c:pt>
                <c:pt idx="6">
                  <c:v>41547</c:v>
                </c:pt>
                <c:pt idx="7">
                  <c:v>41547</c:v>
                </c:pt>
                <c:pt idx="8">
                  <c:v>41547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</c:numCache>
            </c:numRef>
          </c:val>
          <c:smooth val="0"/>
        </c:ser>
        <c:ser>
          <c:idx val="4"/>
          <c:order val="5"/>
          <c:tx>
            <c:strRef>
              <c:f>Diagrams!$C$13</c:f>
              <c:strCache>
                <c:ptCount val="1"/>
                <c:pt idx="0">
                  <c:v>Milestone 30</c:v>
                </c:pt>
              </c:strCache>
            </c:strRef>
          </c:tx>
          <c:marker>
            <c:symbol val="none"/>
          </c:marker>
          <c:cat>
            <c:numRef>
              <c:f>Diagrams!$F$7:$R$7</c:f>
              <c:numCache>
                <c:formatCode>[$-409]mmm\-yy;@</c:formatCode>
                <c:ptCount val="13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</c:numCache>
            </c:numRef>
          </c:cat>
          <c:val>
            <c:numRef>
              <c:f>Diagrams!$F$13:$R$13</c:f>
              <c:numCache>
                <c:formatCode>d/m/yy;@</c:formatCode>
                <c:ptCount val="13"/>
                <c:pt idx="0">
                  <c:v>41608</c:v>
                </c:pt>
                <c:pt idx="1">
                  <c:v>41608</c:v>
                </c:pt>
                <c:pt idx="2">
                  <c:v>41608</c:v>
                </c:pt>
                <c:pt idx="3">
                  <c:v>41608</c:v>
                </c:pt>
                <c:pt idx="4">
                  <c:v>41608</c:v>
                </c:pt>
                <c:pt idx="5">
                  <c:v>41608</c:v>
                </c:pt>
                <c:pt idx="6">
                  <c:v>41608</c:v>
                </c:pt>
                <c:pt idx="7">
                  <c:v>41608</c:v>
                </c:pt>
                <c:pt idx="8">
                  <c:v>41608</c:v>
                </c:pt>
                <c:pt idx="9">
                  <c:v>41608</c:v>
                </c:pt>
                <c:pt idx="10">
                  <c:v>41608</c:v>
                </c:pt>
                <c:pt idx="11">
                  <c:v>#N/A</c:v>
                </c:pt>
                <c:pt idx="12">
                  <c:v>#N/A</c:v>
                </c:pt>
              </c:numCache>
            </c:numRef>
          </c:val>
          <c:smooth val="0"/>
        </c:ser>
        <c:ser>
          <c:idx val="5"/>
          <c:order val="6"/>
          <c:tx>
            <c:strRef>
              <c:f>Diagrams!$C$14</c:f>
              <c:strCache>
                <c:ptCount val="1"/>
              </c:strCache>
            </c:strRef>
          </c:tx>
          <c:marker>
            <c:symbol val="none"/>
          </c:marker>
          <c:cat>
            <c:numRef>
              <c:f>Diagrams!$F$7:$R$7</c:f>
              <c:numCache>
                <c:formatCode>[$-409]mmm\-yy;@</c:formatCode>
                <c:ptCount val="13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</c:numCache>
            </c:numRef>
          </c:cat>
          <c:val>
            <c:numRef>
              <c:f>Diagrams!$F$14:$R$14</c:f>
              <c:numCache>
                <c:formatCode>d/m/yy;@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smooth val="0"/>
        </c:ser>
        <c:ser>
          <c:idx val="6"/>
          <c:order val="7"/>
          <c:tx>
            <c:strRef>
              <c:f>Diagrams!$C$15</c:f>
              <c:strCache>
                <c:ptCount val="1"/>
              </c:strCache>
            </c:strRef>
          </c:tx>
          <c:marker>
            <c:symbol val="none"/>
          </c:marker>
          <c:cat>
            <c:numRef>
              <c:f>Diagrams!$F$7:$R$7</c:f>
              <c:numCache>
                <c:formatCode>[$-409]mmm\-yy;@</c:formatCode>
                <c:ptCount val="13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</c:numCache>
            </c:numRef>
          </c:cat>
          <c:val>
            <c:numRef>
              <c:f>Diagrams!$F$15:$R$15</c:f>
              <c:numCache>
                <c:formatCode>d/m/yy;@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smooth val="0"/>
        </c:ser>
        <c:ser>
          <c:idx val="8"/>
          <c:order val="8"/>
          <c:tx>
            <c:strRef>
              <c:f>Diagrams!$C$16</c:f>
              <c:strCache>
                <c:ptCount val="1"/>
              </c:strCache>
            </c:strRef>
          </c:tx>
          <c:marker>
            <c:symbol val="none"/>
          </c:marker>
          <c:val>
            <c:numRef>
              <c:f>Diagrams!$F$16:$R$16</c:f>
              <c:numCache>
                <c:formatCode>d/m/yy;@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smooth val="0"/>
        </c:ser>
        <c:ser>
          <c:idx val="9"/>
          <c:order val="9"/>
          <c:tx>
            <c:strRef>
              <c:f>Diagrams!$C$17</c:f>
              <c:strCache>
                <c:ptCount val="1"/>
              </c:strCache>
            </c:strRef>
          </c:tx>
          <c:marker>
            <c:symbol val="none"/>
          </c:marker>
          <c:val>
            <c:numRef>
              <c:f>Diagrams!$F$17:$R$17</c:f>
              <c:numCache>
                <c:formatCode>d/m/yy;@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2566528"/>
        <c:axId val="82642432"/>
      </c:lineChart>
      <c:dateAx>
        <c:axId val="82566528"/>
        <c:scaling>
          <c:orientation val="minMax"/>
          <c:min val="41275"/>
        </c:scaling>
        <c:delete val="0"/>
        <c:axPos val="b"/>
        <c:numFmt formatCode="[$-409]mmm\-yy;@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fr-FR"/>
          </a:p>
        </c:txPr>
        <c:crossAx val="82642432"/>
        <c:crossesAt val="41275"/>
        <c:auto val="1"/>
        <c:lblOffset val="100"/>
        <c:baseTimeUnit val="months"/>
        <c:majorUnit val="1"/>
        <c:majorTimeUnit val="months"/>
      </c:dateAx>
      <c:valAx>
        <c:axId val="82642432"/>
        <c:scaling>
          <c:orientation val="minMax"/>
          <c:min val="41274"/>
        </c:scaling>
        <c:delete val="0"/>
        <c:axPos val="l"/>
        <c:majorGridlines/>
        <c:numFmt formatCode="[$-409]mmm\-yy;@" sourceLinked="0"/>
        <c:majorTickMark val="out"/>
        <c:minorTickMark val="none"/>
        <c:tickLblPos val="nextTo"/>
        <c:txPr>
          <a:bodyPr/>
          <a:lstStyle/>
          <a:p>
            <a:pPr>
              <a:defRPr sz="900"/>
            </a:pPr>
            <a:endParaRPr lang="fr-FR"/>
          </a:p>
        </c:txPr>
        <c:crossAx val="82566528"/>
        <c:crosses val="autoZero"/>
        <c:crossBetween val="midCat"/>
      </c:valAx>
    </c:plotArea>
    <c:legend>
      <c:legendPos val="b"/>
      <c:layout>
        <c:manualLayout>
          <c:xMode val="edge"/>
          <c:yMode val="edge"/>
          <c:x val="7.9293019407056867E-2"/>
          <c:y val="0.79706905597103206"/>
          <c:w val="0.80200509419081234"/>
          <c:h val="0.18725370585633314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514350</xdr:colOff>
      <xdr:row>17</xdr:row>
      <xdr:rowOff>180975</xdr:rowOff>
    </xdr:from>
    <xdr:to>
      <xdr:col>8</xdr:col>
      <xdr:colOff>466603</xdr:colOff>
      <xdr:row>32</xdr:row>
      <xdr:rowOff>27698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209550</xdr:colOff>
      <xdr:row>18</xdr:row>
      <xdr:rowOff>0</xdr:rowOff>
    </xdr:from>
    <xdr:to>
      <xdr:col>4</xdr:col>
      <xdr:colOff>361950</xdr:colOff>
      <xdr:row>43</xdr:row>
      <xdr:rowOff>98050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S109"/>
  <sheetViews>
    <sheetView topLeftCell="A31" zoomScale="70" zoomScaleNormal="70" workbookViewId="0">
      <selection activeCell="F50" sqref="F50"/>
    </sheetView>
  </sheetViews>
  <sheetFormatPr baseColWidth="10" defaultRowHeight="26.25" customHeight="1"/>
  <cols>
    <col min="1" max="2" width="22.42578125" customWidth="1"/>
    <col min="3" max="3" width="44.5703125" customWidth="1"/>
    <col min="4" max="18" width="9.85546875" customWidth="1"/>
    <col min="19" max="19" width="8" customWidth="1"/>
    <col min="20" max="22" width="8.5703125" customWidth="1"/>
  </cols>
  <sheetData>
    <row r="1" spans="1:19" ht="26.25" customHeight="1" thickBot="1">
      <c r="A1" t="s">
        <v>12</v>
      </c>
      <c r="D1" s="2"/>
      <c r="E1" s="2"/>
      <c r="F1" s="73" t="s">
        <v>3</v>
      </c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</row>
    <row r="2" spans="1:19" ht="33.75" customHeight="1" thickBot="1">
      <c r="A2" s="19" t="s">
        <v>0</v>
      </c>
      <c r="B2" s="20" t="s">
        <v>1</v>
      </c>
      <c r="C2" s="21" t="s">
        <v>2</v>
      </c>
      <c r="D2" s="22" t="s">
        <v>5</v>
      </c>
      <c r="E2" s="22" t="s">
        <v>4</v>
      </c>
      <c r="F2" s="5">
        <v>41275</v>
      </c>
      <c r="G2" s="5">
        <v>41306</v>
      </c>
      <c r="H2" s="5">
        <v>41334</v>
      </c>
      <c r="I2" s="5">
        <v>41365</v>
      </c>
      <c r="J2" s="5">
        <v>41395</v>
      </c>
      <c r="K2" s="5">
        <v>41426</v>
      </c>
      <c r="L2" s="5">
        <v>41456</v>
      </c>
      <c r="M2" s="5">
        <v>41487</v>
      </c>
      <c r="N2" s="5">
        <v>41518</v>
      </c>
      <c r="O2" s="5">
        <v>41548</v>
      </c>
      <c r="P2" s="5">
        <v>41579</v>
      </c>
      <c r="Q2" s="5">
        <v>41609</v>
      </c>
      <c r="R2" s="5">
        <v>41640</v>
      </c>
      <c r="S2" s="37">
        <v>41671</v>
      </c>
    </row>
    <row r="3" spans="1:19" ht="26.25" customHeight="1">
      <c r="A3" s="6" t="s">
        <v>95</v>
      </c>
      <c r="B3" s="7" t="s">
        <v>97</v>
      </c>
      <c r="C3" s="8" t="s">
        <v>41</v>
      </c>
      <c r="D3" s="23">
        <v>41304</v>
      </c>
      <c r="E3" s="23">
        <f>R3</f>
        <v>41304</v>
      </c>
      <c r="F3" s="40">
        <v>41304</v>
      </c>
      <c r="G3" s="40">
        <f>F3</f>
        <v>41304</v>
      </c>
      <c r="H3" s="40">
        <f t="shared" ref="H3:R3" si="0">G3</f>
        <v>41304</v>
      </c>
      <c r="I3" s="40">
        <f t="shared" si="0"/>
        <v>41304</v>
      </c>
      <c r="J3" s="40">
        <f t="shared" si="0"/>
        <v>41304</v>
      </c>
      <c r="K3" s="40">
        <f t="shared" si="0"/>
        <v>41304</v>
      </c>
      <c r="L3" s="40">
        <f t="shared" si="0"/>
        <v>41304</v>
      </c>
      <c r="M3" s="40">
        <f t="shared" si="0"/>
        <v>41304</v>
      </c>
      <c r="N3" s="40">
        <f t="shared" si="0"/>
        <v>41304</v>
      </c>
      <c r="O3" s="40">
        <f t="shared" si="0"/>
        <v>41304</v>
      </c>
      <c r="P3" s="40">
        <f t="shared" si="0"/>
        <v>41304</v>
      </c>
      <c r="Q3" s="40">
        <f t="shared" si="0"/>
        <v>41304</v>
      </c>
      <c r="R3" s="40">
        <f t="shared" si="0"/>
        <v>41304</v>
      </c>
    </row>
    <row r="4" spans="1:19" ht="26.25" customHeight="1">
      <c r="A4" s="9" t="s">
        <v>95</v>
      </c>
      <c r="B4" s="10" t="s">
        <v>97</v>
      </c>
      <c r="C4" s="11" t="s">
        <v>42</v>
      </c>
      <c r="D4" s="23">
        <v>41394</v>
      </c>
      <c r="E4" s="23">
        <f t="shared" ref="E4:E11" si="1">R4</f>
        <v>41394</v>
      </c>
      <c r="F4" s="40">
        <v>41394</v>
      </c>
      <c r="G4" s="40">
        <f t="shared" ref="G4:R11" si="2">F4</f>
        <v>41394</v>
      </c>
      <c r="H4" s="40">
        <f t="shared" si="2"/>
        <v>41394</v>
      </c>
      <c r="I4" s="40">
        <f t="shared" si="2"/>
        <v>41394</v>
      </c>
      <c r="J4" s="40">
        <f t="shared" si="2"/>
        <v>41394</v>
      </c>
      <c r="K4" s="40">
        <f t="shared" si="2"/>
        <v>41394</v>
      </c>
      <c r="L4" s="40">
        <f t="shared" si="2"/>
        <v>41394</v>
      </c>
      <c r="M4" s="40">
        <f t="shared" si="2"/>
        <v>41394</v>
      </c>
      <c r="N4" s="40">
        <f t="shared" si="2"/>
        <v>41394</v>
      </c>
      <c r="O4" s="40">
        <f t="shared" si="2"/>
        <v>41394</v>
      </c>
      <c r="P4" s="40">
        <f t="shared" si="2"/>
        <v>41394</v>
      </c>
      <c r="Q4" s="40">
        <f t="shared" si="2"/>
        <v>41394</v>
      </c>
      <c r="R4" s="40">
        <f t="shared" si="2"/>
        <v>41394</v>
      </c>
    </row>
    <row r="5" spans="1:19" ht="26.25" customHeight="1">
      <c r="A5" s="9" t="s">
        <v>95</v>
      </c>
      <c r="B5" s="10" t="s">
        <v>97</v>
      </c>
      <c r="C5" s="11" t="s">
        <v>43</v>
      </c>
      <c r="D5" s="23">
        <v>41394</v>
      </c>
      <c r="E5" s="23">
        <f t="shared" si="1"/>
        <v>41394</v>
      </c>
      <c r="F5" s="40">
        <v>41394</v>
      </c>
      <c r="G5" s="40">
        <f t="shared" si="2"/>
        <v>41394</v>
      </c>
      <c r="H5" s="40">
        <f t="shared" si="2"/>
        <v>41394</v>
      </c>
      <c r="I5" s="40">
        <f t="shared" si="2"/>
        <v>41394</v>
      </c>
      <c r="J5" s="40">
        <f t="shared" si="2"/>
        <v>41394</v>
      </c>
      <c r="K5" s="40">
        <f t="shared" si="2"/>
        <v>41394</v>
      </c>
      <c r="L5" s="40">
        <f t="shared" si="2"/>
        <v>41394</v>
      </c>
      <c r="M5" s="40">
        <f t="shared" si="2"/>
        <v>41394</v>
      </c>
      <c r="N5" s="40">
        <f t="shared" si="2"/>
        <v>41394</v>
      </c>
      <c r="O5" s="40">
        <f t="shared" si="2"/>
        <v>41394</v>
      </c>
      <c r="P5" s="40">
        <f t="shared" si="2"/>
        <v>41394</v>
      </c>
      <c r="Q5" s="40">
        <f t="shared" si="2"/>
        <v>41394</v>
      </c>
      <c r="R5" s="40">
        <f t="shared" si="2"/>
        <v>41394</v>
      </c>
    </row>
    <row r="6" spans="1:19" ht="26.25" customHeight="1">
      <c r="A6" s="9" t="s">
        <v>95</v>
      </c>
      <c r="B6" s="10" t="s">
        <v>97</v>
      </c>
      <c r="C6" s="12" t="s">
        <v>44</v>
      </c>
      <c r="D6" s="23">
        <v>41455</v>
      </c>
      <c r="E6" s="23">
        <f t="shared" si="1"/>
        <v>41455</v>
      </c>
      <c r="F6" s="40">
        <v>41455</v>
      </c>
      <c r="G6" s="40">
        <f t="shared" si="2"/>
        <v>41455</v>
      </c>
      <c r="H6" s="40">
        <f t="shared" si="2"/>
        <v>41455</v>
      </c>
      <c r="I6" s="40">
        <f t="shared" si="2"/>
        <v>41455</v>
      </c>
      <c r="J6" s="40">
        <f t="shared" si="2"/>
        <v>41455</v>
      </c>
      <c r="K6" s="40">
        <f t="shared" si="2"/>
        <v>41455</v>
      </c>
      <c r="L6" s="40">
        <f t="shared" si="2"/>
        <v>41455</v>
      </c>
      <c r="M6" s="40">
        <f t="shared" si="2"/>
        <v>41455</v>
      </c>
      <c r="N6" s="40">
        <f t="shared" si="2"/>
        <v>41455</v>
      </c>
      <c r="O6" s="40">
        <f t="shared" si="2"/>
        <v>41455</v>
      </c>
      <c r="P6" s="40">
        <f t="shared" si="2"/>
        <v>41455</v>
      </c>
      <c r="Q6" s="40">
        <f t="shared" si="2"/>
        <v>41455</v>
      </c>
      <c r="R6" s="40">
        <f t="shared" si="2"/>
        <v>41455</v>
      </c>
    </row>
    <row r="7" spans="1:19" ht="26.25" customHeight="1">
      <c r="A7" s="9" t="s">
        <v>95</v>
      </c>
      <c r="B7" s="10" t="s">
        <v>97</v>
      </c>
      <c r="C7" s="13" t="s">
        <v>45</v>
      </c>
      <c r="D7" s="23">
        <v>41608</v>
      </c>
      <c r="E7" s="23">
        <f t="shared" si="1"/>
        <v>41608</v>
      </c>
      <c r="F7" s="40">
        <v>41608</v>
      </c>
      <c r="G7" s="40">
        <f t="shared" si="2"/>
        <v>41608</v>
      </c>
      <c r="H7" s="40">
        <f t="shared" si="2"/>
        <v>41608</v>
      </c>
      <c r="I7" s="40">
        <f t="shared" si="2"/>
        <v>41608</v>
      </c>
      <c r="J7" s="40">
        <f t="shared" si="2"/>
        <v>41608</v>
      </c>
      <c r="K7" s="40">
        <f t="shared" si="2"/>
        <v>41608</v>
      </c>
      <c r="L7" s="40">
        <f t="shared" si="2"/>
        <v>41608</v>
      </c>
      <c r="M7" s="40">
        <f t="shared" si="2"/>
        <v>41608</v>
      </c>
      <c r="N7" s="40">
        <f t="shared" si="2"/>
        <v>41608</v>
      </c>
      <c r="O7" s="40">
        <f t="shared" si="2"/>
        <v>41608</v>
      </c>
      <c r="P7" s="40">
        <f t="shared" si="2"/>
        <v>41608</v>
      </c>
      <c r="Q7" s="40">
        <f t="shared" si="2"/>
        <v>41608</v>
      </c>
      <c r="R7" s="40">
        <f t="shared" si="2"/>
        <v>41608</v>
      </c>
    </row>
    <row r="8" spans="1:19" ht="26.25" customHeight="1">
      <c r="A8" s="9" t="s">
        <v>95</v>
      </c>
      <c r="B8" s="10" t="s">
        <v>97</v>
      </c>
      <c r="C8" s="11" t="s">
        <v>46</v>
      </c>
      <c r="D8" s="23">
        <v>41639</v>
      </c>
      <c r="E8" s="23">
        <f t="shared" si="1"/>
        <v>41639</v>
      </c>
      <c r="F8" s="40">
        <v>41639</v>
      </c>
      <c r="G8" s="40">
        <f t="shared" si="2"/>
        <v>41639</v>
      </c>
      <c r="H8" s="40">
        <f t="shared" si="2"/>
        <v>41639</v>
      </c>
      <c r="I8" s="40">
        <f t="shared" si="2"/>
        <v>41639</v>
      </c>
      <c r="J8" s="40">
        <f t="shared" si="2"/>
        <v>41639</v>
      </c>
      <c r="K8" s="40">
        <f t="shared" si="2"/>
        <v>41639</v>
      </c>
      <c r="L8" s="40">
        <f t="shared" si="2"/>
        <v>41639</v>
      </c>
      <c r="M8" s="40">
        <f t="shared" si="2"/>
        <v>41639</v>
      </c>
      <c r="N8" s="40">
        <f t="shared" si="2"/>
        <v>41639</v>
      </c>
      <c r="O8" s="40">
        <f t="shared" si="2"/>
        <v>41639</v>
      </c>
      <c r="P8" s="40">
        <f t="shared" si="2"/>
        <v>41639</v>
      </c>
      <c r="Q8" s="40">
        <f t="shared" si="2"/>
        <v>41639</v>
      </c>
      <c r="R8" s="40">
        <f t="shared" si="2"/>
        <v>41639</v>
      </c>
    </row>
    <row r="9" spans="1:19" ht="26.25" customHeight="1">
      <c r="A9" s="9" t="s">
        <v>95</v>
      </c>
      <c r="B9" s="10" t="s">
        <v>97</v>
      </c>
      <c r="C9" s="12" t="s">
        <v>47</v>
      </c>
      <c r="D9" s="24">
        <v>41639</v>
      </c>
      <c r="E9" s="23">
        <f t="shared" si="1"/>
        <v>41639</v>
      </c>
      <c r="F9" s="41">
        <v>41639</v>
      </c>
      <c r="G9" s="40">
        <f t="shared" si="2"/>
        <v>41639</v>
      </c>
      <c r="H9" s="40">
        <f t="shared" si="2"/>
        <v>41639</v>
      </c>
      <c r="I9" s="40">
        <f t="shared" si="2"/>
        <v>41639</v>
      </c>
      <c r="J9" s="40">
        <f t="shared" si="2"/>
        <v>41639</v>
      </c>
      <c r="K9" s="40">
        <f t="shared" si="2"/>
        <v>41639</v>
      </c>
      <c r="L9" s="40">
        <f t="shared" si="2"/>
        <v>41639</v>
      </c>
      <c r="M9" s="40">
        <f t="shared" si="2"/>
        <v>41639</v>
      </c>
      <c r="N9" s="40">
        <f t="shared" si="2"/>
        <v>41639</v>
      </c>
      <c r="O9" s="40">
        <f t="shared" si="2"/>
        <v>41639</v>
      </c>
      <c r="P9" s="40">
        <f t="shared" si="2"/>
        <v>41639</v>
      </c>
      <c r="Q9" s="40">
        <f t="shared" si="2"/>
        <v>41639</v>
      </c>
      <c r="R9" s="40">
        <f t="shared" si="2"/>
        <v>41639</v>
      </c>
    </row>
    <row r="10" spans="1:19" ht="26.25" customHeight="1">
      <c r="A10" s="9" t="s">
        <v>95</v>
      </c>
      <c r="B10" s="14" t="s">
        <v>97</v>
      </c>
      <c r="C10" s="13" t="s">
        <v>48</v>
      </c>
      <c r="D10" s="23">
        <v>41425</v>
      </c>
      <c r="E10" s="23">
        <f t="shared" si="1"/>
        <v>41425</v>
      </c>
      <c r="F10" s="40">
        <v>41425</v>
      </c>
      <c r="G10" s="40">
        <f t="shared" si="2"/>
        <v>41425</v>
      </c>
      <c r="H10" s="40">
        <f t="shared" si="2"/>
        <v>41425</v>
      </c>
      <c r="I10" s="40">
        <f t="shared" si="2"/>
        <v>41425</v>
      </c>
      <c r="J10" s="40">
        <f t="shared" si="2"/>
        <v>41425</v>
      </c>
      <c r="K10" s="40">
        <f t="shared" si="2"/>
        <v>41425</v>
      </c>
      <c r="L10" s="40">
        <f t="shared" si="2"/>
        <v>41425</v>
      </c>
      <c r="M10" s="40">
        <f t="shared" si="2"/>
        <v>41425</v>
      </c>
      <c r="N10" s="40">
        <f t="shared" si="2"/>
        <v>41425</v>
      </c>
      <c r="O10" s="40">
        <f t="shared" si="2"/>
        <v>41425</v>
      </c>
      <c r="P10" s="40">
        <f t="shared" si="2"/>
        <v>41425</v>
      </c>
      <c r="Q10" s="40">
        <f t="shared" si="2"/>
        <v>41425</v>
      </c>
      <c r="R10" s="40">
        <f t="shared" si="2"/>
        <v>41425</v>
      </c>
    </row>
    <row r="11" spans="1:19" ht="26.25" customHeight="1">
      <c r="A11" s="9" t="s">
        <v>95</v>
      </c>
      <c r="B11" s="14" t="s">
        <v>97</v>
      </c>
      <c r="C11" s="13" t="s">
        <v>49</v>
      </c>
      <c r="D11" s="23">
        <v>41547</v>
      </c>
      <c r="E11" s="23">
        <f t="shared" si="1"/>
        <v>41547</v>
      </c>
      <c r="F11" s="40">
        <v>41547</v>
      </c>
      <c r="G11" s="40">
        <f t="shared" si="2"/>
        <v>41547</v>
      </c>
      <c r="H11" s="40">
        <f t="shared" si="2"/>
        <v>41547</v>
      </c>
      <c r="I11" s="40">
        <f t="shared" si="2"/>
        <v>41547</v>
      </c>
      <c r="J11" s="40">
        <f t="shared" si="2"/>
        <v>41547</v>
      </c>
      <c r="K11" s="40">
        <f t="shared" si="2"/>
        <v>41547</v>
      </c>
      <c r="L11" s="40">
        <f t="shared" si="2"/>
        <v>41547</v>
      </c>
      <c r="M11" s="40">
        <f t="shared" si="2"/>
        <v>41547</v>
      </c>
      <c r="N11" s="40">
        <f t="shared" si="2"/>
        <v>41547</v>
      </c>
      <c r="O11" s="40">
        <f t="shared" si="2"/>
        <v>41547</v>
      </c>
      <c r="P11" s="40">
        <f t="shared" si="2"/>
        <v>41547</v>
      </c>
      <c r="Q11" s="40">
        <f t="shared" si="2"/>
        <v>41547</v>
      </c>
      <c r="R11" s="40">
        <f t="shared" si="2"/>
        <v>41547</v>
      </c>
    </row>
    <row r="12" spans="1:19" ht="26.25" customHeight="1">
      <c r="A12" s="9" t="s">
        <v>95</v>
      </c>
      <c r="B12" s="15" t="s">
        <v>98</v>
      </c>
      <c r="C12" s="16" t="s">
        <v>50</v>
      </c>
      <c r="D12" s="25">
        <v>41365</v>
      </c>
      <c r="E12" s="23">
        <f t="shared" ref="E12:E25" si="3">R12</f>
        <v>41365</v>
      </c>
      <c r="F12" s="42">
        <v>41365</v>
      </c>
      <c r="G12" s="40">
        <f t="shared" ref="G12:R25" si="4">F12</f>
        <v>41365</v>
      </c>
      <c r="H12" s="40">
        <f t="shared" si="4"/>
        <v>41365</v>
      </c>
      <c r="I12" s="40">
        <f t="shared" si="4"/>
        <v>41365</v>
      </c>
      <c r="J12" s="40">
        <f t="shared" si="4"/>
        <v>41365</v>
      </c>
      <c r="K12" s="40">
        <f t="shared" si="4"/>
        <v>41365</v>
      </c>
      <c r="L12" s="40">
        <f t="shared" si="4"/>
        <v>41365</v>
      </c>
      <c r="M12" s="40">
        <f t="shared" si="4"/>
        <v>41365</v>
      </c>
      <c r="N12" s="40">
        <f t="shared" si="4"/>
        <v>41365</v>
      </c>
      <c r="O12" s="40">
        <f t="shared" si="4"/>
        <v>41365</v>
      </c>
      <c r="P12" s="40">
        <f t="shared" si="4"/>
        <v>41365</v>
      </c>
      <c r="Q12" s="40">
        <f t="shared" si="4"/>
        <v>41365</v>
      </c>
      <c r="R12" s="40">
        <f t="shared" si="4"/>
        <v>41365</v>
      </c>
    </row>
    <row r="13" spans="1:19" ht="26.25" customHeight="1">
      <c r="A13" s="9" t="s">
        <v>95</v>
      </c>
      <c r="B13" s="15" t="s">
        <v>98</v>
      </c>
      <c r="C13" s="16" t="s">
        <v>51</v>
      </c>
      <c r="D13" s="25">
        <v>41365</v>
      </c>
      <c r="E13" s="23">
        <f t="shared" si="3"/>
        <v>41365</v>
      </c>
      <c r="F13" s="42">
        <v>41365</v>
      </c>
      <c r="G13" s="40">
        <f t="shared" si="4"/>
        <v>41365</v>
      </c>
      <c r="H13" s="40">
        <f t="shared" si="4"/>
        <v>41365</v>
      </c>
      <c r="I13" s="40">
        <f t="shared" si="4"/>
        <v>41365</v>
      </c>
      <c r="J13" s="40">
        <f t="shared" si="4"/>
        <v>41365</v>
      </c>
      <c r="K13" s="40">
        <f t="shared" si="4"/>
        <v>41365</v>
      </c>
      <c r="L13" s="40">
        <f t="shared" si="4"/>
        <v>41365</v>
      </c>
      <c r="M13" s="40">
        <f t="shared" si="4"/>
        <v>41365</v>
      </c>
      <c r="N13" s="40">
        <f t="shared" si="4"/>
        <v>41365</v>
      </c>
      <c r="O13" s="40">
        <f t="shared" si="4"/>
        <v>41365</v>
      </c>
      <c r="P13" s="40">
        <f t="shared" si="4"/>
        <v>41365</v>
      </c>
      <c r="Q13" s="40">
        <f t="shared" si="4"/>
        <v>41365</v>
      </c>
      <c r="R13" s="40">
        <f t="shared" si="4"/>
        <v>41365</v>
      </c>
    </row>
    <row r="14" spans="1:19" ht="26.25" customHeight="1">
      <c r="A14" s="9" t="s">
        <v>95</v>
      </c>
      <c r="B14" s="15" t="s">
        <v>98</v>
      </c>
      <c r="C14" s="16" t="s">
        <v>52</v>
      </c>
      <c r="D14" s="25">
        <v>41456</v>
      </c>
      <c r="E14" s="23">
        <f t="shared" si="3"/>
        <v>41456</v>
      </c>
      <c r="F14" s="42">
        <v>41456</v>
      </c>
      <c r="G14" s="40">
        <f t="shared" si="4"/>
        <v>41456</v>
      </c>
      <c r="H14" s="40">
        <f t="shared" si="4"/>
        <v>41456</v>
      </c>
      <c r="I14" s="40">
        <f t="shared" si="4"/>
        <v>41456</v>
      </c>
      <c r="J14" s="40">
        <f t="shared" si="4"/>
        <v>41456</v>
      </c>
      <c r="K14" s="40">
        <f t="shared" si="4"/>
        <v>41456</v>
      </c>
      <c r="L14" s="40">
        <f t="shared" si="4"/>
        <v>41456</v>
      </c>
      <c r="M14" s="40">
        <f t="shared" si="4"/>
        <v>41456</v>
      </c>
      <c r="N14" s="40">
        <f t="shared" si="4"/>
        <v>41456</v>
      </c>
      <c r="O14" s="40">
        <f t="shared" si="4"/>
        <v>41456</v>
      </c>
      <c r="P14" s="40">
        <f t="shared" si="4"/>
        <v>41456</v>
      </c>
      <c r="Q14" s="40">
        <f t="shared" si="4"/>
        <v>41456</v>
      </c>
      <c r="R14" s="40">
        <f t="shared" si="4"/>
        <v>41456</v>
      </c>
    </row>
    <row r="15" spans="1:19" ht="26.25" customHeight="1">
      <c r="A15" s="9" t="s">
        <v>95</v>
      </c>
      <c r="B15" s="15" t="s">
        <v>98</v>
      </c>
      <c r="C15" s="16" t="s">
        <v>53</v>
      </c>
      <c r="D15" s="25">
        <v>41579</v>
      </c>
      <c r="E15" s="23">
        <f t="shared" si="3"/>
        <v>41579</v>
      </c>
      <c r="F15" s="42">
        <v>41579</v>
      </c>
      <c r="G15" s="40">
        <f t="shared" si="4"/>
        <v>41579</v>
      </c>
      <c r="H15" s="40">
        <f t="shared" si="4"/>
        <v>41579</v>
      </c>
      <c r="I15" s="40">
        <f t="shared" si="4"/>
        <v>41579</v>
      </c>
      <c r="J15" s="40">
        <f t="shared" si="4"/>
        <v>41579</v>
      </c>
      <c r="K15" s="40">
        <f t="shared" si="4"/>
        <v>41579</v>
      </c>
      <c r="L15" s="40">
        <f t="shared" si="4"/>
        <v>41579</v>
      </c>
      <c r="M15" s="40">
        <f t="shared" si="4"/>
        <v>41579</v>
      </c>
      <c r="N15" s="40">
        <f t="shared" si="4"/>
        <v>41579</v>
      </c>
      <c r="O15" s="40">
        <f t="shared" si="4"/>
        <v>41579</v>
      </c>
      <c r="P15" s="40">
        <f t="shared" si="4"/>
        <v>41579</v>
      </c>
      <c r="Q15" s="40">
        <f t="shared" si="4"/>
        <v>41579</v>
      </c>
      <c r="R15" s="40">
        <f t="shared" si="4"/>
        <v>41579</v>
      </c>
    </row>
    <row r="16" spans="1:19" ht="26.25" customHeight="1">
      <c r="A16" s="9" t="s">
        <v>95</v>
      </c>
      <c r="B16" s="15" t="s">
        <v>98</v>
      </c>
      <c r="C16" s="16" t="s">
        <v>54</v>
      </c>
      <c r="D16" s="25">
        <v>41609</v>
      </c>
      <c r="E16" s="23">
        <f t="shared" si="3"/>
        <v>41609</v>
      </c>
      <c r="F16" s="42">
        <v>41609</v>
      </c>
      <c r="G16" s="40">
        <f t="shared" si="4"/>
        <v>41609</v>
      </c>
      <c r="H16" s="40">
        <f t="shared" si="4"/>
        <v>41609</v>
      </c>
      <c r="I16" s="40">
        <f t="shared" si="4"/>
        <v>41609</v>
      </c>
      <c r="J16" s="40">
        <f t="shared" si="4"/>
        <v>41609</v>
      </c>
      <c r="K16" s="40">
        <f t="shared" si="4"/>
        <v>41609</v>
      </c>
      <c r="L16" s="40">
        <f t="shared" si="4"/>
        <v>41609</v>
      </c>
      <c r="M16" s="40">
        <f t="shared" si="4"/>
        <v>41609</v>
      </c>
      <c r="N16" s="40">
        <f t="shared" si="4"/>
        <v>41609</v>
      </c>
      <c r="O16" s="40">
        <f t="shared" si="4"/>
        <v>41609</v>
      </c>
      <c r="P16" s="40">
        <f t="shared" si="4"/>
        <v>41609</v>
      </c>
      <c r="Q16" s="40">
        <f t="shared" si="4"/>
        <v>41609</v>
      </c>
      <c r="R16" s="40">
        <f t="shared" si="4"/>
        <v>41609</v>
      </c>
    </row>
    <row r="17" spans="1:18" ht="26.25" customHeight="1">
      <c r="A17" s="9" t="s">
        <v>95</v>
      </c>
      <c r="B17" s="14" t="s">
        <v>99</v>
      </c>
      <c r="C17" s="13" t="s">
        <v>55</v>
      </c>
      <c r="D17" s="23">
        <v>41363</v>
      </c>
      <c r="E17" s="23">
        <f>R17</f>
        <v>41394</v>
      </c>
      <c r="F17" s="40">
        <v>41363</v>
      </c>
      <c r="G17" s="40">
        <v>41394</v>
      </c>
      <c r="H17" s="40">
        <f>G17</f>
        <v>41394</v>
      </c>
      <c r="I17" s="40">
        <f t="shared" ref="I17:R17" si="5">H17</f>
        <v>41394</v>
      </c>
      <c r="J17" s="40">
        <f t="shared" si="5"/>
        <v>41394</v>
      </c>
      <c r="K17" s="40">
        <f t="shared" si="5"/>
        <v>41394</v>
      </c>
      <c r="L17" s="40">
        <f t="shared" si="5"/>
        <v>41394</v>
      </c>
      <c r="M17" s="40">
        <f t="shared" si="5"/>
        <v>41394</v>
      </c>
      <c r="N17" s="40">
        <f t="shared" si="5"/>
        <v>41394</v>
      </c>
      <c r="O17" s="40">
        <f t="shared" si="5"/>
        <v>41394</v>
      </c>
      <c r="P17" s="40">
        <f t="shared" si="5"/>
        <v>41394</v>
      </c>
      <c r="Q17" s="40">
        <f t="shared" si="5"/>
        <v>41394</v>
      </c>
      <c r="R17" s="40">
        <f t="shared" si="5"/>
        <v>41394</v>
      </c>
    </row>
    <row r="18" spans="1:18" ht="26.25" customHeight="1">
      <c r="A18" s="9" t="s">
        <v>95</v>
      </c>
      <c r="B18" s="14" t="s">
        <v>99</v>
      </c>
      <c r="C18" s="13" t="s">
        <v>56</v>
      </c>
      <c r="D18" s="23">
        <v>41394</v>
      </c>
      <c r="E18" s="23">
        <f t="shared" si="3"/>
        <v>41394</v>
      </c>
      <c r="F18" s="40">
        <v>41394</v>
      </c>
      <c r="G18" s="40">
        <v>41394</v>
      </c>
      <c r="H18" s="40">
        <v>41394</v>
      </c>
      <c r="I18" s="40">
        <v>41394</v>
      </c>
      <c r="J18" s="40">
        <v>41394</v>
      </c>
      <c r="K18" s="40">
        <v>41394</v>
      </c>
      <c r="L18" s="40">
        <v>41394</v>
      </c>
      <c r="M18" s="40">
        <v>41394</v>
      </c>
      <c r="N18" s="40">
        <v>41394</v>
      </c>
      <c r="O18" s="40">
        <v>41394</v>
      </c>
      <c r="P18" s="40">
        <v>41394</v>
      </c>
      <c r="Q18" s="40">
        <v>41394</v>
      </c>
      <c r="R18" s="40">
        <f t="shared" ref="R18" si="6">Q18</f>
        <v>41394</v>
      </c>
    </row>
    <row r="19" spans="1:18" ht="26.25" customHeight="1">
      <c r="A19" s="9" t="s">
        <v>95</v>
      </c>
      <c r="B19" s="14" t="s">
        <v>99</v>
      </c>
      <c r="C19" s="13" t="s">
        <v>57</v>
      </c>
      <c r="D19" s="23">
        <v>41394</v>
      </c>
      <c r="E19" s="23">
        <f t="shared" si="3"/>
        <v>41394</v>
      </c>
      <c r="F19" s="40">
        <v>41394</v>
      </c>
      <c r="G19" s="40">
        <v>41394</v>
      </c>
      <c r="H19" s="40">
        <v>41394</v>
      </c>
      <c r="I19" s="40">
        <v>41394</v>
      </c>
      <c r="J19" s="40">
        <v>41394</v>
      </c>
      <c r="K19" s="40">
        <v>41394</v>
      </c>
      <c r="L19" s="40">
        <v>41394</v>
      </c>
      <c r="M19" s="40">
        <v>41394</v>
      </c>
      <c r="N19" s="40">
        <v>41394</v>
      </c>
      <c r="O19" s="40">
        <v>41394</v>
      </c>
      <c r="P19" s="40">
        <v>41394</v>
      </c>
      <c r="Q19" s="40">
        <v>41394</v>
      </c>
      <c r="R19" s="40">
        <f t="shared" ref="R19" si="7">Q19</f>
        <v>41394</v>
      </c>
    </row>
    <row r="20" spans="1:18" ht="26.25" customHeight="1">
      <c r="A20" s="9" t="s">
        <v>95</v>
      </c>
      <c r="B20" s="14" t="s">
        <v>99</v>
      </c>
      <c r="C20" s="13" t="s">
        <v>58</v>
      </c>
      <c r="D20" s="23">
        <v>41485</v>
      </c>
      <c r="E20" s="23">
        <f t="shared" si="3"/>
        <v>41485</v>
      </c>
      <c r="F20" s="40">
        <v>41485</v>
      </c>
      <c r="G20" s="40">
        <v>41485</v>
      </c>
      <c r="H20" s="40">
        <v>41485</v>
      </c>
      <c r="I20" s="40">
        <v>41485</v>
      </c>
      <c r="J20" s="40">
        <v>41485</v>
      </c>
      <c r="K20" s="40">
        <v>41485</v>
      </c>
      <c r="L20" s="40">
        <v>41485</v>
      </c>
      <c r="M20" s="40">
        <v>41485</v>
      </c>
      <c r="N20" s="40">
        <v>41485</v>
      </c>
      <c r="O20" s="40">
        <v>41485</v>
      </c>
      <c r="P20" s="40">
        <v>41485</v>
      </c>
      <c r="Q20" s="40">
        <v>41485</v>
      </c>
      <c r="R20" s="40">
        <f t="shared" ref="R20:R21" si="8">Q20</f>
        <v>41485</v>
      </c>
    </row>
    <row r="21" spans="1:18" ht="26.25" customHeight="1">
      <c r="A21" s="9" t="s">
        <v>95</v>
      </c>
      <c r="B21" s="14" t="s">
        <v>99</v>
      </c>
      <c r="C21" s="13" t="s">
        <v>59</v>
      </c>
      <c r="D21" s="23">
        <v>41485</v>
      </c>
      <c r="E21" s="23">
        <f>R21+24</f>
        <v>41540</v>
      </c>
      <c r="F21" s="40">
        <v>41485</v>
      </c>
      <c r="G21" s="40">
        <v>41485</v>
      </c>
      <c r="H21" s="40">
        <v>41485</v>
      </c>
      <c r="I21" s="40">
        <v>41485</v>
      </c>
      <c r="J21" s="40">
        <v>41485</v>
      </c>
      <c r="K21" s="40">
        <v>41485</v>
      </c>
      <c r="L21" s="40">
        <v>41485</v>
      </c>
      <c r="M21" s="40">
        <v>41516</v>
      </c>
      <c r="N21" s="40">
        <f>M21</f>
        <v>41516</v>
      </c>
      <c r="O21" s="40">
        <f t="shared" ref="O21:Q21" si="9">N21</f>
        <v>41516</v>
      </c>
      <c r="P21" s="40">
        <f t="shared" si="9"/>
        <v>41516</v>
      </c>
      <c r="Q21" s="40">
        <f t="shared" si="9"/>
        <v>41516</v>
      </c>
      <c r="R21" s="40">
        <f t="shared" si="8"/>
        <v>41516</v>
      </c>
    </row>
    <row r="22" spans="1:18" ht="26.25" customHeight="1">
      <c r="A22" s="9" t="s">
        <v>95</v>
      </c>
      <c r="B22" s="14" t="s">
        <v>99</v>
      </c>
      <c r="C22" s="13" t="s">
        <v>60</v>
      </c>
      <c r="D22" s="23">
        <v>41547</v>
      </c>
      <c r="E22" s="23">
        <f t="shared" si="3"/>
        <v>41547</v>
      </c>
      <c r="F22" s="40">
        <v>41547</v>
      </c>
      <c r="G22" s="40">
        <v>41547</v>
      </c>
      <c r="H22" s="40">
        <v>41547</v>
      </c>
      <c r="I22" s="40">
        <v>41547</v>
      </c>
      <c r="J22" s="40">
        <v>41547</v>
      </c>
      <c r="K22" s="40">
        <v>41547</v>
      </c>
      <c r="L22" s="40">
        <v>41547</v>
      </c>
      <c r="M22" s="40">
        <v>41547</v>
      </c>
      <c r="N22" s="40">
        <v>41547</v>
      </c>
      <c r="O22" s="40">
        <v>41547</v>
      </c>
      <c r="P22" s="40">
        <v>41547</v>
      </c>
      <c r="Q22" s="40">
        <v>41547</v>
      </c>
      <c r="R22" s="40">
        <f t="shared" ref="R22" si="10">Q22</f>
        <v>41547</v>
      </c>
    </row>
    <row r="23" spans="1:18" ht="26.25" customHeight="1">
      <c r="A23" s="9" t="s">
        <v>95</v>
      </c>
      <c r="B23" s="14" t="s">
        <v>99</v>
      </c>
      <c r="C23" s="13" t="s">
        <v>61</v>
      </c>
      <c r="D23" s="23">
        <v>41639</v>
      </c>
      <c r="E23" s="23">
        <f t="shared" si="3"/>
        <v>41639</v>
      </c>
      <c r="F23" s="40">
        <v>41639</v>
      </c>
      <c r="G23" s="40">
        <v>41639</v>
      </c>
      <c r="H23" s="40">
        <v>41639</v>
      </c>
      <c r="I23" s="40">
        <v>41639</v>
      </c>
      <c r="J23" s="40">
        <v>41639</v>
      </c>
      <c r="K23" s="40">
        <v>41639</v>
      </c>
      <c r="L23" s="40">
        <v>41639</v>
      </c>
      <c r="M23" s="40">
        <v>41639</v>
      </c>
      <c r="N23" s="40">
        <v>41639</v>
      </c>
      <c r="O23" s="40">
        <v>41639</v>
      </c>
      <c r="P23" s="40">
        <v>41639</v>
      </c>
      <c r="Q23" s="40">
        <v>41639</v>
      </c>
      <c r="R23" s="40">
        <f t="shared" ref="R23" si="11">Q23</f>
        <v>41639</v>
      </c>
    </row>
    <row r="24" spans="1:18" ht="26.25" customHeight="1">
      <c r="A24" s="9" t="s">
        <v>95</v>
      </c>
      <c r="B24" s="14" t="s">
        <v>100</v>
      </c>
      <c r="C24" s="12" t="s">
        <v>62</v>
      </c>
      <c r="D24" s="23">
        <v>41367</v>
      </c>
      <c r="E24" s="23" t="str">
        <f t="shared" si="3"/>
        <v>31/04/2013</v>
      </c>
      <c r="F24" s="40" t="s">
        <v>110</v>
      </c>
      <c r="G24" s="40" t="str">
        <f t="shared" si="4"/>
        <v>31/04/2013</v>
      </c>
      <c r="H24" s="40" t="str">
        <f t="shared" si="4"/>
        <v>31/04/2013</v>
      </c>
      <c r="I24" s="40" t="str">
        <f t="shared" si="4"/>
        <v>31/04/2013</v>
      </c>
      <c r="J24" s="40" t="str">
        <f t="shared" si="4"/>
        <v>31/04/2013</v>
      </c>
      <c r="K24" s="40" t="str">
        <f t="shared" si="4"/>
        <v>31/04/2013</v>
      </c>
      <c r="L24" s="40" t="str">
        <f t="shared" si="4"/>
        <v>31/04/2013</v>
      </c>
      <c r="M24" s="40" t="str">
        <f t="shared" si="4"/>
        <v>31/04/2013</v>
      </c>
      <c r="N24" s="40" t="str">
        <f t="shared" si="4"/>
        <v>31/04/2013</v>
      </c>
      <c r="O24" s="40" t="str">
        <f t="shared" si="4"/>
        <v>31/04/2013</v>
      </c>
      <c r="P24" s="40" t="str">
        <f t="shared" si="4"/>
        <v>31/04/2013</v>
      </c>
      <c r="Q24" s="40" t="str">
        <f t="shared" si="4"/>
        <v>31/04/2013</v>
      </c>
      <c r="R24" s="40" t="str">
        <f t="shared" si="4"/>
        <v>31/04/2013</v>
      </c>
    </row>
    <row r="25" spans="1:18" ht="26.25" customHeight="1">
      <c r="A25" s="9" t="s">
        <v>95</v>
      </c>
      <c r="B25" s="14" t="s">
        <v>100</v>
      </c>
      <c r="C25" s="12" t="s">
        <v>63</v>
      </c>
      <c r="D25" s="23">
        <v>41458</v>
      </c>
      <c r="E25" s="23">
        <f t="shared" si="3"/>
        <v>41486</v>
      </c>
      <c r="F25" s="40">
        <v>41486</v>
      </c>
      <c r="G25" s="40">
        <f t="shared" si="4"/>
        <v>41486</v>
      </c>
      <c r="H25" s="40">
        <f t="shared" si="4"/>
        <v>41486</v>
      </c>
      <c r="I25" s="40">
        <f t="shared" si="4"/>
        <v>41486</v>
      </c>
      <c r="J25" s="40">
        <f t="shared" ref="J25:R25" si="12">I25</f>
        <v>41486</v>
      </c>
      <c r="K25" s="40">
        <f t="shared" si="12"/>
        <v>41486</v>
      </c>
      <c r="L25" s="40">
        <f t="shared" si="12"/>
        <v>41486</v>
      </c>
      <c r="M25" s="40">
        <f t="shared" si="12"/>
        <v>41486</v>
      </c>
      <c r="N25" s="40">
        <f t="shared" si="12"/>
        <v>41486</v>
      </c>
      <c r="O25" s="40">
        <f t="shared" si="12"/>
        <v>41486</v>
      </c>
      <c r="P25" s="40">
        <f t="shared" si="12"/>
        <v>41486</v>
      </c>
      <c r="Q25" s="40">
        <f t="shared" si="12"/>
        <v>41486</v>
      </c>
      <c r="R25" s="40">
        <f t="shared" si="12"/>
        <v>41486</v>
      </c>
    </row>
    <row r="26" spans="1:18" ht="30" customHeight="1">
      <c r="A26" s="9" t="s">
        <v>95</v>
      </c>
      <c r="B26" s="14" t="s">
        <v>100</v>
      </c>
      <c r="C26" s="12" t="s">
        <v>64</v>
      </c>
      <c r="D26" s="23">
        <v>41458</v>
      </c>
      <c r="E26" s="23">
        <f t="shared" ref="E26" si="13">R26</f>
        <v>41485</v>
      </c>
      <c r="F26" s="40">
        <v>41485</v>
      </c>
      <c r="G26" s="40">
        <f t="shared" ref="G26" si="14">F26</f>
        <v>41485</v>
      </c>
      <c r="H26" s="40">
        <f t="shared" ref="H26" si="15">G26</f>
        <v>41485</v>
      </c>
      <c r="I26" s="40">
        <f t="shared" ref="I26" si="16">H26</f>
        <v>41485</v>
      </c>
      <c r="J26" s="40">
        <f t="shared" ref="J26" si="17">I26</f>
        <v>41485</v>
      </c>
      <c r="K26" s="40">
        <f t="shared" ref="K26" si="18">J26</f>
        <v>41485</v>
      </c>
      <c r="L26" s="40">
        <f t="shared" ref="L26" si="19">K26</f>
        <v>41485</v>
      </c>
      <c r="M26" s="40">
        <f t="shared" ref="M26" si="20">L26</f>
        <v>41485</v>
      </c>
      <c r="N26" s="40">
        <f t="shared" ref="N26" si="21">M26</f>
        <v>41485</v>
      </c>
      <c r="O26" s="40">
        <f t="shared" ref="O26" si="22">N26</f>
        <v>41485</v>
      </c>
      <c r="P26" s="40">
        <f t="shared" ref="P26" si="23">O26</f>
        <v>41485</v>
      </c>
      <c r="Q26" s="40">
        <f t="shared" ref="Q26" si="24">P26</f>
        <v>41485</v>
      </c>
      <c r="R26" s="40">
        <f t="shared" ref="R26" si="25">Q26</f>
        <v>41485</v>
      </c>
    </row>
    <row r="27" spans="1:18" ht="26.25" customHeight="1">
      <c r="A27" s="9" t="s">
        <v>95</v>
      </c>
      <c r="B27" s="14" t="s">
        <v>100</v>
      </c>
      <c r="C27" s="12" t="s">
        <v>65</v>
      </c>
      <c r="D27" s="23">
        <v>41428</v>
      </c>
      <c r="E27" s="23">
        <f t="shared" ref="E27:E54" si="26">R27</f>
        <v>41455</v>
      </c>
      <c r="F27" s="40">
        <v>41455</v>
      </c>
      <c r="G27" s="40">
        <f t="shared" ref="G27:R54" si="27">F27</f>
        <v>41455</v>
      </c>
      <c r="H27" s="40">
        <f t="shared" si="27"/>
        <v>41455</v>
      </c>
      <c r="I27" s="40">
        <f t="shared" si="27"/>
        <v>41455</v>
      </c>
      <c r="J27" s="40">
        <f t="shared" si="27"/>
        <v>41455</v>
      </c>
      <c r="K27" s="40">
        <f t="shared" si="27"/>
        <v>41455</v>
      </c>
      <c r="L27" s="40">
        <f t="shared" si="27"/>
        <v>41455</v>
      </c>
      <c r="M27" s="40">
        <f t="shared" si="27"/>
        <v>41455</v>
      </c>
      <c r="N27" s="40">
        <f t="shared" si="27"/>
        <v>41455</v>
      </c>
      <c r="O27" s="40">
        <f t="shared" si="27"/>
        <v>41455</v>
      </c>
      <c r="P27" s="40">
        <f t="shared" si="27"/>
        <v>41455</v>
      </c>
      <c r="Q27" s="40">
        <f t="shared" si="27"/>
        <v>41455</v>
      </c>
      <c r="R27" s="40">
        <f t="shared" si="27"/>
        <v>41455</v>
      </c>
    </row>
    <row r="28" spans="1:18" ht="26.25" customHeight="1">
      <c r="A28" s="9" t="s">
        <v>96</v>
      </c>
      <c r="B28" s="14" t="s">
        <v>101</v>
      </c>
      <c r="C28" s="12" t="s">
        <v>66</v>
      </c>
      <c r="D28" s="23">
        <v>41333</v>
      </c>
      <c r="E28" s="23">
        <f t="shared" si="26"/>
        <v>41333</v>
      </c>
      <c r="F28" s="40">
        <v>41333</v>
      </c>
      <c r="G28" s="40">
        <f t="shared" si="27"/>
        <v>41333</v>
      </c>
      <c r="H28" s="40">
        <f t="shared" si="27"/>
        <v>41333</v>
      </c>
      <c r="I28" s="40">
        <f t="shared" si="27"/>
        <v>41333</v>
      </c>
      <c r="J28" s="40">
        <f t="shared" si="27"/>
        <v>41333</v>
      </c>
      <c r="K28" s="40">
        <f t="shared" si="27"/>
        <v>41333</v>
      </c>
      <c r="L28" s="40">
        <f t="shared" si="27"/>
        <v>41333</v>
      </c>
      <c r="M28" s="40">
        <f t="shared" si="27"/>
        <v>41333</v>
      </c>
      <c r="N28" s="40">
        <f t="shared" si="27"/>
        <v>41333</v>
      </c>
      <c r="O28" s="40">
        <f t="shared" si="27"/>
        <v>41333</v>
      </c>
      <c r="P28" s="40">
        <f t="shared" si="27"/>
        <v>41333</v>
      </c>
      <c r="Q28" s="40">
        <f t="shared" si="27"/>
        <v>41333</v>
      </c>
      <c r="R28" s="40">
        <f t="shared" si="27"/>
        <v>41333</v>
      </c>
    </row>
    <row r="29" spans="1:18" ht="26.25" customHeight="1">
      <c r="A29" s="9" t="s">
        <v>96</v>
      </c>
      <c r="B29" s="14" t="s">
        <v>101</v>
      </c>
      <c r="C29" s="12" t="s">
        <v>67</v>
      </c>
      <c r="D29" s="23">
        <v>41364</v>
      </c>
      <c r="E29" s="23">
        <f t="shared" si="26"/>
        <v>41364</v>
      </c>
      <c r="F29" s="40">
        <v>41364</v>
      </c>
      <c r="G29" s="40">
        <f t="shared" si="27"/>
        <v>41364</v>
      </c>
      <c r="H29" s="40">
        <f t="shared" si="27"/>
        <v>41364</v>
      </c>
      <c r="I29" s="40">
        <f t="shared" si="27"/>
        <v>41364</v>
      </c>
      <c r="J29" s="40">
        <f t="shared" si="27"/>
        <v>41364</v>
      </c>
      <c r="K29" s="40">
        <f t="shared" si="27"/>
        <v>41364</v>
      </c>
      <c r="L29" s="40">
        <f t="shared" si="27"/>
        <v>41364</v>
      </c>
      <c r="M29" s="40">
        <f t="shared" si="27"/>
        <v>41364</v>
      </c>
      <c r="N29" s="40">
        <f t="shared" si="27"/>
        <v>41364</v>
      </c>
      <c r="O29" s="40">
        <f t="shared" si="27"/>
        <v>41364</v>
      </c>
      <c r="P29" s="40">
        <f t="shared" si="27"/>
        <v>41364</v>
      </c>
      <c r="Q29" s="40">
        <f t="shared" si="27"/>
        <v>41364</v>
      </c>
      <c r="R29" s="40">
        <f t="shared" si="27"/>
        <v>41364</v>
      </c>
    </row>
    <row r="30" spans="1:18" ht="26.25" customHeight="1">
      <c r="A30" s="9" t="s">
        <v>96</v>
      </c>
      <c r="B30" s="14" t="s">
        <v>101</v>
      </c>
      <c r="C30" s="12" t="s">
        <v>68</v>
      </c>
      <c r="D30" s="23">
        <v>41455</v>
      </c>
      <c r="E30" s="23">
        <f t="shared" si="26"/>
        <v>41455</v>
      </c>
      <c r="F30" s="40">
        <v>41455</v>
      </c>
      <c r="G30" s="40">
        <f t="shared" si="27"/>
        <v>41455</v>
      </c>
      <c r="H30" s="40">
        <f t="shared" si="27"/>
        <v>41455</v>
      </c>
      <c r="I30" s="40">
        <f t="shared" si="27"/>
        <v>41455</v>
      </c>
      <c r="J30" s="40">
        <f t="shared" si="27"/>
        <v>41455</v>
      </c>
      <c r="K30" s="40">
        <f t="shared" si="27"/>
        <v>41455</v>
      </c>
      <c r="L30" s="40">
        <f t="shared" si="27"/>
        <v>41455</v>
      </c>
      <c r="M30" s="40">
        <f t="shared" si="27"/>
        <v>41455</v>
      </c>
      <c r="N30" s="40">
        <f t="shared" si="27"/>
        <v>41455</v>
      </c>
      <c r="O30" s="40">
        <f t="shared" si="27"/>
        <v>41455</v>
      </c>
      <c r="P30" s="40">
        <f t="shared" si="27"/>
        <v>41455</v>
      </c>
      <c r="Q30" s="40">
        <f t="shared" si="27"/>
        <v>41455</v>
      </c>
      <c r="R30" s="40">
        <f t="shared" si="27"/>
        <v>41455</v>
      </c>
    </row>
    <row r="31" spans="1:18" ht="26.25" customHeight="1">
      <c r="A31" s="9" t="s">
        <v>96</v>
      </c>
      <c r="B31" s="14" t="s">
        <v>101</v>
      </c>
      <c r="C31" s="12" t="s">
        <v>69</v>
      </c>
      <c r="D31" s="23">
        <v>41547</v>
      </c>
      <c r="E31" s="23">
        <f t="shared" si="26"/>
        <v>41547</v>
      </c>
      <c r="F31" s="40">
        <v>41547</v>
      </c>
      <c r="G31" s="40">
        <f t="shared" si="27"/>
        <v>41547</v>
      </c>
      <c r="H31" s="40">
        <f t="shared" si="27"/>
        <v>41547</v>
      </c>
      <c r="I31" s="40">
        <f t="shared" si="27"/>
        <v>41547</v>
      </c>
      <c r="J31" s="40">
        <f t="shared" si="27"/>
        <v>41547</v>
      </c>
      <c r="K31" s="40">
        <f t="shared" si="27"/>
        <v>41547</v>
      </c>
      <c r="L31" s="40">
        <f t="shared" si="27"/>
        <v>41547</v>
      </c>
      <c r="M31" s="40">
        <f t="shared" si="27"/>
        <v>41547</v>
      </c>
      <c r="N31" s="40">
        <f t="shared" si="27"/>
        <v>41547</v>
      </c>
      <c r="O31" s="40">
        <f t="shared" si="27"/>
        <v>41547</v>
      </c>
      <c r="P31" s="40">
        <f t="shared" si="27"/>
        <v>41547</v>
      </c>
      <c r="Q31" s="40">
        <f t="shared" si="27"/>
        <v>41547</v>
      </c>
      <c r="R31" s="40">
        <f t="shared" si="27"/>
        <v>41547</v>
      </c>
    </row>
    <row r="32" spans="1:18" ht="26.25" customHeight="1">
      <c r="A32" s="9" t="s">
        <v>96</v>
      </c>
      <c r="B32" s="14" t="s">
        <v>101</v>
      </c>
      <c r="C32" s="12" t="s">
        <v>70</v>
      </c>
      <c r="D32" s="23">
        <v>41608</v>
      </c>
      <c r="E32" s="23">
        <f t="shared" si="26"/>
        <v>41608</v>
      </c>
      <c r="F32" s="40">
        <v>41608</v>
      </c>
      <c r="G32" s="40">
        <f t="shared" si="27"/>
        <v>41608</v>
      </c>
      <c r="H32" s="40">
        <f t="shared" si="27"/>
        <v>41608</v>
      </c>
      <c r="I32" s="40">
        <f t="shared" si="27"/>
        <v>41608</v>
      </c>
      <c r="J32" s="40">
        <f t="shared" si="27"/>
        <v>41608</v>
      </c>
      <c r="K32" s="40">
        <f t="shared" si="27"/>
        <v>41608</v>
      </c>
      <c r="L32" s="40">
        <f t="shared" si="27"/>
        <v>41608</v>
      </c>
      <c r="M32" s="40">
        <f t="shared" si="27"/>
        <v>41608</v>
      </c>
      <c r="N32" s="40">
        <f t="shared" si="27"/>
        <v>41608</v>
      </c>
      <c r="O32" s="40">
        <f t="shared" si="27"/>
        <v>41608</v>
      </c>
      <c r="P32" s="40">
        <f t="shared" si="27"/>
        <v>41608</v>
      </c>
      <c r="Q32" s="40">
        <f t="shared" si="27"/>
        <v>41608</v>
      </c>
      <c r="R32" s="40">
        <f t="shared" si="27"/>
        <v>41608</v>
      </c>
    </row>
    <row r="33" spans="1:18" ht="26.25" customHeight="1">
      <c r="A33" s="9" t="s">
        <v>96</v>
      </c>
      <c r="B33" s="14" t="s">
        <v>102</v>
      </c>
      <c r="C33" s="12" t="s">
        <v>71</v>
      </c>
      <c r="D33" s="23">
        <v>41578</v>
      </c>
      <c r="E33" s="23">
        <f t="shared" si="26"/>
        <v>41524</v>
      </c>
      <c r="F33" s="40">
        <v>41578</v>
      </c>
      <c r="G33" s="40">
        <f t="shared" si="27"/>
        <v>41578</v>
      </c>
      <c r="H33" s="40">
        <f t="shared" si="27"/>
        <v>41578</v>
      </c>
      <c r="I33" s="40">
        <f t="shared" si="27"/>
        <v>41578</v>
      </c>
      <c r="J33" s="40">
        <f t="shared" si="27"/>
        <v>41578</v>
      </c>
      <c r="K33" s="40">
        <f t="shared" si="27"/>
        <v>41578</v>
      </c>
      <c r="L33" s="40">
        <f t="shared" si="27"/>
        <v>41578</v>
      </c>
      <c r="M33" s="40">
        <f t="shared" si="27"/>
        <v>41578</v>
      </c>
      <c r="N33" s="40">
        <f>M33-54</f>
        <v>41524</v>
      </c>
      <c r="O33" s="40">
        <f t="shared" si="27"/>
        <v>41524</v>
      </c>
      <c r="P33" s="40">
        <f t="shared" si="27"/>
        <v>41524</v>
      </c>
      <c r="Q33" s="40">
        <f t="shared" si="27"/>
        <v>41524</v>
      </c>
      <c r="R33" s="40">
        <f t="shared" si="27"/>
        <v>41524</v>
      </c>
    </row>
    <row r="34" spans="1:18" ht="26.25" customHeight="1">
      <c r="A34" s="9" t="s">
        <v>96</v>
      </c>
      <c r="B34" s="14" t="s">
        <v>102</v>
      </c>
      <c r="C34" s="12" t="s">
        <v>72</v>
      </c>
      <c r="D34" s="23">
        <v>41486</v>
      </c>
      <c r="E34" s="23">
        <f t="shared" si="26"/>
        <v>41432</v>
      </c>
      <c r="F34" s="40">
        <v>41486</v>
      </c>
      <c r="G34" s="40">
        <f t="shared" si="27"/>
        <v>41486</v>
      </c>
      <c r="H34" s="40">
        <f t="shared" si="27"/>
        <v>41486</v>
      </c>
      <c r="I34" s="40">
        <f t="shared" si="27"/>
        <v>41486</v>
      </c>
      <c r="J34" s="40">
        <f t="shared" si="27"/>
        <v>41486</v>
      </c>
      <c r="K34" s="40">
        <f t="shared" si="27"/>
        <v>41486</v>
      </c>
      <c r="L34" s="40">
        <f t="shared" si="27"/>
        <v>41486</v>
      </c>
      <c r="M34" s="40">
        <f t="shared" si="27"/>
        <v>41486</v>
      </c>
      <c r="N34" s="40">
        <f t="shared" ref="N34:N39" si="28">M34-54</f>
        <v>41432</v>
      </c>
      <c r="O34" s="40">
        <f t="shared" si="27"/>
        <v>41432</v>
      </c>
      <c r="P34" s="40">
        <f t="shared" si="27"/>
        <v>41432</v>
      </c>
      <c r="Q34" s="40">
        <f t="shared" si="27"/>
        <v>41432</v>
      </c>
      <c r="R34" s="40">
        <f t="shared" si="27"/>
        <v>41432</v>
      </c>
    </row>
    <row r="35" spans="1:18" ht="26.25" customHeight="1">
      <c r="A35" s="9" t="s">
        <v>96</v>
      </c>
      <c r="B35" s="14" t="s">
        <v>102</v>
      </c>
      <c r="C35" s="12" t="s">
        <v>73</v>
      </c>
      <c r="D35" s="23">
        <v>41628</v>
      </c>
      <c r="E35" s="23">
        <f t="shared" si="26"/>
        <v>41574</v>
      </c>
      <c r="F35" s="40">
        <v>41628</v>
      </c>
      <c r="G35" s="40">
        <f t="shared" si="27"/>
        <v>41628</v>
      </c>
      <c r="H35" s="40">
        <f t="shared" si="27"/>
        <v>41628</v>
      </c>
      <c r="I35" s="40">
        <f t="shared" si="27"/>
        <v>41628</v>
      </c>
      <c r="J35" s="40">
        <f t="shared" si="27"/>
        <v>41628</v>
      </c>
      <c r="K35" s="40">
        <f t="shared" si="27"/>
        <v>41628</v>
      </c>
      <c r="L35" s="40">
        <f t="shared" si="27"/>
        <v>41628</v>
      </c>
      <c r="M35" s="40">
        <f t="shared" si="27"/>
        <v>41628</v>
      </c>
      <c r="N35" s="40">
        <f t="shared" si="28"/>
        <v>41574</v>
      </c>
      <c r="O35" s="40">
        <f t="shared" si="27"/>
        <v>41574</v>
      </c>
      <c r="P35" s="40">
        <f t="shared" si="27"/>
        <v>41574</v>
      </c>
      <c r="Q35" s="40">
        <f t="shared" si="27"/>
        <v>41574</v>
      </c>
      <c r="R35" s="40">
        <f t="shared" si="27"/>
        <v>41574</v>
      </c>
    </row>
    <row r="36" spans="1:18" ht="26.25" customHeight="1">
      <c r="A36" s="9" t="s">
        <v>96</v>
      </c>
      <c r="B36" s="14" t="s">
        <v>102</v>
      </c>
      <c r="C36" s="12" t="s">
        <v>74</v>
      </c>
      <c r="D36" s="23">
        <v>41628</v>
      </c>
      <c r="E36" s="23">
        <f t="shared" si="26"/>
        <v>41574</v>
      </c>
      <c r="F36" s="40">
        <v>41628</v>
      </c>
      <c r="G36" s="40">
        <f t="shared" si="27"/>
        <v>41628</v>
      </c>
      <c r="H36" s="40">
        <f t="shared" si="27"/>
        <v>41628</v>
      </c>
      <c r="I36" s="40">
        <f t="shared" si="27"/>
        <v>41628</v>
      </c>
      <c r="J36" s="40">
        <f t="shared" si="27"/>
        <v>41628</v>
      </c>
      <c r="K36" s="40">
        <f t="shared" si="27"/>
        <v>41628</v>
      </c>
      <c r="L36" s="40">
        <f t="shared" si="27"/>
        <v>41628</v>
      </c>
      <c r="M36" s="40">
        <f t="shared" si="27"/>
        <v>41628</v>
      </c>
      <c r="N36" s="40">
        <f t="shared" si="28"/>
        <v>41574</v>
      </c>
      <c r="O36" s="40">
        <f t="shared" si="27"/>
        <v>41574</v>
      </c>
      <c r="P36" s="40">
        <f t="shared" si="27"/>
        <v>41574</v>
      </c>
      <c r="Q36" s="40">
        <f t="shared" si="27"/>
        <v>41574</v>
      </c>
      <c r="R36" s="40">
        <f t="shared" si="27"/>
        <v>41574</v>
      </c>
    </row>
    <row r="37" spans="1:18" ht="26.25" customHeight="1">
      <c r="A37" s="9" t="s">
        <v>96</v>
      </c>
      <c r="B37" s="14" t="s">
        <v>102</v>
      </c>
      <c r="C37" s="12" t="s">
        <v>75</v>
      </c>
      <c r="D37" s="23">
        <v>41572</v>
      </c>
      <c r="E37" s="23">
        <f t="shared" si="26"/>
        <v>41518</v>
      </c>
      <c r="F37" s="40">
        <v>41572</v>
      </c>
      <c r="G37" s="40">
        <f t="shared" si="27"/>
        <v>41572</v>
      </c>
      <c r="H37" s="40">
        <f t="shared" si="27"/>
        <v>41572</v>
      </c>
      <c r="I37" s="40">
        <f t="shared" si="27"/>
        <v>41572</v>
      </c>
      <c r="J37" s="40">
        <f t="shared" si="27"/>
        <v>41572</v>
      </c>
      <c r="K37" s="40">
        <f t="shared" si="27"/>
        <v>41572</v>
      </c>
      <c r="L37" s="40">
        <f t="shared" si="27"/>
        <v>41572</v>
      </c>
      <c r="M37" s="40">
        <f t="shared" si="27"/>
        <v>41572</v>
      </c>
      <c r="N37" s="40">
        <f t="shared" si="28"/>
        <v>41518</v>
      </c>
      <c r="O37" s="40">
        <f t="shared" si="27"/>
        <v>41518</v>
      </c>
      <c r="P37" s="40">
        <f t="shared" si="27"/>
        <v>41518</v>
      </c>
      <c r="Q37" s="40">
        <f t="shared" si="27"/>
        <v>41518</v>
      </c>
      <c r="R37" s="40">
        <f t="shared" si="27"/>
        <v>41518</v>
      </c>
    </row>
    <row r="38" spans="1:18" ht="26.25" customHeight="1">
      <c r="A38" s="9" t="s">
        <v>96</v>
      </c>
      <c r="B38" s="14" t="s">
        <v>102</v>
      </c>
      <c r="C38" s="12" t="s">
        <v>76</v>
      </c>
      <c r="D38" s="23">
        <v>41364</v>
      </c>
      <c r="E38" s="23">
        <f t="shared" si="26"/>
        <v>41310</v>
      </c>
      <c r="F38" s="40">
        <v>41364</v>
      </c>
      <c r="G38" s="40">
        <f t="shared" si="27"/>
        <v>41364</v>
      </c>
      <c r="H38" s="40">
        <f t="shared" si="27"/>
        <v>41364</v>
      </c>
      <c r="I38" s="40">
        <f t="shared" si="27"/>
        <v>41364</v>
      </c>
      <c r="J38" s="40">
        <f t="shared" si="27"/>
        <v>41364</v>
      </c>
      <c r="K38" s="40">
        <f t="shared" si="27"/>
        <v>41364</v>
      </c>
      <c r="L38" s="40">
        <f t="shared" si="27"/>
        <v>41364</v>
      </c>
      <c r="M38" s="40">
        <f t="shared" si="27"/>
        <v>41364</v>
      </c>
      <c r="N38" s="40">
        <f t="shared" si="28"/>
        <v>41310</v>
      </c>
      <c r="O38" s="40">
        <f t="shared" si="27"/>
        <v>41310</v>
      </c>
      <c r="P38" s="40">
        <f t="shared" si="27"/>
        <v>41310</v>
      </c>
      <c r="Q38" s="40">
        <f t="shared" si="27"/>
        <v>41310</v>
      </c>
      <c r="R38" s="40">
        <f t="shared" si="27"/>
        <v>41310</v>
      </c>
    </row>
    <row r="39" spans="1:18" ht="26.25" customHeight="1">
      <c r="A39" s="9" t="s">
        <v>96</v>
      </c>
      <c r="B39" s="14" t="s">
        <v>102</v>
      </c>
      <c r="C39" s="12" t="s">
        <v>77</v>
      </c>
      <c r="D39" s="23">
        <v>41578</v>
      </c>
      <c r="E39" s="23">
        <f t="shared" si="26"/>
        <v>41524</v>
      </c>
      <c r="F39" s="40">
        <v>41578</v>
      </c>
      <c r="G39" s="40">
        <f t="shared" si="27"/>
        <v>41578</v>
      </c>
      <c r="H39" s="40">
        <f t="shared" si="27"/>
        <v>41578</v>
      </c>
      <c r="I39" s="40">
        <f t="shared" si="27"/>
        <v>41578</v>
      </c>
      <c r="J39" s="40">
        <f t="shared" si="27"/>
        <v>41578</v>
      </c>
      <c r="K39" s="40">
        <f t="shared" si="27"/>
        <v>41578</v>
      </c>
      <c r="L39" s="40">
        <f t="shared" si="27"/>
        <v>41578</v>
      </c>
      <c r="M39" s="40">
        <f t="shared" si="27"/>
        <v>41578</v>
      </c>
      <c r="N39" s="40">
        <f t="shared" si="28"/>
        <v>41524</v>
      </c>
      <c r="O39" s="40">
        <f t="shared" si="27"/>
        <v>41524</v>
      </c>
      <c r="P39" s="40">
        <f t="shared" si="27"/>
        <v>41524</v>
      </c>
      <c r="Q39" s="40">
        <f t="shared" si="27"/>
        <v>41524</v>
      </c>
      <c r="R39" s="40">
        <f t="shared" si="27"/>
        <v>41524</v>
      </c>
    </row>
    <row r="40" spans="1:18" ht="26.25" customHeight="1">
      <c r="A40" s="9" t="s">
        <v>96</v>
      </c>
      <c r="B40" s="14" t="s">
        <v>102</v>
      </c>
      <c r="C40" s="12" t="s">
        <v>78</v>
      </c>
      <c r="D40" s="23">
        <v>41455</v>
      </c>
      <c r="E40" s="23">
        <f t="shared" si="26"/>
        <v>41455</v>
      </c>
      <c r="F40" s="40">
        <v>41455</v>
      </c>
      <c r="G40" s="40">
        <f t="shared" si="27"/>
        <v>41455</v>
      </c>
      <c r="H40" s="40">
        <f t="shared" si="27"/>
        <v>41455</v>
      </c>
      <c r="I40" s="40">
        <f t="shared" si="27"/>
        <v>41455</v>
      </c>
      <c r="J40" s="40">
        <f t="shared" si="27"/>
        <v>41455</v>
      </c>
      <c r="K40" s="40">
        <f t="shared" si="27"/>
        <v>41455</v>
      </c>
      <c r="L40" s="40">
        <f t="shared" si="27"/>
        <v>41455</v>
      </c>
      <c r="M40" s="40">
        <f t="shared" si="27"/>
        <v>41455</v>
      </c>
      <c r="N40" s="40">
        <f t="shared" si="27"/>
        <v>41455</v>
      </c>
      <c r="O40" s="40">
        <f t="shared" si="27"/>
        <v>41455</v>
      </c>
      <c r="P40" s="40">
        <f t="shared" si="27"/>
        <v>41455</v>
      </c>
      <c r="Q40" s="40">
        <f t="shared" si="27"/>
        <v>41455</v>
      </c>
      <c r="R40" s="40">
        <f t="shared" si="27"/>
        <v>41455</v>
      </c>
    </row>
    <row r="41" spans="1:18" ht="26.25" customHeight="1">
      <c r="A41" s="9" t="s">
        <v>96</v>
      </c>
      <c r="B41" s="14" t="s">
        <v>102</v>
      </c>
      <c r="C41" s="12" t="s">
        <v>79</v>
      </c>
      <c r="D41" s="23">
        <v>41455</v>
      </c>
      <c r="E41" s="23">
        <f t="shared" si="26"/>
        <v>41455</v>
      </c>
      <c r="F41" s="40">
        <v>41455</v>
      </c>
      <c r="G41" s="40">
        <f t="shared" si="27"/>
        <v>41455</v>
      </c>
      <c r="H41" s="40">
        <f t="shared" si="27"/>
        <v>41455</v>
      </c>
      <c r="I41" s="40">
        <f t="shared" si="27"/>
        <v>41455</v>
      </c>
      <c r="J41" s="40">
        <f t="shared" si="27"/>
        <v>41455</v>
      </c>
      <c r="K41" s="40">
        <f t="shared" si="27"/>
        <v>41455</v>
      </c>
      <c r="L41" s="40">
        <f t="shared" si="27"/>
        <v>41455</v>
      </c>
      <c r="M41" s="40">
        <f t="shared" si="27"/>
        <v>41455</v>
      </c>
      <c r="N41" s="40">
        <f t="shared" si="27"/>
        <v>41455</v>
      </c>
      <c r="O41" s="40">
        <f t="shared" si="27"/>
        <v>41455</v>
      </c>
      <c r="P41" s="40">
        <f t="shared" si="27"/>
        <v>41455</v>
      </c>
      <c r="Q41" s="40">
        <f t="shared" si="27"/>
        <v>41455</v>
      </c>
      <c r="R41" s="40">
        <f t="shared" si="27"/>
        <v>41455</v>
      </c>
    </row>
    <row r="42" spans="1:18" ht="26.25" customHeight="1">
      <c r="A42" s="9" t="s">
        <v>96</v>
      </c>
      <c r="B42" s="14" t="s">
        <v>103</v>
      </c>
      <c r="C42" s="12" t="s">
        <v>80</v>
      </c>
      <c r="D42" s="23">
        <v>41517</v>
      </c>
      <c r="E42" s="23">
        <f t="shared" si="26"/>
        <v>41517</v>
      </c>
      <c r="F42" s="40">
        <v>41517</v>
      </c>
      <c r="G42" s="40">
        <f t="shared" si="27"/>
        <v>41517</v>
      </c>
      <c r="H42" s="40">
        <f t="shared" si="27"/>
        <v>41517</v>
      </c>
      <c r="I42" s="40">
        <f t="shared" si="27"/>
        <v>41517</v>
      </c>
      <c r="J42" s="40">
        <f t="shared" si="27"/>
        <v>41517</v>
      </c>
      <c r="K42" s="40">
        <f t="shared" si="27"/>
        <v>41517</v>
      </c>
      <c r="L42" s="40">
        <f t="shared" si="27"/>
        <v>41517</v>
      </c>
      <c r="M42" s="40">
        <f t="shared" si="27"/>
        <v>41517</v>
      </c>
      <c r="N42" s="40">
        <f t="shared" si="27"/>
        <v>41517</v>
      </c>
      <c r="O42" s="40">
        <f t="shared" si="27"/>
        <v>41517</v>
      </c>
      <c r="P42" s="40">
        <f t="shared" si="27"/>
        <v>41517</v>
      </c>
      <c r="Q42" s="40">
        <f t="shared" si="27"/>
        <v>41517</v>
      </c>
      <c r="R42" s="40">
        <f t="shared" si="27"/>
        <v>41517</v>
      </c>
    </row>
    <row r="43" spans="1:18" ht="26.25" customHeight="1">
      <c r="A43" s="9" t="s">
        <v>96</v>
      </c>
      <c r="B43" s="14" t="s">
        <v>103</v>
      </c>
      <c r="C43" s="12" t="s">
        <v>81</v>
      </c>
      <c r="D43" s="23">
        <v>41547</v>
      </c>
      <c r="E43" s="23">
        <f t="shared" si="26"/>
        <v>41547</v>
      </c>
      <c r="F43" s="40">
        <v>41547</v>
      </c>
      <c r="G43" s="40">
        <f t="shared" si="27"/>
        <v>41547</v>
      </c>
      <c r="H43" s="40">
        <f t="shared" si="27"/>
        <v>41547</v>
      </c>
      <c r="I43" s="40">
        <f t="shared" si="27"/>
        <v>41547</v>
      </c>
      <c r="J43" s="40">
        <f t="shared" si="27"/>
        <v>41547</v>
      </c>
      <c r="K43" s="40">
        <f t="shared" si="27"/>
        <v>41547</v>
      </c>
      <c r="L43" s="40">
        <f t="shared" si="27"/>
        <v>41547</v>
      </c>
      <c r="M43" s="40">
        <f t="shared" si="27"/>
        <v>41547</v>
      </c>
      <c r="N43" s="40">
        <f t="shared" si="27"/>
        <v>41547</v>
      </c>
      <c r="O43" s="40">
        <f t="shared" si="27"/>
        <v>41547</v>
      </c>
      <c r="P43" s="40">
        <f t="shared" si="27"/>
        <v>41547</v>
      </c>
      <c r="Q43" s="40">
        <f t="shared" si="27"/>
        <v>41547</v>
      </c>
      <c r="R43" s="40">
        <f t="shared" si="27"/>
        <v>41547</v>
      </c>
    </row>
    <row r="44" spans="1:18" ht="26.25" customHeight="1">
      <c r="A44" s="9" t="s">
        <v>96</v>
      </c>
      <c r="B44" s="14" t="s">
        <v>103</v>
      </c>
      <c r="C44" s="12" t="s">
        <v>82</v>
      </c>
      <c r="D44" s="23">
        <v>41455</v>
      </c>
      <c r="E44" s="23">
        <f t="shared" si="26"/>
        <v>41455</v>
      </c>
      <c r="F44" s="40">
        <v>41455</v>
      </c>
      <c r="G44" s="40">
        <f t="shared" si="27"/>
        <v>41455</v>
      </c>
      <c r="H44" s="40">
        <f t="shared" si="27"/>
        <v>41455</v>
      </c>
      <c r="I44" s="40">
        <f t="shared" si="27"/>
        <v>41455</v>
      </c>
      <c r="J44" s="40">
        <f t="shared" si="27"/>
        <v>41455</v>
      </c>
      <c r="K44" s="40">
        <f t="shared" si="27"/>
        <v>41455</v>
      </c>
      <c r="L44" s="40">
        <f t="shared" si="27"/>
        <v>41455</v>
      </c>
      <c r="M44" s="40">
        <f t="shared" si="27"/>
        <v>41455</v>
      </c>
      <c r="N44" s="40">
        <f t="shared" si="27"/>
        <v>41455</v>
      </c>
      <c r="O44" s="40">
        <f t="shared" si="27"/>
        <v>41455</v>
      </c>
      <c r="P44" s="40">
        <f t="shared" si="27"/>
        <v>41455</v>
      </c>
      <c r="Q44" s="40">
        <f t="shared" si="27"/>
        <v>41455</v>
      </c>
      <c r="R44" s="40">
        <f t="shared" si="27"/>
        <v>41455</v>
      </c>
    </row>
    <row r="45" spans="1:18" ht="26.25" customHeight="1">
      <c r="A45" s="9" t="s">
        <v>96</v>
      </c>
      <c r="B45" s="14" t="s">
        <v>103</v>
      </c>
      <c r="C45" s="12" t="s">
        <v>83</v>
      </c>
      <c r="D45" s="23">
        <v>41486</v>
      </c>
      <c r="E45" s="23">
        <f t="shared" si="26"/>
        <v>41720</v>
      </c>
      <c r="F45" s="40">
        <v>41486</v>
      </c>
      <c r="G45" s="40">
        <f t="shared" si="27"/>
        <v>41486</v>
      </c>
      <c r="H45" s="40">
        <f t="shared" si="27"/>
        <v>41486</v>
      </c>
      <c r="I45" s="40">
        <f t="shared" si="27"/>
        <v>41486</v>
      </c>
      <c r="J45" s="40">
        <f t="shared" si="27"/>
        <v>41486</v>
      </c>
      <c r="K45" s="40">
        <f t="shared" si="27"/>
        <v>41486</v>
      </c>
      <c r="L45" s="40">
        <f t="shared" si="27"/>
        <v>41486</v>
      </c>
      <c r="M45" s="40">
        <f t="shared" si="27"/>
        <v>41486</v>
      </c>
      <c r="N45" s="40">
        <f t="shared" si="27"/>
        <v>41486</v>
      </c>
      <c r="O45" s="40">
        <f t="shared" si="27"/>
        <v>41486</v>
      </c>
      <c r="P45" s="40">
        <f t="shared" si="27"/>
        <v>41486</v>
      </c>
      <c r="Q45" s="40">
        <f>P45+234</f>
        <v>41720</v>
      </c>
      <c r="R45" s="40">
        <f t="shared" si="27"/>
        <v>41720</v>
      </c>
    </row>
    <row r="46" spans="1:18" ht="26.25" customHeight="1">
      <c r="A46" s="9" t="s">
        <v>96</v>
      </c>
      <c r="B46" s="14" t="s">
        <v>103</v>
      </c>
      <c r="C46" s="12" t="s">
        <v>84</v>
      </c>
      <c r="D46" s="23">
        <v>41517</v>
      </c>
      <c r="E46" s="23">
        <f t="shared" si="26"/>
        <v>41751</v>
      </c>
      <c r="F46" s="40">
        <v>41517</v>
      </c>
      <c r="G46" s="40">
        <f t="shared" si="27"/>
        <v>41517</v>
      </c>
      <c r="H46" s="40">
        <f t="shared" si="27"/>
        <v>41517</v>
      </c>
      <c r="I46" s="40">
        <f t="shared" si="27"/>
        <v>41517</v>
      </c>
      <c r="J46" s="40">
        <f t="shared" si="27"/>
        <v>41517</v>
      </c>
      <c r="K46" s="40">
        <f t="shared" si="27"/>
        <v>41517</v>
      </c>
      <c r="L46" s="40">
        <f t="shared" si="27"/>
        <v>41517</v>
      </c>
      <c r="M46" s="40">
        <f t="shared" si="27"/>
        <v>41517</v>
      </c>
      <c r="N46" s="40">
        <f t="shared" si="27"/>
        <v>41517</v>
      </c>
      <c r="O46" s="40">
        <f t="shared" si="27"/>
        <v>41517</v>
      </c>
      <c r="P46" s="40">
        <f t="shared" si="27"/>
        <v>41517</v>
      </c>
      <c r="Q46" s="40">
        <f t="shared" ref="Q46:Q47" si="29">P46+234</f>
        <v>41751</v>
      </c>
      <c r="R46" s="40">
        <f t="shared" si="27"/>
        <v>41751</v>
      </c>
    </row>
    <row r="47" spans="1:18" ht="26.25" customHeight="1">
      <c r="A47" s="9" t="s">
        <v>96</v>
      </c>
      <c r="B47" s="14" t="s">
        <v>104</v>
      </c>
      <c r="C47" s="12" t="s">
        <v>85</v>
      </c>
      <c r="D47" s="23">
        <v>41333</v>
      </c>
      <c r="E47" s="23">
        <f t="shared" si="26"/>
        <v>41567</v>
      </c>
      <c r="F47" s="40">
        <v>41333</v>
      </c>
      <c r="G47" s="40">
        <f t="shared" si="27"/>
        <v>41333</v>
      </c>
      <c r="H47" s="40">
        <f t="shared" si="27"/>
        <v>41333</v>
      </c>
      <c r="I47" s="40">
        <f t="shared" si="27"/>
        <v>41333</v>
      </c>
      <c r="J47" s="40">
        <f t="shared" si="27"/>
        <v>41333</v>
      </c>
      <c r="K47" s="40">
        <f t="shared" si="27"/>
        <v>41333</v>
      </c>
      <c r="L47" s="40">
        <f t="shared" si="27"/>
        <v>41333</v>
      </c>
      <c r="M47" s="40">
        <f t="shared" si="27"/>
        <v>41333</v>
      </c>
      <c r="N47" s="40">
        <f t="shared" si="27"/>
        <v>41333</v>
      </c>
      <c r="O47" s="40">
        <f t="shared" ref="H47:R54" si="30">N47</f>
        <v>41333</v>
      </c>
      <c r="P47" s="40">
        <f t="shared" si="30"/>
        <v>41333</v>
      </c>
      <c r="Q47" s="40">
        <f t="shared" si="29"/>
        <v>41567</v>
      </c>
      <c r="R47" s="40">
        <f t="shared" si="30"/>
        <v>41567</v>
      </c>
    </row>
    <row r="48" spans="1:18" ht="26.25" customHeight="1">
      <c r="A48" s="9" t="s">
        <v>96</v>
      </c>
      <c r="B48" s="14" t="s">
        <v>104</v>
      </c>
      <c r="C48" s="12" t="s">
        <v>86</v>
      </c>
      <c r="D48" s="23">
        <v>41428</v>
      </c>
      <c r="E48" s="23">
        <f t="shared" si="26"/>
        <v>41450</v>
      </c>
      <c r="F48" s="40">
        <v>41450</v>
      </c>
      <c r="G48" s="40">
        <f t="shared" si="27"/>
        <v>41450</v>
      </c>
      <c r="H48" s="40">
        <f t="shared" si="30"/>
        <v>41450</v>
      </c>
      <c r="I48" s="40">
        <f t="shared" si="30"/>
        <v>41450</v>
      </c>
      <c r="J48" s="40">
        <f t="shared" si="30"/>
        <v>41450</v>
      </c>
      <c r="K48" s="40">
        <f t="shared" si="30"/>
        <v>41450</v>
      </c>
      <c r="L48" s="40">
        <f t="shared" si="30"/>
        <v>41450</v>
      </c>
      <c r="M48" s="40">
        <f t="shared" si="30"/>
        <v>41450</v>
      </c>
      <c r="N48" s="40">
        <f t="shared" si="30"/>
        <v>41450</v>
      </c>
      <c r="O48" s="40">
        <f t="shared" si="30"/>
        <v>41450</v>
      </c>
      <c r="P48" s="40">
        <f t="shared" si="30"/>
        <v>41450</v>
      </c>
      <c r="Q48" s="40">
        <f>P48</f>
        <v>41450</v>
      </c>
      <c r="R48" s="40">
        <f t="shared" si="30"/>
        <v>41450</v>
      </c>
    </row>
    <row r="49" spans="1:18" ht="26.25" customHeight="1">
      <c r="A49" s="9" t="s">
        <v>96</v>
      </c>
      <c r="B49" s="14" t="s">
        <v>104</v>
      </c>
      <c r="C49" s="12" t="s">
        <v>87</v>
      </c>
      <c r="D49" s="23">
        <v>41396</v>
      </c>
      <c r="E49" s="23">
        <f t="shared" si="26"/>
        <v>41418</v>
      </c>
      <c r="F49" s="40">
        <v>41418</v>
      </c>
      <c r="G49" s="40">
        <f t="shared" si="27"/>
        <v>41418</v>
      </c>
      <c r="H49" s="40">
        <f t="shared" si="30"/>
        <v>41418</v>
      </c>
      <c r="I49" s="40">
        <f t="shared" si="30"/>
        <v>41418</v>
      </c>
      <c r="J49" s="40">
        <f t="shared" si="30"/>
        <v>41418</v>
      </c>
      <c r="K49" s="40">
        <f t="shared" si="30"/>
        <v>41418</v>
      </c>
      <c r="L49" s="40">
        <f t="shared" si="30"/>
        <v>41418</v>
      </c>
      <c r="M49" s="40">
        <f t="shared" si="30"/>
        <v>41418</v>
      </c>
      <c r="N49" s="40">
        <f t="shared" si="30"/>
        <v>41418</v>
      </c>
      <c r="O49" s="40">
        <f t="shared" si="30"/>
        <v>41418</v>
      </c>
      <c r="P49" s="40">
        <f t="shared" si="30"/>
        <v>41418</v>
      </c>
      <c r="Q49" s="40">
        <f t="shared" si="30"/>
        <v>41418</v>
      </c>
      <c r="R49" s="40">
        <f t="shared" si="30"/>
        <v>41418</v>
      </c>
    </row>
    <row r="50" spans="1:18" ht="26.25" customHeight="1">
      <c r="A50" s="9" t="s">
        <v>96</v>
      </c>
      <c r="B50" s="14" t="s">
        <v>104</v>
      </c>
      <c r="C50" s="12" t="s">
        <v>88</v>
      </c>
      <c r="D50" s="23">
        <v>41404</v>
      </c>
      <c r="E50" s="23">
        <f t="shared" si="26"/>
        <v>41404</v>
      </c>
      <c r="F50" s="40">
        <v>41404</v>
      </c>
      <c r="G50" s="40">
        <f t="shared" si="27"/>
        <v>41404</v>
      </c>
      <c r="H50" s="40">
        <f t="shared" si="30"/>
        <v>41404</v>
      </c>
      <c r="I50" s="40">
        <f t="shared" si="30"/>
        <v>41404</v>
      </c>
      <c r="J50" s="40">
        <f t="shared" si="30"/>
        <v>41404</v>
      </c>
      <c r="K50" s="40">
        <f t="shared" si="30"/>
        <v>41404</v>
      </c>
      <c r="L50" s="40">
        <f t="shared" si="30"/>
        <v>41404</v>
      </c>
      <c r="M50" s="40">
        <f t="shared" si="30"/>
        <v>41404</v>
      </c>
      <c r="N50" s="40">
        <f t="shared" si="30"/>
        <v>41404</v>
      </c>
      <c r="O50" s="40">
        <f t="shared" si="30"/>
        <v>41404</v>
      </c>
      <c r="P50" s="40">
        <f t="shared" si="30"/>
        <v>41404</v>
      </c>
      <c r="Q50" s="40">
        <f t="shared" si="30"/>
        <v>41404</v>
      </c>
      <c r="R50" s="40">
        <f t="shared" si="30"/>
        <v>41404</v>
      </c>
    </row>
    <row r="51" spans="1:18" ht="26.25" customHeight="1">
      <c r="A51" s="9" t="s">
        <v>96</v>
      </c>
      <c r="B51" s="14" t="s">
        <v>105</v>
      </c>
      <c r="C51" s="12" t="s">
        <v>89</v>
      </c>
      <c r="D51" s="23">
        <v>41455</v>
      </c>
      <c r="E51" s="23">
        <f t="shared" si="26"/>
        <v>41455</v>
      </c>
      <c r="F51" s="40">
        <v>41455</v>
      </c>
      <c r="G51" s="40">
        <f t="shared" si="27"/>
        <v>41455</v>
      </c>
      <c r="H51" s="40">
        <f t="shared" si="30"/>
        <v>41455</v>
      </c>
      <c r="I51" s="40">
        <f t="shared" si="30"/>
        <v>41455</v>
      </c>
      <c r="J51" s="40">
        <f t="shared" si="30"/>
        <v>41455</v>
      </c>
      <c r="K51" s="40">
        <f t="shared" si="30"/>
        <v>41455</v>
      </c>
      <c r="L51" s="40">
        <f t="shared" si="30"/>
        <v>41455</v>
      </c>
      <c r="M51" s="40">
        <f t="shared" si="30"/>
        <v>41455</v>
      </c>
      <c r="N51" s="40">
        <f t="shared" si="30"/>
        <v>41455</v>
      </c>
      <c r="O51" s="40">
        <f t="shared" si="30"/>
        <v>41455</v>
      </c>
      <c r="P51" s="40">
        <f t="shared" si="30"/>
        <v>41455</v>
      </c>
      <c r="Q51" s="40">
        <f t="shared" si="30"/>
        <v>41455</v>
      </c>
      <c r="R51" s="40">
        <f t="shared" si="30"/>
        <v>41455</v>
      </c>
    </row>
    <row r="52" spans="1:18" ht="26.25" customHeight="1">
      <c r="A52" s="9" t="s">
        <v>96</v>
      </c>
      <c r="B52" s="14" t="s">
        <v>105</v>
      </c>
      <c r="C52" s="12" t="s">
        <v>90</v>
      </c>
      <c r="D52" s="23">
        <v>41455</v>
      </c>
      <c r="E52" s="23">
        <f t="shared" si="26"/>
        <v>41455</v>
      </c>
      <c r="F52" s="40">
        <v>41455</v>
      </c>
      <c r="G52" s="40">
        <f t="shared" si="27"/>
        <v>41455</v>
      </c>
      <c r="H52" s="40">
        <f t="shared" si="30"/>
        <v>41455</v>
      </c>
      <c r="I52" s="40">
        <f t="shared" si="30"/>
        <v>41455</v>
      </c>
      <c r="J52" s="40">
        <f t="shared" si="30"/>
        <v>41455</v>
      </c>
      <c r="K52" s="40">
        <f t="shared" si="30"/>
        <v>41455</v>
      </c>
      <c r="L52" s="40">
        <f t="shared" si="30"/>
        <v>41455</v>
      </c>
      <c r="M52" s="40">
        <f t="shared" si="30"/>
        <v>41455</v>
      </c>
      <c r="N52" s="40">
        <f t="shared" si="30"/>
        <v>41455</v>
      </c>
      <c r="O52" s="40">
        <f t="shared" si="30"/>
        <v>41455</v>
      </c>
      <c r="P52" s="40">
        <f t="shared" si="30"/>
        <v>41455</v>
      </c>
      <c r="Q52" s="40">
        <f t="shared" si="30"/>
        <v>41455</v>
      </c>
      <c r="R52" s="40">
        <f t="shared" si="30"/>
        <v>41455</v>
      </c>
    </row>
    <row r="53" spans="1:18" ht="26.25" customHeight="1">
      <c r="A53" s="9" t="s">
        <v>96</v>
      </c>
      <c r="B53" s="14" t="s">
        <v>105</v>
      </c>
      <c r="C53" s="12" t="s">
        <v>91</v>
      </c>
      <c r="D53" s="23">
        <v>41363</v>
      </c>
      <c r="E53" s="23">
        <f t="shared" si="26"/>
        <v>41363</v>
      </c>
      <c r="F53" s="40">
        <v>41363</v>
      </c>
      <c r="G53" s="40">
        <f t="shared" si="27"/>
        <v>41363</v>
      </c>
      <c r="H53" s="40">
        <f t="shared" si="30"/>
        <v>41363</v>
      </c>
      <c r="I53" s="40">
        <f t="shared" si="30"/>
        <v>41363</v>
      </c>
      <c r="J53" s="40">
        <f t="shared" si="30"/>
        <v>41363</v>
      </c>
      <c r="K53" s="40">
        <f t="shared" si="30"/>
        <v>41363</v>
      </c>
      <c r="L53" s="40">
        <f t="shared" si="30"/>
        <v>41363</v>
      </c>
      <c r="M53" s="40">
        <f t="shared" si="30"/>
        <v>41363</v>
      </c>
      <c r="N53" s="40">
        <f t="shared" si="30"/>
        <v>41363</v>
      </c>
      <c r="O53" s="40">
        <f t="shared" si="30"/>
        <v>41363</v>
      </c>
      <c r="P53" s="40">
        <f t="shared" si="30"/>
        <v>41363</v>
      </c>
      <c r="Q53" s="40">
        <f t="shared" si="30"/>
        <v>41363</v>
      </c>
      <c r="R53" s="40">
        <f t="shared" si="30"/>
        <v>41363</v>
      </c>
    </row>
    <row r="54" spans="1:18" ht="26.25" customHeight="1">
      <c r="A54" s="9" t="s">
        <v>96</v>
      </c>
      <c r="B54" s="14" t="s">
        <v>105</v>
      </c>
      <c r="C54" s="12" t="s">
        <v>92</v>
      </c>
      <c r="D54" s="23">
        <v>41486</v>
      </c>
      <c r="E54" s="23">
        <f t="shared" si="26"/>
        <v>41486</v>
      </c>
      <c r="F54" s="40">
        <v>41486</v>
      </c>
      <c r="G54" s="40">
        <f t="shared" si="27"/>
        <v>41486</v>
      </c>
      <c r="H54" s="40">
        <f t="shared" si="30"/>
        <v>41486</v>
      </c>
      <c r="I54" s="40">
        <f t="shared" si="30"/>
        <v>41486</v>
      </c>
      <c r="J54" s="40">
        <f t="shared" si="30"/>
        <v>41486</v>
      </c>
      <c r="K54" s="40">
        <f t="shared" si="30"/>
        <v>41486</v>
      </c>
      <c r="L54" s="40">
        <f t="shared" si="30"/>
        <v>41486</v>
      </c>
      <c r="M54" s="40">
        <f t="shared" si="30"/>
        <v>41486</v>
      </c>
      <c r="N54" s="40">
        <f t="shared" si="30"/>
        <v>41486</v>
      </c>
      <c r="O54" s="40">
        <f t="shared" si="30"/>
        <v>41486</v>
      </c>
      <c r="P54" s="40">
        <f t="shared" si="30"/>
        <v>41486</v>
      </c>
      <c r="Q54" s="40">
        <f t="shared" si="30"/>
        <v>41486</v>
      </c>
      <c r="R54" s="40">
        <f t="shared" si="30"/>
        <v>41486</v>
      </c>
    </row>
    <row r="55" spans="1:18" ht="26.25" customHeight="1">
      <c r="A55" s="9" t="s">
        <v>96</v>
      </c>
      <c r="B55" s="14" t="s">
        <v>105</v>
      </c>
      <c r="C55" s="12" t="s">
        <v>93</v>
      </c>
      <c r="D55" s="23">
        <v>41363</v>
      </c>
      <c r="E55" s="23">
        <f t="shared" ref="E55:E56" si="31">R55</f>
        <v>41363</v>
      </c>
      <c r="F55" s="40">
        <v>41363</v>
      </c>
      <c r="G55" s="40">
        <f t="shared" ref="G55:G56" si="32">F55</f>
        <v>41363</v>
      </c>
      <c r="H55" s="40">
        <f t="shared" ref="H55:H56" si="33">G55</f>
        <v>41363</v>
      </c>
      <c r="I55" s="40">
        <f t="shared" ref="I55:I56" si="34">H55</f>
        <v>41363</v>
      </c>
      <c r="J55" s="40">
        <f t="shared" ref="J55:J56" si="35">I55</f>
        <v>41363</v>
      </c>
      <c r="K55" s="40">
        <f t="shared" ref="K55:K56" si="36">J55</f>
        <v>41363</v>
      </c>
      <c r="L55" s="40">
        <f t="shared" ref="L55:L56" si="37">K55</f>
        <v>41363</v>
      </c>
      <c r="M55" s="40">
        <f t="shared" ref="M55:M56" si="38">L55</f>
        <v>41363</v>
      </c>
      <c r="N55" s="40">
        <f t="shared" ref="N55:N56" si="39">M55</f>
        <v>41363</v>
      </c>
      <c r="O55" s="40">
        <f t="shared" ref="O55:O56" si="40">N55</f>
        <v>41363</v>
      </c>
      <c r="P55" s="40">
        <f t="shared" ref="P55:P56" si="41">O55</f>
        <v>41363</v>
      </c>
      <c r="Q55" s="40">
        <f t="shared" ref="Q55:Q56" si="42">P55</f>
        <v>41363</v>
      </c>
      <c r="R55" s="40">
        <f t="shared" ref="R55:R56" si="43">Q55</f>
        <v>41363</v>
      </c>
    </row>
    <row r="56" spans="1:18" ht="26.25" customHeight="1">
      <c r="A56" s="9" t="s">
        <v>96</v>
      </c>
      <c r="B56" s="14" t="s">
        <v>105</v>
      </c>
      <c r="C56" s="12" t="s">
        <v>94</v>
      </c>
      <c r="D56" s="23">
        <v>41486</v>
      </c>
      <c r="E56" s="23">
        <f t="shared" si="31"/>
        <v>41486</v>
      </c>
      <c r="F56" s="40">
        <v>41486</v>
      </c>
      <c r="G56" s="40">
        <f t="shared" si="32"/>
        <v>41486</v>
      </c>
      <c r="H56" s="40">
        <f t="shared" si="33"/>
        <v>41486</v>
      </c>
      <c r="I56" s="40">
        <f t="shared" si="34"/>
        <v>41486</v>
      </c>
      <c r="J56" s="40">
        <f t="shared" si="35"/>
        <v>41486</v>
      </c>
      <c r="K56" s="40">
        <f t="shared" si="36"/>
        <v>41486</v>
      </c>
      <c r="L56" s="40">
        <f t="shared" si="37"/>
        <v>41486</v>
      </c>
      <c r="M56" s="40">
        <f t="shared" si="38"/>
        <v>41486</v>
      </c>
      <c r="N56" s="40">
        <f t="shared" si="39"/>
        <v>41486</v>
      </c>
      <c r="O56" s="40">
        <f t="shared" si="40"/>
        <v>41486</v>
      </c>
      <c r="P56" s="40">
        <f t="shared" si="41"/>
        <v>41486</v>
      </c>
      <c r="Q56" s="40">
        <f t="shared" si="42"/>
        <v>41486</v>
      </c>
      <c r="R56" s="40">
        <f t="shared" si="43"/>
        <v>41486</v>
      </c>
    </row>
    <row r="57" spans="1:18" ht="26.25" customHeight="1">
      <c r="A57" s="9"/>
      <c r="B57" s="14"/>
      <c r="C57" s="12"/>
      <c r="D57" s="23"/>
      <c r="E57" s="23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</row>
    <row r="58" spans="1:18" ht="26.25" customHeight="1">
      <c r="A58" s="9"/>
      <c r="B58" s="14"/>
      <c r="C58" s="12"/>
      <c r="D58" s="23"/>
      <c r="E58" s="23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</row>
    <row r="59" spans="1:18" ht="26.25" customHeight="1">
      <c r="A59" s="9"/>
      <c r="B59" s="14"/>
      <c r="C59" s="12"/>
      <c r="D59" s="23"/>
      <c r="E59" s="23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</row>
    <row r="60" spans="1:18" ht="26.25" customHeight="1">
      <c r="A60" s="9"/>
      <c r="B60" s="14"/>
      <c r="C60" s="12"/>
      <c r="D60" s="23"/>
      <c r="E60" s="23"/>
      <c r="F60" s="40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</row>
    <row r="61" spans="1:18" ht="26.25" customHeight="1">
      <c r="A61" s="9"/>
      <c r="B61" s="14"/>
      <c r="C61" s="12"/>
      <c r="D61" s="23"/>
      <c r="E61" s="23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</row>
    <row r="62" spans="1:18" ht="26.25" customHeight="1">
      <c r="A62" s="9"/>
      <c r="B62" s="14"/>
      <c r="C62" s="12"/>
      <c r="D62" s="23"/>
      <c r="E62" s="23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</row>
    <row r="63" spans="1:18" ht="26.25" customHeight="1">
      <c r="A63" s="9"/>
      <c r="B63" s="14"/>
      <c r="C63" s="12"/>
      <c r="D63" s="23"/>
      <c r="E63" s="23"/>
      <c r="F63" s="40"/>
      <c r="G63" s="40"/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</row>
    <row r="64" spans="1:18" ht="26.25" customHeight="1">
      <c r="A64" s="9"/>
      <c r="B64" s="14"/>
      <c r="C64" s="12"/>
      <c r="D64" s="23"/>
      <c r="E64" s="23"/>
      <c r="F64" s="40"/>
      <c r="G64" s="40"/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</row>
    <row r="65" spans="1:18" ht="26.25" customHeight="1">
      <c r="A65" s="9"/>
      <c r="B65" s="14"/>
      <c r="C65" s="12"/>
      <c r="D65" s="23"/>
      <c r="E65" s="23"/>
      <c r="F65" s="40"/>
      <c r="G65" s="40"/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0"/>
    </row>
    <row r="66" spans="1:18" ht="26.25" customHeight="1">
      <c r="A66" s="9"/>
      <c r="B66" s="14"/>
      <c r="C66" s="12"/>
      <c r="D66" s="23"/>
      <c r="E66" s="23"/>
      <c r="F66" s="40"/>
      <c r="G66" s="40"/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</row>
    <row r="67" spans="1:18" ht="26.25" customHeight="1">
      <c r="A67" s="9"/>
      <c r="B67" s="14"/>
      <c r="C67" s="12"/>
      <c r="D67" s="23"/>
      <c r="E67" s="23"/>
      <c r="F67" s="40"/>
      <c r="G67" s="40"/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40"/>
    </row>
    <row r="68" spans="1:18" ht="26.25" customHeight="1">
      <c r="A68" s="9"/>
      <c r="B68" s="14"/>
      <c r="C68" s="12"/>
      <c r="D68" s="23"/>
      <c r="E68" s="23"/>
      <c r="F68" s="40"/>
      <c r="G68" s="40"/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0"/>
    </row>
    <row r="69" spans="1:18" ht="26.25" customHeight="1">
      <c r="A69" s="9"/>
      <c r="B69" s="14"/>
      <c r="C69" s="12"/>
      <c r="D69" s="23"/>
      <c r="E69" s="23"/>
      <c r="F69" s="40"/>
      <c r="G69" s="40"/>
      <c r="H69" s="40"/>
      <c r="I69" s="40"/>
      <c r="J69" s="40"/>
      <c r="K69" s="40"/>
      <c r="L69" s="40"/>
      <c r="M69" s="40"/>
      <c r="N69" s="40"/>
      <c r="O69" s="40"/>
      <c r="P69" s="40"/>
      <c r="Q69" s="40"/>
      <c r="R69" s="40"/>
    </row>
    <row r="70" spans="1:18" ht="26.25" customHeight="1">
      <c r="A70" s="9"/>
      <c r="B70" s="14"/>
      <c r="C70" s="12"/>
      <c r="D70" s="23"/>
      <c r="E70" s="23"/>
      <c r="F70" s="40"/>
      <c r="G70" s="40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</row>
    <row r="71" spans="1:18" ht="26.25" customHeight="1">
      <c r="A71" s="9"/>
      <c r="B71" s="14"/>
      <c r="C71" s="12"/>
      <c r="D71" s="23"/>
      <c r="E71" s="23"/>
      <c r="F71" s="40"/>
      <c r="G71" s="40"/>
      <c r="H71" s="40"/>
      <c r="I71" s="40"/>
      <c r="J71" s="40"/>
      <c r="K71" s="40"/>
      <c r="L71" s="40"/>
      <c r="M71" s="40"/>
      <c r="N71" s="40"/>
      <c r="O71" s="40"/>
      <c r="P71" s="40"/>
      <c r="Q71" s="40"/>
      <c r="R71" s="40"/>
    </row>
    <row r="72" spans="1:18" ht="26.25" customHeight="1">
      <c r="A72" s="9"/>
      <c r="B72" s="14"/>
      <c r="C72" s="12"/>
      <c r="D72" s="23"/>
      <c r="E72" s="23"/>
      <c r="F72" s="40"/>
      <c r="G72" s="40"/>
      <c r="H72" s="40"/>
      <c r="I72" s="40"/>
      <c r="J72" s="40"/>
      <c r="K72" s="40"/>
      <c r="L72" s="40"/>
      <c r="M72" s="40"/>
      <c r="N72" s="40"/>
      <c r="O72" s="40"/>
      <c r="P72" s="40"/>
      <c r="Q72" s="40"/>
      <c r="R72" s="40"/>
    </row>
    <row r="73" spans="1:18" ht="26.25" customHeight="1">
      <c r="A73" s="9"/>
      <c r="B73" s="14"/>
      <c r="C73" s="12"/>
      <c r="D73" s="23"/>
      <c r="E73" s="23"/>
      <c r="F73" s="40"/>
      <c r="G73" s="40"/>
      <c r="H73" s="40"/>
      <c r="I73" s="40"/>
      <c r="J73" s="40"/>
      <c r="K73" s="40"/>
      <c r="L73" s="40"/>
      <c r="M73" s="40"/>
      <c r="N73" s="40"/>
      <c r="O73" s="40"/>
      <c r="P73" s="40"/>
      <c r="Q73" s="40"/>
      <c r="R73" s="40"/>
    </row>
    <row r="74" spans="1:18" ht="26.25" customHeight="1">
      <c r="A74" s="9"/>
      <c r="B74" s="14"/>
      <c r="C74" s="12"/>
      <c r="D74" s="23"/>
      <c r="E74" s="23"/>
      <c r="F74" s="40"/>
      <c r="G74" s="40"/>
      <c r="H74" s="40"/>
      <c r="I74" s="40"/>
      <c r="J74" s="40"/>
      <c r="K74" s="40"/>
      <c r="L74" s="40"/>
      <c r="M74" s="40"/>
      <c r="N74" s="40"/>
      <c r="O74" s="40"/>
      <c r="P74" s="40"/>
      <c r="Q74" s="40"/>
      <c r="R74" s="40"/>
    </row>
    <row r="75" spans="1:18" ht="26.25" customHeight="1">
      <c r="A75" s="9"/>
      <c r="B75" s="14"/>
      <c r="C75" s="12"/>
      <c r="D75" s="23"/>
      <c r="E75" s="23"/>
      <c r="F75" s="40"/>
      <c r="G75" s="40"/>
      <c r="H75" s="40"/>
      <c r="I75" s="40"/>
      <c r="J75" s="40"/>
      <c r="K75" s="40"/>
      <c r="L75" s="40"/>
      <c r="M75" s="40"/>
      <c r="N75" s="40"/>
      <c r="O75" s="40"/>
      <c r="P75" s="40"/>
      <c r="Q75" s="40"/>
      <c r="R75" s="40"/>
    </row>
    <row r="76" spans="1:18" ht="26.25" customHeight="1">
      <c r="A76" s="9"/>
      <c r="B76" s="14"/>
      <c r="C76" s="12"/>
      <c r="D76" s="23"/>
      <c r="E76" s="23"/>
      <c r="F76" s="40"/>
      <c r="G76" s="40"/>
      <c r="H76" s="40"/>
      <c r="I76" s="40"/>
      <c r="J76" s="40"/>
      <c r="K76" s="40"/>
      <c r="L76" s="40"/>
      <c r="M76" s="40"/>
      <c r="N76" s="40"/>
      <c r="O76" s="40"/>
      <c r="P76" s="40"/>
      <c r="Q76" s="40"/>
      <c r="R76" s="40"/>
    </row>
    <row r="77" spans="1:18" ht="26.25" customHeight="1">
      <c r="A77" s="9"/>
      <c r="B77" s="14"/>
      <c r="C77" s="12"/>
      <c r="D77" s="23"/>
      <c r="E77" s="23"/>
      <c r="F77" s="40"/>
      <c r="G77" s="40"/>
      <c r="H77" s="40"/>
      <c r="I77" s="40"/>
      <c r="J77" s="40"/>
      <c r="K77" s="40"/>
      <c r="L77" s="40"/>
      <c r="M77" s="40"/>
      <c r="N77" s="40"/>
      <c r="O77" s="40"/>
      <c r="P77" s="40"/>
      <c r="Q77" s="40"/>
      <c r="R77" s="40"/>
    </row>
    <row r="78" spans="1:18" ht="26.25" customHeight="1">
      <c r="A78" s="9"/>
      <c r="B78" s="14"/>
      <c r="C78" s="12"/>
      <c r="D78" s="23"/>
      <c r="E78" s="23"/>
      <c r="F78" s="40"/>
      <c r="G78" s="40"/>
      <c r="H78" s="40"/>
      <c r="I78" s="40"/>
      <c r="J78" s="40"/>
      <c r="K78" s="40"/>
      <c r="L78" s="40"/>
      <c r="M78" s="40"/>
      <c r="N78" s="40"/>
      <c r="O78" s="40"/>
      <c r="P78" s="40"/>
      <c r="Q78" s="40"/>
      <c r="R78" s="40"/>
    </row>
    <row r="79" spans="1:18" ht="26.25" customHeight="1">
      <c r="A79" s="9"/>
      <c r="B79" s="14"/>
      <c r="C79" s="12"/>
      <c r="D79" s="23"/>
      <c r="E79" s="23"/>
      <c r="F79" s="40"/>
      <c r="G79" s="40"/>
      <c r="H79" s="40"/>
      <c r="I79" s="40"/>
      <c r="J79" s="40"/>
      <c r="K79" s="40"/>
      <c r="L79" s="40"/>
      <c r="M79" s="40"/>
      <c r="N79" s="40"/>
      <c r="O79" s="40"/>
      <c r="P79" s="40"/>
      <c r="Q79" s="40"/>
      <c r="R79" s="40"/>
    </row>
    <row r="80" spans="1:18" ht="26.25" customHeight="1">
      <c r="A80" s="9"/>
      <c r="B80" s="14"/>
      <c r="C80" s="12"/>
      <c r="D80" s="23"/>
      <c r="E80" s="23"/>
      <c r="F80" s="40"/>
      <c r="G80" s="40"/>
      <c r="H80" s="40"/>
      <c r="I80" s="40"/>
      <c r="J80" s="40"/>
      <c r="K80" s="40"/>
      <c r="L80" s="40"/>
      <c r="M80" s="40"/>
      <c r="N80" s="40"/>
      <c r="O80" s="40"/>
      <c r="P80" s="40"/>
      <c r="Q80" s="40"/>
      <c r="R80" s="40"/>
    </row>
    <row r="81" spans="1:18" ht="26.25" customHeight="1">
      <c r="A81" s="9"/>
      <c r="B81" s="14"/>
      <c r="C81" s="12"/>
      <c r="D81" s="23"/>
      <c r="E81" s="23"/>
      <c r="F81" s="40"/>
      <c r="G81" s="40"/>
      <c r="H81" s="40"/>
      <c r="I81" s="40"/>
      <c r="J81" s="40"/>
      <c r="K81" s="40"/>
      <c r="L81" s="40"/>
      <c r="M81" s="40"/>
      <c r="N81" s="40"/>
      <c r="O81" s="40"/>
      <c r="P81" s="40"/>
      <c r="Q81" s="40"/>
      <c r="R81" s="40"/>
    </row>
    <row r="82" spans="1:18" ht="26.25" customHeight="1">
      <c r="A82" s="9"/>
      <c r="B82" s="14"/>
      <c r="C82" s="12"/>
      <c r="D82" s="23"/>
      <c r="E82" s="23"/>
      <c r="F82" s="40"/>
      <c r="G82" s="40"/>
      <c r="H82" s="40"/>
      <c r="I82" s="40"/>
      <c r="J82" s="40"/>
      <c r="K82" s="40"/>
      <c r="L82" s="40"/>
      <c r="M82" s="40"/>
      <c r="N82" s="40"/>
      <c r="O82" s="40"/>
      <c r="P82" s="40"/>
      <c r="Q82" s="40"/>
      <c r="R82" s="40"/>
    </row>
    <row r="83" spans="1:18" ht="26.25" customHeight="1">
      <c r="A83" s="9"/>
      <c r="B83" s="14"/>
      <c r="C83" s="12"/>
      <c r="D83" s="23"/>
      <c r="E83" s="23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</row>
    <row r="84" spans="1:18" ht="26.25" customHeight="1">
      <c r="A84" s="9"/>
      <c r="B84" s="14"/>
      <c r="C84" s="12"/>
      <c r="D84" s="23"/>
      <c r="E84" s="23"/>
      <c r="F84" s="40"/>
      <c r="G84" s="40"/>
      <c r="H84" s="40"/>
      <c r="I84" s="40"/>
      <c r="J84" s="40"/>
      <c r="K84" s="40"/>
      <c r="L84" s="40"/>
      <c r="M84" s="40"/>
      <c r="N84" s="40"/>
      <c r="O84" s="40"/>
      <c r="P84" s="40"/>
      <c r="Q84" s="40"/>
      <c r="R84" s="40"/>
    </row>
    <row r="85" spans="1:18" ht="26.25" customHeight="1">
      <c r="A85" s="9"/>
      <c r="B85" s="14"/>
      <c r="C85" s="12"/>
      <c r="D85" s="23"/>
      <c r="E85" s="23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</row>
    <row r="86" spans="1:18" ht="26.25" customHeight="1">
      <c r="A86" s="9"/>
      <c r="B86" s="14"/>
      <c r="C86" s="12"/>
      <c r="D86" s="23"/>
      <c r="E86" s="23"/>
      <c r="F86" s="40"/>
      <c r="G86" s="40"/>
      <c r="H86" s="40"/>
      <c r="I86" s="40"/>
      <c r="J86" s="40"/>
      <c r="K86" s="40"/>
      <c r="L86" s="40"/>
      <c r="M86" s="40"/>
      <c r="N86" s="40"/>
      <c r="O86" s="40"/>
      <c r="P86" s="40"/>
      <c r="Q86" s="40"/>
      <c r="R86" s="40"/>
    </row>
    <row r="87" spans="1:18" ht="26.25" customHeight="1">
      <c r="A87" s="9"/>
      <c r="B87" s="14"/>
      <c r="C87" s="12"/>
      <c r="D87" s="23"/>
      <c r="E87" s="23"/>
      <c r="F87" s="40"/>
      <c r="G87" s="40"/>
      <c r="H87" s="40"/>
      <c r="I87" s="40"/>
      <c r="J87" s="40"/>
      <c r="K87" s="40"/>
      <c r="L87" s="40"/>
      <c r="M87" s="40"/>
      <c r="N87" s="40"/>
      <c r="O87" s="40"/>
      <c r="P87" s="40"/>
      <c r="Q87" s="40"/>
      <c r="R87" s="40"/>
    </row>
    <row r="88" spans="1:18" ht="26.25" customHeight="1">
      <c r="A88" s="9"/>
      <c r="B88" s="14"/>
      <c r="C88" s="12"/>
      <c r="D88" s="23"/>
      <c r="E88" s="23"/>
      <c r="F88" s="40"/>
      <c r="G88" s="40"/>
      <c r="H88" s="40"/>
      <c r="I88" s="40"/>
      <c r="J88" s="40"/>
      <c r="K88" s="40"/>
      <c r="L88" s="40"/>
      <c r="M88" s="40"/>
      <c r="N88" s="40"/>
      <c r="O88" s="40"/>
      <c r="P88" s="40"/>
      <c r="Q88" s="40"/>
      <c r="R88" s="40"/>
    </row>
    <row r="89" spans="1:18" ht="26.25" customHeight="1">
      <c r="A89" s="9"/>
      <c r="B89" s="14"/>
      <c r="C89" s="12"/>
      <c r="D89" s="23"/>
      <c r="E89" s="23"/>
      <c r="F89" s="40"/>
      <c r="G89" s="40"/>
      <c r="H89" s="40"/>
      <c r="I89" s="40"/>
      <c r="J89" s="40"/>
      <c r="K89" s="40"/>
      <c r="L89" s="40"/>
      <c r="M89" s="40"/>
      <c r="N89" s="40"/>
      <c r="O89" s="40"/>
      <c r="P89" s="40"/>
      <c r="Q89" s="40"/>
      <c r="R89" s="40"/>
    </row>
    <row r="90" spans="1:18" ht="26.25" customHeight="1">
      <c r="A90" s="9"/>
      <c r="B90" s="14"/>
      <c r="C90" s="12"/>
      <c r="D90" s="23"/>
      <c r="E90" s="23"/>
      <c r="F90" s="40"/>
      <c r="G90" s="40"/>
      <c r="H90" s="40"/>
      <c r="I90" s="40"/>
      <c r="J90" s="40"/>
      <c r="K90" s="40"/>
      <c r="L90" s="40"/>
      <c r="M90" s="40"/>
      <c r="N90" s="40"/>
      <c r="O90" s="40"/>
      <c r="P90" s="40"/>
      <c r="Q90" s="40"/>
      <c r="R90" s="40"/>
    </row>
    <row r="91" spans="1:18" ht="26.25" customHeight="1">
      <c r="A91" s="9"/>
      <c r="B91" s="14"/>
      <c r="C91" s="12"/>
      <c r="D91" s="23"/>
      <c r="E91" s="23"/>
      <c r="F91" s="40"/>
      <c r="G91" s="40"/>
      <c r="H91" s="40"/>
      <c r="I91" s="40"/>
      <c r="J91" s="40"/>
      <c r="K91" s="40"/>
      <c r="L91" s="40"/>
      <c r="M91" s="40"/>
      <c r="N91" s="40"/>
      <c r="O91" s="40"/>
      <c r="P91" s="40"/>
      <c r="Q91" s="40"/>
      <c r="R91" s="40"/>
    </row>
    <row r="92" spans="1:18" ht="26.25" customHeight="1">
      <c r="A92" s="9"/>
      <c r="B92" s="14"/>
      <c r="C92" s="12"/>
      <c r="D92" s="23"/>
      <c r="E92" s="23"/>
      <c r="F92" s="40"/>
      <c r="G92" s="40"/>
      <c r="H92" s="40"/>
      <c r="I92" s="40"/>
      <c r="J92" s="40"/>
      <c r="K92" s="40"/>
      <c r="L92" s="40"/>
      <c r="M92" s="40"/>
      <c r="N92" s="40"/>
      <c r="O92" s="40"/>
      <c r="P92" s="40"/>
      <c r="Q92" s="40"/>
      <c r="R92" s="40"/>
    </row>
    <row r="93" spans="1:18" ht="26.25" customHeight="1">
      <c r="A93" s="9"/>
      <c r="B93" s="14"/>
      <c r="C93" s="12"/>
      <c r="D93" s="23"/>
      <c r="E93" s="23"/>
      <c r="F93" s="40"/>
      <c r="G93" s="40"/>
      <c r="H93" s="40"/>
      <c r="I93" s="40"/>
      <c r="J93" s="40"/>
      <c r="K93" s="40"/>
      <c r="L93" s="40"/>
      <c r="M93" s="40"/>
      <c r="N93" s="40"/>
      <c r="O93" s="40"/>
      <c r="P93" s="40"/>
      <c r="Q93" s="40"/>
      <c r="R93" s="40"/>
    </row>
    <row r="94" spans="1:18" ht="26.25" customHeight="1">
      <c r="A94" s="9"/>
      <c r="B94" s="14"/>
      <c r="C94" s="12"/>
      <c r="D94" s="23"/>
      <c r="E94" s="23"/>
      <c r="F94" s="40"/>
      <c r="G94" s="40"/>
      <c r="H94" s="40"/>
      <c r="I94" s="40"/>
      <c r="J94" s="40"/>
      <c r="K94" s="40"/>
      <c r="L94" s="40"/>
      <c r="M94" s="40"/>
      <c r="N94" s="40"/>
      <c r="O94" s="40"/>
      <c r="P94" s="40"/>
      <c r="Q94" s="40"/>
      <c r="R94" s="40"/>
    </row>
    <row r="95" spans="1:18" ht="26.25" customHeight="1">
      <c r="A95" s="9"/>
      <c r="B95" s="14"/>
      <c r="C95" s="12"/>
      <c r="D95" s="23"/>
      <c r="E95" s="23"/>
      <c r="F95" s="40"/>
      <c r="G95" s="40"/>
      <c r="H95" s="40"/>
      <c r="I95" s="40"/>
      <c r="J95" s="40"/>
      <c r="K95" s="40"/>
      <c r="L95" s="40"/>
      <c r="M95" s="40"/>
      <c r="N95" s="40"/>
      <c r="O95" s="40"/>
      <c r="P95" s="40"/>
      <c r="Q95" s="40"/>
      <c r="R95" s="40"/>
    </row>
    <row r="96" spans="1:18" ht="26.25" customHeight="1">
      <c r="A96" s="9"/>
      <c r="B96" s="14"/>
      <c r="C96" s="12"/>
      <c r="D96" s="23"/>
      <c r="E96" s="23"/>
      <c r="F96" s="40"/>
      <c r="G96" s="40"/>
      <c r="H96" s="40"/>
      <c r="I96" s="40"/>
      <c r="J96" s="40"/>
      <c r="K96" s="40"/>
      <c r="L96" s="40"/>
      <c r="M96" s="40"/>
      <c r="N96" s="40"/>
      <c r="O96" s="40"/>
      <c r="P96" s="40"/>
      <c r="Q96" s="40"/>
      <c r="R96" s="40"/>
    </row>
    <row r="97" spans="1:19" ht="26.25" customHeight="1">
      <c r="A97" s="9"/>
      <c r="B97" s="14"/>
      <c r="C97" s="12"/>
      <c r="D97" s="23"/>
      <c r="E97" s="23"/>
      <c r="F97" s="40"/>
      <c r="G97" s="40"/>
      <c r="H97" s="40"/>
      <c r="I97" s="40"/>
      <c r="J97" s="40"/>
      <c r="K97" s="40"/>
      <c r="L97" s="40"/>
      <c r="M97" s="40"/>
      <c r="N97" s="40"/>
      <c r="O97" s="40"/>
      <c r="P97" s="40"/>
      <c r="Q97" s="40"/>
      <c r="R97" s="40"/>
    </row>
    <row r="98" spans="1:19" ht="26.25" customHeight="1">
      <c r="A98" s="9"/>
      <c r="B98" s="14"/>
      <c r="C98" s="12"/>
      <c r="D98" s="23"/>
      <c r="E98" s="23"/>
      <c r="F98" s="40"/>
      <c r="G98" s="40"/>
      <c r="H98" s="40"/>
      <c r="I98" s="40"/>
      <c r="J98" s="40"/>
      <c r="K98" s="40"/>
      <c r="L98" s="40"/>
      <c r="M98" s="40"/>
      <c r="N98" s="40"/>
      <c r="O98" s="40"/>
      <c r="P98" s="40"/>
      <c r="Q98" s="40"/>
      <c r="R98" s="40"/>
    </row>
    <row r="99" spans="1:19" ht="26.25" customHeight="1">
      <c r="A99" s="9"/>
      <c r="B99" s="14"/>
      <c r="C99" s="12"/>
      <c r="D99" s="23"/>
      <c r="E99" s="23"/>
      <c r="F99" s="40"/>
      <c r="G99" s="40"/>
      <c r="H99" s="40"/>
      <c r="I99" s="40"/>
      <c r="J99" s="40"/>
      <c r="K99" s="40"/>
      <c r="L99" s="40"/>
      <c r="M99" s="40"/>
      <c r="N99" s="40"/>
      <c r="O99" s="40"/>
      <c r="P99" s="40"/>
      <c r="Q99" s="40"/>
      <c r="R99" s="40"/>
    </row>
    <row r="100" spans="1:19" ht="26.25" customHeight="1">
      <c r="A100" s="9"/>
      <c r="B100" s="14"/>
      <c r="C100" s="12"/>
      <c r="D100" s="23"/>
      <c r="E100" s="23"/>
      <c r="F100" s="40"/>
      <c r="G100" s="40"/>
      <c r="H100" s="40"/>
      <c r="I100" s="40"/>
      <c r="J100" s="40"/>
      <c r="K100" s="40"/>
      <c r="L100" s="40"/>
      <c r="M100" s="40"/>
      <c r="N100" s="40"/>
      <c r="O100" s="40"/>
      <c r="P100" s="40"/>
      <c r="Q100" s="40"/>
      <c r="R100" s="40"/>
    </row>
    <row r="101" spans="1:19" ht="26.25" customHeight="1">
      <c r="A101" s="9"/>
      <c r="B101" s="14"/>
      <c r="C101" s="12"/>
      <c r="D101" s="23"/>
      <c r="E101" s="23"/>
      <c r="F101" s="40"/>
      <c r="G101" s="40"/>
      <c r="H101" s="40"/>
      <c r="I101" s="40"/>
      <c r="J101" s="40"/>
      <c r="K101" s="40"/>
      <c r="L101" s="40"/>
      <c r="M101" s="40"/>
      <c r="N101" s="40"/>
      <c r="O101" s="40"/>
      <c r="P101" s="40"/>
      <c r="Q101" s="40"/>
      <c r="R101" s="40"/>
    </row>
    <row r="102" spans="1:19" ht="26.25" customHeight="1">
      <c r="A102" s="9"/>
      <c r="B102" s="14"/>
      <c r="C102" s="12"/>
      <c r="D102" s="23"/>
      <c r="E102" s="23"/>
      <c r="F102" s="40"/>
      <c r="G102" s="40"/>
      <c r="H102" s="40"/>
      <c r="I102" s="40"/>
      <c r="J102" s="40"/>
      <c r="K102" s="40"/>
      <c r="L102" s="40"/>
      <c r="M102" s="40"/>
      <c r="N102" s="40"/>
      <c r="O102" s="40"/>
      <c r="P102" s="40"/>
      <c r="Q102" s="40"/>
      <c r="R102" s="40"/>
    </row>
    <row r="103" spans="1:19" ht="26.25" customHeight="1">
      <c r="A103" s="9"/>
      <c r="B103" s="14"/>
      <c r="C103" s="12"/>
      <c r="D103" s="23"/>
      <c r="E103" s="23"/>
      <c r="F103" s="40"/>
      <c r="G103" s="40"/>
      <c r="H103" s="40"/>
      <c r="I103" s="40"/>
      <c r="J103" s="40"/>
      <c r="K103" s="40"/>
      <c r="L103" s="40"/>
      <c r="M103" s="40"/>
      <c r="N103" s="40"/>
      <c r="O103" s="40"/>
      <c r="P103" s="40"/>
      <c r="Q103" s="40"/>
      <c r="R103" s="40"/>
    </row>
    <row r="104" spans="1:19" ht="26.25" customHeight="1">
      <c r="A104" s="9"/>
      <c r="B104" s="14"/>
      <c r="C104" s="12"/>
      <c r="D104" s="23"/>
      <c r="E104" s="23"/>
      <c r="F104" s="40"/>
      <c r="G104" s="40"/>
      <c r="H104" s="40"/>
      <c r="I104" s="40"/>
      <c r="J104" s="40"/>
      <c r="K104" s="40"/>
      <c r="L104" s="40"/>
      <c r="M104" s="40"/>
      <c r="N104" s="40"/>
      <c r="O104" s="40"/>
      <c r="P104" s="40"/>
      <c r="Q104" s="40"/>
      <c r="R104" s="40"/>
    </row>
    <row r="105" spans="1:19" ht="26.25" customHeight="1">
      <c r="A105" s="9"/>
      <c r="B105" s="14"/>
      <c r="C105" s="12"/>
      <c r="D105" s="23"/>
      <c r="E105" s="23"/>
      <c r="F105" s="40"/>
      <c r="G105" s="40"/>
      <c r="H105" s="40"/>
      <c r="I105" s="40"/>
      <c r="J105" s="40"/>
      <c r="K105" s="40"/>
      <c r="L105" s="40"/>
      <c r="M105" s="40"/>
      <c r="N105" s="40"/>
      <c r="O105" s="40"/>
      <c r="P105" s="40"/>
      <c r="Q105" s="40"/>
      <c r="R105" s="40"/>
    </row>
    <row r="106" spans="1:19" ht="26.25" customHeight="1">
      <c r="A106" s="38"/>
      <c r="B106" s="39"/>
      <c r="C106" s="1"/>
      <c r="D106" s="23"/>
      <c r="E106" s="23"/>
      <c r="F106" s="40"/>
      <c r="G106" s="40"/>
      <c r="H106" s="40"/>
      <c r="I106" s="40"/>
      <c r="J106" s="40"/>
      <c r="K106" s="40"/>
      <c r="L106" s="40"/>
      <c r="M106" s="40"/>
      <c r="N106" s="40"/>
      <c r="O106" s="40"/>
      <c r="P106" s="40"/>
      <c r="Q106" s="40"/>
      <c r="R106" s="40"/>
    </row>
    <row r="107" spans="1:19" ht="26.25" customHeight="1">
      <c r="A107" s="9"/>
      <c r="B107" s="14"/>
      <c r="C107" s="12"/>
      <c r="D107" s="23"/>
      <c r="E107" s="23"/>
      <c r="F107" s="40"/>
      <c r="G107" s="43"/>
      <c r="H107" s="43"/>
      <c r="I107" s="43"/>
      <c r="J107" s="43"/>
      <c r="K107" s="43"/>
      <c r="L107" s="43"/>
      <c r="M107" s="43"/>
      <c r="N107" s="43"/>
      <c r="O107" s="43"/>
      <c r="P107" s="43"/>
      <c r="Q107" s="43"/>
      <c r="R107" s="43"/>
    </row>
    <row r="108" spans="1:19" ht="26.25" customHeight="1">
      <c r="A108" s="17"/>
      <c r="B108" s="18"/>
      <c r="C108" s="4"/>
      <c r="D108" s="23"/>
      <c r="E108" s="23"/>
      <c r="F108" s="40"/>
      <c r="G108" s="43"/>
      <c r="H108" s="43"/>
      <c r="I108" s="43"/>
      <c r="J108" s="43"/>
      <c r="K108" s="43"/>
      <c r="L108" s="43"/>
      <c r="M108" s="43"/>
      <c r="N108" s="43"/>
      <c r="O108" s="43"/>
      <c r="P108" s="43"/>
      <c r="Q108" s="43"/>
      <c r="R108" s="43"/>
    </row>
    <row r="109" spans="1:19" ht="26.25" customHeight="1">
      <c r="S109" s="29"/>
    </row>
  </sheetData>
  <autoFilter ref="A2:R108"/>
  <mergeCells count="1">
    <mergeCell ref="F1:R1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outlinePr summaryBelow="0"/>
  </sheetPr>
  <dimension ref="A1:P15"/>
  <sheetViews>
    <sheetView showGridLines="0" zoomScaleNormal="100" workbookViewId="0">
      <selection activeCell="B42" sqref="B42"/>
    </sheetView>
  </sheetViews>
  <sheetFormatPr baseColWidth="10" defaultRowHeight="15" outlineLevelRow="2"/>
  <cols>
    <col min="1" max="1" width="11.140625" customWidth="1"/>
  </cols>
  <sheetData>
    <row r="1" spans="1:16" ht="15.75" thickBot="1">
      <c r="C1" s="3">
        <f>Data!F2</f>
        <v>41275</v>
      </c>
      <c r="D1" s="3">
        <f>Data!G2</f>
        <v>41306</v>
      </c>
      <c r="E1" s="3">
        <f>Data!H2</f>
        <v>41334</v>
      </c>
      <c r="F1" s="3">
        <f>Data!I2</f>
        <v>41365</v>
      </c>
      <c r="G1" s="3">
        <f>Data!J2</f>
        <v>41395</v>
      </c>
      <c r="H1" s="3">
        <f>Data!K2</f>
        <v>41426</v>
      </c>
      <c r="I1" s="3">
        <f>Data!L2</f>
        <v>41456</v>
      </c>
      <c r="J1" s="3">
        <f>Data!M2</f>
        <v>41487</v>
      </c>
      <c r="K1" s="3">
        <f>Data!N2</f>
        <v>41518</v>
      </c>
      <c r="L1" s="3">
        <f>Data!O2</f>
        <v>41548</v>
      </c>
      <c r="M1" s="3">
        <f>Data!P2</f>
        <v>41579</v>
      </c>
      <c r="N1" s="3">
        <f>Data!Q2</f>
        <v>41609</v>
      </c>
      <c r="O1" s="3">
        <f>Data!R2</f>
        <v>41640</v>
      </c>
      <c r="P1" s="3">
        <f>Data!S2</f>
        <v>41671</v>
      </c>
    </row>
    <row r="2" spans="1:16" collapsed="1">
      <c r="A2" s="81" t="s">
        <v>6</v>
      </c>
      <c r="B2" s="82"/>
      <c r="C2" s="35">
        <f t="shared" ref="C2:O2" ca="1" si="0">SUMPRODUCT((target&gt;=C$1)*(target&lt;D$1))</f>
        <v>1</v>
      </c>
      <c r="D2" s="35">
        <f t="shared" ca="1" si="0"/>
        <v>2</v>
      </c>
      <c r="E2" s="35">
        <f t="shared" ca="1" si="0"/>
        <v>5</v>
      </c>
      <c r="F2" s="35">
        <f t="shared" ca="1" si="0"/>
        <v>7</v>
      </c>
      <c r="G2" s="35">
        <f t="shared" ca="1" si="0"/>
        <v>3</v>
      </c>
      <c r="H2" s="35">
        <f t="shared" ca="1" si="0"/>
        <v>9</v>
      </c>
      <c r="I2" s="35">
        <f t="shared" ca="1" si="0"/>
        <v>9</v>
      </c>
      <c r="J2" s="35">
        <f t="shared" ca="1" si="0"/>
        <v>2</v>
      </c>
      <c r="K2" s="35">
        <f t="shared" ca="1" si="0"/>
        <v>4</v>
      </c>
      <c r="L2" s="35">
        <f t="shared" ca="1" si="0"/>
        <v>3</v>
      </c>
      <c r="M2" s="35">
        <f t="shared" ca="1" si="0"/>
        <v>3</v>
      </c>
      <c r="N2" s="35">
        <f t="shared" ca="1" si="0"/>
        <v>6</v>
      </c>
      <c r="O2" s="26">
        <f t="shared" ca="1" si="0"/>
        <v>0</v>
      </c>
    </row>
    <row r="3" spans="1:16" hidden="1" outlineLevel="1">
      <c r="A3" s="77" t="s">
        <v>17</v>
      </c>
      <c r="B3" s="78"/>
      <c r="C3" s="34">
        <f ca="1">SUM($C2:C2)</f>
        <v>1</v>
      </c>
      <c r="D3" s="34">
        <f ca="1">SUM($C2:D2)</f>
        <v>3</v>
      </c>
      <c r="E3" s="34">
        <f ca="1">SUM($C2:E2)</f>
        <v>8</v>
      </c>
      <c r="F3" s="34">
        <f ca="1">SUM($C2:F2)</f>
        <v>15</v>
      </c>
      <c r="G3" s="34">
        <f ca="1">SUM($C2:G2)</f>
        <v>18</v>
      </c>
      <c r="H3" s="34">
        <f ca="1">SUM($C2:H2)</f>
        <v>27</v>
      </c>
      <c r="I3" s="34">
        <f ca="1">SUM($C2:I2)</f>
        <v>36</v>
      </c>
      <c r="J3" s="34">
        <f ca="1">SUM($C2:J2)</f>
        <v>38</v>
      </c>
      <c r="K3" s="34">
        <f ca="1">SUM($C2:K2)</f>
        <v>42</v>
      </c>
      <c r="L3" s="34">
        <f ca="1">SUM($C2:L2)</f>
        <v>45</v>
      </c>
      <c r="M3" s="34">
        <f ca="1">SUM($C2:M2)</f>
        <v>48</v>
      </c>
      <c r="N3" s="34">
        <f ca="1">SUM($C2:N2)</f>
        <v>54</v>
      </c>
      <c r="O3" s="30">
        <f ca="1">SUM($C2:O2)</f>
        <v>54</v>
      </c>
    </row>
    <row r="4" spans="1:16" ht="15.75" collapsed="1" thickBot="1">
      <c r="A4" s="75" t="s">
        <v>7</v>
      </c>
      <c r="B4" s="76"/>
      <c r="C4" s="33">
        <f ca="1">SUMPRODUCT((jan&gt;=C$1)*(jan&lt;D$1))</f>
        <v>1</v>
      </c>
      <c r="D4" s="33">
        <f ca="1">SUMPRODUCT((feb&gt;=D$1)*(feb&lt;E$1))</f>
        <v>2</v>
      </c>
      <c r="E4" s="33">
        <f ca="1">SUMPRODUCT((mar&gt;=E$1)*(mar&lt;F$1))</f>
        <v>4</v>
      </c>
      <c r="F4" s="33">
        <f ca="1">SUMPRODUCT((apr&gt;=F$1)*(apr&lt;G$1))</f>
        <v>7</v>
      </c>
      <c r="G4" s="33">
        <f ca="1">SUMPRODUCT((may&gt;=G$1)*(may&lt;H$1))</f>
        <v>3</v>
      </c>
      <c r="H4" s="33">
        <f ca="1">SUMPRODUCT((jun&gt;=H$1)*(jun&lt;I$1))</f>
        <v>9</v>
      </c>
      <c r="I4" s="33">
        <f ca="1">SUMPRODUCT((jul&gt;=I$1)*(jul&lt;J$1))</f>
        <v>9</v>
      </c>
      <c r="J4" s="33">
        <f ca="1">SUMPRODUCT((aug&gt;=J$1)*(aug&lt;K$1))</f>
        <v>3</v>
      </c>
      <c r="K4" s="33">
        <f ca="1">SUMPRODUCT((sep&gt;=K$1)*(sep&lt;L$1))</f>
        <v>7</v>
      </c>
      <c r="L4" s="33">
        <f ca="1">SUMPRODUCT((oct&gt;=L$1)*(oct&lt;M$1))</f>
        <v>2</v>
      </c>
      <c r="M4" s="33">
        <f ca="1">SUMPRODUCT((nov&gt;=M$1)*(nov&lt;N$1))</f>
        <v>3</v>
      </c>
      <c r="N4" s="33">
        <f ca="1">SUMPRODUCT((dec&gt;=N$1)*(dec&lt;O$1))</f>
        <v>4</v>
      </c>
      <c r="O4" s="27">
        <f ca="1">SUMPRODUCT((jan&gt;=O$1)*(jan&lt;P$1))</f>
        <v>0</v>
      </c>
    </row>
    <row r="5" spans="1:16" ht="15.75" hidden="1" outlineLevel="1" thickBot="1">
      <c r="A5" s="83" t="s">
        <v>18</v>
      </c>
      <c r="B5" s="84"/>
      <c r="C5" s="36">
        <f ca="1">C4</f>
        <v>1</v>
      </c>
      <c r="D5" s="36">
        <f ca="1">SUM($C6:C6)+D4</f>
        <v>3</v>
      </c>
      <c r="E5" s="36">
        <f ca="1">SUM($C6:D6)+E4</f>
        <v>7</v>
      </c>
      <c r="F5" s="36">
        <f ca="1">SUM($C6:E6)+F4</f>
        <v>13</v>
      </c>
      <c r="G5" s="36">
        <f ca="1">SUM($C6:F6)+G4</f>
        <v>16</v>
      </c>
      <c r="H5" s="36">
        <f ca="1">SUM($C6:G6)+H4</f>
        <v>25</v>
      </c>
      <c r="I5" s="36">
        <f ca="1">SUM($C6:H6)+I4</f>
        <v>35</v>
      </c>
      <c r="J5" s="36">
        <f ca="1">SUM($C6:I6)+J4</f>
        <v>35</v>
      </c>
      <c r="K5" s="36">
        <f ca="1">SUM($C6:J6)+K4</f>
        <v>40</v>
      </c>
      <c r="L5" s="36">
        <f ca="1">SUM($C6:K6)+L4</f>
        <v>43</v>
      </c>
      <c r="M5" s="36">
        <f ca="1">SUM($C6:L6)+M4</f>
        <v>47</v>
      </c>
      <c r="N5" s="36">
        <f ca="1">SUM($C6:M6)+N4</f>
        <v>51</v>
      </c>
      <c r="O5" s="31">
        <f ca="1">SUM($C6:N6)+O4</f>
        <v>51</v>
      </c>
    </row>
    <row r="6" spans="1:16" ht="15.75" collapsed="1" thickBot="1">
      <c r="A6" s="79" t="s">
        <v>11</v>
      </c>
      <c r="B6" s="80"/>
      <c r="C6" s="35">
        <f t="shared" ref="C6:O6" ca="1" si="1">SUMPRODUCT((met&gt;=C$1)*(met&lt;D$1))</f>
        <v>1</v>
      </c>
      <c r="D6" s="35">
        <f t="shared" ca="1" si="1"/>
        <v>2</v>
      </c>
      <c r="E6" s="35">
        <f t="shared" ca="1" si="1"/>
        <v>3</v>
      </c>
      <c r="F6" s="35">
        <f t="shared" ca="1" si="1"/>
        <v>7</v>
      </c>
      <c r="G6" s="35">
        <f t="shared" ca="1" si="1"/>
        <v>3</v>
      </c>
      <c r="H6" s="35">
        <f t="shared" ca="1" si="1"/>
        <v>10</v>
      </c>
      <c r="I6" s="35">
        <f t="shared" ca="1" si="1"/>
        <v>6</v>
      </c>
      <c r="J6" s="35">
        <f t="shared" ca="1" si="1"/>
        <v>1</v>
      </c>
      <c r="K6" s="35">
        <f t="shared" ca="1" si="1"/>
        <v>8</v>
      </c>
      <c r="L6" s="35">
        <f t="shared" ca="1" si="1"/>
        <v>3</v>
      </c>
      <c r="M6" s="35">
        <f t="shared" ca="1" si="1"/>
        <v>3</v>
      </c>
      <c r="N6" s="35">
        <f t="shared" ca="1" si="1"/>
        <v>4</v>
      </c>
      <c r="O6" s="26">
        <f t="shared" ca="1" si="1"/>
        <v>0</v>
      </c>
    </row>
    <row r="7" spans="1:16" hidden="1" outlineLevel="1" collapsed="1">
      <c r="A7" s="75" t="s">
        <v>10</v>
      </c>
      <c r="B7" s="76"/>
      <c r="C7" s="33">
        <f ca="1">SUMPRODUCT((met&gt;=C$1)*(met&lt;D$1)*(met&gt;jan))</f>
        <v>0</v>
      </c>
      <c r="D7" s="33">
        <f ca="1">SUMPRODUCT((met&gt;=D$1)*(met&lt;E$1)*(met&gt;feb))</f>
        <v>0</v>
      </c>
      <c r="E7" s="33">
        <f ca="1">SUMPRODUCT((met&gt;=E$1)*(met&lt;F$1)*(met&gt;mar))</f>
        <v>0</v>
      </c>
      <c r="F7" s="33">
        <f ca="1">SUMPRODUCT((met&gt;=F$1)*(met&lt;G$1)*(met&gt;apr))</f>
        <v>0</v>
      </c>
      <c r="G7" s="33">
        <f ca="1">SUMPRODUCT((met&gt;=G$1)*(met&lt;H$1)*(met&gt;may))</f>
        <v>0</v>
      </c>
      <c r="H7" s="33">
        <f ca="1">SUMPRODUCT((met&gt;=H$1)*(met&lt;I$1)*(met&gt;jun))</f>
        <v>0</v>
      </c>
      <c r="I7" s="33">
        <f ca="1">SUMPRODUCT((met&gt;=I$1)*(met&lt;J$1)*(met&gt;jul))</f>
        <v>0</v>
      </c>
      <c r="J7" s="33">
        <f ca="1">SUMPRODUCT((met&gt;=J$1)*(met&lt;K$1)*(met&gt;aug))</f>
        <v>0</v>
      </c>
      <c r="K7" s="33">
        <f ca="1">SUMPRODUCT((met&gt;=K$1)*(met&lt;L$1)*(met&gt;sep))</f>
        <v>1</v>
      </c>
      <c r="L7" s="33">
        <f ca="1">SUMPRODUCT((met&gt;=L$1)*(met&lt;M$1)*(met&gt;oct))</f>
        <v>1</v>
      </c>
      <c r="M7" s="33">
        <f ca="1">SUMPRODUCT((met&gt;=M$1)*(met&lt;N$1)*(met&gt;nov))</f>
        <v>0</v>
      </c>
      <c r="N7" s="33">
        <f ca="1">SUMPRODUCT((met&gt;=N$1)*(met&lt;O$1)*(met&gt;dec))</f>
        <v>0</v>
      </c>
      <c r="O7" s="27">
        <f ca="1">SUMPRODUCT((met&gt;=O$1)*(met&lt;P$1)*(met&gt;nextjan))</f>
        <v>0</v>
      </c>
    </row>
    <row r="8" spans="1:16" hidden="1" outlineLevel="2">
      <c r="A8" s="77" t="s">
        <v>14</v>
      </c>
      <c r="B8" s="78"/>
      <c r="C8" s="34">
        <f ca="1">SUM($C7:C7)</f>
        <v>0</v>
      </c>
      <c r="D8" s="34">
        <f ca="1">SUM($C7:D7)</f>
        <v>0</v>
      </c>
      <c r="E8" s="34">
        <f ca="1">SUM($C7:E7)</f>
        <v>0</v>
      </c>
      <c r="F8" s="34">
        <f ca="1">SUM(C7:F7)</f>
        <v>0</v>
      </c>
      <c r="G8" s="34">
        <f ca="1">SUM($C7:G7)</f>
        <v>0</v>
      </c>
      <c r="H8" s="34">
        <f ca="1">SUM($C7:H7)</f>
        <v>0</v>
      </c>
      <c r="I8" s="34">
        <f ca="1">SUM($C7:I7)</f>
        <v>0</v>
      </c>
      <c r="J8" s="34">
        <f ca="1">SUM($C7:J7)</f>
        <v>0</v>
      </c>
      <c r="K8" s="34">
        <f ca="1">SUM($C7:K7)</f>
        <v>1</v>
      </c>
      <c r="L8" s="34">
        <f ca="1">SUM($C7:L7)</f>
        <v>2</v>
      </c>
      <c r="M8" s="34">
        <f ca="1">SUM($C7:M7)</f>
        <v>2</v>
      </c>
      <c r="N8" s="34">
        <f ca="1">SUM($C7:N7)</f>
        <v>2</v>
      </c>
      <c r="O8" s="30">
        <f ca="1">SUM($C7:O7)</f>
        <v>2</v>
      </c>
    </row>
    <row r="9" spans="1:16" hidden="1" outlineLevel="1" collapsed="1">
      <c r="A9" s="75" t="s">
        <v>9</v>
      </c>
      <c r="B9" s="76"/>
      <c r="C9" s="33">
        <f ca="1">SUMPRODUCT((met&gt;=C$1)*(met&lt;D$1)*(met=jan))</f>
        <v>1</v>
      </c>
      <c r="D9" s="33">
        <f ca="1">SUMPRODUCT((met&gt;=D$1)*(met&lt;E$1)*(met=feb))</f>
        <v>1</v>
      </c>
      <c r="E9" s="33">
        <f ca="1">SUMPRODUCT((met&gt;=E$1)*(met&lt;F$1)*(met=mar))</f>
        <v>3</v>
      </c>
      <c r="F9" s="33">
        <f ca="1">SUMPRODUCT((met&gt;=F$1)*(met&lt;G$1)*(met=apr))</f>
        <v>7</v>
      </c>
      <c r="G9" s="33">
        <f ca="1">SUMPRODUCT((met&gt;=G$1)*(met&lt;H$1)*(met=may))</f>
        <v>3</v>
      </c>
      <c r="H9" s="33">
        <f ca="1">SUMPRODUCT((met&gt;=H$1)*(met&lt;I$1)*(met=jun))</f>
        <v>9</v>
      </c>
      <c r="I9" s="33">
        <f ca="1">SUMPRODUCT((met&gt;=I$1)*(met&lt;J$1)*(met=jul))</f>
        <v>6</v>
      </c>
      <c r="J9" s="33">
        <f ca="1">SUMPRODUCT((met&gt;=J$1)*(met&lt;K$1)*(met=aug))</f>
        <v>1</v>
      </c>
      <c r="K9" s="33">
        <f ca="1">SUMPRODUCT((met&gt;=K$1)*(met&lt;L$1)*(met=sep))</f>
        <v>7</v>
      </c>
      <c r="L9" s="33">
        <f ca="1">SUMPRODUCT((met&gt;=L$1)*(met&lt;M$1)*(met=oct))</f>
        <v>2</v>
      </c>
      <c r="M9" s="33">
        <f ca="1">SUMPRODUCT((met&gt;=M$1)*(met&lt;N$1)*(met=nov))</f>
        <v>3</v>
      </c>
      <c r="N9" s="33">
        <f ca="1">SUMPRODUCT((met&gt;=N$1)*(met&lt;O$1)*(met=dec))</f>
        <v>4</v>
      </c>
      <c r="O9" s="27">
        <f ca="1">SUMPRODUCT((met&gt;=O$1)*(met&lt;P$1)*(met=nextjan))</f>
        <v>0</v>
      </c>
    </row>
    <row r="10" spans="1:16" hidden="1" outlineLevel="2">
      <c r="A10" s="77" t="s">
        <v>15</v>
      </c>
      <c r="B10" s="78"/>
      <c r="C10" s="34">
        <f ca="1">SUM($C9:C9)</f>
        <v>1</v>
      </c>
      <c r="D10" s="34">
        <f ca="1">SUM($C9:D9)</f>
        <v>2</v>
      </c>
      <c r="E10" s="34">
        <f ca="1">SUM($C9:E9)</f>
        <v>5</v>
      </c>
      <c r="F10" s="34">
        <f ca="1">SUM($C9:F9)</f>
        <v>12</v>
      </c>
      <c r="G10" s="34">
        <f ca="1">SUM($C9:G9)</f>
        <v>15</v>
      </c>
      <c r="H10" s="34">
        <f ca="1">SUM($C9:H9)</f>
        <v>24</v>
      </c>
      <c r="I10" s="34">
        <f ca="1">SUM($C9:I9)</f>
        <v>30</v>
      </c>
      <c r="J10" s="34">
        <f ca="1">SUM($C9:J9)</f>
        <v>31</v>
      </c>
      <c r="K10" s="34">
        <f ca="1">SUM($C9:K9)</f>
        <v>38</v>
      </c>
      <c r="L10" s="34">
        <f ca="1">SUM($C9:L9)</f>
        <v>40</v>
      </c>
      <c r="M10" s="34">
        <f ca="1">SUM($C9:M9)</f>
        <v>43</v>
      </c>
      <c r="N10" s="34">
        <f ca="1">SUM($C9:N9)</f>
        <v>47</v>
      </c>
      <c r="O10" s="30">
        <f ca="1">SUM($C9:O9)</f>
        <v>47</v>
      </c>
    </row>
    <row r="11" spans="1:16" ht="15.75" hidden="1" outlineLevel="1" collapsed="1" thickBot="1">
      <c r="A11" s="75" t="s">
        <v>8</v>
      </c>
      <c r="B11" s="76"/>
      <c r="C11" s="33">
        <f ca="1">SUMPRODUCT((met&gt;=C$1)*(met&lt;D$1)*(met&lt;jan))</f>
        <v>0</v>
      </c>
      <c r="D11" s="33">
        <f ca="1">SUMPRODUCT((met&gt;=D$1)*(met&lt;E$1)*(met&lt;feb))</f>
        <v>1</v>
      </c>
      <c r="E11" s="33">
        <f ca="1">SUMPRODUCT((met&gt;=E$1)*(met&lt;F$1)*(met&lt;mar))</f>
        <v>0</v>
      </c>
      <c r="F11" s="33">
        <f ca="1">SUMPRODUCT((met&gt;=F$1)*(met&lt;G$1)*(met&lt;apr))</f>
        <v>0</v>
      </c>
      <c r="G11" s="33">
        <f ca="1">SUMPRODUCT((met&gt;=G$1)*(met&lt;H$1)*(met&lt;may))</f>
        <v>0</v>
      </c>
      <c r="H11" s="33">
        <f ca="1">SUMPRODUCT((met&gt;=H$1)*(met&lt;I$1)*(met&lt;jun))</f>
        <v>1</v>
      </c>
      <c r="I11" s="33">
        <f ca="1">SUMPRODUCT((met&gt;=I$1)*(met&lt;J$1)*(met&lt;jul))</f>
        <v>0</v>
      </c>
      <c r="J11" s="33">
        <f ca="1">SUMPRODUCT((met&gt;=J$1)*(met&lt;K$1)*(met&lt;aug))</f>
        <v>0</v>
      </c>
      <c r="K11" s="33">
        <f ca="1">SUMPRODUCT((met&gt;=K$1)*(met&lt;L$1)*(met&lt;sep))</f>
        <v>0</v>
      </c>
      <c r="L11" s="33">
        <f ca="1">SUMPRODUCT((met&gt;=L$1)*(met&lt;M$1)*(met&lt;oct))</f>
        <v>0</v>
      </c>
      <c r="M11" s="33">
        <f ca="1">SUMPRODUCT((met&gt;=M$1)*(met&lt;N$1)*(met&lt;nov))</f>
        <v>0</v>
      </c>
      <c r="N11" s="33">
        <f ca="1">SUMPRODUCT((met&gt;=N$1)*(met&lt;O$1)*(met&lt;dec))</f>
        <v>0</v>
      </c>
      <c r="O11" s="27">
        <f ca="1">SUMPRODUCT((met&gt;=O$1)*(met&lt;P$1)*(met&lt;nextjan))</f>
        <v>0</v>
      </c>
    </row>
    <row r="12" spans="1:16" ht="15.75" hidden="1" outlineLevel="2" thickBot="1">
      <c r="A12" s="83" t="s">
        <v>16</v>
      </c>
      <c r="B12" s="84"/>
      <c r="C12" s="36">
        <f ca="1">SUM($C11:C11)</f>
        <v>0</v>
      </c>
      <c r="D12" s="36">
        <f ca="1">SUM($C11:D11)</f>
        <v>1</v>
      </c>
      <c r="E12" s="36">
        <f ca="1">SUM($C11:E11)</f>
        <v>1</v>
      </c>
      <c r="F12" s="36">
        <f ca="1">SUM($C11:F11)</f>
        <v>1</v>
      </c>
      <c r="G12" s="36">
        <f ca="1">SUM($C11:G11)</f>
        <v>1</v>
      </c>
      <c r="H12" s="36">
        <f ca="1">SUM($C11:H11)</f>
        <v>2</v>
      </c>
      <c r="I12" s="36">
        <f ca="1">SUM($C11:I11)</f>
        <v>2</v>
      </c>
      <c r="J12" s="36">
        <f ca="1">SUM($C11:J11)</f>
        <v>2</v>
      </c>
      <c r="K12" s="36">
        <f ca="1">SUM($C11:K11)</f>
        <v>2</v>
      </c>
      <c r="L12" s="36">
        <f ca="1">SUM($C11:L11)</f>
        <v>2</v>
      </c>
      <c r="M12" s="36">
        <f ca="1">SUM($C11:M11)</f>
        <v>2</v>
      </c>
      <c r="N12" s="36">
        <f ca="1">SUM($C11:N11)</f>
        <v>2</v>
      </c>
      <c r="O12" s="31">
        <f ca="1">SUM($C11:O11)</f>
        <v>2</v>
      </c>
    </row>
    <row r="13" spans="1:16">
      <c r="A13" s="79" t="s">
        <v>19</v>
      </c>
      <c r="B13" s="80"/>
      <c r="C13" s="35">
        <f ca="1">SUMPRODUCT((met="")*(target&lt;&gt;"")*(jan&lt;D$1))</f>
        <v>0</v>
      </c>
      <c r="D13" s="35">
        <f ca="1">SUMPRODUCT((met="")*(target&lt;&gt;"")*(feb&lt;E$1))</f>
        <v>0</v>
      </c>
      <c r="E13" s="35">
        <f ca="1">SUMPRODUCT((met="")*(target&lt;&gt;"")*(mar&lt;F$1))</f>
        <v>0</v>
      </c>
      <c r="F13" s="35">
        <f ca="1">SUMPRODUCT((met="")*(target&lt;&gt;"")*(apr&lt;G$1))</f>
        <v>0</v>
      </c>
      <c r="G13" s="35">
        <f ca="1">SUMPRODUCT((met="")*(target&lt;&gt;"")*(may&lt;H$1))</f>
        <v>0</v>
      </c>
      <c r="H13" s="35">
        <f ca="1">SUMPRODUCT((met="")*(target&lt;&gt;"")*(jun&lt;I$1))</f>
        <v>0</v>
      </c>
      <c r="I13" s="35">
        <f ca="1">SUMPRODUCT((met="")*(target&lt;&gt;"")*(jul&lt;J$1))</f>
        <v>0</v>
      </c>
      <c r="J13" s="35">
        <f ca="1">SUMPRODUCT((met="")*(target&lt;&gt;"")*(aug&lt;K$1))</f>
        <v>0</v>
      </c>
      <c r="K13" s="35">
        <f ca="1">SUMPRODUCT((met="")*(target&lt;&gt;"")*(sep&lt;L$1))</f>
        <v>0</v>
      </c>
      <c r="L13" s="35">
        <f ca="1">SUMPRODUCT((met="")*(target&lt;&gt;"")*(oct&lt;M$1))</f>
        <v>0</v>
      </c>
      <c r="M13" s="35">
        <f ca="1">SUMPRODUCT((met="")*(target&lt;&gt;"")*(nov&lt;N$1))</f>
        <v>0</v>
      </c>
      <c r="N13" s="35">
        <f ca="1">SUMPRODUCT((met="")*(target&lt;&gt;"")*(dec&lt;O$1))</f>
        <v>0</v>
      </c>
      <c r="O13" s="26">
        <f ca="1">SUMPRODUCT((met="")*(target&lt;&gt;"")*(nextjan&lt;P$1))</f>
        <v>0</v>
      </c>
    </row>
    <row r="14" spans="1:16" ht="15.75" thickBot="1">
      <c r="A14" s="87" t="s">
        <v>13</v>
      </c>
      <c r="B14" s="88"/>
      <c r="C14" s="28">
        <f ca="1">SUMPRODUCT((jan&gt;target)*1)</f>
        <v>6</v>
      </c>
      <c r="D14" s="28">
        <f ca="1">SUMPRODUCT((feb&gt;jan)*1)</f>
        <v>1</v>
      </c>
      <c r="E14" s="28">
        <f ca="1">SUMPRODUCT((mar&gt;feb)*1)</f>
        <v>0</v>
      </c>
      <c r="F14" s="28">
        <f ca="1">SUMPRODUCT((apr&gt;mar)*1)</f>
        <v>0</v>
      </c>
      <c r="G14" s="28">
        <f ca="1">SUMPRODUCT((may&gt;apr)*1)</f>
        <v>0</v>
      </c>
      <c r="H14" s="28">
        <f ca="1">SUMPRODUCT((jun&gt;may)*1)</f>
        <v>0</v>
      </c>
      <c r="I14" s="28">
        <f ca="1">SUMPRODUCT((jul&gt;jun)*1)</f>
        <v>0</v>
      </c>
      <c r="J14" s="28">
        <f ca="1">SUMPRODUCT((aug&gt;jul)*1)</f>
        <v>1</v>
      </c>
      <c r="K14" s="28">
        <f ca="1">SUMPRODUCT((sep&gt;aug)*1)</f>
        <v>0</v>
      </c>
      <c r="L14" s="28">
        <f ca="1">SUMPRODUCT((oct&gt;sep)*1)</f>
        <v>0</v>
      </c>
      <c r="M14" s="28">
        <f ca="1">SUMPRODUCT((nov&gt;oct)*1)</f>
        <v>0</v>
      </c>
      <c r="N14" s="28">
        <f ca="1">SUMPRODUCT((dec&gt;nov)*1)</f>
        <v>3</v>
      </c>
      <c r="O14" s="32">
        <f ca="1">SUMPRODUCT((nextjan&gt;dec)*1)</f>
        <v>0</v>
      </c>
    </row>
    <row r="15" spans="1:16" ht="15.75" thickBot="1">
      <c r="A15" s="85" t="s">
        <v>40</v>
      </c>
      <c r="B15" s="86"/>
      <c r="C15" s="46">
        <f ca="1">SUMPRODUCT((jan&lt;=target)*(target&lt;&gt;""))/$N$3</f>
        <v>0.88888888888888884</v>
      </c>
      <c r="D15" s="46">
        <f ca="1">SUMPRODUCT((feb&lt;=target)*(target&lt;&gt;""))/$N$3</f>
        <v>0.87037037037037035</v>
      </c>
      <c r="E15" s="46">
        <f ca="1">SUMPRODUCT((mar&lt;=target)*(target&lt;&gt;""))/$N$3</f>
        <v>0.87037037037037035</v>
      </c>
      <c r="F15" s="46">
        <f ca="1">SUMPRODUCT((apr&lt;=target)*(target&lt;&gt;""))/$N$3</f>
        <v>0.87037037037037035</v>
      </c>
      <c r="G15" s="46">
        <f ca="1">SUMPRODUCT((may&lt;=target)*(target&lt;&gt;""))/$N$3</f>
        <v>0.87037037037037035</v>
      </c>
      <c r="H15" s="46">
        <f ca="1">SUMPRODUCT((jun&lt;=target)*(target&lt;&gt;""))/$N$3</f>
        <v>0.87037037037037035</v>
      </c>
      <c r="I15" s="46">
        <f ca="1">SUMPRODUCT((jul&lt;=target)*(target&lt;&gt;""))/$N$3</f>
        <v>0.87037037037037035</v>
      </c>
      <c r="J15" s="46">
        <f ca="1">SUMPRODUCT((aug&lt;=target)*(target&lt;&gt;""))/$N$3</f>
        <v>0.85185185185185186</v>
      </c>
      <c r="K15" s="46">
        <f ca="1">SUMPRODUCT((sep&lt;=target)*(target&lt;&gt;""))/$N$3</f>
        <v>0.85185185185185186</v>
      </c>
      <c r="L15" s="46">
        <f ca="1">SUMPRODUCT((oct&lt;=target)*(target&lt;&gt;""))/$N$3</f>
        <v>0.85185185185185186</v>
      </c>
      <c r="M15" s="46">
        <f ca="1">SUMPRODUCT((nov&lt;=target)*(target&lt;&gt;""))/$N$3</f>
        <v>0.85185185185185186</v>
      </c>
      <c r="N15" s="46">
        <f ca="1">SUMPRODUCT((dec&lt;=target)*(target&lt;&gt;""))/$N$3</f>
        <v>0.79629629629629628</v>
      </c>
      <c r="O15" s="48">
        <f ca="1">SUMPRODUCT((nextjan&lt;=target)*(target&lt;&gt;""))/$N$3</f>
        <v>0.79629629629629628</v>
      </c>
    </row>
  </sheetData>
  <mergeCells count="14">
    <mergeCell ref="A15:B15"/>
    <mergeCell ref="A14:B14"/>
    <mergeCell ref="A13:B13"/>
    <mergeCell ref="A9:B9"/>
    <mergeCell ref="A10:B10"/>
    <mergeCell ref="A11:B11"/>
    <mergeCell ref="A12:B12"/>
    <mergeCell ref="A7:B7"/>
    <mergeCell ref="A8:B8"/>
    <mergeCell ref="A6:B6"/>
    <mergeCell ref="A2:B2"/>
    <mergeCell ref="A3:B3"/>
    <mergeCell ref="A4:B4"/>
    <mergeCell ref="A5:B5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B25"/>
  <sheetViews>
    <sheetView showGridLines="0" tabSelected="1" zoomScaleNormal="100" workbookViewId="0">
      <pane ySplit="5" topLeftCell="A9" activePane="bottomLeft" state="frozen"/>
      <selection pane="bottomLeft" activeCell="A2" sqref="A2"/>
    </sheetView>
  </sheetViews>
  <sheetFormatPr baseColWidth="10" defaultRowHeight="15" outlineLevelRow="1"/>
  <cols>
    <col min="1" max="1" width="11.7109375" customWidth="1"/>
    <col min="2" max="2" width="10.7109375" customWidth="1"/>
    <col min="3" max="3" width="79.5703125" customWidth="1"/>
    <col min="4" max="9" width="11.7109375" customWidth="1"/>
    <col min="10" max="18" width="12.7109375" customWidth="1"/>
  </cols>
  <sheetData>
    <row r="1" spans="1:28" ht="21" customHeight="1">
      <c r="A1" s="57" t="s">
        <v>1</v>
      </c>
      <c r="B1" s="59" t="s">
        <v>20</v>
      </c>
      <c r="C1" s="44"/>
      <c r="D1" s="56" t="s">
        <v>21</v>
      </c>
      <c r="E1" s="45" t="s">
        <v>97</v>
      </c>
      <c r="F1" s="45" t="s">
        <v>98</v>
      </c>
      <c r="G1" s="45" t="s">
        <v>99</v>
      </c>
      <c r="H1" s="45" t="s">
        <v>100</v>
      </c>
      <c r="I1" s="45" t="s">
        <v>101</v>
      </c>
      <c r="J1" s="45" t="s">
        <v>102</v>
      </c>
      <c r="K1" s="45" t="s">
        <v>103</v>
      </c>
      <c r="L1" s="45" t="s">
        <v>104</v>
      </c>
      <c r="M1" s="45" t="s">
        <v>105</v>
      </c>
      <c r="N1" s="45" t="s">
        <v>106</v>
      </c>
      <c r="O1" s="45" t="s">
        <v>107</v>
      </c>
      <c r="P1" s="45" t="s">
        <v>108</v>
      </c>
      <c r="Q1" s="45" t="s">
        <v>109</v>
      </c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</row>
    <row r="2" spans="1:28" ht="17.25" customHeight="1" thickBot="1">
      <c r="A2" s="58" t="s">
        <v>101</v>
      </c>
      <c r="B2" s="60">
        <f>MATCH($A$2,Data!$B:$B,0)</f>
        <v>28</v>
      </c>
    </row>
    <row r="3" spans="1:28" ht="27.75" hidden="1" customHeight="1">
      <c r="D3" s="49"/>
    </row>
    <row r="4" spans="1:28" hidden="1">
      <c r="C4" s="50"/>
      <c r="E4" s="49"/>
      <c r="R4" s="52"/>
    </row>
    <row r="5" spans="1:28" ht="15.75" hidden="1" thickBot="1">
      <c r="B5" s="49"/>
      <c r="C5" s="29"/>
      <c r="E5" s="51"/>
      <c r="R5" s="54"/>
    </row>
    <row r="6" spans="1:28" ht="32.25" customHeight="1" outlineLevel="1" thickBot="1">
      <c r="B6" s="49"/>
      <c r="C6" s="29"/>
      <c r="D6" s="2"/>
      <c r="E6" s="55" t="s">
        <v>40</v>
      </c>
      <c r="F6" s="53">
        <f ca="1">SUMPRODUCT((OFFSET(Data!$F$1,Diagrams!$B$2-1,MONTH(F$7)-1,COUNTIF(Data!$B:$B,$A$2),1)  &lt;=  OFFSET(Data!$D$1,Diagrams!$B$2-1,,COUNTIF(Data!$B:$B,$A$2),1)) *   1   ) /COUNTIF(Data!$B:$B,$A$2)</f>
        <v>1</v>
      </c>
      <c r="G6" s="53">
        <f ca="1">SUMPRODUCT((OFFSET(Data!$F$1,Diagrams!$B$2-1,MONTH(G$7)-1,COUNTIF(Data!$B:$B,$A$2),1)  &lt;=  OFFSET(Data!$D$1,Diagrams!$B$2-1,,COUNTIF(Data!$B:$B,$A$2),1)) *   1   ) /COUNTIF(Data!$B:$B,$A$2)</f>
        <v>1</v>
      </c>
      <c r="H6" s="53">
        <f ca="1">SUMPRODUCT((OFFSET(Data!$F$1,Diagrams!$B$2-1,MONTH(H$7)-1,COUNTIF(Data!$B:$B,$A$2),1)  &lt;=  OFFSET(Data!$D$1,Diagrams!$B$2-1,,COUNTIF(Data!$B:$B,$A$2),1)) *   1   ) /COUNTIF(Data!$B:$B,$A$2)</f>
        <v>1</v>
      </c>
      <c r="I6" s="53">
        <f ca="1">SUMPRODUCT((OFFSET(Data!$F$1,Diagrams!$B$2-1,MONTH(I$7)-1,COUNTIF(Data!$B:$B,$A$2),1)  &lt;=  OFFSET(Data!$D$1,Diagrams!$B$2-1,,COUNTIF(Data!$B:$B,$A$2),1)) *   1   ) /COUNTIF(Data!$B:$B,$A$2)</f>
        <v>1</v>
      </c>
      <c r="J6" s="53">
        <f ca="1">SUMPRODUCT((OFFSET(Data!$F$1,Diagrams!$B$2-1,MONTH(J$7)-1,COUNTIF(Data!$B:$B,$A$2),1)  &lt;=  OFFSET(Data!$D$1,Diagrams!$B$2-1,,COUNTIF(Data!$B:$B,$A$2),1)) *   1   ) /COUNTIF(Data!$B:$B,$A$2)</f>
        <v>1</v>
      </c>
      <c r="K6" s="53">
        <f ca="1">SUMPRODUCT((OFFSET(Data!$F$1,Diagrams!$B$2-1,MONTH(K$7)-1,COUNTIF(Data!$B:$B,$A$2),1)  &lt;=  OFFSET(Data!$D$1,Diagrams!$B$2-1,,COUNTIF(Data!$B:$B,$A$2),1)) *   1   ) /COUNTIF(Data!$B:$B,$A$2)</f>
        <v>1</v>
      </c>
      <c r="L6" s="53">
        <f ca="1">SUMPRODUCT((OFFSET(Data!$F$1,Diagrams!$B$2-1,MONTH(L$7)-1,COUNTIF(Data!$B:$B,$A$2),1)  &lt;=  OFFSET(Data!$D$1,Diagrams!$B$2-1,,COUNTIF(Data!$B:$B,$A$2),1)) *   1   ) /COUNTIF(Data!$B:$B,$A$2)</f>
        <v>1</v>
      </c>
      <c r="M6" s="53">
        <f ca="1">SUMPRODUCT((OFFSET(Data!$F$1,Diagrams!$B$2-1,MONTH(M$7)-1,COUNTIF(Data!$B:$B,$A$2),1)  &lt;=  OFFSET(Data!$D$1,Diagrams!$B$2-1,,COUNTIF(Data!$B:$B,$A$2),1)) *   1   ) /COUNTIF(Data!$B:$B,$A$2)</f>
        <v>1</v>
      </c>
      <c r="N6" s="53">
        <f ca="1">SUMPRODUCT((OFFSET(Data!$F$1,Diagrams!$B$2-1,MONTH(N$7)-1,COUNTIF(Data!$B:$B,$A$2),1)  &lt;=  OFFSET(Data!$D$1,Diagrams!$B$2-1,,COUNTIF(Data!$B:$B,$A$2),1)) *   1   ) /COUNTIF(Data!$B:$B,$A$2)</f>
        <v>1</v>
      </c>
      <c r="O6" s="53">
        <f ca="1">SUMPRODUCT((OFFSET(Data!$F$1,Diagrams!$B$2-1,MONTH(O$7)-1,COUNTIF(Data!$B:$B,$A$2),1)  &lt;=  OFFSET(Data!$D$1,Diagrams!$B$2-1,,COUNTIF(Data!$B:$B,$A$2),1)) *   1   ) /COUNTIF(Data!$B:$B,$A$2)</f>
        <v>1</v>
      </c>
      <c r="P6" s="53">
        <f ca="1">SUMPRODUCT((OFFSET(Data!$F$1,Diagrams!$B$2-1,MONTH(P$7)-1,COUNTIF(Data!$B:$B,$A$2),1)  &lt;=  OFFSET(Data!$D$1,Diagrams!$B$2-1,,COUNTIF(Data!$B:$B,$A$2),1)) *   1   ) /COUNTIF(Data!$B:$B,$A$2)</f>
        <v>1</v>
      </c>
      <c r="Q6" s="53">
        <f ca="1">SUMPRODUCT((OFFSET(Data!$F$1,Diagrams!$B$2-1,MONTH(Q$7)-1,COUNTIF(Data!$B:$B,$A$2),1)  &lt;=  OFFSET(Data!$D$1,Diagrams!$B$2-1,,COUNTIF(Data!$B:$B,$A$2),1)) *   1   ) /COUNTIF(Data!$B:$B,$A$2)</f>
        <v>1</v>
      </c>
      <c r="R6" s="53">
        <f ca="1">SUMPRODUCT((OFFSET(Data!$F$1,Diagrams!$B$2-1,MONTH(R$7)+12-1,COUNTIF(Data!$B:$B,$A$2),1)  &lt;=  OFFSET(Data!$D$1,Diagrams!$B$2-1,,COUNTIF(Data!$B:$B,$A$2),1)) *   1   ) /COUNTIF(Data!$B:$B,$A$2)</f>
        <v>1</v>
      </c>
    </row>
    <row r="7" spans="1:28" ht="25.5">
      <c r="A7" s="19" t="str">
        <f>Data!A2</f>
        <v>BU</v>
      </c>
      <c r="B7" s="19" t="str">
        <f>Data!B2</f>
        <v>Project</v>
      </c>
      <c r="C7" s="19" t="str">
        <f>Data!C2</f>
        <v>Milestone Name / short description</v>
      </c>
      <c r="D7" s="19" t="str">
        <f>Data!D2</f>
        <v>Initial Target</v>
      </c>
      <c r="E7" s="19" t="str">
        <f>Data!E2</f>
        <v>Completion date</v>
      </c>
      <c r="F7" s="5">
        <f>Data!F2</f>
        <v>41275</v>
      </c>
      <c r="G7" s="5">
        <f>Data!G2</f>
        <v>41306</v>
      </c>
      <c r="H7" s="5">
        <f>Data!H2</f>
        <v>41334</v>
      </c>
      <c r="I7" s="5">
        <f>Data!I2</f>
        <v>41365</v>
      </c>
      <c r="J7" s="5">
        <f>Data!J2</f>
        <v>41395</v>
      </c>
      <c r="K7" s="5">
        <f>Data!K2</f>
        <v>41426</v>
      </c>
      <c r="L7" s="5">
        <f>Data!L2</f>
        <v>41456</v>
      </c>
      <c r="M7" s="5">
        <f>Data!M2</f>
        <v>41487</v>
      </c>
      <c r="N7" s="5">
        <f>Data!N2</f>
        <v>41518</v>
      </c>
      <c r="O7" s="5">
        <f>Data!O2</f>
        <v>41548</v>
      </c>
      <c r="P7" s="5">
        <f>Data!P2</f>
        <v>41579</v>
      </c>
      <c r="Q7" s="5">
        <f>Data!Q2</f>
        <v>41609</v>
      </c>
      <c r="R7" s="5">
        <f>Data!R2</f>
        <v>41640</v>
      </c>
      <c r="S7" s="47">
        <f>Data!S2</f>
        <v>41671</v>
      </c>
    </row>
    <row r="8" spans="1:28" s="49" customFormat="1">
      <c r="A8" s="62" t="s">
        <v>22</v>
      </c>
      <c r="B8" s="63" t="s">
        <v>23</v>
      </c>
      <c r="C8" s="63" t="s">
        <v>24</v>
      </c>
      <c r="D8" s="63" t="s">
        <v>25</v>
      </c>
      <c r="E8" s="63" t="s">
        <v>26</v>
      </c>
      <c r="F8" s="63" t="s">
        <v>27</v>
      </c>
      <c r="G8" s="63" t="s">
        <v>28</v>
      </c>
      <c r="H8" s="63" t="s">
        <v>29</v>
      </c>
      <c r="I8" s="63" t="s">
        <v>30</v>
      </c>
      <c r="J8" s="63" t="s">
        <v>31</v>
      </c>
      <c r="K8" s="63" t="s">
        <v>32</v>
      </c>
      <c r="L8" s="63" t="s">
        <v>33</v>
      </c>
      <c r="M8" s="63" t="s">
        <v>34</v>
      </c>
      <c r="N8" s="63" t="s">
        <v>35</v>
      </c>
      <c r="O8" s="63" t="s">
        <v>36</v>
      </c>
      <c r="P8" s="63" t="s">
        <v>37</v>
      </c>
      <c r="Q8" s="63" t="s">
        <v>38</v>
      </c>
      <c r="R8" s="64" t="s">
        <v>39</v>
      </c>
      <c r="S8" s="47"/>
    </row>
    <row r="9" spans="1:28">
      <c r="A9" s="65" t="str">
        <f ca="1">IF(ROW()-ROW($A$8)&lt;=COUNTIF(Data!B:B,$A$2),OFFSET(Data!A$3,Diagrams!$B$2-3,),"")</f>
        <v>BU2</v>
      </c>
      <c r="B9" s="65" t="str">
        <f ca="1">IF($A9&lt;&gt;"",OFFSET(Data!B$3,Diagrams!$B$2-3,),"")</f>
        <v>Project 5</v>
      </c>
      <c r="C9" s="65" t="str">
        <f ca="1">IF($A9&lt;&gt;"",OFFSET(Data!C$3,Diagrams!$B$2-12+ROW(),),"")</f>
        <v>Milestone 26</v>
      </c>
      <c r="D9" s="66">
        <f ca="1">IF($A9&lt;&gt;"",OFFSET(Data!D$3,Diagrams!$B$2-12+ROW(),),"")</f>
        <v>41333</v>
      </c>
      <c r="E9" s="66">
        <f ca="1">IF($A9&lt;&gt;"",OFFSET(Data!E$3,Diagrams!$B$2-12+ROW(),),"")</f>
        <v>41333</v>
      </c>
      <c r="F9" s="66">
        <f ca="1">IF($A9="","",IF(OFFSET(Data!F$3,Diagrams!$B$2-12+ROW(),) &gt; F$7, OFFSET(Data!F$3,Diagrams!$B$2-12+ROW(),), NA()))</f>
        <v>41333</v>
      </c>
      <c r="G9" s="66">
        <f ca="1">IF($A9="","",IF(OFFSET(Data!G$3,Diagrams!$B$2-12+ROW(),) &gt; G$7, OFFSET(Data!G$3,Diagrams!$B$2-12+ROW(),), NA()))</f>
        <v>41333</v>
      </c>
      <c r="H9" s="66" t="e">
        <f ca="1">IF($A9="","",IF(OFFSET(Data!H$3,Diagrams!$B$2-12+ROW(),) &gt; H$7, OFFSET(Data!H$3,Diagrams!$B$2-12+ROW(),), NA()))</f>
        <v>#N/A</v>
      </c>
      <c r="I9" s="66" t="e">
        <f ca="1">IF($A9="","",IF(OFFSET(Data!I$3,Diagrams!$B$2-12+ROW(),) &gt; I$7, OFFSET(Data!I$3,Diagrams!$B$2-12+ROW(),), NA()))</f>
        <v>#N/A</v>
      </c>
      <c r="J9" s="66" t="e">
        <f ca="1">IF($A9="","",IF(OFFSET(Data!J$3,Diagrams!$B$2-12+ROW(),) &gt; J$7, OFFSET(Data!J$3,Diagrams!$B$2-12+ROW(),), NA()))</f>
        <v>#N/A</v>
      </c>
      <c r="K9" s="66" t="e">
        <f ca="1">IF($A9="","",IF(OFFSET(Data!K$3,Diagrams!$B$2-12+ROW(),) &gt; K$7, OFFSET(Data!K$3,Diagrams!$B$2-12+ROW(),), NA()))</f>
        <v>#N/A</v>
      </c>
      <c r="L9" s="66" t="e">
        <f ca="1">IF($A9="","",IF(OFFSET(Data!L$3,Diagrams!$B$2-12+ROW(),) &gt; L$7, OFFSET(Data!L$3,Diagrams!$B$2-12+ROW(),), NA()))</f>
        <v>#N/A</v>
      </c>
      <c r="M9" s="66" t="e">
        <f ca="1">IF($A9="","",IF(OFFSET(Data!M$3,Diagrams!$B$2-12+ROW(),) &gt; M$7, OFFSET(Data!M$3,Diagrams!$B$2-12+ROW(),), NA()))</f>
        <v>#N/A</v>
      </c>
      <c r="N9" s="66" t="e">
        <f ca="1">IF($A9="","",IF(OFFSET(Data!N$3,Diagrams!$B$2-12+ROW(),) &gt; N$7, OFFSET(Data!N$3,Diagrams!$B$2-12+ROW(),), NA()))</f>
        <v>#N/A</v>
      </c>
      <c r="O9" s="66" t="e">
        <f ca="1">IF($A9="","",IF(OFFSET(Data!O$3,Diagrams!$B$2-12+ROW(),) &gt; O$7, OFFSET(Data!O$3,Diagrams!$B$2-12+ROW(),), NA()))</f>
        <v>#N/A</v>
      </c>
      <c r="P9" s="66" t="e">
        <f ca="1">IF($A9="","",IF(OFFSET(Data!P$3,Diagrams!$B$2-12+ROW(),) &gt; P$7, OFFSET(Data!P$3,Diagrams!$B$2-12+ROW(),), NA()))</f>
        <v>#N/A</v>
      </c>
      <c r="Q9" s="66" t="e">
        <f ca="1">IF($A9="","",IF(OFFSET(Data!Q$3,Diagrams!$B$2-12+ROW(),) &gt; Q$7, OFFSET(Data!Q$3,Diagrams!$B$2-12+ROW(),), NA()))</f>
        <v>#N/A</v>
      </c>
      <c r="R9" s="67" t="e">
        <f ca="1">IF($A9="","",IF(OFFSET(Data!R$3,Diagrams!$B$2-12+ROW(),) &gt; R$7, OFFSET(Data!R$3,Diagrams!$B$2-12+ROW(),), NA()))</f>
        <v>#N/A</v>
      </c>
    </row>
    <row r="10" spans="1:28">
      <c r="A10" s="68" t="str">
        <f ca="1">IF(ROW()-ROW($A$8)&lt;=COUNTIF(Data!B:B,$A$2),OFFSET(Data!A$3,Diagrams!$B$2-3,),"")</f>
        <v>BU2</v>
      </c>
      <c r="B10" s="68" t="str">
        <f ca="1">IF($A10&lt;&gt;"",OFFSET(Data!B$3,Diagrams!$B$2-3,),"")</f>
        <v>Project 5</v>
      </c>
      <c r="C10" s="68" t="str">
        <f ca="1">IF($A10&lt;&gt;"",OFFSET(Data!C$3,Diagrams!$B$2-12+ROW(),),"")</f>
        <v>Milestone 27</v>
      </c>
      <c r="D10" s="69">
        <f ca="1">IF($A10&lt;&gt;"",OFFSET(Data!D$3,Diagrams!$B$2-12+ROW(),),"")</f>
        <v>41364</v>
      </c>
      <c r="E10" s="69">
        <f ca="1">IF($A10&lt;&gt;"",OFFSET(Data!E$3,Diagrams!$B$2-12+ROW(),),"")</f>
        <v>41364</v>
      </c>
      <c r="F10" s="69">
        <f ca="1">IF($A10="","",IF(OFFSET(Data!F$3,Diagrams!$B$2-12+ROW(),) &gt; F$7, OFFSET(Data!F$3,Diagrams!$B$2-12+ROW(),), NA()))</f>
        <v>41364</v>
      </c>
      <c r="G10" s="69">
        <f ca="1">IF($A10="","",IF(OFFSET(Data!G$3,Diagrams!$B$2-12+ROW(),) &gt; G$7, OFFSET(Data!G$3,Diagrams!$B$2-12+ROW(),), NA()))</f>
        <v>41364</v>
      </c>
      <c r="H10" s="69">
        <f ca="1">IF($A10="","",IF(OFFSET(Data!H$3,Diagrams!$B$2-12+ROW(),) &gt; H$7, OFFSET(Data!H$3,Diagrams!$B$2-12+ROW(),), NA()))</f>
        <v>41364</v>
      </c>
      <c r="I10" s="69" t="e">
        <f ca="1">IF($A10="","",IF(OFFSET(Data!I$3,Diagrams!$B$2-12+ROW(),) &gt; I$7, OFFSET(Data!I$3,Diagrams!$B$2-12+ROW(),), NA()))</f>
        <v>#N/A</v>
      </c>
      <c r="J10" s="69" t="e">
        <f ca="1">IF($A10="","",IF(OFFSET(Data!J$3,Diagrams!$B$2-12+ROW(),) &gt; J$7, OFFSET(Data!J$3,Diagrams!$B$2-12+ROW(),), NA()))</f>
        <v>#N/A</v>
      </c>
      <c r="K10" s="69" t="e">
        <f ca="1">IF($A10="","",IF(OFFSET(Data!K$3,Diagrams!$B$2-12+ROW(),) &gt; K$7, OFFSET(Data!K$3,Diagrams!$B$2-12+ROW(),), NA()))</f>
        <v>#N/A</v>
      </c>
      <c r="L10" s="69" t="e">
        <f ca="1">IF($A10="","",IF(OFFSET(Data!L$3,Diagrams!$B$2-12+ROW(),) &gt; L$7, OFFSET(Data!L$3,Diagrams!$B$2-12+ROW(),), NA()))</f>
        <v>#N/A</v>
      </c>
      <c r="M10" s="69" t="e">
        <f ca="1">IF($A10="","",IF(OFFSET(Data!M$3,Diagrams!$B$2-12+ROW(),) &gt; M$7, OFFSET(Data!M$3,Diagrams!$B$2-12+ROW(),), NA()))</f>
        <v>#N/A</v>
      </c>
      <c r="N10" s="69" t="e">
        <f ca="1">IF($A10="","",IF(OFFSET(Data!N$3,Diagrams!$B$2-12+ROW(),) &gt; N$7, OFFSET(Data!N$3,Diagrams!$B$2-12+ROW(),), NA()))</f>
        <v>#N/A</v>
      </c>
      <c r="O10" s="69" t="e">
        <f ca="1">IF($A10="","",IF(OFFSET(Data!O$3,Diagrams!$B$2-12+ROW(),) &gt; O$7, OFFSET(Data!O$3,Diagrams!$B$2-12+ROW(),), NA()))</f>
        <v>#N/A</v>
      </c>
      <c r="P10" s="69" t="e">
        <f ca="1">IF($A10="","",IF(OFFSET(Data!P$3,Diagrams!$B$2-12+ROW(),) &gt; P$7, OFFSET(Data!P$3,Diagrams!$B$2-12+ROW(),), NA()))</f>
        <v>#N/A</v>
      </c>
      <c r="Q10" s="69" t="e">
        <f ca="1">IF($A10="","",IF(OFFSET(Data!Q$3,Diagrams!$B$2-12+ROW(),) &gt; Q$7, OFFSET(Data!Q$3,Diagrams!$B$2-12+ROW(),), NA()))</f>
        <v>#N/A</v>
      </c>
      <c r="R10" s="70" t="e">
        <f ca="1">IF($A10="","",IF(OFFSET(Data!R$3,Diagrams!$B$2-12+ROW(),) &gt; R$7, OFFSET(Data!R$3,Diagrams!$B$2-12+ROW(),), NA()))</f>
        <v>#N/A</v>
      </c>
    </row>
    <row r="11" spans="1:28">
      <c r="A11" s="65" t="str">
        <f ca="1">IF(ROW()-ROW($A$8)&lt;=COUNTIF(Data!B:B,$A$2),OFFSET(Data!A$3,Diagrams!$B$2-3,),"")</f>
        <v>BU2</v>
      </c>
      <c r="B11" s="65" t="str">
        <f ca="1">IF($A11&lt;&gt;"",OFFSET(Data!B$3,Diagrams!$B$2-3,),"")</f>
        <v>Project 5</v>
      </c>
      <c r="C11" s="65" t="str">
        <f ca="1">IF($A11&lt;&gt;"",OFFSET(Data!C$3,Diagrams!$B$2-12+ROW(),),"")</f>
        <v>Milestone 28</v>
      </c>
      <c r="D11" s="66">
        <f ca="1">IF($A11&lt;&gt;"",OFFSET(Data!D$3,Diagrams!$B$2-12+ROW(),),"")</f>
        <v>41455</v>
      </c>
      <c r="E11" s="66">
        <f ca="1">IF($A11&lt;&gt;"",OFFSET(Data!E$3,Diagrams!$B$2-12+ROW(),),"")</f>
        <v>41455</v>
      </c>
      <c r="F11" s="66">
        <f ca="1">IF($A11="","",IF(OFFSET(Data!F$3,Diagrams!$B$2-12+ROW(),) &gt; F$7, OFFSET(Data!F$3,Diagrams!$B$2-12+ROW(),), NA()))</f>
        <v>41455</v>
      </c>
      <c r="G11" s="66">
        <f ca="1">IF($A11="","",IF(OFFSET(Data!G$3,Diagrams!$B$2-12+ROW(),) &gt; G$7, OFFSET(Data!G$3,Diagrams!$B$2-12+ROW(),), NA()))</f>
        <v>41455</v>
      </c>
      <c r="H11" s="66">
        <f ca="1">IF($A11="","",IF(OFFSET(Data!H$3,Diagrams!$B$2-12+ROW(),) &gt; H$7, OFFSET(Data!H$3,Diagrams!$B$2-12+ROW(),), NA()))</f>
        <v>41455</v>
      </c>
      <c r="I11" s="66">
        <f ca="1">IF($A11="","",IF(OFFSET(Data!I$3,Diagrams!$B$2-12+ROW(),) &gt; I$7, OFFSET(Data!I$3,Diagrams!$B$2-12+ROW(),), NA()))</f>
        <v>41455</v>
      </c>
      <c r="J11" s="66">
        <f ca="1">IF($A11="","",IF(OFFSET(Data!J$3,Diagrams!$B$2-12+ROW(),) &gt; J$7, OFFSET(Data!J$3,Diagrams!$B$2-12+ROW(),), NA()))</f>
        <v>41455</v>
      </c>
      <c r="K11" s="66">
        <f ca="1">IF($A11="","",IF(OFFSET(Data!K$3,Diagrams!$B$2-12+ROW(),) &gt; K$7, OFFSET(Data!K$3,Diagrams!$B$2-12+ROW(),), NA()))</f>
        <v>41455</v>
      </c>
      <c r="L11" s="66" t="e">
        <f ca="1">IF($A11="","",IF(OFFSET(Data!L$3,Diagrams!$B$2-12+ROW(),) &gt; L$7, OFFSET(Data!L$3,Diagrams!$B$2-12+ROW(),), NA()))</f>
        <v>#N/A</v>
      </c>
      <c r="M11" s="66" t="e">
        <f ca="1">IF($A11="","",IF(OFFSET(Data!M$3,Diagrams!$B$2-12+ROW(),) &gt; M$7, OFFSET(Data!M$3,Diagrams!$B$2-12+ROW(),), NA()))</f>
        <v>#N/A</v>
      </c>
      <c r="N11" s="66" t="e">
        <f ca="1">IF($A11="","",IF(OFFSET(Data!N$3,Diagrams!$B$2-12+ROW(),) &gt; N$7, OFFSET(Data!N$3,Diagrams!$B$2-12+ROW(),), NA()))</f>
        <v>#N/A</v>
      </c>
      <c r="O11" s="66" t="e">
        <f ca="1">IF($A11="","",IF(OFFSET(Data!O$3,Diagrams!$B$2-12+ROW(),) &gt; O$7, OFFSET(Data!O$3,Diagrams!$B$2-12+ROW(),), NA()))</f>
        <v>#N/A</v>
      </c>
      <c r="P11" s="66" t="e">
        <f ca="1">IF($A11="","",IF(OFFSET(Data!P$3,Diagrams!$B$2-12+ROW(),) &gt; P$7, OFFSET(Data!P$3,Diagrams!$B$2-12+ROW(),), NA()))</f>
        <v>#N/A</v>
      </c>
      <c r="Q11" s="66" t="e">
        <f ca="1">IF($A11="","",IF(OFFSET(Data!Q$3,Diagrams!$B$2-12+ROW(),) &gt; Q$7, OFFSET(Data!Q$3,Diagrams!$B$2-12+ROW(),), NA()))</f>
        <v>#N/A</v>
      </c>
      <c r="R11" s="67" t="e">
        <f ca="1">IF($A11="","",IF(OFFSET(Data!R$3,Diagrams!$B$2-12+ROW(),) &gt; R$7, OFFSET(Data!R$3,Diagrams!$B$2-12+ROW(),), NA()))</f>
        <v>#N/A</v>
      </c>
    </row>
    <row r="12" spans="1:28">
      <c r="A12" s="68" t="str">
        <f ca="1">IF(ROW()-ROW($A$8)&lt;=COUNTIF(Data!B:B,$A$2),OFFSET(Data!A$3,Diagrams!$B$2-3,),"")</f>
        <v>BU2</v>
      </c>
      <c r="B12" s="68" t="str">
        <f ca="1">IF($A12&lt;&gt;"",OFFSET(Data!B$3,Diagrams!$B$2-3,),"")</f>
        <v>Project 5</v>
      </c>
      <c r="C12" s="68" t="str">
        <f ca="1">IF($A12&lt;&gt;"",OFFSET(Data!C$3,Diagrams!$B$2-12+ROW(),),"")</f>
        <v>Milestone 29</v>
      </c>
      <c r="D12" s="69">
        <f ca="1">IF($A12&lt;&gt;"",OFFSET(Data!D$3,Diagrams!$B$2-12+ROW(),),"")</f>
        <v>41547</v>
      </c>
      <c r="E12" s="69">
        <f ca="1">IF($A12&lt;&gt;"",OFFSET(Data!E$3,Diagrams!$B$2-12+ROW(),),"")</f>
        <v>41547</v>
      </c>
      <c r="F12" s="69">
        <f ca="1">IF($A12="","",IF(OFFSET(Data!F$3,Diagrams!$B$2-12+ROW(),) &gt; F$7, OFFSET(Data!F$3,Diagrams!$B$2-12+ROW(),), NA()))</f>
        <v>41547</v>
      </c>
      <c r="G12" s="69">
        <f ca="1">IF($A12="","",IF(OFFSET(Data!G$3,Diagrams!$B$2-12+ROW(),) &gt; G$7, OFFSET(Data!G$3,Diagrams!$B$2-12+ROW(),), NA()))</f>
        <v>41547</v>
      </c>
      <c r="H12" s="69">
        <f ca="1">IF($A12="","",IF(OFFSET(Data!H$3,Diagrams!$B$2-12+ROW(),) &gt; H$7, OFFSET(Data!H$3,Diagrams!$B$2-12+ROW(),), NA()))</f>
        <v>41547</v>
      </c>
      <c r="I12" s="69">
        <f ca="1">IF($A12="","",IF(OFFSET(Data!I$3,Diagrams!$B$2-12+ROW(),) &gt; I$7, OFFSET(Data!I$3,Diagrams!$B$2-12+ROW(),), NA()))</f>
        <v>41547</v>
      </c>
      <c r="J12" s="69">
        <f ca="1">IF($A12="","",IF(OFFSET(Data!J$3,Diagrams!$B$2-12+ROW(),) &gt; J$7, OFFSET(Data!J$3,Diagrams!$B$2-12+ROW(),), NA()))</f>
        <v>41547</v>
      </c>
      <c r="K12" s="69">
        <f ca="1">IF($A12="","",IF(OFFSET(Data!K$3,Diagrams!$B$2-12+ROW(),) &gt; K$7, OFFSET(Data!K$3,Diagrams!$B$2-12+ROW(),), NA()))</f>
        <v>41547</v>
      </c>
      <c r="L12" s="69">
        <f ca="1">IF($A12="","",IF(OFFSET(Data!L$3,Diagrams!$B$2-12+ROW(),) &gt; L$7, OFFSET(Data!L$3,Diagrams!$B$2-12+ROW(),), NA()))</f>
        <v>41547</v>
      </c>
      <c r="M12" s="69">
        <f ca="1">IF($A12="","",IF(OFFSET(Data!M$3,Diagrams!$B$2-12+ROW(),) &gt; M$7, OFFSET(Data!M$3,Diagrams!$B$2-12+ROW(),), NA()))</f>
        <v>41547</v>
      </c>
      <c r="N12" s="69">
        <f ca="1">IF($A12="","",IF(OFFSET(Data!N$3,Diagrams!$B$2-12+ROW(),) &gt; N$7, OFFSET(Data!N$3,Diagrams!$B$2-12+ROW(),), NA()))</f>
        <v>41547</v>
      </c>
      <c r="O12" s="69" t="e">
        <f ca="1">IF($A12="","",IF(OFFSET(Data!O$3,Diagrams!$B$2-12+ROW(),) &gt; O$7, OFFSET(Data!O$3,Diagrams!$B$2-12+ROW(),), NA()))</f>
        <v>#N/A</v>
      </c>
      <c r="P12" s="69" t="e">
        <f ca="1">IF($A12="","",IF(OFFSET(Data!P$3,Diagrams!$B$2-12+ROW(),) &gt; P$7, OFFSET(Data!P$3,Diagrams!$B$2-12+ROW(),), NA()))</f>
        <v>#N/A</v>
      </c>
      <c r="Q12" s="69" t="e">
        <f ca="1">IF($A12="","",IF(OFFSET(Data!Q$3,Diagrams!$B$2-12+ROW(),) &gt; Q$7, OFFSET(Data!Q$3,Diagrams!$B$2-12+ROW(),), NA()))</f>
        <v>#N/A</v>
      </c>
      <c r="R12" s="70" t="e">
        <f ca="1">IF($A12="","",IF(OFFSET(Data!R$3,Diagrams!$B$2-12+ROW(),) &gt; R$7, OFFSET(Data!R$3,Diagrams!$B$2-12+ROW(),), NA()))</f>
        <v>#N/A</v>
      </c>
    </row>
    <row r="13" spans="1:28">
      <c r="A13" s="65" t="str">
        <f ca="1">IF(ROW()-ROW($A$8)&lt;=COUNTIF(Data!B:B,$A$2),OFFSET(Data!A$3,Diagrams!$B$2-3,),"")</f>
        <v>BU2</v>
      </c>
      <c r="B13" s="65" t="str">
        <f ca="1">IF($A13&lt;&gt;"",OFFSET(Data!B$3,Diagrams!$B$2-3,),"")</f>
        <v>Project 5</v>
      </c>
      <c r="C13" s="65" t="str">
        <f ca="1">IF($A13&lt;&gt;"",OFFSET(Data!C$3,Diagrams!$B$2-12+ROW(),),"")</f>
        <v>Milestone 30</v>
      </c>
      <c r="D13" s="66">
        <f ca="1">IF($A13&lt;&gt;"",OFFSET(Data!D$3,Diagrams!$B$2-12+ROW(),),"")</f>
        <v>41608</v>
      </c>
      <c r="E13" s="66">
        <f ca="1">IF($A13&lt;&gt;"",OFFSET(Data!E$3,Diagrams!$B$2-12+ROW(),),"")</f>
        <v>41608</v>
      </c>
      <c r="F13" s="66">
        <f ca="1">IF($A13="","",IF(OFFSET(Data!F$3,Diagrams!$B$2-12+ROW(),) &gt; F$7, OFFSET(Data!F$3,Diagrams!$B$2-12+ROW(),), NA()))</f>
        <v>41608</v>
      </c>
      <c r="G13" s="66">
        <f ca="1">IF($A13="","",IF(OFFSET(Data!G$3,Diagrams!$B$2-12+ROW(),) &gt; G$7, OFFSET(Data!G$3,Diagrams!$B$2-12+ROW(),), NA()))</f>
        <v>41608</v>
      </c>
      <c r="H13" s="66">
        <f ca="1">IF($A13="","",IF(OFFSET(Data!H$3,Diagrams!$B$2-12+ROW(),) &gt; H$7, OFFSET(Data!H$3,Diagrams!$B$2-12+ROW(),), NA()))</f>
        <v>41608</v>
      </c>
      <c r="I13" s="66">
        <f ca="1">IF($A13="","",IF(OFFSET(Data!I$3,Diagrams!$B$2-12+ROW(),) &gt; I$7, OFFSET(Data!I$3,Diagrams!$B$2-12+ROW(),), NA()))</f>
        <v>41608</v>
      </c>
      <c r="J13" s="66">
        <f ca="1">IF($A13="","",IF(OFFSET(Data!J$3,Diagrams!$B$2-12+ROW(),) &gt; J$7, OFFSET(Data!J$3,Diagrams!$B$2-12+ROW(),), NA()))</f>
        <v>41608</v>
      </c>
      <c r="K13" s="66">
        <f ca="1">IF($A13="","",IF(OFFSET(Data!K$3,Diagrams!$B$2-12+ROW(),) &gt; K$7, OFFSET(Data!K$3,Diagrams!$B$2-12+ROW(),), NA()))</f>
        <v>41608</v>
      </c>
      <c r="L13" s="66">
        <f ca="1">IF($A13="","",IF(OFFSET(Data!L$3,Diagrams!$B$2-12+ROW(),) &gt; L$7, OFFSET(Data!L$3,Diagrams!$B$2-12+ROW(),), NA()))</f>
        <v>41608</v>
      </c>
      <c r="M13" s="66">
        <f ca="1">IF($A13="","",IF(OFFSET(Data!M$3,Diagrams!$B$2-12+ROW(),) &gt; M$7, OFFSET(Data!M$3,Diagrams!$B$2-12+ROW(),), NA()))</f>
        <v>41608</v>
      </c>
      <c r="N13" s="66">
        <f ca="1">IF($A13="","",IF(OFFSET(Data!N$3,Diagrams!$B$2-12+ROW(),) &gt; N$7, OFFSET(Data!N$3,Diagrams!$B$2-12+ROW(),), NA()))</f>
        <v>41608</v>
      </c>
      <c r="O13" s="66">
        <f ca="1">IF($A13="","",IF(OFFSET(Data!O$3,Diagrams!$B$2-12+ROW(),) &gt; O$7, OFFSET(Data!O$3,Diagrams!$B$2-12+ROW(),), NA()))</f>
        <v>41608</v>
      </c>
      <c r="P13" s="66">
        <f ca="1">IF($A13="","",IF(OFFSET(Data!P$3,Diagrams!$B$2-12+ROW(),) &gt; P$7, OFFSET(Data!P$3,Diagrams!$B$2-12+ROW(),), NA()))</f>
        <v>41608</v>
      </c>
      <c r="Q13" s="66" t="e">
        <f ca="1">IF($A13="","",IF(OFFSET(Data!Q$3,Diagrams!$B$2-12+ROW(),) &gt; Q$7, OFFSET(Data!Q$3,Diagrams!$B$2-12+ROW(),), NA()))</f>
        <v>#N/A</v>
      </c>
      <c r="R13" s="67" t="e">
        <f ca="1">IF($A13="","",IF(OFFSET(Data!R$3,Diagrams!$B$2-12+ROW(),) &gt; R$7, OFFSET(Data!R$3,Diagrams!$B$2-12+ROW(),), NA()))</f>
        <v>#N/A</v>
      </c>
    </row>
    <row r="14" spans="1:28">
      <c r="A14" s="68" t="str">
        <f ca="1">IF(ROW()-ROW($A$8)&lt;=COUNTIF(Data!B:B,$A$2),OFFSET(Data!A$3,Diagrams!$B$2-3,),"")</f>
        <v/>
      </c>
      <c r="B14" s="68" t="str">
        <f ca="1">IF($A14&lt;&gt;"",OFFSET(Data!B$3,Diagrams!$B$2-3,),"")</f>
        <v/>
      </c>
      <c r="C14" s="68" t="str">
        <f ca="1">IF($A14&lt;&gt;"",OFFSET(Data!C$3,Diagrams!$B$2-12+ROW(),),"")</f>
        <v/>
      </c>
      <c r="D14" s="69" t="str">
        <f ca="1">IF($A14&lt;&gt;"",OFFSET(Data!D$3,Diagrams!$B$2-12+ROW(),),"")</f>
        <v/>
      </c>
      <c r="E14" s="69" t="str">
        <f ca="1">IF($A14&lt;&gt;"",OFFSET(Data!E$3,Diagrams!$B$2-12+ROW(),),"")</f>
        <v/>
      </c>
      <c r="F14" s="69" t="str">
        <f ca="1">IF($A14="","",IF(OFFSET(Data!F$3,Diagrams!$B$2-12+ROW(),) &gt; F$7, OFFSET(Data!F$3,Diagrams!$B$2-12+ROW(),), NA()))</f>
        <v/>
      </c>
      <c r="G14" s="69" t="str">
        <f ca="1">IF($A14="","",IF(OFFSET(Data!G$3,Diagrams!$B$2-12+ROW(),) &gt; G$7, OFFSET(Data!G$3,Diagrams!$B$2-12+ROW(),), NA()))</f>
        <v/>
      </c>
      <c r="H14" s="69" t="str">
        <f ca="1">IF($A14="","",IF(OFFSET(Data!H$3,Diagrams!$B$2-12+ROW(),) &gt; H$7, OFFSET(Data!H$3,Diagrams!$B$2-12+ROW(),), NA()))</f>
        <v/>
      </c>
      <c r="I14" s="69" t="str">
        <f ca="1">IF($A14="","",IF(OFFSET(Data!I$3,Diagrams!$B$2-12+ROW(),) &gt; I$7, OFFSET(Data!I$3,Diagrams!$B$2-12+ROW(),), NA()))</f>
        <v/>
      </c>
      <c r="J14" s="69" t="str">
        <f ca="1">IF($A14="","",IF(OFFSET(Data!J$3,Diagrams!$B$2-12+ROW(),) &gt; J$7, OFFSET(Data!J$3,Diagrams!$B$2-12+ROW(),), NA()))</f>
        <v/>
      </c>
      <c r="K14" s="69" t="str">
        <f ca="1">IF($A14="","",IF(OFFSET(Data!K$3,Diagrams!$B$2-12+ROW(),) &gt; K$7, OFFSET(Data!K$3,Diagrams!$B$2-12+ROW(),), NA()))</f>
        <v/>
      </c>
      <c r="L14" s="69" t="str">
        <f ca="1">IF($A14="","",IF(OFFSET(Data!L$3,Diagrams!$B$2-12+ROW(),) &gt; L$7, OFFSET(Data!L$3,Diagrams!$B$2-12+ROW(),), NA()))</f>
        <v/>
      </c>
      <c r="M14" s="69" t="str">
        <f ca="1">IF($A14="","",IF(OFFSET(Data!M$3,Diagrams!$B$2-12+ROW(),) &gt; M$7, OFFSET(Data!M$3,Diagrams!$B$2-12+ROW(),), NA()))</f>
        <v/>
      </c>
      <c r="N14" s="69" t="str">
        <f ca="1">IF($A14="","",IF(OFFSET(Data!N$3,Diagrams!$B$2-12+ROW(),) &gt; N$7, OFFSET(Data!N$3,Diagrams!$B$2-12+ROW(),), NA()))</f>
        <v/>
      </c>
      <c r="O14" s="69" t="str">
        <f ca="1">IF($A14="","",IF(OFFSET(Data!O$3,Diagrams!$B$2-12+ROW(),) &gt; O$7, OFFSET(Data!O$3,Diagrams!$B$2-12+ROW(),), NA()))</f>
        <v/>
      </c>
      <c r="P14" s="69" t="str">
        <f ca="1">IF($A14="","",IF(OFFSET(Data!P$3,Diagrams!$B$2-12+ROW(),) &gt; P$7, OFFSET(Data!P$3,Diagrams!$B$2-12+ROW(),), NA()))</f>
        <v/>
      </c>
      <c r="Q14" s="69" t="str">
        <f ca="1">IF($A14="","",IF(OFFSET(Data!Q$3,Diagrams!$B$2-12+ROW(),) &gt; Q$7, OFFSET(Data!Q$3,Diagrams!$B$2-12+ROW(),), NA()))</f>
        <v/>
      </c>
      <c r="R14" s="70" t="str">
        <f ca="1">IF($A14="","",IF(OFFSET(Data!R$3,Diagrams!$B$2-12+ROW(),) &gt; R$7, OFFSET(Data!R$3,Diagrams!$B$2-12+ROW(),), NA()))</f>
        <v/>
      </c>
    </row>
    <row r="15" spans="1:28">
      <c r="A15" s="65" t="str">
        <f ca="1">IF(ROW()-ROW($A$8)&lt;=COUNTIF(Data!B:B,$A$2),OFFSET(Data!A$3,Diagrams!$B$2-3,),"")</f>
        <v/>
      </c>
      <c r="B15" s="65" t="str">
        <f ca="1">IF($A15&lt;&gt;"",OFFSET(Data!B$3,Diagrams!$B$2-3,),"")</f>
        <v/>
      </c>
      <c r="C15" s="65" t="str">
        <f ca="1">IF($A15&lt;&gt;"",OFFSET(Data!C$3,Diagrams!$B$2-12+ROW(),),"")</f>
        <v/>
      </c>
      <c r="D15" s="66" t="str">
        <f ca="1">IF($A15&lt;&gt;"",OFFSET(Data!D$3,Diagrams!$B$2-12+ROW(),),"")</f>
        <v/>
      </c>
      <c r="E15" s="66" t="str">
        <f ca="1">IF($A15&lt;&gt;"",OFFSET(Data!E$3,Diagrams!$B$2-12+ROW(),),"")</f>
        <v/>
      </c>
      <c r="F15" s="66" t="str">
        <f ca="1">IF($A15="","",IF(OFFSET(Data!F$3,Diagrams!$B$2-12+ROW(),) &gt; F$7, OFFSET(Data!F$3,Diagrams!$B$2-12+ROW(),), NA()))</f>
        <v/>
      </c>
      <c r="G15" s="66" t="str">
        <f ca="1">IF($A15="","",IF(OFFSET(Data!G$3,Diagrams!$B$2-12+ROW(),) &gt; G$7, OFFSET(Data!G$3,Diagrams!$B$2-12+ROW(),), NA()))</f>
        <v/>
      </c>
      <c r="H15" s="66" t="str">
        <f ca="1">IF($A15="","",IF(OFFSET(Data!H$3,Diagrams!$B$2-12+ROW(),) &gt; H$7, OFFSET(Data!H$3,Diagrams!$B$2-12+ROW(),), NA()))</f>
        <v/>
      </c>
      <c r="I15" s="66" t="str">
        <f ca="1">IF($A15="","",IF(OFFSET(Data!I$3,Diagrams!$B$2-12+ROW(),) &gt; I$7, OFFSET(Data!I$3,Diagrams!$B$2-12+ROW(),), NA()))</f>
        <v/>
      </c>
      <c r="J15" s="66" t="str">
        <f ca="1">IF($A15="","",IF(OFFSET(Data!J$3,Diagrams!$B$2-12+ROW(),) &gt; J$7, OFFSET(Data!J$3,Diagrams!$B$2-12+ROW(),), NA()))</f>
        <v/>
      </c>
      <c r="K15" s="66" t="str">
        <f ca="1">IF($A15="","",IF(OFFSET(Data!K$3,Diagrams!$B$2-12+ROW(),) &gt; K$7, OFFSET(Data!K$3,Diagrams!$B$2-12+ROW(),), NA()))</f>
        <v/>
      </c>
      <c r="L15" s="66" t="str">
        <f ca="1">IF($A15="","",IF(OFFSET(Data!L$3,Diagrams!$B$2-12+ROW(),) &gt; L$7, OFFSET(Data!L$3,Diagrams!$B$2-12+ROW(),), NA()))</f>
        <v/>
      </c>
      <c r="M15" s="66" t="str">
        <f ca="1">IF($A15="","",IF(OFFSET(Data!M$3,Diagrams!$B$2-12+ROW(),) &gt; M$7, OFFSET(Data!M$3,Diagrams!$B$2-12+ROW(),), NA()))</f>
        <v/>
      </c>
      <c r="N15" s="66" t="str">
        <f ca="1">IF($A15="","",IF(OFFSET(Data!N$3,Diagrams!$B$2-12+ROW(),) &gt; N$7, OFFSET(Data!N$3,Diagrams!$B$2-12+ROW(),), NA()))</f>
        <v/>
      </c>
      <c r="O15" s="66" t="str">
        <f ca="1">IF($A15="","",IF(OFFSET(Data!O$3,Diagrams!$B$2-12+ROW(),) &gt; O$7, OFFSET(Data!O$3,Diagrams!$B$2-12+ROW(),), NA()))</f>
        <v/>
      </c>
      <c r="P15" s="66" t="str">
        <f ca="1">IF($A15="","",IF(OFFSET(Data!P$3,Diagrams!$B$2-12+ROW(),) &gt; P$7, OFFSET(Data!P$3,Diagrams!$B$2-12+ROW(),), NA()))</f>
        <v/>
      </c>
      <c r="Q15" s="66" t="str">
        <f ca="1">IF($A15="","",IF(OFFSET(Data!Q$3,Diagrams!$B$2-12+ROW(),) &gt; Q$7, OFFSET(Data!Q$3,Diagrams!$B$2-12+ROW(),), NA()))</f>
        <v/>
      </c>
      <c r="R15" s="67" t="str">
        <f ca="1">IF($A15="","",IF(OFFSET(Data!R$3,Diagrams!$B$2-12+ROW(),) &gt; R$7, OFFSET(Data!R$3,Diagrams!$B$2-12+ROW(),), NA()))</f>
        <v/>
      </c>
    </row>
    <row r="16" spans="1:28">
      <c r="A16" s="68" t="str">
        <f ca="1">IF(ROW()-ROW($A$8)&lt;=COUNTIF(Data!B:B,$A$2),OFFSET(Data!A$3,Diagrams!$B$2-3,),"")</f>
        <v/>
      </c>
      <c r="B16" s="68" t="str">
        <f ca="1">IF($A16&lt;&gt;"",OFFSET(Data!B$3,Diagrams!$B$2-3,),"")</f>
        <v/>
      </c>
      <c r="C16" s="68" t="str">
        <f ca="1">IF($A16&lt;&gt;"",OFFSET(Data!C$3,Diagrams!$B$2-12+ROW(),),"")</f>
        <v/>
      </c>
      <c r="D16" s="69" t="str">
        <f ca="1">IF($A16&lt;&gt;"",OFFSET(Data!D$3,Diagrams!$B$2-12+ROW(),),"")</f>
        <v/>
      </c>
      <c r="E16" s="69" t="str">
        <f ca="1">IF($A16&lt;&gt;"",OFFSET(Data!E$3,Diagrams!$B$2-12+ROW(),),"")</f>
        <v/>
      </c>
      <c r="F16" s="69" t="str">
        <f ca="1">IF($A16="","",IF(OFFSET(Data!F$3,Diagrams!$B$2-12+ROW(),) &gt; F$7, OFFSET(Data!F$3,Diagrams!$B$2-12+ROW(),), NA()))</f>
        <v/>
      </c>
      <c r="G16" s="69" t="str">
        <f ca="1">IF($A16="","",IF(OFFSET(Data!G$3,Diagrams!$B$2-12+ROW(),) &gt; G$7, OFFSET(Data!G$3,Diagrams!$B$2-12+ROW(),), NA()))</f>
        <v/>
      </c>
      <c r="H16" s="69" t="str">
        <f ca="1">IF($A16="","",IF(OFFSET(Data!H$3,Diagrams!$B$2-12+ROW(),) &gt; H$7, OFFSET(Data!H$3,Diagrams!$B$2-12+ROW(),), NA()))</f>
        <v/>
      </c>
      <c r="I16" s="69" t="str">
        <f ca="1">IF($A16="","",IF(OFFSET(Data!I$3,Diagrams!$B$2-12+ROW(),) &gt; I$7, OFFSET(Data!I$3,Diagrams!$B$2-12+ROW(),), NA()))</f>
        <v/>
      </c>
      <c r="J16" s="69" t="str">
        <f ca="1">IF($A16="","",IF(OFFSET(Data!J$3,Diagrams!$B$2-12+ROW(),) &gt; J$7, OFFSET(Data!J$3,Diagrams!$B$2-12+ROW(),), NA()))</f>
        <v/>
      </c>
      <c r="K16" s="69" t="str">
        <f ca="1">IF($A16="","",IF(OFFSET(Data!K$3,Diagrams!$B$2-12+ROW(),) &gt; K$7, OFFSET(Data!K$3,Diagrams!$B$2-12+ROW(),), NA()))</f>
        <v/>
      </c>
      <c r="L16" s="69" t="str">
        <f ca="1">IF($A16="","",IF(OFFSET(Data!L$3,Diagrams!$B$2-12+ROW(),) &gt; L$7, OFFSET(Data!L$3,Diagrams!$B$2-12+ROW(),), NA()))</f>
        <v/>
      </c>
      <c r="M16" s="69" t="str">
        <f ca="1">IF($A16="","",IF(OFFSET(Data!M$3,Diagrams!$B$2-12+ROW(),) &gt; M$7, OFFSET(Data!M$3,Diagrams!$B$2-12+ROW(),), NA()))</f>
        <v/>
      </c>
      <c r="N16" s="69" t="str">
        <f ca="1">IF($A16="","",IF(OFFSET(Data!N$3,Diagrams!$B$2-12+ROW(),) &gt; N$7, OFFSET(Data!N$3,Diagrams!$B$2-12+ROW(),), NA()))</f>
        <v/>
      </c>
      <c r="O16" s="69" t="str">
        <f ca="1">IF($A16="","",IF(OFFSET(Data!O$3,Diagrams!$B$2-12+ROW(),) &gt; O$7, OFFSET(Data!O$3,Diagrams!$B$2-12+ROW(),), NA()))</f>
        <v/>
      </c>
      <c r="P16" s="69" t="str">
        <f ca="1">IF($A16="","",IF(OFFSET(Data!P$3,Diagrams!$B$2-12+ROW(),) &gt; P$7, OFFSET(Data!P$3,Diagrams!$B$2-12+ROW(),), NA()))</f>
        <v/>
      </c>
      <c r="Q16" s="69" t="str">
        <f ca="1">IF($A16="","",IF(OFFSET(Data!Q$3,Diagrams!$B$2-12+ROW(),) &gt; Q$7, OFFSET(Data!Q$3,Diagrams!$B$2-12+ROW(),), NA()))</f>
        <v/>
      </c>
      <c r="R16" s="70" t="str">
        <f ca="1">IF($A16="","",IF(OFFSET(Data!R$3,Diagrams!$B$2-12+ROW(),) &gt; R$7, OFFSET(Data!R$3,Diagrams!$B$2-12+ROW(),), NA()))</f>
        <v/>
      </c>
    </row>
    <row r="17" spans="1:18">
      <c r="A17" s="71" t="str">
        <f ca="1">IF(ROW()-ROW($A$8)&lt;=COUNTIF(Data!B:B,$A$2),OFFSET(Data!A$3,Diagrams!$B$2-3,),"")</f>
        <v/>
      </c>
      <c r="B17" s="71" t="str">
        <f ca="1">IF($A17&lt;&gt;"",OFFSET(Data!B$3,Diagrams!$B$2-3,),"")</f>
        <v/>
      </c>
      <c r="C17" s="71" t="str">
        <f ca="1">IF($A17&lt;&gt;"",OFFSET(Data!C$3,Diagrams!$B$2-12+ROW(),),"")</f>
        <v/>
      </c>
      <c r="D17" s="72" t="str">
        <f ca="1">IF($A17&lt;&gt;"",OFFSET(Data!D$3,Diagrams!$B$2-12+ROW(),),"")</f>
        <v/>
      </c>
      <c r="E17" s="72" t="str">
        <f ca="1">IF($A17&lt;&gt;"",OFFSET(Data!E$3,Diagrams!$B$2-12+ROW(),),"")</f>
        <v/>
      </c>
      <c r="F17" s="72" t="str">
        <f ca="1">IF($A17="","",IF(OFFSET(Data!F$3,Diagrams!$B$2-12+ROW(),) &gt; F$7, OFFSET(Data!F$3,Diagrams!$B$2-12+ROW(),), NA()))</f>
        <v/>
      </c>
      <c r="G17" s="72" t="str">
        <f ca="1">IF($A17="","",IF(OFFSET(Data!G$3,Diagrams!$B$2-12+ROW(),) &gt; G$7, OFFSET(Data!G$3,Diagrams!$B$2-12+ROW(),), NA()))</f>
        <v/>
      </c>
      <c r="H17" s="72" t="str">
        <f ca="1">IF($A17="","",IF(OFFSET(Data!H$3,Diagrams!$B$2-12+ROW(),) &gt; H$7, OFFSET(Data!H$3,Diagrams!$B$2-12+ROW(),), NA()))</f>
        <v/>
      </c>
      <c r="I17" s="72" t="str">
        <f ca="1">IF($A17="","",IF(OFFSET(Data!I$3,Diagrams!$B$2-12+ROW(),) &gt; I$7, OFFSET(Data!I$3,Diagrams!$B$2-12+ROW(),), NA()))</f>
        <v/>
      </c>
      <c r="J17" s="72" t="str">
        <f ca="1">IF($A17="","",IF(OFFSET(Data!J$3,Diagrams!$B$2-12+ROW(),) &gt; J$7, OFFSET(Data!J$3,Diagrams!$B$2-12+ROW(),), NA()))</f>
        <v/>
      </c>
      <c r="K17" s="72" t="str">
        <f ca="1">IF($A17="","",IF(OFFSET(Data!K$3,Diagrams!$B$2-12+ROW(),) &gt; K$7, OFFSET(Data!K$3,Diagrams!$B$2-12+ROW(),), NA()))</f>
        <v/>
      </c>
      <c r="L17" s="72" t="str">
        <f ca="1">IF($A17="","",IF(OFFSET(Data!L$3,Diagrams!$B$2-12+ROW(),) &gt; L$7, OFFSET(Data!L$3,Diagrams!$B$2-12+ROW(),), NA()))</f>
        <v/>
      </c>
      <c r="M17" s="72" t="str">
        <f ca="1">IF($A17="","",IF(OFFSET(Data!M$3,Diagrams!$B$2-12+ROW(),) &gt; M$7, OFFSET(Data!M$3,Diagrams!$B$2-12+ROW(),), NA()))</f>
        <v/>
      </c>
      <c r="N17" s="72" t="str">
        <f ca="1">IF($A17="","",IF(OFFSET(Data!N$3,Diagrams!$B$2-12+ROW(),) &gt; N$7, OFFSET(Data!N$3,Diagrams!$B$2-12+ROW(),), NA()))</f>
        <v/>
      </c>
      <c r="O17" s="72" t="str">
        <f ca="1">IF($A17="","",IF(OFFSET(Data!O$3,Diagrams!$B$2-12+ROW(),) &gt; O$7, OFFSET(Data!O$3,Diagrams!$B$2-12+ROW(),), NA()))</f>
        <v/>
      </c>
      <c r="P17" s="72" t="str">
        <f ca="1">IF($A17="","",IF(OFFSET(Data!P$3,Diagrams!$B$2-12+ROW(),) &gt; P$7, OFFSET(Data!P$3,Diagrams!$B$2-12+ROW(),), NA()))</f>
        <v/>
      </c>
      <c r="Q17" s="72" t="str">
        <f ca="1">IF($A17="","",IF(OFFSET(Data!Q$3,Diagrams!$B$2-12+ROW(),) &gt; Q$7, OFFSET(Data!Q$3,Diagrams!$B$2-12+ROW(),), NA()))</f>
        <v/>
      </c>
      <c r="R17" s="61" t="str">
        <f ca="1">IF($A17="","",IF(OFFSET(Data!R$3,Diagrams!$B$2-12+ROW(),) &gt; R$7, OFFSET(Data!R$3,Diagrams!$B$2-12+ROW(),), NA()))</f>
        <v/>
      </c>
    </row>
    <row r="25" spans="1:18">
      <c r="D25" t="e">
        <f ca="1">OFFSET(Diagrams!$C$9,,,COUNTIF(Data!$B:$B,Diagrams!$A$2),1)</f>
        <v>#VALUE!</v>
      </c>
    </row>
  </sheetData>
  <conditionalFormatting sqref="F9:R17">
    <cfRule type="expression" dxfId="0" priority="1">
      <formula>ISNA(F9)</formula>
    </cfRule>
  </conditionalFormatting>
  <dataValidations count="1">
    <dataValidation type="list" allowBlank="1" showInputMessage="1" showErrorMessage="1" sqref="A2">
      <formula1>OFFSET($E$1,,,1,COUNTA($1:$1)-3)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Milestones</vt:lpstr>
      <vt:lpstr>Diagrams</vt:lpstr>
    </vt:vector>
  </TitlesOfParts>
  <Company>AREVA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ODOUX Jean (AREVA NP SAS)</dc:creator>
  <cp:lastModifiedBy>Eric</cp:lastModifiedBy>
  <dcterms:created xsi:type="dcterms:W3CDTF">2013-02-27T11:30:07Z</dcterms:created>
  <dcterms:modified xsi:type="dcterms:W3CDTF">2013-03-04T14:48:57Z</dcterms:modified>
</cp:coreProperties>
</file>