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3435" yWindow="0" windowWidth="25440" windowHeight="15990" tabRatio="500" activeTab="1"/>
  </bookViews>
  <sheets>
    <sheet name="Coût papier" sheetId="1" r:id="rId1"/>
    <sheet name="Devis" sheetId="2" r:id="rId2"/>
  </sheets>
  <definedNames>
    <definedName name="Faconnage">'Coût papier'!$A$40:$A$46</definedName>
    <definedName name="Finitions">'Coût papier'!$A$31:$A$38</definedName>
    <definedName name="Impression">'Coût papier'!$A$25:$A$28</definedName>
    <definedName name="papier">'Coût papier'!$A$2:$A$21</definedName>
    <definedName name="Papiers">'Coût papier'!$A$2:$A$21</definedName>
    <definedName name="Remise">'Coût papier'!$E$41:$G$52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0" i="2" l="1"/>
  <c r="D40" i="2"/>
  <c r="D37" i="2"/>
  <c r="D38" i="2"/>
  <c r="D39" i="2"/>
  <c r="D35" i="2"/>
  <c r="C36" i="2"/>
  <c r="D36" i="2" s="1"/>
  <c r="C37" i="2"/>
  <c r="C38" i="2"/>
  <c r="C39" i="2"/>
  <c r="C35" i="2"/>
  <c r="D33" i="2"/>
  <c r="C34" i="2"/>
  <c r="D34" i="2" s="1"/>
  <c r="C33" i="2"/>
  <c r="C32" i="2"/>
  <c r="B2" i="1"/>
  <c r="C2" i="1"/>
  <c r="B33" i="1"/>
  <c r="H32" i="2"/>
  <c r="B6" i="1"/>
  <c r="B32" i="1"/>
  <c r="C4" i="2"/>
  <c r="C3" i="2"/>
  <c r="B12" i="2"/>
  <c r="C26" i="2" s="1"/>
  <c r="C28" i="2" s="1"/>
  <c r="B25" i="2" s="1"/>
  <c r="B13" i="2"/>
  <c r="C27" i="2" s="1"/>
  <c r="C22" i="2"/>
  <c r="B45" i="1"/>
  <c r="B44" i="1"/>
  <c r="B43" i="1"/>
  <c r="B41" i="1"/>
  <c r="F34" i="2"/>
  <c r="B3" i="1"/>
  <c r="E3" i="1"/>
  <c r="I3" i="1"/>
  <c r="B4" i="1"/>
  <c r="E4" i="1"/>
  <c r="I4" i="1"/>
  <c r="B5" i="1"/>
  <c r="E5" i="1"/>
  <c r="I5" i="1"/>
  <c r="E6" i="1"/>
  <c r="I6" i="1"/>
  <c r="B7" i="1"/>
  <c r="E7" i="1"/>
  <c r="I7" i="1"/>
  <c r="B8" i="1"/>
  <c r="E8" i="1"/>
  <c r="I8" i="1"/>
  <c r="B9" i="1"/>
  <c r="E9" i="1"/>
  <c r="I9" i="1"/>
  <c r="B10" i="1"/>
  <c r="E10" i="1"/>
  <c r="I10" i="1"/>
  <c r="B11" i="1"/>
  <c r="E11" i="1"/>
  <c r="I11" i="1"/>
  <c r="B12" i="1"/>
  <c r="E12" i="1"/>
  <c r="I12" i="1"/>
  <c r="B13" i="1"/>
  <c r="E13" i="1"/>
  <c r="I13" i="1"/>
  <c r="B14" i="1"/>
  <c r="E14" i="1"/>
  <c r="I14" i="1"/>
  <c r="B15" i="1"/>
  <c r="E15" i="1"/>
  <c r="I15" i="1"/>
  <c r="B16" i="1"/>
  <c r="E16" i="1"/>
  <c r="I16" i="1"/>
  <c r="B17" i="1"/>
  <c r="E17" i="1"/>
  <c r="I17" i="1"/>
  <c r="B18" i="1"/>
  <c r="E18" i="1"/>
  <c r="I18" i="1"/>
  <c r="E19" i="1"/>
  <c r="I19" i="1"/>
  <c r="E20" i="1"/>
  <c r="I20" i="1"/>
  <c r="E21" i="1"/>
  <c r="I21" i="1"/>
  <c r="E2" i="1"/>
  <c r="I2" i="1"/>
  <c r="D3" i="1"/>
  <c r="H3" i="1"/>
  <c r="D4" i="1"/>
  <c r="H4" i="1"/>
  <c r="D5" i="1"/>
  <c r="H5" i="1"/>
  <c r="D6" i="1"/>
  <c r="H6" i="1"/>
  <c r="D7" i="1"/>
  <c r="H7" i="1"/>
  <c r="D8" i="1"/>
  <c r="H8" i="1"/>
  <c r="D9" i="1"/>
  <c r="H9" i="1"/>
  <c r="D10" i="1"/>
  <c r="H10" i="1"/>
  <c r="D11" i="1"/>
  <c r="H11" i="1"/>
  <c r="D12" i="1"/>
  <c r="H12" i="1"/>
  <c r="D13" i="1"/>
  <c r="H13" i="1"/>
  <c r="D14" i="1"/>
  <c r="H14" i="1"/>
  <c r="D15" i="1"/>
  <c r="H15" i="1"/>
  <c r="D16" i="1"/>
  <c r="H16" i="1"/>
  <c r="D17" i="1"/>
  <c r="H17" i="1"/>
  <c r="D18" i="1"/>
  <c r="H18" i="1"/>
  <c r="D19" i="1"/>
  <c r="H19" i="1"/>
  <c r="D20" i="1"/>
  <c r="H20" i="1"/>
  <c r="D21" i="1"/>
  <c r="H21" i="1"/>
  <c r="D2" i="1"/>
  <c r="H2" i="1"/>
  <c r="C3" i="1"/>
  <c r="G3" i="1"/>
  <c r="C4" i="1"/>
  <c r="G4" i="1"/>
  <c r="C5" i="1"/>
  <c r="G5" i="1"/>
  <c r="C6" i="1"/>
  <c r="G6" i="1"/>
  <c r="C7" i="1"/>
  <c r="G7" i="1"/>
  <c r="C8" i="1"/>
  <c r="G8" i="1"/>
  <c r="C9" i="1"/>
  <c r="G9" i="1"/>
  <c r="C10" i="1"/>
  <c r="G10" i="1"/>
  <c r="C11" i="1"/>
  <c r="G11" i="1"/>
  <c r="C12" i="1"/>
  <c r="G12" i="1"/>
  <c r="C13" i="1"/>
  <c r="G13" i="1"/>
  <c r="C14" i="1"/>
  <c r="G14" i="1"/>
  <c r="C15" i="1"/>
  <c r="G15" i="1"/>
  <c r="C16" i="1"/>
  <c r="G16" i="1"/>
  <c r="C17" i="1"/>
  <c r="G17" i="1"/>
  <c r="C18" i="1"/>
  <c r="G18" i="1"/>
  <c r="C19" i="1"/>
  <c r="G19" i="1"/>
  <c r="C20" i="1"/>
  <c r="G20" i="1"/>
  <c r="C21" i="1"/>
  <c r="G21" i="1"/>
  <c r="G2" i="1"/>
  <c r="D28" i="1"/>
  <c r="D27" i="1"/>
  <c r="D26" i="1"/>
  <c r="D25" i="1"/>
  <c r="H34" i="1"/>
  <c r="H33" i="1"/>
  <c r="J5" i="2" l="1"/>
  <c r="C21" i="2"/>
  <c r="C23" i="2" s="1"/>
  <c r="B20" i="2" s="1"/>
  <c r="E34" i="2"/>
  <c r="E33" i="2"/>
  <c r="E32" i="2"/>
  <c r="J4" i="2" l="1"/>
  <c r="J6" i="2" s="1"/>
  <c r="J8" i="2" s="1"/>
  <c r="J10" i="2" s="1"/>
  <c r="J11" i="2" s="1"/>
  <c r="B16" i="2"/>
  <c r="B17" i="2"/>
  <c r="J7" i="2" s="1"/>
</calcChain>
</file>

<file path=xl/sharedStrings.xml><?xml version="1.0" encoding="utf-8"?>
<sst xmlns="http://schemas.openxmlformats.org/spreadsheetml/2006/main" count="119" uniqueCount="100">
  <si>
    <t>Type</t>
  </si>
  <si>
    <t>120gr demi-mat</t>
  </si>
  <si>
    <t>160gr demi-mat</t>
  </si>
  <si>
    <t>100gr demi-mat</t>
  </si>
  <si>
    <t>120gr offset mat</t>
  </si>
  <si>
    <t>135gr offset mat</t>
  </si>
  <si>
    <t>135gr couché brillant</t>
  </si>
  <si>
    <t>150gr couché brillant</t>
  </si>
  <si>
    <t>170gr offset mat</t>
  </si>
  <si>
    <t>250gr offset mat</t>
  </si>
  <si>
    <t>250gr couché brillant</t>
  </si>
  <si>
    <t>300gr offset mat</t>
  </si>
  <si>
    <t>300gr couché brillant</t>
  </si>
  <si>
    <t>300gr couché mat</t>
  </si>
  <si>
    <t>350gr couché mat</t>
  </si>
  <si>
    <t>350gr couché brillant</t>
  </si>
  <si>
    <t>300gr demi-mat</t>
  </si>
  <si>
    <t>170grcouché brillant</t>
  </si>
  <si>
    <t>Inacopia 80gr - A4</t>
  </si>
  <si>
    <t>Inuit Blizzard Smooth 300gr</t>
  </si>
  <si>
    <t>Inapa Creation Insize 300gr</t>
  </si>
  <si>
    <t>Machines</t>
  </si>
  <si>
    <t>Format max</t>
  </si>
  <si>
    <t>C5100s</t>
  </si>
  <si>
    <t>MPC 6000</t>
  </si>
  <si>
    <t>320x450</t>
  </si>
  <si>
    <t>305x450</t>
  </si>
  <si>
    <t>Imp. Max</t>
  </si>
  <si>
    <t>315x440</t>
  </si>
  <si>
    <t>297x434</t>
  </si>
  <si>
    <t>Surface max</t>
  </si>
  <si>
    <t xml:space="preserve">Coût tirage </t>
  </si>
  <si>
    <t>Coût couleur</t>
  </si>
  <si>
    <t>Coût par face</t>
  </si>
  <si>
    <t>N/B</t>
  </si>
  <si>
    <t>Couleur 6000</t>
  </si>
  <si>
    <t>Couleur 5100</t>
  </si>
  <si>
    <t>Pas d'impression</t>
  </si>
  <si>
    <t xml:space="preserve">Finition </t>
  </si>
  <si>
    <t>SANS</t>
  </si>
  <si>
    <t xml:space="preserve">Agrafage bureautique </t>
  </si>
  <si>
    <t>Reliure spirale plastique</t>
  </si>
  <si>
    <t>Reliure spirale métallique</t>
  </si>
  <si>
    <t>Dos carré collé</t>
  </si>
  <si>
    <t>vide</t>
  </si>
  <si>
    <t>Façonnage</t>
  </si>
  <si>
    <t>Pliage</t>
  </si>
  <si>
    <t xml:space="preserve">Plastification </t>
  </si>
  <si>
    <t xml:space="preserve">Perforation </t>
  </si>
  <si>
    <t>Rainage</t>
  </si>
  <si>
    <t>SANS - Coupe droite au format</t>
  </si>
  <si>
    <t>2 piqûres métal sur le dos</t>
  </si>
  <si>
    <t>Calage</t>
  </si>
  <si>
    <t>PUHT Le mille de feuille - 32x45cm</t>
  </si>
  <si>
    <t>Coef. Papier</t>
  </si>
  <si>
    <t>Marge Brute NB</t>
  </si>
  <si>
    <t>Marge Brute 6000</t>
  </si>
  <si>
    <t>Marge Brute 5100</t>
  </si>
  <si>
    <t>Longeur</t>
  </si>
  <si>
    <t>Largeur</t>
  </si>
  <si>
    <t>Choix machine</t>
  </si>
  <si>
    <t>Machine</t>
  </si>
  <si>
    <t>cases à compléter</t>
  </si>
  <si>
    <t>Si Longeur A3 // longueur client</t>
  </si>
  <si>
    <t>Nb ex en longueur A3</t>
  </si>
  <si>
    <t>Nb ex en largeur A3</t>
  </si>
  <si>
    <t>Total ex / feuille</t>
  </si>
  <si>
    <t>Si Longeur A3 // largeur client</t>
  </si>
  <si>
    <t>+marge</t>
  </si>
  <si>
    <t xml:space="preserve">Grammage </t>
  </si>
  <si>
    <t xml:space="preserve">Impo SRA3 : </t>
  </si>
  <si>
    <t>LARGEUR IMP. SRA3</t>
  </si>
  <si>
    <t>LONGUEUR IMP. SRA3</t>
  </si>
  <si>
    <t>mm</t>
  </si>
  <si>
    <t>Conditions remise</t>
  </si>
  <si>
    <t>de</t>
  </si>
  <si>
    <t>à</t>
  </si>
  <si>
    <t xml:space="preserve">réduction </t>
  </si>
  <si>
    <t>Calcul du prix de vente</t>
  </si>
  <si>
    <t xml:space="preserve">Prix impression (€) : </t>
  </si>
  <si>
    <t>Prix finition (€):</t>
  </si>
  <si>
    <t xml:space="preserve">Prix HT : </t>
  </si>
  <si>
    <t xml:space="preserve">Réduction : </t>
  </si>
  <si>
    <t xml:space="preserve">Prix Total HT : </t>
  </si>
  <si>
    <t xml:space="preserve">TVA : </t>
  </si>
  <si>
    <t>=</t>
  </si>
  <si>
    <t xml:space="preserve">Prix TTC : </t>
  </si>
  <si>
    <t>Prix</t>
  </si>
  <si>
    <t>Format ouvert (en mm)</t>
  </si>
  <si>
    <t>Nombre d'exemplaires souhaités</t>
  </si>
  <si>
    <t>Imposition</t>
  </si>
  <si>
    <t>Détails techniques</t>
  </si>
  <si>
    <t>Impression Recto</t>
  </si>
  <si>
    <t>Impression Verso</t>
  </si>
  <si>
    <t>Feuilles à tirer</t>
  </si>
  <si>
    <t>Supplément coupe massicot</t>
  </si>
  <si>
    <t/>
  </si>
  <si>
    <t>papier</t>
  </si>
  <si>
    <t>Finitions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</si>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</sst>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%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33CC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</borders>
  <cellStyleXfs count="2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2" fontId="0" fillId="0" borderId="9" xfId="0" applyNumberFormat="1" applyBorder="1"/>
    <xf numFmtId="0" fontId="0" fillId="0" borderId="10" xfId="0" applyFill="1" applyBorder="1"/>
    <xf numFmtId="0" fontId="0" fillId="0" borderId="12" xfId="0" applyBorder="1"/>
    <xf numFmtId="2" fontId="0" fillId="0" borderId="13" xfId="0" applyNumberFormat="1" applyBorder="1"/>
    <xf numFmtId="0" fontId="0" fillId="0" borderId="0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6" xfId="0" applyFill="1" applyBorder="1"/>
    <xf numFmtId="0" fontId="0" fillId="2" borderId="18" xfId="0" applyFill="1" applyBorder="1"/>
    <xf numFmtId="0" fontId="0" fillId="0" borderId="18" xfId="0" applyBorder="1"/>
    <xf numFmtId="0" fontId="0" fillId="0" borderId="0" xfId="0" applyBorder="1"/>
    <xf numFmtId="0" fontId="0" fillId="0" borderId="10" xfId="0" applyBorder="1"/>
    <xf numFmtId="0" fontId="0" fillId="0" borderId="19" xfId="0" applyBorder="1"/>
    <xf numFmtId="0" fontId="0" fillId="0" borderId="20" xfId="0" applyBorder="1"/>
    <xf numFmtId="0" fontId="1" fillId="0" borderId="21" xfId="0" applyFont="1" applyFill="1" applyBorder="1"/>
    <xf numFmtId="164" fontId="0" fillId="0" borderId="7" xfId="0" applyNumberFormat="1" applyBorder="1"/>
    <xf numFmtId="164" fontId="0" fillId="0" borderId="11" xfId="0" applyNumberFormat="1" applyBorder="1"/>
    <xf numFmtId="164" fontId="0" fillId="0" borderId="1" xfId="0" applyNumberFormat="1" applyBorder="1"/>
    <xf numFmtId="0" fontId="1" fillId="0" borderId="1" xfId="0" applyFont="1" applyFill="1" applyBorder="1"/>
    <xf numFmtId="164" fontId="4" fillId="3" borderId="1" xfId="7" applyNumberFormat="1" applyBorder="1" applyAlignment="1">
      <alignment horizontal="center" vertical="center"/>
    </xf>
    <xf numFmtId="0" fontId="5" fillId="4" borderId="1" xfId="8" applyBorder="1" applyAlignment="1">
      <alignment horizontal="center"/>
    </xf>
    <xf numFmtId="0" fontId="8" fillId="2" borderId="4" xfId="0" applyFont="1" applyFill="1" applyBorder="1"/>
    <xf numFmtId="0" fontId="8" fillId="2" borderId="12" xfId="0" applyFont="1" applyFill="1" applyBorder="1"/>
    <xf numFmtId="0" fontId="8" fillId="2" borderId="0" xfId="0" applyFont="1" applyFill="1" applyBorder="1"/>
    <xf numFmtId="0" fontId="8" fillId="2" borderId="0" xfId="0" applyFont="1" applyFill="1" applyBorder="1" applyAlignment="1">
      <alignment horizontal="center"/>
    </xf>
    <xf numFmtId="0" fontId="8" fillId="2" borderId="10" xfId="0" applyFont="1" applyFill="1" applyBorder="1"/>
    <xf numFmtId="0" fontId="8" fillId="2" borderId="1" xfId="0" applyFont="1" applyFill="1" applyBorder="1"/>
    <xf numFmtId="0" fontId="7" fillId="2" borderId="1" xfId="0" applyFont="1" applyFill="1" applyBorder="1" applyAlignment="1">
      <alignment horizontal="center" vertical="center" wrapText="1" shrinkToFit="1"/>
    </xf>
    <xf numFmtId="0" fontId="6" fillId="2" borderId="0" xfId="0" applyFont="1" applyFill="1" applyBorder="1" applyAlignment="1">
      <alignment wrapText="1" shrinkToFit="1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6" fillId="2" borderId="0" xfId="0" applyFont="1" applyFill="1"/>
    <xf numFmtId="0" fontId="0" fillId="6" borderId="18" xfId="0" applyFill="1" applyBorder="1" applyProtection="1">
      <protection locked="0"/>
    </xf>
    <xf numFmtId="0" fontId="0" fillId="0" borderId="24" xfId="0" applyBorder="1"/>
    <xf numFmtId="0" fontId="8" fillId="2" borderId="10" xfId="0" applyFont="1" applyFill="1" applyBorder="1" applyAlignment="1">
      <alignment horizontal="center"/>
    </xf>
    <xf numFmtId="0" fontId="8" fillId="6" borderId="4" xfId="0" applyFont="1" applyFill="1" applyBorder="1" applyAlignment="1" applyProtection="1">
      <alignment horizontal="center"/>
      <protection locked="0"/>
    </xf>
    <xf numFmtId="0" fontId="8" fillId="6" borderId="12" xfId="0" applyFont="1" applyFill="1" applyBorder="1" applyAlignment="1" applyProtection="1">
      <alignment horizontal="center"/>
      <protection locked="0"/>
    </xf>
    <xf numFmtId="0" fontId="10" fillId="6" borderId="11" xfId="0" applyFont="1" applyFill="1" applyBorder="1" applyAlignment="1" applyProtection="1">
      <alignment horizontal="center"/>
      <protection locked="0"/>
    </xf>
    <xf numFmtId="0" fontId="8" fillId="2" borderId="7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 vertical="center" wrapText="1" shrinkToFit="1"/>
    </xf>
    <xf numFmtId="0" fontId="0" fillId="6" borderId="3" xfId="0" applyFill="1" applyBorder="1" applyProtection="1">
      <protection locked="0"/>
    </xf>
    <xf numFmtId="0" fontId="0" fillId="6" borderId="7" xfId="0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3" xfId="0" applyBorder="1" applyAlignment="1">
      <alignment horizontal="center"/>
    </xf>
    <xf numFmtId="1" fontId="0" fillId="2" borderId="29" xfId="0" applyNumberFormat="1" applyFill="1" applyBorder="1" applyAlignment="1">
      <alignment horizontal="center"/>
    </xf>
    <xf numFmtId="1" fontId="0" fillId="2" borderId="30" xfId="0" applyNumberFormat="1" applyFill="1" applyBorder="1" applyAlignment="1">
      <alignment horizontal="center"/>
    </xf>
    <xf numFmtId="9" fontId="0" fillId="0" borderId="3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9" fontId="0" fillId="0" borderId="33" xfId="0" applyNumberFormat="1" applyBorder="1" applyAlignment="1">
      <alignment horizontal="center"/>
    </xf>
    <xf numFmtId="0" fontId="8" fillId="2" borderId="2" xfId="0" applyFont="1" applyFill="1" applyBorder="1"/>
    <xf numFmtId="2" fontId="8" fillId="2" borderId="20" xfId="0" applyNumberFormat="1" applyFont="1" applyFill="1" applyBorder="1" applyAlignment="1">
      <alignment horizontal="center"/>
    </xf>
    <xf numFmtId="0" fontId="8" fillId="2" borderId="6" xfId="0" applyFont="1" applyFill="1" applyBorder="1"/>
    <xf numFmtId="2" fontId="8" fillId="2" borderId="18" xfId="0" applyNumberFormat="1" applyFont="1" applyFill="1" applyBorder="1" applyAlignment="1">
      <alignment horizontal="center"/>
    </xf>
    <xf numFmtId="9" fontId="8" fillId="2" borderId="18" xfId="0" applyNumberFormat="1" applyFont="1" applyFill="1" applyBorder="1" applyAlignment="1">
      <alignment horizontal="center"/>
    </xf>
    <xf numFmtId="0" fontId="10" fillId="7" borderId="6" xfId="0" applyFont="1" applyFill="1" applyBorder="1"/>
    <xf numFmtId="2" fontId="10" fillId="7" borderId="18" xfId="0" applyNumberFormat="1" applyFont="1" applyFill="1" applyBorder="1" applyAlignment="1">
      <alignment horizontal="center"/>
    </xf>
    <xf numFmtId="166" fontId="8" fillId="2" borderId="18" xfId="0" applyNumberFormat="1" applyFont="1" applyFill="1" applyBorder="1" applyAlignment="1">
      <alignment horizontal="center"/>
    </xf>
    <xf numFmtId="0" fontId="8" fillId="2" borderId="6" xfId="0" quotePrefix="1" applyFont="1" applyFill="1" applyBorder="1" applyAlignment="1">
      <alignment horizontal="right"/>
    </xf>
    <xf numFmtId="0" fontId="8" fillId="2" borderId="18" xfId="0" applyFont="1" applyFill="1" applyBorder="1" applyAlignment="1">
      <alignment horizontal="center"/>
    </xf>
    <xf numFmtId="0" fontId="10" fillId="7" borderId="10" xfId="0" applyFont="1" applyFill="1" applyBorder="1"/>
    <xf numFmtId="2" fontId="10" fillId="7" borderId="19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0" fontId="8" fillId="0" borderId="0" xfId="0" applyFont="1"/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9" fontId="0" fillId="0" borderId="40" xfId="0" applyNumberFormat="1" applyBorder="1" applyAlignment="1">
      <alignment horizontal="center"/>
    </xf>
    <xf numFmtId="0" fontId="6" fillId="2" borderId="0" xfId="0" quotePrefix="1" applyFont="1" applyFill="1" applyBorder="1" applyAlignment="1">
      <alignment horizontal="center"/>
    </xf>
    <xf numFmtId="0" fontId="6" fillId="2" borderId="0" xfId="0" applyFont="1" applyFill="1" applyBorder="1" applyAlignment="1" applyProtection="1">
      <alignment horizontal="center"/>
      <protection hidden="1"/>
    </xf>
    <xf numFmtId="0" fontId="6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/>
    <xf numFmtId="0" fontId="8" fillId="2" borderId="0" xfId="0" applyFont="1" applyFill="1" applyBorder="1" applyAlignment="1"/>
    <xf numFmtId="0" fontId="6" fillId="2" borderId="0" xfId="0" applyFont="1" applyFill="1" applyBorder="1" applyAlignment="1"/>
    <xf numFmtId="0" fontId="6" fillId="2" borderId="0" xfId="0" applyFont="1" applyFill="1" applyBorder="1" applyAlignment="1">
      <alignment vertical="center"/>
    </xf>
    <xf numFmtId="165" fontId="8" fillId="2" borderId="0" xfId="0" applyNumberFormat="1" applyFont="1" applyFill="1" applyBorder="1" applyAlignment="1"/>
    <xf numFmtId="9" fontId="8" fillId="2" borderId="0" xfId="0" applyNumberFormat="1" applyFont="1" applyFill="1" applyBorder="1" applyAlignment="1"/>
    <xf numFmtId="164" fontId="8" fillId="2" borderId="0" xfId="0" applyNumberFormat="1" applyFont="1" applyFill="1" applyBorder="1" applyAlignment="1"/>
    <xf numFmtId="0" fontId="0" fillId="0" borderId="0" xfId="0" applyAlignment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5" borderId="22" xfId="0" applyFont="1" applyFill="1" applyBorder="1" applyAlignment="1">
      <alignment horizontal="center" vertical="center" wrapText="1" shrinkToFit="1"/>
    </xf>
    <xf numFmtId="0" fontId="7" fillId="5" borderId="26" xfId="0" applyFont="1" applyFill="1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/>
    </xf>
    <xf numFmtId="0" fontId="11" fillId="7" borderId="34" xfId="0" applyFont="1" applyFill="1" applyBorder="1" applyAlignment="1">
      <alignment horizontal="center" vertical="center"/>
    </xf>
    <xf numFmtId="0" fontId="11" fillId="7" borderId="35" xfId="0" applyFont="1" applyFill="1" applyBorder="1" applyAlignment="1">
      <alignment horizontal="center" vertical="center"/>
    </xf>
    <xf numFmtId="0" fontId="11" fillId="7" borderId="36" xfId="0" applyFont="1" applyFill="1" applyBorder="1" applyAlignment="1">
      <alignment horizontal="center" vertical="center"/>
    </xf>
    <xf numFmtId="0" fontId="11" fillId="7" borderId="37" xfId="0" applyFont="1" applyFill="1" applyBorder="1" applyAlignment="1">
      <alignment horizontal="center" vertical="center"/>
    </xf>
    <xf numFmtId="0" fontId="8" fillId="6" borderId="22" xfId="0" applyFont="1" applyFill="1" applyBorder="1" applyAlignment="1" applyProtection="1">
      <alignment horizontal="center"/>
      <protection locked="0"/>
    </xf>
    <xf numFmtId="0" fontId="8" fillId="6" borderId="26" xfId="0" applyFont="1" applyFill="1" applyBorder="1" applyAlignment="1" applyProtection="1">
      <alignment horizontal="center"/>
      <protection locked="0"/>
    </xf>
    <xf numFmtId="0" fontId="9" fillId="6" borderId="0" xfId="0" applyFont="1" applyFill="1" applyBorder="1" applyAlignment="1">
      <alignment horizontal="center" vertical="center"/>
    </xf>
    <xf numFmtId="0" fontId="0" fillId="0" borderId="0" xfId="0" applyAlignment="1">
      <alignment horizontal="right"/>
    </xf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8" builtinId="28"/>
    <cellStyle name="Normal" xfId="0" builtinId="0"/>
    <cellStyle name="Satisfaisant" xfId="7" builtinId="26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9" tint="0.39997558519241921"/>
  </sheetPr>
  <dimension ref="A1:I52"/>
  <sheetViews>
    <sheetView workbookViewId="0">
      <selection activeCell="A6" sqref="A6"/>
    </sheetView>
  </sheetViews>
  <sheetFormatPr baseColWidth="10" defaultRowHeight="15.75" x14ac:dyDescent="0.25"/>
  <cols>
    <col min="1" max="1" width="39.5" customWidth="1"/>
    <col min="2" max="2" width="32" customWidth="1"/>
    <col min="6" max="6" width="11.875" customWidth="1"/>
    <col min="7" max="7" width="17.125" customWidth="1"/>
    <col min="8" max="8" width="16.625" customWidth="1"/>
    <col min="9" max="9" width="17.125" customWidth="1"/>
  </cols>
  <sheetData>
    <row r="1" spans="1:9" x14ac:dyDescent="0.25">
      <c r="A1" s="3" t="s">
        <v>0</v>
      </c>
      <c r="B1" s="3" t="s">
        <v>53</v>
      </c>
      <c r="C1" s="8" t="s">
        <v>34</v>
      </c>
      <c r="D1" s="8" t="s">
        <v>35</v>
      </c>
      <c r="E1" s="8" t="s">
        <v>36</v>
      </c>
      <c r="F1" s="28" t="s">
        <v>54</v>
      </c>
      <c r="G1" s="24" t="s">
        <v>55</v>
      </c>
      <c r="H1" s="24" t="s">
        <v>56</v>
      </c>
      <c r="I1" s="24" t="s">
        <v>57</v>
      </c>
    </row>
    <row r="2" spans="1:9" x14ac:dyDescent="0.25">
      <c r="A2" s="2" t="s">
        <v>18</v>
      </c>
      <c r="B2" s="27">
        <f>0.0051*2</f>
        <v>1.0200000000000001E-2</v>
      </c>
      <c r="C2" s="27">
        <f>F2*(B2+B$25)</f>
        <v>0.15479999999999999</v>
      </c>
      <c r="D2" s="27">
        <f>F2*0.5*(B2+B$26)</f>
        <v>0.33840000000000003</v>
      </c>
      <c r="E2" s="27">
        <f>F2*0.6*(B2+B$27)</f>
        <v>0.28187999999999996</v>
      </c>
      <c r="F2" s="30">
        <v>9</v>
      </c>
      <c r="G2" s="29">
        <f>C2-B2-B$25</f>
        <v>0.1376</v>
      </c>
      <c r="H2" s="29">
        <f>D2-B2-B$26</f>
        <v>0.26320000000000005</v>
      </c>
      <c r="I2" s="29">
        <f>E2-B2-B$27</f>
        <v>0.22967999999999997</v>
      </c>
    </row>
    <row r="3" spans="1:9" x14ac:dyDescent="0.25">
      <c r="A3" s="2" t="s">
        <v>3</v>
      </c>
      <c r="B3" s="27">
        <f>0.02416</f>
        <v>2.4160000000000001E-2</v>
      </c>
      <c r="C3" s="27">
        <f t="shared" ref="C3:C21" si="0">F3*(B3+B$25)</f>
        <v>0.24928</v>
      </c>
      <c r="D3" s="27">
        <f t="shared" ref="D3:D20" si="1">F3*0.5*(B3+B$26)</f>
        <v>0.35664000000000001</v>
      </c>
      <c r="E3" s="27">
        <f t="shared" ref="E3:E20" si="2">F3*0.6*(B3+B$27)</f>
        <v>0.31756799999999996</v>
      </c>
      <c r="F3" s="30">
        <v>8</v>
      </c>
      <c r="G3" s="29">
        <f t="shared" ref="G3:G21" si="3">C3-B3-B$25</f>
        <v>0.21811999999999998</v>
      </c>
      <c r="H3" s="29">
        <f t="shared" ref="H3:H21" si="4">D3-B3-B$26</f>
        <v>0.26748</v>
      </c>
      <c r="I3" s="29">
        <f t="shared" ref="I3:I21" si="5">E3-B3-B$27</f>
        <v>0.25140799999999996</v>
      </c>
    </row>
    <row r="4" spans="1:9" x14ac:dyDescent="0.25">
      <c r="A4" s="2" t="s">
        <v>1</v>
      </c>
      <c r="B4" s="27">
        <f>0.03</f>
        <v>0.03</v>
      </c>
      <c r="C4" s="27">
        <f t="shared" si="0"/>
        <v>0.29599999999999999</v>
      </c>
      <c r="D4" s="27">
        <f t="shared" si="1"/>
        <v>0.38</v>
      </c>
      <c r="E4" s="27">
        <f t="shared" si="2"/>
        <v>0.34560000000000002</v>
      </c>
      <c r="F4" s="30">
        <v>8</v>
      </c>
      <c r="G4" s="29">
        <f t="shared" si="3"/>
        <v>0.25900000000000001</v>
      </c>
      <c r="H4" s="29">
        <f t="shared" si="4"/>
        <v>0.28499999999999998</v>
      </c>
      <c r="I4" s="29">
        <f t="shared" si="5"/>
        <v>0.27360000000000001</v>
      </c>
    </row>
    <row r="5" spans="1:9" x14ac:dyDescent="0.25">
      <c r="A5" s="2" t="s">
        <v>4</v>
      </c>
      <c r="B5" s="27">
        <f>0.05342</f>
        <v>5.3420000000000002E-2</v>
      </c>
      <c r="C5" s="27">
        <f t="shared" si="0"/>
        <v>0.36252000000000001</v>
      </c>
      <c r="D5" s="27">
        <f t="shared" si="1"/>
        <v>0.35526000000000002</v>
      </c>
      <c r="E5" s="27">
        <f t="shared" si="2"/>
        <v>0.34351199999999998</v>
      </c>
      <c r="F5" s="30">
        <v>6</v>
      </c>
      <c r="G5" s="29">
        <f t="shared" si="3"/>
        <v>0.30209999999999998</v>
      </c>
      <c r="H5" s="29">
        <f t="shared" si="4"/>
        <v>0.23683999999999999</v>
      </c>
      <c r="I5" s="29">
        <f t="shared" si="5"/>
        <v>0.24809199999999995</v>
      </c>
    </row>
    <row r="6" spans="1:9" x14ac:dyDescent="0.25">
      <c r="A6" s="2" t="s">
        <v>5</v>
      </c>
      <c r="B6" s="27">
        <f>0.05342</f>
        <v>5.3420000000000002E-2</v>
      </c>
      <c r="C6" s="27">
        <f t="shared" si="0"/>
        <v>0.42293999999999998</v>
      </c>
      <c r="D6" s="27">
        <f t="shared" si="1"/>
        <v>0.41447000000000001</v>
      </c>
      <c r="E6" s="27">
        <f t="shared" si="2"/>
        <v>0.40076400000000006</v>
      </c>
      <c r="F6" s="30">
        <v>7</v>
      </c>
      <c r="G6" s="29">
        <f t="shared" si="3"/>
        <v>0.36251999999999995</v>
      </c>
      <c r="H6" s="29">
        <f t="shared" si="4"/>
        <v>0.29604999999999998</v>
      </c>
      <c r="I6" s="29">
        <f t="shared" si="5"/>
        <v>0.30534400000000006</v>
      </c>
    </row>
    <row r="7" spans="1:9" x14ac:dyDescent="0.25">
      <c r="A7" s="2" t="s">
        <v>6</v>
      </c>
      <c r="B7" s="27">
        <f>0.02911</f>
        <v>2.911E-2</v>
      </c>
      <c r="C7" s="27">
        <f t="shared" si="0"/>
        <v>0.36110000000000003</v>
      </c>
      <c r="D7" s="27">
        <f t="shared" si="1"/>
        <v>0.47055000000000002</v>
      </c>
      <c r="E7" s="27">
        <f t="shared" si="2"/>
        <v>0.42666000000000004</v>
      </c>
      <c r="F7" s="30">
        <v>10</v>
      </c>
      <c r="G7" s="29">
        <f t="shared" si="3"/>
        <v>0.32499</v>
      </c>
      <c r="H7" s="29">
        <f t="shared" si="4"/>
        <v>0.37644</v>
      </c>
      <c r="I7" s="29">
        <f t="shared" si="5"/>
        <v>0.35555000000000003</v>
      </c>
    </row>
    <row r="8" spans="1:9" x14ac:dyDescent="0.25">
      <c r="A8" s="2" t="s">
        <v>7</v>
      </c>
      <c r="B8" s="27">
        <f>0.03</f>
        <v>0.03</v>
      </c>
      <c r="C8" s="27">
        <f t="shared" si="0"/>
        <v>0.33299999999999996</v>
      </c>
      <c r="D8" s="27">
        <f t="shared" si="1"/>
        <v>0.42749999999999999</v>
      </c>
      <c r="E8" s="27">
        <f t="shared" si="2"/>
        <v>0.38880000000000003</v>
      </c>
      <c r="F8" s="30">
        <v>9</v>
      </c>
      <c r="G8" s="29">
        <f t="shared" si="3"/>
        <v>0.29599999999999993</v>
      </c>
      <c r="H8" s="29">
        <f t="shared" si="4"/>
        <v>0.33249999999999996</v>
      </c>
      <c r="I8" s="29">
        <f t="shared" si="5"/>
        <v>0.31680000000000003</v>
      </c>
    </row>
    <row r="9" spans="1:9" x14ac:dyDescent="0.25">
      <c r="A9" s="2" t="s">
        <v>2</v>
      </c>
      <c r="B9" s="27">
        <f>0.04012</f>
        <v>4.0120000000000003E-2</v>
      </c>
      <c r="C9" s="27">
        <f t="shared" si="0"/>
        <v>0.42408000000000001</v>
      </c>
      <c r="D9" s="27">
        <f t="shared" si="1"/>
        <v>0.47304000000000002</v>
      </c>
      <c r="E9" s="27">
        <f t="shared" si="2"/>
        <v>0.44344799999999995</v>
      </c>
      <c r="F9" s="30">
        <v>9</v>
      </c>
      <c r="G9" s="29">
        <f t="shared" si="3"/>
        <v>0.37696000000000002</v>
      </c>
      <c r="H9" s="29">
        <f t="shared" si="4"/>
        <v>0.36792000000000002</v>
      </c>
      <c r="I9" s="29">
        <f t="shared" si="5"/>
        <v>0.36132799999999998</v>
      </c>
    </row>
    <row r="10" spans="1:9" x14ac:dyDescent="0.25">
      <c r="A10" s="2" t="s">
        <v>8</v>
      </c>
      <c r="B10" s="27">
        <f>0.06729</f>
        <v>6.7290000000000003E-2</v>
      </c>
      <c r="C10" s="27">
        <f t="shared" si="0"/>
        <v>0.59432000000000007</v>
      </c>
      <c r="D10" s="27">
        <f t="shared" si="1"/>
        <v>0.52916000000000007</v>
      </c>
      <c r="E10" s="27">
        <f t="shared" si="2"/>
        <v>0.52459199999999995</v>
      </c>
      <c r="F10" s="30">
        <v>8</v>
      </c>
      <c r="G10" s="29">
        <f t="shared" si="3"/>
        <v>0.5200300000000001</v>
      </c>
      <c r="H10" s="29">
        <f t="shared" si="4"/>
        <v>0.39687000000000006</v>
      </c>
      <c r="I10" s="29">
        <f t="shared" si="5"/>
        <v>0.41530199999999995</v>
      </c>
    </row>
    <row r="11" spans="1:9" x14ac:dyDescent="0.25">
      <c r="A11" s="2" t="s">
        <v>17</v>
      </c>
      <c r="B11" s="27">
        <f>0.03666</f>
        <v>3.6659999999999998E-2</v>
      </c>
      <c r="C11" s="27">
        <f t="shared" si="0"/>
        <v>0.43659999999999999</v>
      </c>
      <c r="D11" s="27">
        <f t="shared" si="1"/>
        <v>0.50829999999999997</v>
      </c>
      <c r="E11" s="27">
        <f t="shared" si="2"/>
        <v>0.47196000000000005</v>
      </c>
      <c r="F11" s="30">
        <v>10</v>
      </c>
      <c r="G11" s="29">
        <f t="shared" si="3"/>
        <v>0.39293999999999996</v>
      </c>
      <c r="H11" s="29">
        <f t="shared" si="4"/>
        <v>0.40663999999999995</v>
      </c>
      <c r="I11" s="29">
        <f t="shared" si="5"/>
        <v>0.39330000000000004</v>
      </c>
    </row>
    <row r="12" spans="1:9" x14ac:dyDescent="0.25">
      <c r="A12" s="2" t="s">
        <v>10</v>
      </c>
      <c r="B12" s="27">
        <f>0.05391</f>
        <v>5.391E-2</v>
      </c>
      <c r="C12" s="27">
        <f t="shared" si="0"/>
        <v>0.79183000000000003</v>
      </c>
      <c r="D12" s="27">
        <f t="shared" si="1"/>
        <v>0.77291500000000002</v>
      </c>
      <c r="E12" s="27">
        <f t="shared" si="2"/>
        <v>0.74809799999999993</v>
      </c>
      <c r="F12" s="30">
        <v>13</v>
      </c>
      <c r="G12" s="29">
        <f t="shared" si="3"/>
        <v>0.73092000000000001</v>
      </c>
      <c r="H12" s="29">
        <f t="shared" si="4"/>
        <v>0.65400499999999995</v>
      </c>
      <c r="I12" s="29">
        <f t="shared" si="5"/>
        <v>0.65218799999999988</v>
      </c>
    </row>
    <row r="13" spans="1:9" x14ac:dyDescent="0.25">
      <c r="A13" s="2" t="s">
        <v>9</v>
      </c>
      <c r="B13" s="27">
        <f>0.09888</f>
        <v>9.8879999999999996E-2</v>
      </c>
      <c r="C13" s="27">
        <f t="shared" si="0"/>
        <v>0.84704000000000002</v>
      </c>
      <c r="D13" s="27">
        <f t="shared" si="1"/>
        <v>0.65551999999999999</v>
      </c>
      <c r="E13" s="27">
        <f t="shared" si="2"/>
        <v>0.67622400000000005</v>
      </c>
      <c r="F13" s="30">
        <v>8</v>
      </c>
      <c r="G13" s="29">
        <f t="shared" si="3"/>
        <v>0.74116000000000004</v>
      </c>
      <c r="H13" s="29">
        <f t="shared" si="4"/>
        <v>0.49164000000000002</v>
      </c>
      <c r="I13" s="29">
        <f t="shared" si="5"/>
        <v>0.53534400000000004</v>
      </c>
    </row>
    <row r="14" spans="1:9" x14ac:dyDescent="0.25">
      <c r="A14" s="2" t="s">
        <v>11</v>
      </c>
      <c r="B14" s="27">
        <f>0.11865</f>
        <v>0.11865000000000001</v>
      </c>
      <c r="C14" s="27">
        <f t="shared" si="0"/>
        <v>0.87955000000000005</v>
      </c>
      <c r="D14" s="27">
        <f t="shared" si="1"/>
        <v>0.64277499999999999</v>
      </c>
      <c r="E14" s="27">
        <f t="shared" si="2"/>
        <v>0.67473000000000005</v>
      </c>
      <c r="F14" s="30">
        <v>7</v>
      </c>
      <c r="G14" s="29">
        <f t="shared" si="3"/>
        <v>0.75390000000000001</v>
      </c>
      <c r="H14" s="29">
        <f t="shared" si="4"/>
        <v>0.45912499999999995</v>
      </c>
      <c r="I14" s="29">
        <f t="shared" si="5"/>
        <v>0.51407999999999998</v>
      </c>
    </row>
    <row r="15" spans="1:9" x14ac:dyDescent="0.25">
      <c r="A15" s="2" t="s">
        <v>12</v>
      </c>
      <c r="B15" s="27">
        <f>0.06469</f>
        <v>6.4689999999999998E-2</v>
      </c>
      <c r="C15" s="27">
        <f t="shared" si="0"/>
        <v>0.78859000000000001</v>
      </c>
      <c r="D15" s="27">
        <f t="shared" si="1"/>
        <v>0.71329500000000001</v>
      </c>
      <c r="E15" s="27">
        <f t="shared" si="2"/>
        <v>0.70415400000000006</v>
      </c>
      <c r="F15" s="30">
        <v>11</v>
      </c>
      <c r="G15" s="29">
        <f t="shared" si="3"/>
        <v>0.71689999999999998</v>
      </c>
      <c r="H15" s="29">
        <f t="shared" si="4"/>
        <v>0.58360499999999993</v>
      </c>
      <c r="I15" s="29">
        <f t="shared" si="5"/>
        <v>0.597464</v>
      </c>
    </row>
    <row r="16" spans="1:9" x14ac:dyDescent="0.25">
      <c r="A16" s="2" t="s">
        <v>16</v>
      </c>
      <c r="B16" s="27">
        <f>0.09</f>
        <v>0.09</v>
      </c>
      <c r="C16" s="27">
        <f t="shared" si="0"/>
        <v>0.873</v>
      </c>
      <c r="D16" s="27">
        <f t="shared" si="1"/>
        <v>0.69750000000000001</v>
      </c>
      <c r="E16" s="27">
        <f t="shared" si="2"/>
        <v>0.71279999999999999</v>
      </c>
      <c r="F16" s="30">
        <v>9</v>
      </c>
      <c r="G16" s="29">
        <f t="shared" si="3"/>
        <v>0.77600000000000002</v>
      </c>
      <c r="H16" s="29">
        <f t="shared" si="4"/>
        <v>0.54249999999999998</v>
      </c>
      <c r="I16" s="29">
        <f t="shared" si="5"/>
        <v>0.58079999999999998</v>
      </c>
    </row>
    <row r="17" spans="1:9" x14ac:dyDescent="0.25">
      <c r="A17" s="2" t="s">
        <v>13</v>
      </c>
      <c r="B17" s="27">
        <f>0.06469</f>
        <v>6.4689999999999998E-2</v>
      </c>
      <c r="C17" s="27">
        <f t="shared" si="0"/>
        <v>0.78859000000000001</v>
      </c>
      <c r="D17" s="27">
        <f t="shared" si="1"/>
        <v>0.71329500000000001</v>
      </c>
      <c r="E17" s="27">
        <f t="shared" si="2"/>
        <v>0.70415400000000006</v>
      </c>
      <c r="F17" s="30">
        <v>11</v>
      </c>
      <c r="G17" s="29">
        <f t="shared" si="3"/>
        <v>0.71689999999999998</v>
      </c>
      <c r="H17" s="29">
        <f t="shared" si="4"/>
        <v>0.58360499999999993</v>
      </c>
      <c r="I17" s="29">
        <f t="shared" si="5"/>
        <v>0.597464</v>
      </c>
    </row>
    <row r="18" spans="1:9" x14ac:dyDescent="0.25">
      <c r="A18" s="2" t="s">
        <v>14</v>
      </c>
      <c r="B18" s="27">
        <f>0.07</f>
        <v>7.0000000000000007E-2</v>
      </c>
      <c r="C18" s="27">
        <f t="shared" si="0"/>
        <v>0.92400000000000015</v>
      </c>
      <c r="D18" s="27">
        <f t="shared" si="1"/>
        <v>0.81</v>
      </c>
      <c r="E18" s="27">
        <f t="shared" si="2"/>
        <v>0.80640000000000001</v>
      </c>
      <c r="F18" s="30">
        <v>12</v>
      </c>
      <c r="G18" s="29">
        <f t="shared" si="3"/>
        <v>0.84700000000000009</v>
      </c>
      <c r="H18" s="29">
        <f t="shared" si="4"/>
        <v>0.67500000000000004</v>
      </c>
      <c r="I18" s="29">
        <f t="shared" si="5"/>
        <v>0.69439999999999991</v>
      </c>
    </row>
    <row r="19" spans="1:9" x14ac:dyDescent="0.25">
      <c r="A19" s="2" t="s">
        <v>15</v>
      </c>
      <c r="B19" s="27">
        <v>7.0000000000000007E-2</v>
      </c>
      <c r="C19" s="27">
        <f t="shared" si="0"/>
        <v>0.92400000000000015</v>
      </c>
      <c r="D19" s="27">
        <f t="shared" si="1"/>
        <v>0.81</v>
      </c>
      <c r="E19" s="27">
        <f t="shared" si="2"/>
        <v>0.80640000000000001</v>
      </c>
      <c r="F19" s="30">
        <v>12</v>
      </c>
      <c r="G19" s="29">
        <f t="shared" si="3"/>
        <v>0.84700000000000009</v>
      </c>
      <c r="H19" s="29">
        <f t="shared" si="4"/>
        <v>0.67500000000000004</v>
      </c>
      <c r="I19" s="29">
        <f t="shared" si="5"/>
        <v>0.69439999999999991</v>
      </c>
    </row>
    <row r="20" spans="1:9" x14ac:dyDescent="0.25">
      <c r="A20" s="2" t="s">
        <v>19</v>
      </c>
      <c r="B20" s="27">
        <v>0.3</v>
      </c>
      <c r="C20" s="27">
        <f t="shared" si="0"/>
        <v>1.8420000000000001</v>
      </c>
      <c r="D20" s="27">
        <f t="shared" si="1"/>
        <v>1.095</v>
      </c>
      <c r="E20" s="27">
        <f t="shared" si="2"/>
        <v>1.2311999999999999</v>
      </c>
      <c r="F20" s="30">
        <v>6</v>
      </c>
      <c r="G20" s="29">
        <f t="shared" si="3"/>
        <v>1.5350000000000001</v>
      </c>
      <c r="H20" s="29">
        <f t="shared" si="4"/>
        <v>0.73</v>
      </c>
      <c r="I20" s="29">
        <f t="shared" si="5"/>
        <v>0.88919999999999977</v>
      </c>
    </row>
    <row r="21" spans="1:9" x14ac:dyDescent="0.25">
      <c r="A21" s="2" t="s">
        <v>20</v>
      </c>
      <c r="B21" s="27">
        <v>0.24</v>
      </c>
      <c r="C21" s="27">
        <f t="shared" si="0"/>
        <v>1.482</v>
      </c>
      <c r="D21" s="27">
        <f>F21*(B21+B$26)</f>
        <v>1.83</v>
      </c>
      <c r="E21" s="27">
        <f>F21*(B21+B$27)</f>
        <v>1.6919999999999997</v>
      </c>
      <c r="F21" s="30">
        <v>6</v>
      </c>
      <c r="G21" s="29">
        <f t="shared" si="3"/>
        <v>1.2350000000000001</v>
      </c>
      <c r="H21" s="29">
        <f t="shared" si="4"/>
        <v>1.5250000000000001</v>
      </c>
      <c r="I21" s="29">
        <f t="shared" si="5"/>
        <v>1.4099999999999997</v>
      </c>
    </row>
    <row r="23" spans="1:9" ht="16.5" thickBot="1" x14ac:dyDescent="0.3"/>
    <row r="24" spans="1:9" x14ac:dyDescent="0.25">
      <c r="A24" s="4"/>
      <c r="B24" s="5" t="s">
        <v>31</v>
      </c>
      <c r="C24" s="6" t="s">
        <v>32</v>
      </c>
      <c r="D24" s="7" t="s">
        <v>33</v>
      </c>
    </row>
    <row r="25" spans="1:9" x14ac:dyDescent="0.25">
      <c r="A25" s="8" t="s">
        <v>34</v>
      </c>
      <c r="B25" s="25">
        <v>7.0000000000000001E-3</v>
      </c>
      <c r="C25" s="9">
        <v>0.6</v>
      </c>
      <c r="D25" s="10">
        <f>B25+C25</f>
        <v>0.60699999999999998</v>
      </c>
    </row>
    <row r="26" spans="1:9" x14ac:dyDescent="0.25">
      <c r="A26" s="8" t="s">
        <v>35</v>
      </c>
      <c r="B26" s="25">
        <v>6.5000000000000002E-2</v>
      </c>
      <c r="C26" s="9">
        <v>1.3</v>
      </c>
      <c r="D26" s="10">
        <f t="shared" ref="D26:D28" si="6">B26+C26</f>
        <v>1.365</v>
      </c>
    </row>
    <row r="27" spans="1:9" x14ac:dyDescent="0.25">
      <c r="A27" s="8" t="s">
        <v>36</v>
      </c>
      <c r="B27" s="25">
        <v>4.2000000000000003E-2</v>
      </c>
      <c r="C27" s="9">
        <v>1.1499999999999999</v>
      </c>
      <c r="D27" s="10">
        <f t="shared" si="6"/>
        <v>1.1919999999999999</v>
      </c>
    </row>
    <row r="28" spans="1:9" ht="16.5" thickBot="1" x14ac:dyDescent="0.3">
      <c r="A28" s="11" t="s">
        <v>37</v>
      </c>
      <c r="B28" s="26">
        <v>0</v>
      </c>
      <c r="C28" s="12">
        <v>0</v>
      </c>
      <c r="D28" s="13">
        <f t="shared" si="6"/>
        <v>0</v>
      </c>
    </row>
    <row r="29" spans="1:9" ht="16.5" thickBot="1" x14ac:dyDescent="0.3">
      <c r="D29" s="14"/>
    </row>
    <row r="30" spans="1:9" ht="16.5" thickBot="1" x14ac:dyDescent="0.3">
      <c r="A30" s="96" t="s">
        <v>38</v>
      </c>
      <c r="B30" s="97"/>
      <c r="D30" s="14"/>
    </row>
    <row r="31" spans="1:9" x14ac:dyDescent="0.25">
      <c r="A31" s="15" t="s">
        <v>50</v>
      </c>
      <c r="B31" s="16">
        <v>0</v>
      </c>
      <c r="D31" s="14"/>
    </row>
    <row r="32" spans="1:9" x14ac:dyDescent="0.25">
      <c r="A32" s="17" t="s">
        <v>40</v>
      </c>
      <c r="B32" s="18">
        <f>40*10/5000</f>
        <v>0.08</v>
      </c>
      <c r="D32" s="14"/>
      <c r="E32" s="2" t="s">
        <v>21</v>
      </c>
      <c r="F32" s="2" t="s">
        <v>22</v>
      </c>
      <c r="G32" s="2" t="s">
        <v>27</v>
      </c>
      <c r="H32" s="2" t="s">
        <v>30</v>
      </c>
    </row>
    <row r="33" spans="1:8" x14ac:dyDescent="0.25">
      <c r="A33" s="17" t="s">
        <v>51</v>
      </c>
      <c r="B33" s="18">
        <f>55*10/4000*2</f>
        <v>0.27500000000000002</v>
      </c>
      <c r="D33" s="14"/>
      <c r="E33" s="2" t="s">
        <v>23</v>
      </c>
      <c r="F33" s="1" t="s">
        <v>25</v>
      </c>
      <c r="G33" s="1" t="s">
        <v>28</v>
      </c>
      <c r="H33" s="1">
        <f>315*440/100</f>
        <v>1386</v>
      </c>
    </row>
    <row r="34" spans="1:8" x14ac:dyDescent="0.25">
      <c r="A34" s="17" t="s">
        <v>41</v>
      </c>
      <c r="B34" s="18">
        <v>3</v>
      </c>
      <c r="D34" s="14"/>
      <c r="E34" s="2" t="s">
        <v>24</v>
      </c>
      <c r="F34" s="1" t="s">
        <v>26</v>
      </c>
      <c r="G34" s="1" t="s">
        <v>29</v>
      </c>
      <c r="H34" s="1">
        <f>297*434/100</f>
        <v>1288.98</v>
      </c>
    </row>
    <row r="35" spans="1:8" x14ac:dyDescent="0.25">
      <c r="A35" s="17" t="s">
        <v>42</v>
      </c>
      <c r="B35" s="18">
        <v>4.5</v>
      </c>
      <c r="D35" s="14"/>
    </row>
    <row r="36" spans="1:8" x14ac:dyDescent="0.25">
      <c r="A36" s="17" t="s">
        <v>43</v>
      </c>
      <c r="B36" s="18">
        <v>5</v>
      </c>
      <c r="D36" s="14"/>
    </row>
    <row r="37" spans="1:8" x14ac:dyDescent="0.25">
      <c r="A37" s="8" t="s">
        <v>95</v>
      </c>
      <c r="B37" s="19">
        <v>10</v>
      </c>
      <c r="D37" s="20"/>
    </row>
    <row r="38" spans="1:8" ht="16.5" thickBot="1" x14ac:dyDescent="0.3">
      <c r="A38" s="21" t="s">
        <v>44</v>
      </c>
      <c r="B38" s="22"/>
    </row>
    <row r="39" spans="1:8" ht="16.5" thickBot="1" x14ac:dyDescent="0.3">
      <c r="A39" s="96" t="s">
        <v>45</v>
      </c>
      <c r="B39" s="97"/>
      <c r="E39" s="98" t="s">
        <v>74</v>
      </c>
      <c r="F39" s="99"/>
      <c r="G39" s="100"/>
    </row>
    <row r="40" spans="1:8" ht="16.5" thickBot="1" x14ac:dyDescent="0.3">
      <c r="A40" s="4" t="s">
        <v>39</v>
      </c>
      <c r="B40" s="23">
        <v>0</v>
      </c>
      <c r="E40" s="53" t="s">
        <v>75</v>
      </c>
      <c r="F40" s="54" t="s">
        <v>76</v>
      </c>
      <c r="G40" s="55" t="s">
        <v>77</v>
      </c>
    </row>
    <row r="41" spans="1:8" x14ac:dyDescent="0.25">
      <c r="A41" s="8" t="s">
        <v>46</v>
      </c>
      <c r="B41" s="19">
        <f>60/1000</f>
        <v>0.06</v>
      </c>
      <c r="E41" s="81">
        <v>0</v>
      </c>
      <c r="F41" s="82">
        <v>1</v>
      </c>
      <c r="G41" s="83">
        <v>0</v>
      </c>
    </row>
    <row r="42" spans="1:8" x14ac:dyDescent="0.25">
      <c r="A42" s="8" t="s">
        <v>47</v>
      </c>
      <c r="B42" s="19">
        <v>5</v>
      </c>
      <c r="E42" s="56">
        <v>2</v>
      </c>
      <c r="F42" s="57">
        <v>9</v>
      </c>
      <c r="G42" s="58">
        <v>0.05</v>
      </c>
    </row>
    <row r="43" spans="1:8" x14ac:dyDescent="0.25">
      <c r="A43" s="8" t="s">
        <v>48</v>
      </c>
      <c r="B43" s="19">
        <f>10/100</f>
        <v>0.1</v>
      </c>
      <c r="E43" s="59">
        <v>10</v>
      </c>
      <c r="F43" s="60">
        <v>30</v>
      </c>
      <c r="G43" s="61">
        <v>0.08</v>
      </c>
    </row>
    <row r="44" spans="1:8" x14ac:dyDescent="0.25">
      <c r="A44" s="8" t="s">
        <v>49</v>
      </c>
      <c r="B44" s="19">
        <f>8/15</f>
        <v>0.53333333333333333</v>
      </c>
      <c r="E44" s="59">
        <v>31</v>
      </c>
      <c r="F44" s="60">
        <v>49</v>
      </c>
      <c r="G44" s="61">
        <v>0.1</v>
      </c>
    </row>
    <row r="45" spans="1:8" x14ac:dyDescent="0.25">
      <c r="A45" s="8" t="s">
        <v>52</v>
      </c>
      <c r="B45" s="19">
        <f>5</f>
        <v>5</v>
      </c>
      <c r="E45" s="59">
        <v>50</v>
      </c>
      <c r="F45" s="60">
        <v>80</v>
      </c>
      <c r="G45" s="61">
        <v>0.13</v>
      </c>
    </row>
    <row r="46" spans="1:8" ht="16.5" thickBot="1" x14ac:dyDescent="0.3">
      <c r="A46" s="21"/>
      <c r="B46" s="22">
        <v>0</v>
      </c>
      <c r="E46" s="59">
        <v>81</v>
      </c>
      <c r="F46" s="60">
        <v>100</v>
      </c>
      <c r="G46" s="61">
        <v>0.16</v>
      </c>
    </row>
    <row r="47" spans="1:8" x14ac:dyDescent="0.25">
      <c r="E47" s="59">
        <v>100</v>
      </c>
      <c r="F47" s="60">
        <v>249</v>
      </c>
      <c r="G47" s="61">
        <v>0.18</v>
      </c>
    </row>
    <row r="48" spans="1:8" x14ac:dyDescent="0.25">
      <c r="E48" s="59">
        <v>250</v>
      </c>
      <c r="F48" s="60">
        <v>499</v>
      </c>
      <c r="G48" s="61">
        <v>0.2</v>
      </c>
    </row>
    <row r="49" spans="5:7" x14ac:dyDescent="0.25">
      <c r="E49" s="59">
        <v>500</v>
      </c>
      <c r="F49" s="60">
        <v>999</v>
      </c>
      <c r="G49" s="61">
        <v>0.25</v>
      </c>
    </row>
    <row r="50" spans="5:7" x14ac:dyDescent="0.25">
      <c r="E50" s="59">
        <v>1000</v>
      </c>
      <c r="F50" s="60">
        <v>1499</v>
      </c>
      <c r="G50" s="61">
        <v>0.3</v>
      </c>
    </row>
    <row r="51" spans="5:7" x14ac:dyDescent="0.25">
      <c r="E51" s="59">
        <v>1500</v>
      </c>
      <c r="F51" s="60">
        <v>1999</v>
      </c>
      <c r="G51" s="61">
        <v>0.4</v>
      </c>
    </row>
    <row r="52" spans="5:7" ht="16.5" thickBot="1" x14ac:dyDescent="0.3">
      <c r="E52" s="62">
        <v>2000</v>
      </c>
      <c r="F52" s="63">
        <v>5000</v>
      </c>
      <c r="G52" s="64">
        <v>0.55000000000000004</v>
      </c>
    </row>
  </sheetData>
  <dataConsolidate function="var">
    <dataRefs count="2">
      <dataRef ref="E33:E34" sheet="Coût papier"/>
      <dataRef ref="B10" sheet="Devis"/>
    </dataRefs>
  </dataConsolidate>
  <mergeCells count="3">
    <mergeCell ref="A30:B30"/>
    <mergeCell ref="A39:B39"/>
    <mergeCell ref="E39:G39"/>
  </mergeCells>
  <dataValidations count="1">
    <dataValidation type="list" allowBlank="1" showInputMessage="1" showErrorMessage="1" promptTitle="Grammages" prompt="Grammages" sqref="A2:A21">
      <formula1>$A$2:$A$21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6" tint="0.39997558519241921"/>
  </sheetPr>
  <dimension ref="A1:J40"/>
  <sheetViews>
    <sheetView tabSelected="1" workbookViewId="0">
      <selection activeCell="D41" sqref="D41"/>
    </sheetView>
  </sheetViews>
  <sheetFormatPr baseColWidth="10" defaultRowHeight="15.75" x14ac:dyDescent="0.25"/>
  <cols>
    <col min="1" max="1" width="19.875" customWidth="1"/>
    <col min="2" max="2" width="28.125" customWidth="1"/>
    <col min="3" max="3" width="5" style="87" customWidth="1"/>
    <col min="4" max="4" width="7.125" style="95" customWidth="1"/>
    <col min="5" max="5" width="7.125" customWidth="1"/>
    <col min="9" max="9" width="17.375" customWidth="1"/>
  </cols>
  <sheetData>
    <row r="1" spans="1:10" ht="16.5" thickBot="1" x14ac:dyDescent="0.3">
      <c r="C1" s="14"/>
      <c r="D1" s="88"/>
      <c r="H1" s="33"/>
      <c r="I1" s="104" t="s">
        <v>78</v>
      </c>
      <c r="J1" s="105"/>
    </row>
    <row r="2" spans="1:10" ht="18" customHeight="1" thickBot="1" x14ac:dyDescent="0.3">
      <c r="A2" s="101" t="s">
        <v>88</v>
      </c>
      <c r="B2" s="102"/>
      <c r="C2" s="84" t="s">
        <v>68</v>
      </c>
      <c r="D2" s="89"/>
      <c r="H2" s="33"/>
      <c r="I2" s="106"/>
      <c r="J2" s="107"/>
    </row>
    <row r="3" spans="1:10" ht="16.5" thickBot="1" x14ac:dyDescent="0.3">
      <c r="A3" s="31" t="s">
        <v>58</v>
      </c>
      <c r="B3" s="45">
        <v>210</v>
      </c>
      <c r="C3" s="85">
        <f>B3+6</f>
        <v>216</v>
      </c>
      <c r="D3" s="90"/>
      <c r="H3" s="33"/>
      <c r="I3" s="33"/>
      <c r="J3" s="33"/>
    </row>
    <row r="4" spans="1:10" ht="16.5" thickBot="1" x14ac:dyDescent="0.3">
      <c r="A4" s="32" t="s">
        <v>59</v>
      </c>
      <c r="B4" s="46">
        <v>297</v>
      </c>
      <c r="C4" s="85">
        <f>B4+6</f>
        <v>303</v>
      </c>
      <c r="D4" s="91"/>
      <c r="H4" s="77" t="s">
        <v>87</v>
      </c>
      <c r="I4" s="65" t="s">
        <v>79</v>
      </c>
      <c r="J4" s="66">
        <f ca="1">A7*SUM(E32:E34)</f>
        <v>43.856200000000001</v>
      </c>
    </row>
    <row r="5" spans="1:10" ht="16.5" thickBot="1" x14ac:dyDescent="0.3">
      <c r="A5" s="33"/>
      <c r="B5" s="34"/>
      <c r="C5" s="86"/>
      <c r="D5" s="91"/>
      <c r="H5" s="78"/>
      <c r="I5" s="67" t="s">
        <v>80</v>
      </c>
      <c r="J5" s="68">
        <f ca="1">A7*SUM(D33:D40)</f>
        <v>133.36666666666665</v>
      </c>
    </row>
    <row r="6" spans="1:10" ht="18" customHeight="1" thickBot="1" x14ac:dyDescent="0.3">
      <c r="A6" s="101" t="s">
        <v>89</v>
      </c>
      <c r="B6" s="102"/>
      <c r="C6" s="34"/>
      <c r="D6" s="92"/>
      <c r="H6" s="78"/>
      <c r="I6" s="67" t="s">
        <v>81</v>
      </c>
      <c r="J6" s="68">
        <f ca="1">J4+J5</f>
        <v>177.22286666666665</v>
      </c>
    </row>
    <row r="7" spans="1:10" ht="16.5" thickBot="1" x14ac:dyDescent="0.3">
      <c r="A7" s="108">
        <v>50</v>
      </c>
      <c r="B7" s="109"/>
      <c r="C7" s="34"/>
      <c r="D7" s="92"/>
      <c r="H7" s="79"/>
      <c r="I7" s="67" t="s">
        <v>82</v>
      </c>
      <c r="J7" s="69">
        <f>VLOOKUP(B17,Remise,3)</f>
        <v>0.08</v>
      </c>
    </row>
    <row r="8" spans="1:10" ht="16.5" thickBot="1" x14ac:dyDescent="0.3">
      <c r="A8" s="33"/>
      <c r="B8" s="34"/>
      <c r="C8" s="34"/>
      <c r="D8" s="92"/>
      <c r="H8" s="78"/>
      <c r="I8" s="70" t="s">
        <v>83</v>
      </c>
      <c r="J8" s="71">
        <f ca="1">J6-J6*J7</f>
        <v>163.04503733333331</v>
      </c>
    </row>
    <row r="9" spans="1:10" ht="19.5" thickBot="1" x14ac:dyDescent="0.3">
      <c r="A9" s="101" t="s">
        <v>60</v>
      </c>
      <c r="B9" s="102"/>
      <c r="C9" s="34"/>
      <c r="D9" s="92"/>
      <c r="H9" s="78"/>
      <c r="I9" s="67" t="s">
        <v>84</v>
      </c>
      <c r="J9" s="72">
        <v>0.2</v>
      </c>
    </row>
    <row r="10" spans="1:10" ht="16.5" thickBot="1" x14ac:dyDescent="0.3">
      <c r="A10" s="35" t="s">
        <v>61</v>
      </c>
      <c r="B10" s="47" t="s">
        <v>23</v>
      </c>
      <c r="C10" s="34"/>
      <c r="D10" s="89"/>
      <c r="H10" s="78"/>
      <c r="I10" s="73" t="s">
        <v>85</v>
      </c>
      <c r="J10" s="74">
        <f ca="1">J8*J9</f>
        <v>32.609007466666661</v>
      </c>
    </row>
    <row r="11" spans="1:10" ht="16.5" thickBot="1" x14ac:dyDescent="0.3">
      <c r="A11" s="33"/>
      <c r="B11" s="33"/>
      <c r="C11" s="34"/>
      <c r="D11" s="89"/>
      <c r="H11" s="78"/>
      <c r="I11" s="75" t="s">
        <v>86</v>
      </c>
      <c r="J11" s="76">
        <f ca="1">J8+J10</f>
        <v>195.65404479999998</v>
      </c>
    </row>
    <row r="12" spans="1:10" x14ac:dyDescent="0.25">
      <c r="A12" s="36" t="s">
        <v>72</v>
      </c>
      <c r="B12" s="48">
        <f>IF(B10='Coût papier'!E33,435,434)</f>
        <v>435</v>
      </c>
      <c r="C12" s="34" t="s">
        <v>73</v>
      </c>
      <c r="D12" s="89"/>
      <c r="H12" s="78"/>
      <c r="I12" s="33"/>
      <c r="J12" s="33"/>
    </row>
    <row r="13" spans="1:10" x14ac:dyDescent="0.25">
      <c r="A13" s="36" t="s">
        <v>71</v>
      </c>
      <c r="B13" s="48">
        <f>IF(B10='Coût papier'!E33,315,301)</f>
        <v>315</v>
      </c>
      <c r="C13" s="34" t="s">
        <v>73</v>
      </c>
      <c r="D13" s="89"/>
      <c r="H13" s="78"/>
      <c r="I13" s="33"/>
      <c r="J13" s="33"/>
    </row>
    <row r="14" spans="1:10" ht="16.5" thickBot="1" x14ac:dyDescent="0.3">
      <c r="A14" s="33"/>
      <c r="B14" s="33"/>
      <c r="C14" s="34"/>
      <c r="D14" s="89"/>
      <c r="H14" s="80"/>
      <c r="I14" s="33"/>
      <c r="J14" s="33"/>
    </row>
    <row r="15" spans="1:10" ht="19.5" thickBot="1" x14ac:dyDescent="0.3">
      <c r="A15" s="101" t="s">
        <v>90</v>
      </c>
      <c r="B15" s="102"/>
      <c r="C15" s="34"/>
      <c r="D15" s="89"/>
      <c r="H15" s="80"/>
      <c r="I15" s="33"/>
      <c r="J15" s="33"/>
    </row>
    <row r="16" spans="1:10" ht="18.75" x14ac:dyDescent="0.25">
      <c r="A16" s="37" t="s">
        <v>70</v>
      </c>
      <c r="B16" s="49">
        <f>MAX(B20,B25)</f>
        <v>2</v>
      </c>
      <c r="C16" s="34"/>
      <c r="D16" s="89"/>
      <c r="H16" s="80"/>
      <c r="I16" s="33"/>
      <c r="J16" s="33"/>
    </row>
    <row r="17" spans="1:8" ht="18.75" x14ac:dyDescent="0.25">
      <c r="A17" s="37" t="s">
        <v>94</v>
      </c>
      <c r="B17" s="49">
        <f>ROUNDUP(A7/(MAX(B20,B25)),0)</f>
        <v>25</v>
      </c>
      <c r="C17" s="34"/>
      <c r="D17" s="93"/>
      <c r="H17" s="80"/>
    </row>
    <row r="18" spans="1:8" x14ac:dyDescent="0.25">
      <c r="A18" s="33"/>
      <c r="B18" s="33"/>
      <c r="C18" s="34"/>
      <c r="D18" s="89"/>
      <c r="H18" s="80"/>
    </row>
    <row r="19" spans="1:8" ht="18.75" x14ac:dyDescent="0.25">
      <c r="A19" s="110" t="s">
        <v>62</v>
      </c>
      <c r="B19" s="110"/>
      <c r="C19" s="34"/>
      <c r="D19" s="89"/>
    </row>
    <row r="20" spans="1:8" ht="31.5" hidden="1" x14ac:dyDescent="0.25">
      <c r="A20" s="38" t="s">
        <v>63</v>
      </c>
      <c r="B20" s="39">
        <f>C23</f>
        <v>2</v>
      </c>
      <c r="C20" s="86"/>
      <c r="D20" s="89"/>
    </row>
    <row r="21" spans="1:8" hidden="1" x14ac:dyDescent="0.25">
      <c r="A21" s="40"/>
      <c r="B21" s="40" t="s">
        <v>64</v>
      </c>
      <c r="C21" s="86">
        <f>ROUNDDOWN(B12/C3,0)</f>
        <v>2</v>
      </c>
      <c r="D21" s="89"/>
    </row>
    <row r="22" spans="1:8" hidden="1" x14ac:dyDescent="0.25">
      <c r="A22" s="40"/>
      <c r="B22" s="40" t="s">
        <v>65</v>
      </c>
      <c r="C22" s="86">
        <f>ROUNDDOWN(B13/C4,0)</f>
        <v>1</v>
      </c>
      <c r="D22" s="89"/>
    </row>
    <row r="23" spans="1:8" hidden="1" x14ac:dyDescent="0.25">
      <c r="A23" s="40"/>
      <c r="B23" s="40" t="s">
        <v>66</v>
      </c>
      <c r="C23" s="86">
        <f>C21*C22</f>
        <v>2</v>
      </c>
      <c r="D23" s="89"/>
    </row>
    <row r="24" spans="1:8" hidden="1" x14ac:dyDescent="0.25">
      <c r="A24" s="40"/>
      <c r="B24" s="40"/>
      <c r="C24" s="86"/>
      <c r="D24" s="89"/>
    </row>
    <row r="25" spans="1:8" ht="31.5" hidden="1" x14ac:dyDescent="0.25">
      <c r="A25" s="38" t="s">
        <v>67</v>
      </c>
      <c r="B25" s="39">
        <f>C28</f>
        <v>1</v>
      </c>
      <c r="C25" s="86"/>
      <c r="D25" s="89"/>
    </row>
    <row r="26" spans="1:8" hidden="1" x14ac:dyDescent="0.25">
      <c r="A26" s="40"/>
      <c r="B26" s="41" t="s">
        <v>64</v>
      </c>
      <c r="C26" s="86">
        <f>ROUNDDOWN(B12/C4,0)</f>
        <v>1</v>
      </c>
      <c r="D26" s="89"/>
    </row>
    <row r="27" spans="1:8" hidden="1" x14ac:dyDescent="0.25">
      <c r="A27" s="40"/>
      <c r="B27" s="41" t="s">
        <v>65</v>
      </c>
      <c r="C27" s="86">
        <f>ROUNDDOWN(B13/C3,0)</f>
        <v>1</v>
      </c>
      <c r="D27" s="89"/>
    </row>
    <row r="28" spans="1:8" hidden="1" x14ac:dyDescent="0.25">
      <c r="A28" s="40"/>
      <c r="B28" s="40" t="s">
        <v>66</v>
      </c>
      <c r="C28" s="86">
        <f>C26*C27</f>
        <v>1</v>
      </c>
      <c r="D28" s="89"/>
    </row>
    <row r="29" spans="1:8" hidden="1" x14ac:dyDescent="0.25">
      <c r="A29" s="40"/>
      <c r="B29" s="40"/>
      <c r="C29" s="86"/>
      <c r="D29" s="89"/>
    </row>
    <row r="30" spans="1:8" ht="16.5" thickBot="1" x14ac:dyDescent="0.3">
      <c r="A30" s="33"/>
      <c r="B30" s="33"/>
      <c r="C30" s="34"/>
      <c r="D30" s="89"/>
    </row>
    <row r="31" spans="1:8" ht="19.5" thickBot="1" x14ac:dyDescent="0.3">
      <c r="A31" s="101" t="s">
        <v>91</v>
      </c>
      <c r="B31" s="102"/>
      <c r="C31" s="34" t="s">
        <v>99</v>
      </c>
      <c r="D31" s="89" t="s">
        <v>98</v>
      </c>
      <c r="E31" s="111" t="s">
        <v>97</v>
      </c>
    </row>
    <row r="32" spans="1:8" x14ac:dyDescent="0.25">
      <c r="A32" s="4" t="s">
        <v>69</v>
      </c>
      <c r="B32" s="50" t="s">
        <v>5</v>
      </c>
      <c r="C32" s="34">
        <f>MATCH(B32,papier,0)</f>
        <v>5</v>
      </c>
      <c r="E32" s="94">
        <f ca="1">OFFSET(papier,$C$32-1,1,1,)</f>
        <v>5.3420000000000002E-2</v>
      </c>
      <c r="H32" t="b">
        <f>IF(B33="N/B",VLOOKUP(B32,'Coût papier'!A2:E21,2,FALSE))</f>
        <v>0</v>
      </c>
    </row>
    <row r="33" spans="1:8" x14ac:dyDescent="0.25">
      <c r="A33" s="8" t="s">
        <v>92</v>
      </c>
      <c r="B33" s="51" t="s">
        <v>36</v>
      </c>
      <c r="C33" s="34">
        <f>MATCH(B33,Impression,0)</f>
        <v>3</v>
      </c>
      <c r="D33" s="94">
        <f ca="1">OFFSET(Impression,C33-1,3,1,)</f>
        <v>1.1919999999999999</v>
      </c>
      <c r="E33" s="94">
        <f ca="1">OFFSET(papier,$C$32-1,C33+1,1,)</f>
        <v>0.40076400000000006</v>
      </c>
      <c r="H33" t="s">
        <v>96</v>
      </c>
    </row>
    <row r="34" spans="1:8" x14ac:dyDescent="0.25">
      <c r="A34" s="43" t="s">
        <v>93</v>
      </c>
      <c r="B34" s="52" t="s">
        <v>34</v>
      </c>
      <c r="C34" s="34">
        <f>MATCH(B34,Impression,0)</f>
        <v>1</v>
      </c>
      <c r="D34" s="94">
        <f ca="1">OFFSET(Impression,C34-1,3,1,)</f>
        <v>0.60699999999999998</v>
      </c>
      <c r="E34" s="94">
        <f ca="1">OFFSET(papier,$C$32-1,C34+1,1,)</f>
        <v>0.42293999999999998</v>
      </c>
      <c r="F34" s="34" t="str">
        <f>IF(AND(B33="Couleur 5100",B34="Couleur 6000"),"Erreur Machine",IF(AND(B33="Couleur 6000",B34="Couleur 5100"),"Erreur Machine","OK"))</f>
        <v>OK</v>
      </c>
    </row>
    <row r="35" spans="1:8" x14ac:dyDescent="0.25">
      <c r="A35" s="103" t="s">
        <v>45</v>
      </c>
      <c r="B35" s="51" t="s">
        <v>46</v>
      </c>
      <c r="C35" s="34">
        <f>MATCH(B35,Faconnage,0)</f>
        <v>2</v>
      </c>
      <c r="D35" s="94">
        <f ca="1">OFFSET(Faconnage,C35-1,1,1,)</f>
        <v>0.06</v>
      </c>
    </row>
    <row r="36" spans="1:8" x14ac:dyDescent="0.25">
      <c r="A36" s="103"/>
      <c r="B36" s="42" t="s">
        <v>49</v>
      </c>
      <c r="C36" s="34">
        <f>MATCH(B36,Faconnage,0)</f>
        <v>5</v>
      </c>
      <c r="D36" s="94">
        <f ca="1">OFFSET(Faconnage,C36-1,1,1,)</f>
        <v>0.53333333333333333</v>
      </c>
    </row>
    <row r="37" spans="1:8" x14ac:dyDescent="0.25">
      <c r="A37" s="103"/>
      <c r="B37" s="42" t="s">
        <v>39</v>
      </c>
      <c r="C37" s="34">
        <f>MATCH(B37,Faconnage,0)</f>
        <v>1</v>
      </c>
      <c r="D37" s="94">
        <f ca="1">OFFSET(Faconnage,C37-1,1,1,)</f>
        <v>0</v>
      </c>
    </row>
    <row r="38" spans="1:8" x14ac:dyDescent="0.25">
      <c r="A38" s="103"/>
      <c r="B38" s="42" t="s">
        <v>39</v>
      </c>
      <c r="C38" s="34">
        <f>MATCH(B38,Faconnage,0)</f>
        <v>1</v>
      </c>
      <c r="D38" s="94">
        <f ca="1">OFFSET(Faconnage,C38-1,1,1,)</f>
        <v>0</v>
      </c>
    </row>
    <row r="39" spans="1:8" x14ac:dyDescent="0.25">
      <c r="A39" s="103"/>
      <c r="B39" s="42" t="s">
        <v>39</v>
      </c>
      <c r="C39" s="34">
        <f>MATCH(B39,Faconnage,0)</f>
        <v>1</v>
      </c>
      <c r="D39" s="94">
        <f ca="1">OFFSET(Faconnage,C39-1,1,1,)</f>
        <v>0</v>
      </c>
    </row>
    <row r="40" spans="1:8" ht="16.5" thickBot="1" x14ac:dyDescent="0.3">
      <c r="A40" s="44" t="s">
        <v>38</v>
      </c>
      <c r="B40" s="42" t="s">
        <v>51</v>
      </c>
      <c r="C40" s="34">
        <f>MATCH(B40,Finitions,0)</f>
        <v>3</v>
      </c>
      <c r="D40" s="94">
        <f ca="1">OFFSET(Finitions,C40-1,1,1,)</f>
        <v>0.27500000000000002</v>
      </c>
    </row>
  </sheetData>
  <mergeCells count="9">
    <mergeCell ref="A31:B31"/>
    <mergeCell ref="A35:A39"/>
    <mergeCell ref="I1:J2"/>
    <mergeCell ref="A2:B2"/>
    <mergeCell ref="A6:B6"/>
    <mergeCell ref="A7:B7"/>
    <mergeCell ref="A9:B9"/>
    <mergeCell ref="A15:B15"/>
    <mergeCell ref="A19:B19"/>
  </mergeCells>
  <conditionalFormatting sqref="F34">
    <cfRule type="containsText" dxfId="4" priority="2" operator="containsText" text="OK">
      <formula>NOT(ISERROR(SEARCH("OK",F34)))</formula>
    </cfRule>
    <cfRule type="containsText" dxfId="3" priority="3" operator="containsText" text="Erreur Machine">
      <formula>NOT(ISERROR(SEARCH("Erreur Machine",F34)))</formula>
    </cfRule>
  </conditionalFormatting>
  <conditionalFormatting sqref="J7">
    <cfRule type="cellIs" dxfId="2" priority="1" operator="greaterThan">
      <formula>0</formula>
    </cfRule>
  </conditionalFormatting>
  <conditionalFormatting sqref="B34">
    <cfRule type="containsText" dxfId="1" priority="8" operator="containsText" text="Erreur machine">
      <formula>NOT(ISERROR(SEARCH("Erreur machine",B34)))</formula>
    </cfRule>
    <cfRule type="expression" dxfId="0" priority="9">
      <formula>$F$34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xWindow="421" yWindow="609" count="6">
        <x14:dataValidation type="list" allowBlank="1" showInputMessage="1" showErrorMessage="1" promptTitle="Machine">
          <x14:formula1>
            <xm:f>'Coût papier'!$E$33:$E$34</xm:f>
          </x14:formula1>
          <xm:sqref>B10</xm:sqref>
        </x14:dataValidation>
        <x14:dataValidation type="list" allowBlank="1" showInputMessage="1" showErrorMessage="1">
          <x14:formula1>
            <xm:f>'Coût papier'!$A$2:$A$21</xm:f>
          </x14:formula1>
          <xm:sqref>B32</xm:sqref>
        </x14:dataValidation>
        <x14:dataValidation type="list" allowBlank="1" showInputMessage="1" showErrorMessage="1">
          <x14:formula1>
            <xm:f>'Coût papier'!$A$25:$A$27</xm:f>
          </x14:formula1>
          <xm:sqref>B33</xm:sqref>
        </x14:dataValidation>
        <x14:dataValidation type="list" allowBlank="1" showInputMessage="1" showErrorMessage="1">
          <x14:formula1>
            <xm:f>'Coût papier'!$A$25:$A$28</xm:f>
          </x14:formula1>
          <xm:sqref>B34</xm:sqref>
        </x14:dataValidation>
        <x14:dataValidation type="list" allowBlank="1" showInputMessage="1" showErrorMessage="1">
          <x14:formula1>
            <xm:f>'Coût papier'!$A$31:$A$38</xm:f>
          </x14:formula1>
          <xm:sqref>B40</xm:sqref>
        </x14:dataValidation>
        <x14:dataValidation type="list" allowBlank="1" showInputMessage="1" showErrorMessage="1">
          <x14:formula1>
            <xm:f>'Coût papier'!$A$40:$A$46</xm:f>
          </x14:formula1>
          <xm:sqref>B35:B39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Coût papier</vt:lpstr>
      <vt:lpstr>Devis</vt:lpstr>
      <vt:lpstr>Faconnage</vt:lpstr>
      <vt:lpstr>Finitions</vt:lpstr>
      <vt:lpstr>Impression</vt:lpstr>
      <vt:lpstr>papier</vt:lpstr>
      <vt:lpstr>Papiers</vt:lpstr>
      <vt:lpstr>Remise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Flash PRINT</dc:creator>
  <cp:lastModifiedBy>Eric</cp:lastModifiedBy>
  <dcterms:created xsi:type="dcterms:W3CDTF">2014-02-27T07:59:21Z</dcterms:created>
  <dcterms:modified xsi:type="dcterms:W3CDTF">2014-06-30T05:31:45Z</dcterms:modified>
</cp:coreProperties>
</file>