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75" windowWidth="18495" windowHeight="8640" activeTab="4"/>
  </bookViews>
  <sheets>
    <sheet name="Données" sheetId="3" r:id="rId1"/>
    <sheet name="Analyse" sheetId="1" r:id="rId2"/>
    <sheet name="Liste salariés" sheetId="2" r:id="rId3"/>
    <sheet name="Analyse (2)" sheetId="4" state="hidden" r:id="rId4"/>
    <sheet name="résultats" sheetId="5" r:id="rId5"/>
  </sheets>
  <calcPr calcId="145621" calcOnSave="0"/>
</workbook>
</file>

<file path=xl/calcChain.xml><?xml version="1.0" encoding="utf-8"?>
<calcChain xmlns="http://schemas.openxmlformats.org/spreadsheetml/2006/main">
  <c r="P23" i="3" l="1"/>
  <c r="L23" i="3"/>
  <c r="S23" i="3" s="1"/>
  <c r="K23" i="3"/>
  <c r="B23" i="3"/>
  <c r="P22" i="3"/>
  <c r="K22" i="3"/>
  <c r="L22" i="3" s="1"/>
  <c r="S22" i="3" s="1"/>
  <c r="B22" i="3"/>
  <c r="P21" i="3"/>
  <c r="L21" i="3"/>
  <c r="S21" i="3" s="1"/>
  <c r="K21" i="3"/>
  <c r="B21" i="3"/>
  <c r="P20" i="3"/>
  <c r="L20" i="3"/>
  <c r="S20" i="3" s="1"/>
  <c r="K20" i="3"/>
  <c r="B20" i="3"/>
  <c r="N19" i="3"/>
  <c r="P19" i="3" s="1"/>
  <c r="R19" i="3" s="1"/>
  <c r="L19" i="3"/>
  <c r="S19" i="3" s="1"/>
  <c r="T19" i="3" s="1"/>
  <c r="U19" i="3" s="1"/>
  <c r="K19" i="3"/>
  <c r="B19" i="3"/>
  <c r="C19" i="4"/>
  <c r="C18" i="4"/>
  <c r="C17" i="4"/>
  <c r="C16" i="4"/>
  <c r="C15" i="4"/>
  <c r="C14" i="4"/>
  <c r="C13" i="4"/>
  <c r="C12" i="4"/>
  <c r="C11" i="4"/>
  <c r="C10" i="4"/>
  <c r="C9" i="4"/>
  <c r="C8" i="4"/>
  <c r="P18" i="3"/>
  <c r="L18" i="3"/>
  <c r="S18" i="3" s="1"/>
  <c r="K18" i="3"/>
  <c r="B18" i="3"/>
  <c r="P17" i="3"/>
  <c r="L17" i="3"/>
  <c r="S17" i="3" s="1"/>
  <c r="K17" i="3"/>
  <c r="B17" i="3"/>
  <c r="P16" i="3"/>
  <c r="L16" i="3"/>
  <c r="S16" i="3" s="1"/>
  <c r="K16" i="3"/>
  <c r="B16" i="3"/>
  <c r="P15" i="3"/>
  <c r="L15" i="3"/>
  <c r="S15" i="3" s="1"/>
  <c r="K15" i="3"/>
  <c r="B15" i="3"/>
  <c r="N14" i="3"/>
  <c r="P14" i="3" s="1"/>
  <c r="R14" i="3" s="1"/>
  <c r="R15" i="3" s="1"/>
  <c r="K14" i="3"/>
  <c r="L14" i="3" s="1"/>
  <c r="S14" i="3" s="1"/>
  <c r="T14" i="3" s="1"/>
  <c r="B14" i="3"/>
  <c r="B3" i="3"/>
  <c r="B4" i="3"/>
  <c r="B5" i="3"/>
  <c r="B6" i="3"/>
  <c r="B7" i="3"/>
  <c r="B8" i="3"/>
  <c r="B9" i="3"/>
  <c r="B10" i="3"/>
  <c r="B11" i="3"/>
  <c r="B12" i="3"/>
  <c r="B13" i="3"/>
  <c r="B2" i="3"/>
  <c r="C17" i="1"/>
  <c r="P13" i="3"/>
  <c r="P12" i="3"/>
  <c r="P11" i="3"/>
  <c r="P10" i="3"/>
  <c r="N9" i="3"/>
  <c r="P9" i="3" s="1"/>
  <c r="P8" i="3"/>
  <c r="P7" i="3"/>
  <c r="P6" i="3"/>
  <c r="P5" i="3"/>
  <c r="P4" i="3"/>
  <c r="P3" i="3"/>
  <c r="N2" i="3"/>
  <c r="P2" i="3" s="1"/>
  <c r="R2" i="3" s="1"/>
  <c r="L13" i="3"/>
  <c r="S13" i="3" s="1"/>
  <c r="L12" i="3"/>
  <c r="S12" i="3" s="1"/>
  <c r="L11" i="3"/>
  <c r="S11" i="3" s="1"/>
  <c r="L10" i="3"/>
  <c r="S10" i="3" s="1"/>
  <c r="K9" i="3"/>
  <c r="L9" i="3" s="1"/>
  <c r="S9" i="3" s="1"/>
  <c r="K8" i="3"/>
  <c r="L8" i="3" s="1"/>
  <c r="K7" i="3"/>
  <c r="L7" i="3" s="1"/>
  <c r="S7" i="3" s="1"/>
  <c r="L6" i="3"/>
  <c r="S6" i="3" s="1"/>
  <c r="K5" i="3"/>
  <c r="L5" i="3" s="1"/>
  <c r="L4" i="3"/>
  <c r="S4" i="3" s="1"/>
  <c r="K3" i="3"/>
  <c r="L3" i="3" s="1"/>
  <c r="S3" i="3" s="1"/>
  <c r="K2" i="3"/>
  <c r="L2" i="3" s="1"/>
  <c r="K13" i="3"/>
  <c r="K12" i="3"/>
  <c r="K11" i="3"/>
  <c r="K10" i="3"/>
  <c r="K6" i="3"/>
  <c r="K4" i="3"/>
  <c r="N17" i="1" l="1"/>
  <c r="D17" i="1"/>
  <c r="E17" i="1"/>
  <c r="F17" i="1"/>
  <c r="G17" i="1"/>
  <c r="K17" i="1"/>
  <c r="L17" i="1"/>
  <c r="V17" i="1"/>
  <c r="V19" i="3"/>
  <c r="W19" i="3" s="1"/>
  <c r="R20" i="3"/>
  <c r="T20" i="3"/>
  <c r="U20" i="3" s="1"/>
  <c r="M19" i="3"/>
  <c r="M20" i="3" s="1"/>
  <c r="M21" i="3" s="1"/>
  <c r="M22" i="3" s="1"/>
  <c r="M23" i="3" s="1"/>
  <c r="U14" i="3"/>
  <c r="V14" i="3" s="1"/>
  <c r="W14" i="3" s="1"/>
  <c r="T15" i="3"/>
  <c r="U15" i="3" s="1"/>
  <c r="V15" i="3" s="1"/>
  <c r="R16" i="3"/>
  <c r="M14" i="3"/>
  <c r="M15" i="3" s="1"/>
  <c r="M16" i="3" s="1"/>
  <c r="M17" i="3" s="1"/>
  <c r="M18" i="3" s="1"/>
  <c r="C8" i="1"/>
  <c r="C11" i="1"/>
  <c r="C15" i="1"/>
  <c r="C19" i="1"/>
  <c r="C12" i="1"/>
  <c r="C10" i="1"/>
  <c r="C14" i="1"/>
  <c r="V14" i="1" s="1"/>
  <c r="C18" i="1"/>
  <c r="V18" i="1" s="1"/>
  <c r="C16" i="1"/>
  <c r="C9" i="1"/>
  <c r="C13" i="1"/>
  <c r="M2" i="3"/>
  <c r="M3" i="3" s="1"/>
  <c r="M4" i="3" s="1"/>
  <c r="M5" i="3" s="1"/>
  <c r="M6" i="3" s="1"/>
  <c r="M7" i="3" s="1"/>
  <c r="M8" i="3" s="1"/>
  <c r="M9" i="3" s="1"/>
  <c r="M10" i="3" s="1"/>
  <c r="M11" i="3" s="1"/>
  <c r="M12" i="3" s="1"/>
  <c r="M13" i="3" s="1"/>
  <c r="S2" i="3"/>
  <c r="T2" i="3" s="1"/>
  <c r="U2" i="3" s="1"/>
  <c r="V2" i="3" s="1"/>
  <c r="W2" i="3" s="1"/>
  <c r="R3" i="3"/>
  <c r="S8" i="3"/>
  <c r="S5" i="3"/>
  <c r="W15" i="3" l="1"/>
  <c r="N11" i="1"/>
  <c r="G11" i="1"/>
  <c r="D11" i="1"/>
  <c r="V11" i="1"/>
  <c r="L11" i="1"/>
  <c r="K11" i="1"/>
  <c r="F11" i="1"/>
  <c r="E11" i="1"/>
  <c r="N14" i="1"/>
  <c r="L14" i="1"/>
  <c r="K14" i="1"/>
  <c r="G14" i="1"/>
  <c r="F14" i="1"/>
  <c r="E14" i="1"/>
  <c r="D14" i="1"/>
  <c r="L15" i="1"/>
  <c r="K15" i="1"/>
  <c r="F15" i="1"/>
  <c r="E15" i="1"/>
  <c r="N15" i="1"/>
  <c r="G15" i="1"/>
  <c r="D15" i="1"/>
  <c r="V15" i="1"/>
  <c r="V9" i="1"/>
  <c r="N9" i="1"/>
  <c r="L9" i="1"/>
  <c r="K9" i="1"/>
  <c r="G9" i="1"/>
  <c r="F9" i="1"/>
  <c r="E9" i="1"/>
  <c r="D9" i="1"/>
  <c r="V10" i="1"/>
  <c r="N10" i="1"/>
  <c r="L10" i="1"/>
  <c r="K10" i="1"/>
  <c r="G10" i="1"/>
  <c r="F10" i="1"/>
  <c r="E10" i="1"/>
  <c r="D10" i="1"/>
  <c r="V13" i="1"/>
  <c r="N13" i="1"/>
  <c r="L13" i="1"/>
  <c r="K13" i="1"/>
  <c r="G13" i="1"/>
  <c r="F13" i="1"/>
  <c r="E13" i="1"/>
  <c r="D13" i="1"/>
  <c r="N18" i="1"/>
  <c r="L18" i="1"/>
  <c r="K18" i="1"/>
  <c r="G18" i="1"/>
  <c r="F18" i="1"/>
  <c r="E18" i="1"/>
  <c r="D18" i="1"/>
  <c r="N19" i="1"/>
  <c r="K19" i="1"/>
  <c r="G19" i="1"/>
  <c r="E19" i="1"/>
  <c r="D19" i="1"/>
  <c r="L19" i="1"/>
  <c r="F19" i="1"/>
  <c r="N16" i="1"/>
  <c r="L16" i="1"/>
  <c r="K16" i="1"/>
  <c r="G16" i="1"/>
  <c r="F16" i="1"/>
  <c r="E16" i="1"/>
  <c r="D16" i="1"/>
  <c r="V16" i="1"/>
  <c r="V12" i="1"/>
  <c r="N12" i="1"/>
  <c r="L12" i="1"/>
  <c r="K12" i="1"/>
  <c r="G12" i="1"/>
  <c r="F12" i="1"/>
  <c r="E12" i="1"/>
  <c r="D12" i="1"/>
  <c r="V8" i="1"/>
  <c r="N8" i="1"/>
  <c r="L8" i="1"/>
  <c r="K8" i="1"/>
  <c r="G8" i="1"/>
  <c r="F8" i="1"/>
  <c r="E8" i="1"/>
  <c r="D8" i="1"/>
  <c r="V19" i="1"/>
  <c r="T21" i="3"/>
  <c r="R21" i="3"/>
  <c r="V20" i="3"/>
  <c r="W20" i="3" s="1"/>
  <c r="T16" i="3"/>
  <c r="U16" i="3" s="1"/>
  <c r="V16" i="3" s="1"/>
  <c r="W16" i="3" s="1"/>
  <c r="T17" i="3"/>
  <c r="R17" i="3"/>
  <c r="M17" i="1"/>
  <c r="H17" i="1"/>
  <c r="R17" i="1"/>
  <c r="I17" i="1"/>
  <c r="T3" i="3"/>
  <c r="R4" i="3"/>
  <c r="U21" i="3" l="1"/>
  <c r="V21" i="3" s="1"/>
  <c r="W21" i="3" s="1"/>
  <c r="T22" i="3"/>
  <c r="R22" i="3"/>
  <c r="X21" i="4"/>
  <c r="U17" i="3"/>
  <c r="T18" i="3"/>
  <c r="R18" i="3"/>
  <c r="V17" i="3"/>
  <c r="W17" i="3" s="1"/>
  <c r="M8" i="1"/>
  <c r="O8" i="1" s="1"/>
  <c r="H8" i="1"/>
  <c r="I8" i="1" s="1"/>
  <c r="J8" i="1" s="1"/>
  <c r="P17" i="1"/>
  <c r="Q17" i="1" s="1"/>
  <c r="M9" i="1"/>
  <c r="O9" i="1" s="1"/>
  <c r="I19" i="1"/>
  <c r="P19" i="1" s="1"/>
  <c r="R19" i="1"/>
  <c r="I18" i="1"/>
  <c r="P18" i="1" s="1"/>
  <c r="R18" i="1"/>
  <c r="R16" i="1"/>
  <c r="I16" i="1"/>
  <c r="P16" i="1" s="1"/>
  <c r="J17" i="1"/>
  <c r="M19" i="1"/>
  <c r="M18" i="1"/>
  <c r="M16" i="1"/>
  <c r="H12" i="1"/>
  <c r="I12" i="1" s="1"/>
  <c r="P12" i="1" s="1"/>
  <c r="H15" i="1"/>
  <c r="I15" i="1" s="1"/>
  <c r="P15" i="1" s="1"/>
  <c r="H14" i="1"/>
  <c r="I14" i="1" s="1"/>
  <c r="P14" i="1" s="1"/>
  <c r="H11" i="1"/>
  <c r="I11" i="1" s="1"/>
  <c r="P11" i="1" s="1"/>
  <c r="H10" i="1"/>
  <c r="I10" i="1" s="1"/>
  <c r="P10" i="1" s="1"/>
  <c r="H13" i="1"/>
  <c r="I13" i="1" s="1"/>
  <c r="P13" i="1" s="1"/>
  <c r="H19" i="1"/>
  <c r="M13" i="1"/>
  <c r="M12" i="1"/>
  <c r="M14" i="1"/>
  <c r="M11" i="1"/>
  <c r="M10" i="1"/>
  <c r="O10" i="1" s="1"/>
  <c r="H18" i="1"/>
  <c r="H9" i="1"/>
  <c r="I9" i="1" s="1"/>
  <c r="P9" i="1" s="1"/>
  <c r="H16" i="1"/>
  <c r="M15" i="1"/>
  <c r="U3" i="3"/>
  <c r="V3" i="3" s="1"/>
  <c r="W3" i="3" s="1"/>
  <c r="T4" i="3"/>
  <c r="R5" i="3"/>
  <c r="U22" i="3" l="1"/>
  <c r="V22" i="3" s="1"/>
  <c r="W22" i="3" s="1"/>
  <c r="T23" i="3"/>
  <c r="R23" i="3"/>
  <c r="U18" i="3"/>
  <c r="V18" i="3"/>
  <c r="W18" i="3" s="1"/>
  <c r="P8" i="1"/>
  <c r="Q8" i="1" s="1"/>
  <c r="R8" i="1" s="1"/>
  <c r="S8" i="1" s="1"/>
  <c r="T8" i="1" s="1"/>
  <c r="X8" i="1" s="1"/>
  <c r="O11" i="1"/>
  <c r="Q9" i="1"/>
  <c r="J9" i="1"/>
  <c r="J16" i="1"/>
  <c r="Q16" i="1"/>
  <c r="Q18" i="1"/>
  <c r="J18" i="1"/>
  <c r="J19" i="1"/>
  <c r="Q19" i="1"/>
  <c r="Q10" i="1"/>
  <c r="J10" i="1"/>
  <c r="Q14" i="1"/>
  <c r="J14" i="1"/>
  <c r="J12" i="1"/>
  <c r="Q12" i="1"/>
  <c r="Q13" i="1"/>
  <c r="J13" i="1"/>
  <c r="J11" i="1"/>
  <c r="Q11" i="1"/>
  <c r="J15" i="1"/>
  <c r="Q15" i="1"/>
  <c r="R6" i="3"/>
  <c r="O12" i="1" s="1"/>
  <c r="U4" i="3"/>
  <c r="V4" i="3" s="1"/>
  <c r="W4" i="3" s="1"/>
  <c r="T5" i="3"/>
  <c r="U23" i="3" l="1"/>
  <c r="V23" i="3" s="1"/>
  <c r="W23" i="3" s="1"/>
  <c r="R9" i="1"/>
  <c r="S9" i="1" s="1"/>
  <c r="T9" i="1" s="1"/>
  <c r="X9" i="1" s="1"/>
  <c r="R11" i="1"/>
  <c r="S11" i="1" s="1"/>
  <c r="T11" i="1" s="1"/>
  <c r="X11" i="1" s="1"/>
  <c r="R10" i="1"/>
  <c r="S10" i="1" s="1"/>
  <c r="T10" i="1" s="1"/>
  <c r="X10" i="1" s="1"/>
  <c r="R12" i="1"/>
  <c r="S12" i="1" s="1"/>
  <c r="T12" i="1" s="1"/>
  <c r="X12" i="1" s="1"/>
  <c r="U5" i="3"/>
  <c r="V5" i="3" s="1"/>
  <c r="W5" i="3" s="1"/>
  <c r="T6" i="3"/>
  <c r="R7" i="3"/>
  <c r="O13" i="1" s="1"/>
  <c r="R13" i="1" s="1"/>
  <c r="S13" i="1" s="1"/>
  <c r="T13" i="1" s="1"/>
  <c r="X13" i="1" s="1"/>
  <c r="R8" i="3" l="1"/>
  <c r="O14" i="1" s="1"/>
  <c r="R14" i="1" s="1"/>
  <c r="S14" i="1" s="1"/>
  <c r="T14" i="1" s="1"/>
  <c r="X14" i="1" s="1"/>
  <c r="U6" i="3"/>
  <c r="V6" i="3" s="1"/>
  <c r="W6" i="3" s="1"/>
  <c r="T7" i="3"/>
  <c r="U7" i="3" l="1"/>
  <c r="V7" i="3" s="1"/>
  <c r="W7" i="3" s="1"/>
  <c r="T8" i="3"/>
  <c r="R9" i="3"/>
  <c r="O15" i="1" s="1"/>
  <c r="R15" i="1" s="1"/>
  <c r="S15" i="1" s="1"/>
  <c r="T15" i="1" s="1"/>
  <c r="X15" i="1" s="1"/>
  <c r="R10" i="3" l="1"/>
  <c r="O16" i="1" s="1"/>
  <c r="S16" i="1" s="1"/>
  <c r="T16" i="1" s="1"/>
  <c r="X16" i="1" s="1"/>
  <c r="U8" i="3"/>
  <c r="V8" i="3" s="1"/>
  <c r="W8" i="3" s="1"/>
  <c r="T9" i="3"/>
  <c r="U9" i="3" l="1"/>
  <c r="V9" i="3" s="1"/>
  <c r="W9" i="3" s="1"/>
  <c r="T10" i="3"/>
  <c r="R11" i="3"/>
  <c r="O17" i="1" s="1"/>
  <c r="S17" i="1" s="1"/>
  <c r="T17" i="1" s="1"/>
  <c r="X17" i="1" s="1"/>
  <c r="R12" i="3" l="1"/>
  <c r="O18" i="1" s="1"/>
  <c r="S18" i="1" s="1"/>
  <c r="T18" i="1" s="1"/>
  <c r="X18" i="1" s="1"/>
  <c r="T11" i="3"/>
  <c r="U10" i="3"/>
  <c r="V10" i="3" s="1"/>
  <c r="W10" i="3" s="1"/>
  <c r="U11" i="3" l="1"/>
  <c r="V11" i="3" s="1"/>
  <c r="W11" i="3" s="1"/>
  <c r="T12" i="3"/>
  <c r="R13" i="3"/>
  <c r="O19" i="1" s="1"/>
  <c r="S19" i="1" s="1"/>
  <c r="T19" i="1" s="1"/>
  <c r="X19" i="1" s="1"/>
  <c r="X21" i="1" s="1"/>
  <c r="T13" i="3" l="1"/>
  <c r="U13" i="3" s="1"/>
  <c r="V13" i="3" s="1"/>
  <c r="U12" i="3"/>
  <c r="V12" i="3" s="1"/>
  <c r="W12" i="3" s="1"/>
  <c r="W13" i="3" l="1"/>
</calcChain>
</file>

<file path=xl/sharedStrings.xml><?xml version="1.0" encoding="utf-8"?>
<sst xmlns="http://schemas.openxmlformats.org/spreadsheetml/2006/main" count="220" uniqueCount="80">
  <si>
    <t>Allégement Fillon</t>
  </si>
  <si>
    <t>SMIC horaire</t>
  </si>
  <si>
    <t>Horaire habituel</t>
  </si>
  <si>
    <t>Salaire habituel</t>
  </si>
  <si>
    <t>Horaire mensuel</t>
  </si>
  <si>
    <t xml:space="preserve">Horaire équivalent </t>
  </si>
  <si>
    <t xml:space="preserve">Horaire cumulé </t>
  </si>
  <si>
    <t>Rémunération mensuelle hors prime</t>
  </si>
  <si>
    <t>Prime forfaitaire</t>
  </si>
  <si>
    <t>Rémunération cumulée</t>
  </si>
  <si>
    <t>SMIC mensuel</t>
  </si>
  <si>
    <t>SMIC cumulé</t>
  </si>
  <si>
    <t>Coefficient provisoire</t>
  </si>
  <si>
    <t>Allègement cumulé</t>
  </si>
  <si>
    <t>Allègement du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</si>
  <si>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</si>
  <si>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</si>
  <si>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</si>
  <si>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</si>
  <si>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</si>
  <si>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</si>
  <si>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</si>
  <si>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</si>
  <si>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</si>
  <si>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</si>
  <si>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</si>
  <si>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</si>
  <si>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Justine</t>
  </si>
  <si>
    <t>Lucas</t>
  </si>
  <si>
    <t>Deniz</t>
  </si>
  <si>
    <t>Slim</t>
  </si>
  <si>
    <t>H. sup</t>
  </si>
  <si>
    <t>13e mois</t>
  </si>
  <si>
    <t>Salaire de base + HS</t>
  </si>
  <si>
    <t>Horaire de base réalisé dans le mois</t>
  </si>
  <si>
    <t>Cotisation Fillon</t>
  </si>
  <si>
    <t>Fillon bulletin</t>
  </si>
  <si>
    <t>Diff</t>
  </si>
  <si>
    <t>Steph</t>
  </si>
  <si>
    <t>sal1</t>
  </si>
  <si>
    <t>sal2</t>
  </si>
  <si>
    <t>sal3</t>
  </si>
  <si>
    <t>sal4</t>
  </si>
  <si>
    <t>sal5</t>
  </si>
  <si>
    <t>sal6</t>
  </si>
  <si>
    <t>sal7</t>
  </si>
  <si>
    <t>sal8</t>
  </si>
  <si>
    <t>sal9</t>
  </si>
  <si>
    <t>sal10</t>
  </si>
  <si>
    <t>sal11</t>
  </si>
  <si>
    <t>sal12</t>
  </si>
  <si>
    <t>sal13</t>
  </si>
  <si>
    <t>sal14</t>
  </si>
  <si>
    <t>sal15</t>
  </si>
  <si>
    <t>sal16</t>
  </si>
  <si>
    <t>sal17</t>
  </si>
  <si>
    <t>sal18</t>
  </si>
  <si>
    <t>sal19</t>
  </si>
  <si>
    <t>sal20</t>
  </si>
  <si>
    <t>sal21</t>
  </si>
  <si>
    <t>sal22</t>
  </si>
  <si>
    <t>sal23</t>
  </si>
  <si>
    <t>sal24</t>
  </si>
  <si>
    <t>sal25</t>
  </si>
  <si>
    <t>sal26</t>
  </si>
  <si>
    <t>sal27</t>
  </si>
  <si>
    <t>sal28</t>
  </si>
  <si>
    <t>sal29</t>
  </si>
  <si>
    <t>sal30</t>
  </si>
  <si>
    <t>sal31</t>
  </si>
  <si>
    <t>sal32</t>
  </si>
  <si>
    <t>sal33</t>
  </si>
  <si>
    <t>sal34</t>
  </si>
  <si>
    <t>sal35</t>
  </si>
  <si>
    <t>sal36</t>
  </si>
  <si>
    <t>Fat</t>
  </si>
  <si>
    <t>Ident</t>
  </si>
  <si>
    <t>Prénom</t>
  </si>
  <si>
    <t>Nom</t>
  </si>
  <si>
    <t>Fillon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</si>
</sst>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/>
    <xf numFmtId="0" fontId="0" fillId="3" borderId="6" xfId="0" applyFill="1" applyBorder="1"/>
    <xf numFmtId="4" fontId="0" fillId="4" borderId="6" xfId="0" applyNumberFormat="1" applyFill="1" applyBorder="1"/>
    <xf numFmtId="4" fontId="0" fillId="2" borderId="6" xfId="0" applyNumberFormat="1" applyFill="1" applyBorder="1"/>
    <xf numFmtId="164" fontId="0" fillId="5" borderId="6" xfId="0" applyNumberFormat="1" applyFill="1" applyBorder="1"/>
    <xf numFmtId="2" fontId="0" fillId="5" borderId="7" xfId="0" applyNumberFormat="1" applyFill="1" applyBorder="1"/>
    <xf numFmtId="0" fontId="1" fillId="0" borderId="8" xfId="0" applyFont="1" applyBorder="1"/>
    <xf numFmtId="0" fontId="0" fillId="3" borderId="9" xfId="0" applyFill="1" applyBorder="1"/>
    <xf numFmtId="4" fontId="0" fillId="4" borderId="9" xfId="0" applyNumberFormat="1" applyFill="1" applyBorder="1"/>
    <xf numFmtId="4" fontId="0" fillId="2" borderId="10" xfId="0" applyNumberFormat="1" applyFill="1" applyBorder="1"/>
    <xf numFmtId="4" fontId="0" fillId="2" borderId="9" xfId="0" applyNumberFormat="1" applyFill="1" applyBorder="1"/>
    <xf numFmtId="164" fontId="0" fillId="5" borderId="10" xfId="0" applyNumberFormat="1" applyFill="1" applyBorder="1"/>
    <xf numFmtId="2" fontId="0" fillId="5" borderId="11" xfId="0" applyNumberFormat="1" applyFill="1" applyBorder="1"/>
    <xf numFmtId="0" fontId="1" fillId="0" borderId="12" xfId="0" applyFont="1" applyBorder="1"/>
    <xf numFmtId="0" fontId="0" fillId="3" borderId="13" xfId="0" applyFill="1" applyBorder="1"/>
    <xf numFmtId="4" fontId="0" fillId="2" borderId="14" xfId="0" applyNumberFormat="1" applyFill="1" applyBorder="1"/>
    <xf numFmtId="4" fontId="0" fillId="2" borderId="13" xfId="0" applyNumberFormat="1" applyFill="1" applyBorder="1"/>
    <xf numFmtId="164" fontId="0" fillId="5" borderId="14" xfId="0" applyNumberFormat="1" applyFill="1" applyBorder="1"/>
    <xf numFmtId="2" fontId="0" fillId="5" borderId="15" xfId="0" applyNumberFormat="1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Font="1"/>
    <xf numFmtId="0" fontId="1" fillId="0" borderId="3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0" fillId="6" borderId="13" xfId="0" applyFill="1" applyBorder="1"/>
    <xf numFmtId="0" fontId="0" fillId="6" borderId="6" xfId="0" applyFill="1" applyBorder="1"/>
    <xf numFmtId="0" fontId="0" fillId="6" borderId="9" xfId="0" applyFill="1" applyBorder="1"/>
    <xf numFmtId="4" fontId="0" fillId="3" borderId="9" xfId="0" applyNumberFormat="1" applyFill="1" applyBorder="1"/>
    <xf numFmtId="4" fontId="0" fillId="3" borderId="26" xfId="0" applyNumberFormat="1" applyFill="1" applyBorder="1"/>
    <xf numFmtId="4" fontId="0" fillId="3" borderId="19" xfId="0" applyNumberFormat="1" applyFill="1" applyBorder="1"/>
    <xf numFmtId="4" fontId="0" fillId="3" borderId="20" xfId="0" applyNumberFormat="1" applyFill="1" applyBorder="1"/>
    <xf numFmtId="4" fontId="0" fillId="3" borderId="13" xfId="0" applyNumberFormat="1" applyFill="1" applyBorder="1"/>
    <xf numFmtId="4" fontId="0" fillId="3" borderId="27" xfId="0" applyNumberFormat="1" applyFill="1" applyBorder="1"/>
    <xf numFmtId="4" fontId="0" fillId="6" borderId="9" xfId="0" applyNumberFormat="1" applyFill="1" applyBorder="1"/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4" fontId="0" fillId="3" borderId="4" xfId="0" applyNumberFormat="1" applyFill="1" applyBorder="1"/>
    <xf numFmtId="4" fontId="0" fillId="6" borderId="6" xfId="0" applyNumberFormat="1" applyFill="1" applyBorder="1"/>
    <xf numFmtId="4" fontId="0" fillId="6" borderId="19" xfId="0" applyNumberFormat="1" applyFill="1" applyBorder="1"/>
    <xf numFmtId="4" fontId="0" fillId="6" borderId="20" xfId="0" applyNumberFormat="1" applyFill="1" applyBorder="1"/>
    <xf numFmtId="4" fontId="0" fillId="6" borderId="27" xfId="0" applyNumberFormat="1" applyFill="1" applyBorder="1"/>
    <xf numFmtId="4" fontId="0" fillId="4" borderId="13" xfId="0" applyNumberFormat="1" applyFill="1" applyBorder="1"/>
    <xf numFmtId="4" fontId="0" fillId="5" borderId="6" xfId="0" applyNumberFormat="1" applyFill="1" applyBorder="1"/>
    <xf numFmtId="4" fontId="0" fillId="5" borderId="9" xfId="0" applyNumberFormat="1" applyFill="1" applyBorder="1"/>
    <xf numFmtId="4" fontId="0" fillId="5" borderId="13" xfId="0" applyNumberFormat="1" applyFill="1" applyBorder="1"/>
    <xf numFmtId="3" fontId="0" fillId="6" borderId="9" xfId="0" applyNumberFormat="1" applyFill="1" applyBorder="1"/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0" fillId="5" borderId="3" xfId="0" applyFill="1" applyBorder="1"/>
    <xf numFmtId="0" fontId="1" fillId="8" borderId="5" xfId="0" applyFont="1" applyFill="1" applyBorder="1"/>
    <xf numFmtId="0" fontId="1" fillId="8" borderId="8" xfId="0" applyFont="1" applyFill="1" applyBorder="1"/>
    <xf numFmtId="0" fontId="1" fillId="8" borderId="12" xfId="0" applyFont="1" applyFill="1" applyBorder="1"/>
    <xf numFmtId="43" fontId="0" fillId="6" borderId="6" xfId="0" applyNumberFormat="1" applyFill="1" applyBorder="1"/>
    <xf numFmtId="43" fontId="0" fillId="3" borderId="6" xfId="0" applyNumberFormat="1" applyFill="1" applyBorder="1"/>
    <xf numFmtId="43" fontId="0" fillId="3" borderId="19" xfId="0" applyNumberFormat="1" applyFill="1" applyBorder="1"/>
    <xf numFmtId="43" fontId="0" fillId="6" borderId="19" xfId="0" applyNumberFormat="1" applyFill="1" applyBorder="1"/>
    <xf numFmtId="43" fontId="0" fillId="4" borderId="6" xfId="0" applyNumberFormat="1" applyFill="1" applyBorder="1"/>
    <xf numFmtId="43" fontId="0" fillId="6" borderId="21" xfId="0" applyNumberFormat="1" applyFill="1" applyBorder="1"/>
    <xf numFmtId="43" fontId="0" fillId="2" borderId="6" xfId="0" applyNumberFormat="1" applyFill="1" applyBorder="1"/>
    <xf numFmtId="43" fontId="0" fillId="5" borderId="6" xfId="0" applyNumberFormat="1" applyFill="1" applyBorder="1"/>
    <xf numFmtId="43" fontId="0" fillId="7" borderId="7" xfId="0" applyNumberFormat="1" applyFill="1" applyBorder="1"/>
    <xf numFmtId="43" fontId="0" fillId="0" borderId="0" xfId="0" applyNumberFormat="1"/>
    <xf numFmtId="43" fontId="0" fillId="7" borderId="23" xfId="0" applyNumberFormat="1" applyFill="1" applyBorder="1"/>
    <xf numFmtId="43" fontId="0" fillId="0" borderId="23" xfId="0" applyNumberFormat="1" applyFill="1" applyBorder="1"/>
    <xf numFmtId="43" fontId="0" fillId="6" borderId="9" xfId="0" applyNumberFormat="1" applyFill="1" applyBorder="1"/>
    <xf numFmtId="43" fontId="0" fillId="3" borderId="9" xfId="0" applyNumberFormat="1" applyFill="1" applyBorder="1"/>
    <xf numFmtId="43" fontId="0" fillId="3" borderId="20" xfId="0" applyNumberFormat="1" applyFill="1" applyBorder="1"/>
    <xf numFmtId="43" fontId="0" fillId="6" borderId="20" xfId="0" applyNumberFormat="1" applyFill="1" applyBorder="1"/>
    <xf numFmtId="43" fontId="0" fillId="4" borderId="9" xfId="0" applyNumberFormat="1" applyFill="1" applyBorder="1"/>
    <xf numFmtId="43" fontId="0" fillId="6" borderId="22" xfId="0" applyNumberFormat="1" applyFill="1" applyBorder="1"/>
    <xf numFmtId="43" fontId="0" fillId="2" borderId="10" xfId="0" applyNumberFormat="1" applyFill="1" applyBorder="1"/>
    <xf numFmtId="43" fontId="0" fillId="2" borderId="9" xfId="0" applyNumberFormat="1" applyFill="1" applyBorder="1"/>
    <xf numFmtId="43" fontId="0" fillId="5" borderId="10" xfId="0" applyNumberFormat="1" applyFill="1" applyBorder="1"/>
    <xf numFmtId="43" fontId="0" fillId="5" borderId="9" xfId="0" applyNumberFormat="1" applyFill="1" applyBorder="1"/>
    <xf numFmtId="43" fontId="0" fillId="7" borderId="11" xfId="0" applyNumberFormat="1" applyFill="1" applyBorder="1"/>
    <xf numFmtId="43" fontId="0" fillId="7" borderId="24" xfId="0" applyNumberFormat="1" applyFill="1" applyBorder="1"/>
    <xf numFmtId="43" fontId="0" fillId="0" borderId="24" xfId="0" applyNumberFormat="1" applyFill="1" applyBorder="1"/>
    <xf numFmtId="43" fontId="0" fillId="6" borderId="13" xfId="0" applyNumberFormat="1" applyFill="1" applyBorder="1"/>
    <xf numFmtId="43" fontId="0" fillId="3" borderId="13" xfId="0" applyNumberFormat="1" applyFill="1" applyBorder="1"/>
    <xf numFmtId="43" fontId="0" fillId="3" borderId="27" xfId="0" applyNumberFormat="1" applyFill="1" applyBorder="1"/>
    <xf numFmtId="43" fontId="0" fillId="6" borderId="27" xfId="0" applyNumberFormat="1" applyFill="1" applyBorder="1"/>
    <xf numFmtId="43" fontId="0" fillId="4" borderId="13" xfId="0" applyNumberFormat="1" applyFill="1" applyBorder="1"/>
    <xf numFmtId="43" fontId="0" fillId="6" borderId="28" xfId="0" applyNumberFormat="1" applyFill="1" applyBorder="1"/>
    <xf numFmtId="43" fontId="0" fillId="2" borderId="14" xfId="0" applyNumberFormat="1" applyFill="1" applyBorder="1"/>
    <xf numFmtId="43" fontId="0" fillId="2" borderId="13" xfId="0" applyNumberFormat="1" applyFill="1" applyBorder="1"/>
    <xf numFmtId="43" fontId="0" fillId="5" borderId="14" xfId="0" applyNumberFormat="1" applyFill="1" applyBorder="1"/>
    <xf numFmtId="43" fontId="0" fillId="5" borderId="13" xfId="0" applyNumberFormat="1" applyFill="1" applyBorder="1"/>
    <xf numFmtId="43" fontId="0" fillId="7" borderId="15" xfId="0" applyNumberFormat="1" applyFill="1" applyBorder="1"/>
    <xf numFmtId="43" fontId="0" fillId="7" borderId="25" xfId="0" applyNumberFormat="1" applyFill="1" applyBorder="1"/>
    <xf numFmtId="43" fontId="0" fillId="0" borderId="25" xfId="0" applyNumberFormat="1" applyFill="1" applyBorder="1"/>
    <xf numFmtId="0" fontId="0" fillId="9" borderId="0" xfId="0" applyFont="1" applyFill="1"/>
    <xf numFmtId="2" fontId="0" fillId="9" borderId="24" xfId="0" applyNumberFormat="1" applyFill="1" applyBorder="1"/>
    <xf numFmtId="43" fontId="0" fillId="0" borderId="6" xfId="0" applyNumberFormat="1" applyFill="1" applyBorder="1"/>
    <xf numFmtId="43" fontId="0" fillId="0" borderId="19" xfId="0" applyNumberFormat="1" applyFill="1" applyBorder="1"/>
    <xf numFmtId="43" fontId="0" fillId="0" borderId="21" xfId="0" applyNumberFormat="1" applyFill="1" applyBorder="1"/>
    <xf numFmtId="43" fontId="0" fillId="0" borderId="7" xfId="0" applyNumberFormat="1" applyFill="1" applyBorder="1"/>
    <xf numFmtId="43" fontId="0" fillId="0" borderId="0" xfId="0" applyNumberFormat="1" applyFill="1"/>
    <xf numFmtId="43" fontId="0" fillId="0" borderId="9" xfId="0" applyNumberFormat="1" applyFill="1" applyBorder="1"/>
    <xf numFmtId="43" fontId="0" fillId="0" borderId="20" xfId="0" applyNumberFormat="1" applyFill="1" applyBorder="1"/>
    <xf numFmtId="43" fontId="0" fillId="0" borderId="22" xfId="0" applyNumberFormat="1" applyFill="1" applyBorder="1"/>
    <xf numFmtId="43" fontId="0" fillId="0" borderId="10" xfId="0" applyNumberFormat="1" applyFill="1" applyBorder="1"/>
    <xf numFmtId="43" fontId="0" fillId="0" borderId="11" xfId="0" applyNumberFormat="1" applyFill="1" applyBorder="1"/>
    <xf numFmtId="43" fontId="0" fillId="0" borderId="13" xfId="0" applyNumberFormat="1" applyFill="1" applyBorder="1"/>
    <xf numFmtId="43" fontId="0" fillId="0" borderId="27" xfId="0" applyNumberFormat="1" applyFill="1" applyBorder="1"/>
    <xf numFmtId="43" fontId="0" fillId="0" borderId="28" xfId="0" applyNumberFormat="1" applyFill="1" applyBorder="1"/>
    <xf numFmtId="43" fontId="0" fillId="0" borderId="14" xfId="0" applyNumberFormat="1" applyFill="1" applyBorder="1"/>
    <xf numFmtId="43" fontId="0" fillId="0" borderId="15" xfId="0" applyNumberFormat="1" applyFill="1" applyBorder="1"/>
    <xf numFmtId="0" fontId="1" fillId="0" borderId="1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0</xdr:row>
          <xdr:rowOff>28576</xdr:rowOff>
        </xdr:from>
        <xdr:to>
          <xdr:col>4</xdr:col>
          <xdr:colOff>723900</xdr:colOff>
          <xdr:row>0</xdr:row>
          <xdr:rowOff>238126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quelprenom.com/prenom_detail.php?prenom_id=3482" TargetMode="External"/><Relationship Id="rId2" Type="http://schemas.openxmlformats.org/officeDocument/2006/relationships/hyperlink" Target="http://www.quelprenom.com/prenom_detail.php?prenom_id=15" TargetMode="External"/><Relationship Id="rId1" Type="http://schemas.openxmlformats.org/officeDocument/2006/relationships/hyperlink" Target="http://www.quelprenom.com/prenom_detail.php?prenom_id=1910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X23"/>
  <sheetViews>
    <sheetView topLeftCell="B1" zoomScale="85" zoomScaleNormal="85" workbookViewId="0">
      <selection activeCell="F27" sqref="F27"/>
    </sheetView>
  </sheetViews>
  <sheetFormatPr baseColWidth="10" defaultRowHeight="15" x14ac:dyDescent="0.25"/>
  <cols>
    <col min="9" max="9" width="12.28515625" customWidth="1"/>
    <col min="10" max="10" width="7.28515625" customWidth="1"/>
    <col min="11" max="13" width="0" hidden="1" customWidth="1"/>
    <col min="16" max="16" width="14" hidden="1" customWidth="1"/>
    <col min="18" max="18" width="12.7109375" hidden="1" customWidth="1"/>
    <col min="19" max="23" width="0" hidden="1" customWidth="1"/>
  </cols>
  <sheetData>
    <row r="1" spans="2:24" s="1" customFormat="1" ht="60.75" customHeight="1" thickBot="1" x14ac:dyDescent="0.3">
      <c r="G1" s="39" t="s">
        <v>2</v>
      </c>
      <c r="H1" s="39" t="s">
        <v>3</v>
      </c>
      <c r="I1" s="39" t="s">
        <v>34</v>
      </c>
      <c r="J1" s="39" t="s">
        <v>31</v>
      </c>
      <c r="K1" s="39" t="s">
        <v>4</v>
      </c>
      <c r="L1" s="39" t="s">
        <v>5</v>
      </c>
      <c r="M1" s="39" t="s">
        <v>6</v>
      </c>
      <c r="N1" s="39" t="s">
        <v>33</v>
      </c>
      <c r="O1" s="39" t="s">
        <v>32</v>
      </c>
      <c r="P1" s="39" t="s">
        <v>7</v>
      </c>
      <c r="Q1" s="2" t="s">
        <v>8</v>
      </c>
      <c r="R1" s="39" t="s">
        <v>9</v>
      </c>
      <c r="S1" s="39" t="s">
        <v>10</v>
      </c>
      <c r="T1" s="39" t="s">
        <v>11</v>
      </c>
      <c r="U1" s="39" t="s">
        <v>12</v>
      </c>
      <c r="V1" s="39" t="s">
        <v>13</v>
      </c>
      <c r="W1" s="40" t="s">
        <v>14</v>
      </c>
      <c r="X1" s="2" t="s">
        <v>35</v>
      </c>
    </row>
    <row r="2" spans="2:24" x14ac:dyDescent="0.25">
      <c r="B2" s="54" t="str">
        <f>+CONCATENATE(C2,D2)</f>
        <v>Janviersal1</v>
      </c>
      <c r="C2" s="3" t="s">
        <v>15</v>
      </c>
      <c r="D2" s="3" t="s">
        <v>39</v>
      </c>
      <c r="E2" s="3" t="s">
        <v>38</v>
      </c>
      <c r="F2" s="3" t="s">
        <v>28</v>
      </c>
      <c r="G2" s="30">
        <v>151.66999999999999</v>
      </c>
      <c r="H2" s="30">
        <v>1668.33</v>
      </c>
      <c r="I2" s="30">
        <v>151.66999999999999</v>
      </c>
      <c r="J2" s="30">
        <v>10</v>
      </c>
      <c r="K2" s="4">
        <f>+J2+I2</f>
        <v>161.66999999999999</v>
      </c>
      <c r="L2" s="41">
        <f>+IF(J2&lt;&gt;0,K2,IF(N2/(H2/G2)&gt;I2,N2/(H2/G2),K2))</f>
        <v>161.66999999999999</v>
      </c>
      <c r="M2" s="34">
        <f>+L2</f>
        <v>161.66999999999999</v>
      </c>
      <c r="N2" s="42">
        <f>1668.33+137.5*1</f>
        <v>1805.83</v>
      </c>
      <c r="O2" s="43"/>
      <c r="P2" s="5">
        <f>+N2+O2</f>
        <v>1805.83</v>
      </c>
      <c r="Q2" s="31"/>
      <c r="R2" s="5">
        <f>+P2+Q2</f>
        <v>1805.83</v>
      </c>
      <c r="S2" s="6" t="e">
        <f>+#REF!*L2</f>
        <v>#REF!</v>
      </c>
      <c r="T2" s="6" t="e">
        <f>+S2</f>
        <v>#REF!</v>
      </c>
      <c r="U2" s="7" t="e">
        <f>+#REF!/0.6*((1.6*T2)/R2-1)</f>
        <v>#REF!</v>
      </c>
      <c r="V2" s="47" t="e">
        <f>+R2*U2</f>
        <v>#REF!</v>
      </c>
      <c r="W2" s="8" t="e">
        <f>+V2</f>
        <v>#REF!</v>
      </c>
      <c r="X2" s="50">
        <v>500</v>
      </c>
    </row>
    <row r="3" spans="2:24" x14ac:dyDescent="0.25">
      <c r="B3" s="55" t="str">
        <f t="shared" ref="B3:B13" si="0">+CONCATENATE(C3,D3)</f>
        <v>Févriersal1</v>
      </c>
      <c r="C3" s="9" t="s">
        <v>16</v>
      </c>
      <c r="D3" s="27" t="s">
        <v>39</v>
      </c>
      <c r="E3" s="27" t="s">
        <v>38</v>
      </c>
      <c r="F3" s="27" t="s">
        <v>28</v>
      </c>
      <c r="G3" s="31">
        <v>151.66999999999999</v>
      </c>
      <c r="H3" s="31">
        <v>1668.33</v>
      </c>
      <c r="I3" s="31">
        <v>151.66999999999999</v>
      </c>
      <c r="J3" s="31"/>
      <c r="K3" s="10">
        <f t="shared" ref="K3:K13" si="1">+J3+G3</f>
        <v>151.66999999999999</v>
      </c>
      <c r="L3" s="33">
        <f t="shared" ref="L3:L13" si="2">+IF(J3&lt;&gt;0,K3,IF(N3/(H3/G3)&gt;I3,N3/(H3/G3),K3))</f>
        <v>151.66999999999999</v>
      </c>
      <c r="M3" s="35">
        <f>+L3+M2</f>
        <v>313.33999999999997</v>
      </c>
      <c r="N3" s="38">
        <v>1668.33</v>
      </c>
      <c r="O3" s="44"/>
      <c r="P3" s="11">
        <f t="shared" ref="P3:P13" si="3">+N3+O3</f>
        <v>1668.33</v>
      </c>
      <c r="Q3" s="31"/>
      <c r="R3" s="11">
        <f>+P3+Q3+R2</f>
        <v>3474.16</v>
      </c>
      <c r="S3" s="12" t="e">
        <f>+#REF!*L3</f>
        <v>#REF!</v>
      </c>
      <c r="T3" s="13" t="e">
        <f t="shared" ref="T3:T13" si="4">+S3+T2</f>
        <v>#REF!</v>
      </c>
      <c r="U3" s="14" t="e">
        <f>+#REF!/0.6*((1.6*T3)/R3-1)</f>
        <v>#REF!</v>
      </c>
      <c r="V3" s="48" t="e">
        <f t="shared" ref="V3:V13" si="5">+R3*U3</f>
        <v>#REF!</v>
      </c>
      <c r="W3" s="15" t="e">
        <f>+V3-W2</f>
        <v>#REF!</v>
      </c>
      <c r="X3" s="50">
        <v>500</v>
      </c>
    </row>
    <row r="4" spans="2:24" x14ac:dyDescent="0.25">
      <c r="B4" s="55" t="str">
        <f t="shared" si="0"/>
        <v>Marssal1</v>
      </c>
      <c r="C4" s="9" t="s">
        <v>17</v>
      </c>
      <c r="D4" s="27" t="s">
        <v>39</v>
      </c>
      <c r="E4" s="27" t="s">
        <v>38</v>
      </c>
      <c r="F4" s="27" t="s">
        <v>28</v>
      </c>
      <c r="G4" s="31">
        <v>151.66999999999999</v>
      </c>
      <c r="H4" s="31">
        <v>1668.33</v>
      </c>
      <c r="I4" s="31">
        <v>116.67</v>
      </c>
      <c r="J4" s="31"/>
      <c r="K4" s="10">
        <f t="shared" si="1"/>
        <v>151.66999999999999</v>
      </c>
      <c r="L4" s="32">
        <f t="shared" si="2"/>
        <v>117.19917354480228</v>
      </c>
      <c r="M4" s="35">
        <f t="shared" ref="M4:M13" si="6">+L4+M3</f>
        <v>430.53917354480222</v>
      </c>
      <c r="N4" s="31">
        <v>1289.1600000000001</v>
      </c>
      <c r="O4" s="44"/>
      <c r="P4" s="11">
        <f t="shared" si="3"/>
        <v>1289.1600000000001</v>
      </c>
      <c r="Q4" s="31"/>
      <c r="R4" s="11">
        <f t="shared" ref="R4:R13" si="7">+P4+Q4+R3</f>
        <v>4763.32</v>
      </c>
      <c r="S4" s="12" t="e">
        <f>+#REF!*L4</f>
        <v>#REF!</v>
      </c>
      <c r="T4" s="13" t="e">
        <f t="shared" si="4"/>
        <v>#REF!</v>
      </c>
      <c r="U4" s="14" t="e">
        <f>+#REF!/0.6*((1.6*T4)/R4-1)</f>
        <v>#REF!</v>
      </c>
      <c r="V4" s="48" t="e">
        <f t="shared" si="5"/>
        <v>#REF!</v>
      </c>
      <c r="W4" s="15" t="e">
        <f>+V4-V3</f>
        <v>#REF!</v>
      </c>
      <c r="X4" s="50">
        <v>500</v>
      </c>
    </row>
    <row r="5" spans="2:24" x14ac:dyDescent="0.25">
      <c r="B5" s="55" t="str">
        <f t="shared" si="0"/>
        <v>Avrilsal1</v>
      </c>
      <c r="C5" s="9" t="s">
        <v>18</v>
      </c>
      <c r="D5" s="27" t="s">
        <v>39</v>
      </c>
      <c r="E5" s="27" t="s">
        <v>38</v>
      </c>
      <c r="F5" s="27" t="s">
        <v>28</v>
      </c>
      <c r="G5" s="31">
        <v>151.66999999999999</v>
      </c>
      <c r="H5" s="31">
        <v>1668.33</v>
      </c>
      <c r="I5" s="31">
        <v>151.66999999999999</v>
      </c>
      <c r="J5" s="31"/>
      <c r="K5" s="10">
        <f t="shared" si="1"/>
        <v>151.66999999999999</v>
      </c>
      <c r="L5" s="32">
        <f t="shared" si="2"/>
        <v>151.66999999999999</v>
      </c>
      <c r="M5" s="35">
        <f t="shared" si="6"/>
        <v>582.20917354480218</v>
      </c>
      <c r="N5" s="38">
        <v>1668.33</v>
      </c>
      <c r="O5" s="44"/>
      <c r="P5" s="11">
        <f t="shared" si="3"/>
        <v>1668.33</v>
      </c>
      <c r="Q5" s="31"/>
      <c r="R5" s="11">
        <f>+P5+Q5+R4</f>
        <v>6431.65</v>
      </c>
      <c r="S5" s="12" t="e">
        <f>+#REF!*L5</f>
        <v>#REF!</v>
      </c>
      <c r="T5" s="13" t="e">
        <f t="shared" si="4"/>
        <v>#REF!</v>
      </c>
      <c r="U5" s="14" t="e">
        <f>+#REF!/0.6*((1.6*T5)/R5-1)</f>
        <v>#REF!</v>
      </c>
      <c r="V5" s="48" t="e">
        <f t="shared" si="5"/>
        <v>#REF!</v>
      </c>
      <c r="W5" s="15" t="e">
        <f t="shared" ref="W5:W13" si="8">+V5-V4</f>
        <v>#REF!</v>
      </c>
      <c r="X5" s="50">
        <v>500</v>
      </c>
    </row>
    <row r="6" spans="2:24" x14ac:dyDescent="0.25">
      <c r="B6" s="55" t="str">
        <f t="shared" si="0"/>
        <v>Maisal1</v>
      </c>
      <c r="C6" s="9" t="s">
        <v>19</v>
      </c>
      <c r="D6" s="27" t="s">
        <v>39</v>
      </c>
      <c r="E6" s="27" t="s">
        <v>38</v>
      </c>
      <c r="F6" s="27" t="s">
        <v>28</v>
      </c>
      <c r="G6" s="31">
        <v>151.66999999999999</v>
      </c>
      <c r="H6" s="31">
        <v>1668.33</v>
      </c>
      <c r="I6" s="31">
        <v>0</v>
      </c>
      <c r="J6" s="31"/>
      <c r="K6" s="10">
        <f t="shared" si="1"/>
        <v>151.66999999999999</v>
      </c>
      <c r="L6" s="32">
        <f t="shared" si="2"/>
        <v>87.225727643811467</v>
      </c>
      <c r="M6" s="35">
        <f t="shared" si="6"/>
        <v>669.43490118861359</v>
      </c>
      <c r="N6" s="31">
        <v>959.46</v>
      </c>
      <c r="O6" s="44"/>
      <c r="P6" s="11">
        <f t="shared" si="3"/>
        <v>959.46</v>
      </c>
      <c r="Q6" s="38">
        <v>1000</v>
      </c>
      <c r="R6" s="11">
        <f t="shared" si="7"/>
        <v>8391.11</v>
      </c>
      <c r="S6" s="12" t="e">
        <f>+#REF!*L6</f>
        <v>#REF!</v>
      </c>
      <c r="T6" s="13" t="e">
        <f t="shared" si="4"/>
        <v>#REF!</v>
      </c>
      <c r="U6" s="14" t="e">
        <f>+#REF!/0.6*((1.6*T6)/R6-1)</f>
        <v>#REF!</v>
      </c>
      <c r="V6" s="48" t="e">
        <f>+R6*U6</f>
        <v>#REF!</v>
      </c>
      <c r="W6" s="15" t="e">
        <f t="shared" si="8"/>
        <v>#REF!</v>
      </c>
      <c r="X6" s="50">
        <v>500</v>
      </c>
    </row>
    <row r="7" spans="2:24" x14ac:dyDescent="0.25">
      <c r="B7" s="55" t="str">
        <f t="shared" si="0"/>
        <v>Juinsal1</v>
      </c>
      <c r="C7" s="9" t="s">
        <v>20</v>
      </c>
      <c r="D7" s="27" t="s">
        <v>39</v>
      </c>
      <c r="E7" s="27" t="s">
        <v>38</v>
      </c>
      <c r="F7" s="27" t="s">
        <v>28</v>
      </c>
      <c r="G7" s="31">
        <v>151.66999999999999</v>
      </c>
      <c r="H7" s="31">
        <v>1668.33</v>
      </c>
      <c r="I7" s="31">
        <v>151.66999999999999</v>
      </c>
      <c r="J7" s="31"/>
      <c r="K7" s="10">
        <f t="shared" si="1"/>
        <v>151.66999999999999</v>
      </c>
      <c r="L7" s="32">
        <f t="shared" si="2"/>
        <v>151.66999999999999</v>
      </c>
      <c r="M7" s="35">
        <f t="shared" si="6"/>
        <v>821.10490118861355</v>
      </c>
      <c r="N7" s="38">
        <v>1668.33</v>
      </c>
      <c r="O7" s="44"/>
      <c r="P7" s="11">
        <f t="shared" si="3"/>
        <v>1668.33</v>
      </c>
      <c r="Q7" s="31"/>
      <c r="R7" s="11">
        <f t="shared" si="7"/>
        <v>10059.44</v>
      </c>
      <c r="S7" s="12" t="e">
        <f>+#REF!*L7</f>
        <v>#REF!</v>
      </c>
      <c r="T7" s="13" t="e">
        <f t="shared" si="4"/>
        <v>#REF!</v>
      </c>
      <c r="U7" s="14" t="e">
        <f>+#REF!/0.6*((1.6*T7)/R7-1)</f>
        <v>#REF!</v>
      </c>
      <c r="V7" s="48" t="e">
        <f t="shared" si="5"/>
        <v>#REF!</v>
      </c>
      <c r="W7" s="15" t="e">
        <f t="shared" si="8"/>
        <v>#REF!</v>
      </c>
      <c r="X7" s="50">
        <v>500</v>
      </c>
    </row>
    <row r="8" spans="2:24" x14ac:dyDescent="0.25">
      <c r="B8" s="55" t="str">
        <f t="shared" si="0"/>
        <v>Juilletsal1</v>
      </c>
      <c r="C8" s="9" t="s">
        <v>21</v>
      </c>
      <c r="D8" s="27" t="s">
        <v>39</v>
      </c>
      <c r="E8" s="27" t="s">
        <v>38</v>
      </c>
      <c r="F8" s="27" t="s">
        <v>28</v>
      </c>
      <c r="G8" s="31">
        <v>151.66999999999999</v>
      </c>
      <c r="H8" s="31">
        <v>1668.33</v>
      </c>
      <c r="I8" s="31">
        <v>151.66999999999999</v>
      </c>
      <c r="J8" s="31"/>
      <c r="K8" s="10">
        <f t="shared" si="1"/>
        <v>151.66999999999999</v>
      </c>
      <c r="L8" s="32">
        <f t="shared" si="2"/>
        <v>151.66999999999999</v>
      </c>
      <c r="M8" s="35">
        <f t="shared" si="6"/>
        <v>972.77490118861351</v>
      </c>
      <c r="N8" s="38">
        <v>1668.33</v>
      </c>
      <c r="O8" s="44"/>
      <c r="P8" s="11">
        <f t="shared" si="3"/>
        <v>1668.33</v>
      </c>
      <c r="Q8" s="31"/>
      <c r="R8" s="11">
        <f t="shared" si="7"/>
        <v>11727.77</v>
      </c>
      <c r="S8" s="12" t="e">
        <f>+#REF!*L8</f>
        <v>#REF!</v>
      </c>
      <c r="T8" s="13" t="e">
        <f t="shared" si="4"/>
        <v>#REF!</v>
      </c>
      <c r="U8" s="14" t="e">
        <f>+#REF!/0.6*((1.6*T8)/R8-1)</f>
        <v>#REF!</v>
      </c>
      <c r="V8" s="48" t="e">
        <f t="shared" si="5"/>
        <v>#REF!</v>
      </c>
      <c r="W8" s="15" t="e">
        <f t="shared" si="8"/>
        <v>#REF!</v>
      </c>
      <c r="X8" s="50">
        <v>500</v>
      </c>
    </row>
    <row r="9" spans="2:24" x14ac:dyDescent="0.25">
      <c r="B9" s="55" t="str">
        <f t="shared" si="0"/>
        <v>Aoûtsal1</v>
      </c>
      <c r="C9" s="9" t="s">
        <v>22</v>
      </c>
      <c r="D9" s="27" t="s">
        <v>39</v>
      </c>
      <c r="E9" s="27" t="s">
        <v>38</v>
      </c>
      <c r="F9" s="27" t="s">
        <v>28</v>
      </c>
      <c r="G9" s="31">
        <v>151.66999999999999</v>
      </c>
      <c r="H9" s="31">
        <v>1668.33</v>
      </c>
      <c r="I9" s="31">
        <v>151.66999999999999</v>
      </c>
      <c r="J9" s="31"/>
      <c r="K9" s="10">
        <f t="shared" si="1"/>
        <v>151.66999999999999</v>
      </c>
      <c r="L9" s="32">
        <f t="shared" si="2"/>
        <v>151.66999999999999</v>
      </c>
      <c r="M9" s="35">
        <f t="shared" si="6"/>
        <v>1124.4449011886136</v>
      </c>
      <c r="N9" s="38">
        <f>2780.55-O9</f>
        <v>1668.3300000000002</v>
      </c>
      <c r="O9" s="44">
        <v>1112.22</v>
      </c>
      <c r="P9" s="11">
        <f t="shared" si="3"/>
        <v>2780.55</v>
      </c>
      <c r="Q9" s="38"/>
      <c r="R9" s="11">
        <f t="shared" si="7"/>
        <v>14508.32</v>
      </c>
      <c r="S9" s="12" t="e">
        <f>+#REF!*L9</f>
        <v>#REF!</v>
      </c>
      <c r="T9" s="13" t="e">
        <f t="shared" si="4"/>
        <v>#REF!</v>
      </c>
      <c r="U9" s="14" t="e">
        <f>+#REF!/0.6*((1.6*T9)/R9-1)</f>
        <v>#REF!</v>
      </c>
      <c r="V9" s="48" t="e">
        <f t="shared" si="5"/>
        <v>#REF!</v>
      </c>
      <c r="W9" s="15" t="e">
        <f t="shared" si="8"/>
        <v>#REF!</v>
      </c>
      <c r="X9" s="50">
        <v>500</v>
      </c>
    </row>
    <row r="10" spans="2:24" x14ac:dyDescent="0.25">
      <c r="B10" s="55" t="str">
        <f t="shared" si="0"/>
        <v>Septembresal1</v>
      </c>
      <c r="C10" s="9" t="s">
        <v>23</v>
      </c>
      <c r="D10" s="27" t="s">
        <v>39</v>
      </c>
      <c r="E10" s="27" t="s">
        <v>38</v>
      </c>
      <c r="F10" s="27" t="s">
        <v>28</v>
      </c>
      <c r="G10" s="31"/>
      <c r="H10" s="31"/>
      <c r="I10" s="31"/>
      <c r="J10" s="31"/>
      <c r="K10" s="10">
        <f t="shared" si="1"/>
        <v>0</v>
      </c>
      <c r="L10" s="32" t="e">
        <f t="shared" si="2"/>
        <v>#DIV/0!</v>
      </c>
      <c r="M10" s="35" t="e">
        <f t="shared" si="6"/>
        <v>#DIV/0!</v>
      </c>
      <c r="N10" s="31"/>
      <c r="O10" s="44"/>
      <c r="P10" s="11">
        <f t="shared" si="3"/>
        <v>0</v>
      </c>
      <c r="Q10" s="31"/>
      <c r="R10" s="11">
        <f t="shared" si="7"/>
        <v>14508.32</v>
      </c>
      <c r="S10" s="12" t="e">
        <f>+#REF!*L10</f>
        <v>#REF!</v>
      </c>
      <c r="T10" s="13" t="e">
        <f t="shared" si="4"/>
        <v>#REF!</v>
      </c>
      <c r="U10" s="14" t="e">
        <f>+#REF!/0.6*((1.6*T10)/R10-1)</f>
        <v>#REF!</v>
      </c>
      <c r="V10" s="48" t="e">
        <f t="shared" si="5"/>
        <v>#REF!</v>
      </c>
      <c r="W10" s="15" t="e">
        <f t="shared" si="8"/>
        <v>#REF!</v>
      </c>
      <c r="X10" s="50"/>
    </row>
    <row r="11" spans="2:24" x14ac:dyDescent="0.25">
      <c r="B11" s="55" t="str">
        <f t="shared" si="0"/>
        <v>Octobresal1</v>
      </c>
      <c r="C11" s="9" t="s">
        <v>24</v>
      </c>
      <c r="D11" s="27" t="s">
        <v>39</v>
      </c>
      <c r="E11" s="27" t="s">
        <v>38</v>
      </c>
      <c r="F11" s="27" t="s">
        <v>28</v>
      </c>
      <c r="G11" s="31"/>
      <c r="H11" s="31"/>
      <c r="I11" s="31"/>
      <c r="J11" s="31"/>
      <c r="K11" s="10">
        <f t="shared" si="1"/>
        <v>0</v>
      </c>
      <c r="L11" s="32" t="e">
        <f t="shared" si="2"/>
        <v>#DIV/0!</v>
      </c>
      <c r="M11" s="35" t="e">
        <f t="shared" si="6"/>
        <v>#DIV/0!</v>
      </c>
      <c r="N11" s="31"/>
      <c r="O11" s="44"/>
      <c r="P11" s="11">
        <f t="shared" si="3"/>
        <v>0</v>
      </c>
      <c r="Q11" s="31"/>
      <c r="R11" s="11">
        <f t="shared" si="7"/>
        <v>14508.32</v>
      </c>
      <c r="S11" s="12" t="e">
        <f>+#REF!*L11</f>
        <v>#REF!</v>
      </c>
      <c r="T11" s="13" t="e">
        <f t="shared" si="4"/>
        <v>#REF!</v>
      </c>
      <c r="U11" s="14" t="e">
        <f>+#REF!/0.6*((1.6*T11)/R11-1)</f>
        <v>#REF!</v>
      </c>
      <c r="V11" s="48" t="e">
        <f t="shared" si="5"/>
        <v>#REF!</v>
      </c>
      <c r="W11" s="15" t="e">
        <f t="shared" si="8"/>
        <v>#REF!</v>
      </c>
      <c r="X11" s="50"/>
    </row>
    <row r="12" spans="2:24" x14ac:dyDescent="0.25">
      <c r="B12" s="55" t="str">
        <f t="shared" si="0"/>
        <v>Novembresal1</v>
      </c>
      <c r="C12" s="9" t="s">
        <v>25</v>
      </c>
      <c r="D12" s="27" t="s">
        <v>39</v>
      </c>
      <c r="E12" s="27" t="s">
        <v>38</v>
      </c>
      <c r="F12" s="27" t="s">
        <v>28</v>
      </c>
      <c r="G12" s="31"/>
      <c r="H12" s="31"/>
      <c r="I12" s="31"/>
      <c r="J12" s="31"/>
      <c r="K12" s="10">
        <f t="shared" si="1"/>
        <v>0</v>
      </c>
      <c r="L12" s="32" t="e">
        <f t="shared" si="2"/>
        <v>#DIV/0!</v>
      </c>
      <c r="M12" s="35" t="e">
        <f t="shared" si="6"/>
        <v>#DIV/0!</v>
      </c>
      <c r="N12" s="31"/>
      <c r="O12" s="44"/>
      <c r="P12" s="11">
        <f t="shared" si="3"/>
        <v>0</v>
      </c>
      <c r="Q12" s="31"/>
      <c r="R12" s="11">
        <f t="shared" si="7"/>
        <v>14508.32</v>
      </c>
      <c r="S12" s="12" t="e">
        <f>+#REF!*L12</f>
        <v>#REF!</v>
      </c>
      <c r="T12" s="13" t="e">
        <f t="shared" si="4"/>
        <v>#REF!</v>
      </c>
      <c r="U12" s="14" t="e">
        <f>+#REF!/0.6*((1.6*T12)/R12-1)</f>
        <v>#REF!</v>
      </c>
      <c r="V12" s="48" t="e">
        <f t="shared" si="5"/>
        <v>#REF!</v>
      </c>
      <c r="W12" s="15" t="e">
        <f t="shared" si="8"/>
        <v>#REF!</v>
      </c>
      <c r="X12" s="50"/>
    </row>
    <row r="13" spans="2:24" ht="15.75" thickBot="1" x14ac:dyDescent="0.3">
      <c r="B13" s="56" t="str">
        <f t="shared" si="0"/>
        <v>Décembresal1</v>
      </c>
      <c r="C13" s="16" t="s">
        <v>26</v>
      </c>
      <c r="D13" s="28" t="s">
        <v>39</v>
      </c>
      <c r="E13" s="28" t="s">
        <v>38</v>
      </c>
      <c r="F13" s="28" t="s">
        <v>28</v>
      </c>
      <c r="G13" s="29"/>
      <c r="H13" s="29"/>
      <c r="I13" s="29"/>
      <c r="J13" s="29"/>
      <c r="K13" s="17">
        <f t="shared" si="1"/>
        <v>0</v>
      </c>
      <c r="L13" s="36" t="e">
        <f t="shared" si="2"/>
        <v>#DIV/0!</v>
      </c>
      <c r="M13" s="37" t="e">
        <f t="shared" si="6"/>
        <v>#DIV/0!</v>
      </c>
      <c r="N13" s="29"/>
      <c r="O13" s="45"/>
      <c r="P13" s="46">
        <f t="shared" si="3"/>
        <v>0</v>
      </c>
      <c r="Q13" s="31"/>
      <c r="R13" s="46">
        <f t="shared" si="7"/>
        <v>14508.32</v>
      </c>
      <c r="S13" s="18" t="e">
        <f>+#REF!*L13</f>
        <v>#REF!</v>
      </c>
      <c r="T13" s="19" t="e">
        <f t="shared" si="4"/>
        <v>#REF!</v>
      </c>
      <c r="U13" s="20" t="e">
        <f>+#REF!/0.6*((1.6*T13)/R13-1)</f>
        <v>#REF!</v>
      </c>
      <c r="V13" s="49" t="e">
        <f t="shared" si="5"/>
        <v>#REF!</v>
      </c>
      <c r="W13" s="21" t="e">
        <f t="shared" si="8"/>
        <v>#REF!</v>
      </c>
      <c r="X13" s="50"/>
    </row>
    <row r="14" spans="2:24" x14ac:dyDescent="0.25">
      <c r="B14" s="54" t="str">
        <f>+CONCATENATE(C14,D14)</f>
        <v>Janviersal2</v>
      </c>
      <c r="C14" s="3" t="s">
        <v>15</v>
      </c>
      <c r="D14" s="3" t="s">
        <v>40</v>
      </c>
      <c r="E14" s="3" t="s">
        <v>27</v>
      </c>
      <c r="F14" s="3" t="s">
        <v>29</v>
      </c>
      <c r="G14" s="30">
        <v>151.66999999999999</v>
      </c>
      <c r="H14" s="30">
        <v>1668.33</v>
      </c>
      <c r="I14" s="30">
        <v>151.66999999999999</v>
      </c>
      <c r="J14" s="30">
        <v>10</v>
      </c>
      <c r="K14" s="4">
        <f>+J14+I14</f>
        <v>161.66999999999999</v>
      </c>
      <c r="L14" s="41">
        <f>+IF(J14&lt;&gt;0,K14,IF(N14/(H14/G14)&gt;I14,N14/(H14/G14),K14))</f>
        <v>161.66999999999999</v>
      </c>
      <c r="M14" s="34">
        <f>+L14</f>
        <v>161.66999999999999</v>
      </c>
      <c r="N14" s="42">
        <f>1668.33+137.5*1</f>
        <v>1805.83</v>
      </c>
      <c r="O14" s="43"/>
      <c r="P14" s="5">
        <f>+N14+O14</f>
        <v>1805.83</v>
      </c>
      <c r="Q14" s="31"/>
      <c r="R14" s="5">
        <f>+P14+Q14</f>
        <v>1805.83</v>
      </c>
      <c r="S14" s="6" t="e">
        <f>+#REF!*L14</f>
        <v>#REF!</v>
      </c>
      <c r="T14" s="6" t="e">
        <f>+S14</f>
        <v>#REF!</v>
      </c>
      <c r="U14" s="7" t="e">
        <f>+#REF!/0.6*((1.6*T14)/R14-1)</f>
        <v>#REF!</v>
      </c>
      <c r="V14" s="47" t="e">
        <f>+R14*U14</f>
        <v>#REF!</v>
      </c>
      <c r="W14" s="8" t="e">
        <f>+V14</f>
        <v>#REF!</v>
      </c>
      <c r="X14" s="50">
        <v>500</v>
      </c>
    </row>
    <row r="15" spans="2:24" x14ac:dyDescent="0.25">
      <c r="B15" s="55" t="str">
        <f t="shared" ref="B15:B18" si="9">+CONCATENATE(C15,D15)</f>
        <v>Févriersal2</v>
      </c>
      <c r="C15" s="9" t="s">
        <v>16</v>
      </c>
      <c r="D15" s="27" t="s">
        <v>40</v>
      </c>
      <c r="E15" s="27" t="s">
        <v>27</v>
      </c>
      <c r="F15" s="27" t="s">
        <v>29</v>
      </c>
      <c r="G15" s="31">
        <v>151.66999999999999</v>
      </c>
      <c r="H15" s="31">
        <v>1668.33</v>
      </c>
      <c r="I15" s="31">
        <v>151.66999999999999</v>
      </c>
      <c r="J15" s="31"/>
      <c r="K15" s="10">
        <f t="shared" ref="K15:K18" si="10">+J15+G15</f>
        <v>151.66999999999999</v>
      </c>
      <c r="L15" s="33">
        <f t="shared" ref="L15:L18" si="11">+IF(J15&lt;&gt;0,K15,IF(N15/(H15/G15)&gt;I15,N15/(H15/G15),K15))</f>
        <v>151.66999999999999</v>
      </c>
      <c r="M15" s="35">
        <f>+L15+M14</f>
        <v>313.33999999999997</v>
      </c>
      <c r="N15" s="38">
        <v>1668.33</v>
      </c>
      <c r="O15" s="44"/>
      <c r="P15" s="11">
        <f t="shared" ref="P15:P18" si="12">+N15+O15</f>
        <v>1668.33</v>
      </c>
      <c r="Q15" s="31"/>
      <c r="R15" s="11">
        <f>+P15+Q15+R14</f>
        <v>3474.16</v>
      </c>
      <c r="S15" s="12" t="e">
        <f>+#REF!*L15</f>
        <v>#REF!</v>
      </c>
      <c r="T15" s="13" t="e">
        <f t="shared" ref="T15:T18" si="13">+S15+T14</f>
        <v>#REF!</v>
      </c>
      <c r="U15" s="14" t="e">
        <f>+#REF!/0.6*((1.6*T15)/R15-1)</f>
        <v>#REF!</v>
      </c>
      <c r="V15" s="48" t="e">
        <f t="shared" ref="V15:V17" si="14">+R15*U15</f>
        <v>#REF!</v>
      </c>
      <c r="W15" s="15" t="e">
        <f>+V15-W14</f>
        <v>#REF!</v>
      </c>
      <c r="X15" s="50">
        <v>500</v>
      </c>
    </row>
    <row r="16" spans="2:24" x14ac:dyDescent="0.25">
      <c r="B16" s="55" t="str">
        <f t="shared" si="9"/>
        <v>Marssal2</v>
      </c>
      <c r="C16" s="9" t="s">
        <v>17</v>
      </c>
      <c r="D16" s="27" t="s">
        <v>40</v>
      </c>
      <c r="E16" s="27" t="s">
        <v>27</v>
      </c>
      <c r="F16" s="27" t="s">
        <v>29</v>
      </c>
      <c r="G16" s="31">
        <v>151.66999999999999</v>
      </c>
      <c r="H16" s="31">
        <v>1668.33</v>
      </c>
      <c r="I16" s="31">
        <v>116.67</v>
      </c>
      <c r="J16" s="31"/>
      <c r="K16" s="10">
        <f t="shared" si="10"/>
        <v>151.66999999999999</v>
      </c>
      <c r="L16" s="32">
        <f t="shared" si="11"/>
        <v>117.19917354480228</v>
      </c>
      <c r="M16" s="35">
        <f t="shared" ref="M16:M18" si="15">+L16+M15</f>
        <v>430.53917354480222</v>
      </c>
      <c r="N16" s="31">
        <v>1289.1600000000001</v>
      </c>
      <c r="O16" s="44"/>
      <c r="P16" s="11">
        <f t="shared" si="12"/>
        <v>1289.1600000000001</v>
      </c>
      <c r="Q16" s="31"/>
      <c r="R16" s="11">
        <f t="shared" ref="R16" si="16">+P16+Q16+R15</f>
        <v>4763.32</v>
      </c>
      <c r="S16" s="12" t="e">
        <f>+#REF!*L16</f>
        <v>#REF!</v>
      </c>
      <c r="T16" s="13" t="e">
        <f t="shared" si="13"/>
        <v>#REF!</v>
      </c>
      <c r="U16" s="14" t="e">
        <f>+#REF!/0.6*((1.6*T16)/R16-1)</f>
        <v>#REF!</v>
      </c>
      <c r="V16" s="48" t="e">
        <f t="shared" si="14"/>
        <v>#REF!</v>
      </c>
      <c r="W16" s="15" t="e">
        <f>+V16-V15</f>
        <v>#REF!</v>
      </c>
      <c r="X16" s="50">
        <v>500</v>
      </c>
    </row>
    <row r="17" spans="2:24" x14ac:dyDescent="0.25">
      <c r="B17" s="55" t="str">
        <f t="shared" si="9"/>
        <v>Avrilsal2</v>
      </c>
      <c r="C17" s="9" t="s">
        <v>18</v>
      </c>
      <c r="D17" s="27" t="s">
        <v>40</v>
      </c>
      <c r="E17" s="27" t="s">
        <v>27</v>
      </c>
      <c r="F17" s="27" t="s">
        <v>29</v>
      </c>
      <c r="G17" s="31">
        <v>151.66999999999999</v>
      </c>
      <c r="H17" s="31">
        <v>1668.33</v>
      </c>
      <c r="I17" s="31">
        <v>151.66999999999999</v>
      </c>
      <c r="J17" s="31"/>
      <c r="K17" s="10">
        <f t="shared" si="10"/>
        <v>151.66999999999999</v>
      </c>
      <c r="L17" s="32">
        <f t="shared" si="11"/>
        <v>151.66999999999999</v>
      </c>
      <c r="M17" s="35">
        <f t="shared" si="15"/>
        <v>582.20917354480218</v>
      </c>
      <c r="N17" s="38">
        <v>1668.33</v>
      </c>
      <c r="O17" s="44"/>
      <c r="P17" s="11">
        <f t="shared" si="12"/>
        <v>1668.33</v>
      </c>
      <c r="Q17" s="31"/>
      <c r="R17" s="11">
        <f>+P17+Q17+R16</f>
        <v>6431.65</v>
      </c>
      <c r="S17" s="12" t="e">
        <f>+#REF!*L17</f>
        <v>#REF!</v>
      </c>
      <c r="T17" s="13" t="e">
        <f t="shared" si="13"/>
        <v>#REF!</v>
      </c>
      <c r="U17" s="14" t="e">
        <f>+#REF!/0.6*((1.6*T17)/R17-1)</f>
        <v>#REF!</v>
      </c>
      <c r="V17" s="48" t="e">
        <f t="shared" si="14"/>
        <v>#REF!</v>
      </c>
      <c r="W17" s="15" t="e">
        <f t="shared" ref="W17:W18" si="17">+V17-V16</f>
        <v>#REF!</v>
      </c>
      <c r="X17" s="50">
        <v>500</v>
      </c>
    </row>
    <row r="18" spans="2:24" ht="15.75" thickBot="1" x14ac:dyDescent="0.3">
      <c r="B18" s="55" t="str">
        <f t="shared" si="9"/>
        <v>Maisal2</v>
      </c>
      <c r="C18" s="9" t="s">
        <v>19</v>
      </c>
      <c r="D18" s="27" t="s">
        <v>40</v>
      </c>
      <c r="E18" s="27" t="s">
        <v>27</v>
      </c>
      <c r="F18" s="27" t="s">
        <v>29</v>
      </c>
      <c r="G18" s="31">
        <v>151.66999999999999</v>
      </c>
      <c r="H18" s="31">
        <v>1668.33</v>
      </c>
      <c r="I18" s="31">
        <v>0</v>
      </c>
      <c r="J18" s="31"/>
      <c r="K18" s="10">
        <f t="shared" si="10"/>
        <v>151.66999999999999</v>
      </c>
      <c r="L18" s="32">
        <f t="shared" si="11"/>
        <v>87.225727643811467</v>
      </c>
      <c r="M18" s="35">
        <f t="shared" si="15"/>
        <v>669.43490118861359</v>
      </c>
      <c r="N18" s="31">
        <v>959.46</v>
      </c>
      <c r="O18" s="44"/>
      <c r="P18" s="11">
        <f t="shared" si="12"/>
        <v>959.46</v>
      </c>
      <c r="Q18" s="38">
        <v>1000</v>
      </c>
      <c r="R18" s="11">
        <f t="shared" ref="R18" si="18">+P18+Q18+R17</f>
        <v>8391.11</v>
      </c>
      <c r="S18" s="12" t="e">
        <f>+#REF!*L18</f>
        <v>#REF!</v>
      </c>
      <c r="T18" s="13" t="e">
        <f t="shared" si="13"/>
        <v>#REF!</v>
      </c>
      <c r="U18" s="14" t="e">
        <f>+#REF!/0.6*((1.6*T18)/R18-1)</f>
        <v>#REF!</v>
      </c>
      <c r="V18" s="48" t="e">
        <f>+R18*U18</f>
        <v>#REF!</v>
      </c>
      <c r="W18" s="15" t="e">
        <f t="shared" si="17"/>
        <v>#REF!</v>
      </c>
      <c r="X18" s="50">
        <v>500</v>
      </c>
    </row>
    <row r="19" spans="2:24" x14ac:dyDescent="0.25">
      <c r="B19" s="54" t="str">
        <f>+CONCATENATE(C19,D19)</f>
        <v>Janviersal3</v>
      </c>
      <c r="C19" s="3" t="s">
        <v>15</v>
      </c>
      <c r="D19" s="3" t="s">
        <v>41</v>
      </c>
      <c r="E19" s="3" t="s">
        <v>30</v>
      </c>
      <c r="F19" s="3" t="s">
        <v>75</v>
      </c>
      <c r="G19" s="30">
        <v>151.66999999999999</v>
      </c>
      <c r="H19" s="30">
        <v>2000</v>
      </c>
      <c r="I19" s="30">
        <v>151.66999999999999</v>
      </c>
      <c r="J19" s="30"/>
      <c r="K19" s="4">
        <f>+J19+I19</f>
        <v>151.66999999999999</v>
      </c>
      <c r="L19" s="41">
        <f>+IF(J19&lt;&gt;0,K19,IF(N19/(H19/G19)&gt;I19,N19/(H19/G19),K19))</f>
        <v>151.66999999999999</v>
      </c>
      <c r="M19" s="34">
        <f>+L19</f>
        <v>151.66999999999999</v>
      </c>
      <c r="N19" s="42">
        <f>1668.33+137.5*1</f>
        <v>1805.83</v>
      </c>
      <c r="O19" s="43"/>
      <c r="P19" s="5">
        <f>+N19+O19</f>
        <v>1805.83</v>
      </c>
      <c r="Q19" s="31"/>
      <c r="R19" s="5">
        <f>+P19+Q19</f>
        <v>1805.83</v>
      </c>
      <c r="S19" s="6" t="e">
        <f>+#REF!*L19</f>
        <v>#REF!</v>
      </c>
      <c r="T19" s="6" t="e">
        <f>+S19</f>
        <v>#REF!</v>
      </c>
      <c r="U19" s="7" t="e">
        <f>+#REF!/0.6*((1.6*T19)/R19-1)</f>
        <v>#REF!</v>
      </c>
      <c r="V19" s="47" t="e">
        <f>+R19*U19</f>
        <v>#REF!</v>
      </c>
      <c r="W19" s="8" t="e">
        <f>+V19</f>
        <v>#REF!</v>
      </c>
      <c r="X19" s="50">
        <v>150</v>
      </c>
    </row>
    <row r="20" spans="2:24" x14ac:dyDescent="0.25">
      <c r="B20" s="55" t="str">
        <f t="shared" ref="B20:B23" si="19">+CONCATENATE(C20,D20)</f>
        <v>Févriersal3</v>
      </c>
      <c r="C20" s="9" t="s">
        <v>16</v>
      </c>
      <c r="D20" s="27" t="s">
        <v>41</v>
      </c>
      <c r="E20" s="27" t="s">
        <v>30</v>
      </c>
      <c r="F20" s="27" t="s">
        <v>75</v>
      </c>
      <c r="G20" s="31">
        <v>151.66999999999999</v>
      </c>
      <c r="H20" s="31">
        <v>2000</v>
      </c>
      <c r="I20" s="31">
        <v>151.66999999999999</v>
      </c>
      <c r="J20" s="31"/>
      <c r="K20" s="10">
        <f t="shared" ref="K20:K23" si="20">+J20+G20</f>
        <v>151.66999999999999</v>
      </c>
      <c r="L20" s="33">
        <f t="shared" ref="L20:L23" si="21">+IF(J20&lt;&gt;0,K20,IF(N20/(H20/G20)&gt;I20,N20/(H20/G20),K20))</f>
        <v>151.66999999999999</v>
      </c>
      <c r="M20" s="35">
        <f>+L20+M19</f>
        <v>303.33999999999997</v>
      </c>
      <c r="N20" s="38">
        <v>1668.33</v>
      </c>
      <c r="O20" s="44"/>
      <c r="P20" s="11">
        <f t="shared" ref="P20:P23" si="22">+N20+O20</f>
        <v>1668.33</v>
      </c>
      <c r="Q20" s="31"/>
      <c r="R20" s="11">
        <f>+P20+Q20+R19</f>
        <v>3474.16</v>
      </c>
      <c r="S20" s="12" t="e">
        <f>+#REF!*L20</f>
        <v>#REF!</v>
      </c>
      <c r="T20" s="13" t="e">
        <f t="shared" ref="T20:T23" si="23">+S20+T19</f>
        <v>#REF!</v>
      </c>
      <c r="U20" s="14" t="e">
        <f>+#REF!/0.6*((1.6*T20)/R20-1)</f>
        <v>#REF!</v>
      </c>
      <c r="V20" s="48" t="e">
        <f t="shared" ref="V20:V22" si="24">+R20*U20</f>
        <v>#REF!</v>
      </c>
      <c r="W20" s="15" t="e">
        <f>+V20-W19</f>
        <v>#REF!</v>
      </c>
      <c r="X20" s="50">
        <v>150</v>
      </c>
    </row>
    <row r="21" spans="2:24" x14ac:dyDescent="0.25">
      <c r="B21" s="55" t="str">
        <f t="shared" si="19"/>
        <v>Marssal3</v>
      </c>
      <c r="C21" s="9" t="s">
        <v>17</v>
      </c>
      <c r="D21" s="27" t="s">
        <v>41</v>
      </c>
      <c r="E21" s="27" t="s">
        <v>30</v>
      </c>
      <c r="F21" s="27" t="s">
        <v>75</v>
      </c>
      <c r="G21" s="31">
        <v>151.66999999999999</v>
      </c>
      <c r="H21" s="31">
        <v>2000</v>
      </c>
      <c r="I21" s="31">
        <v>116.67</v>
      </c>
      <c r="J21" s="31"/>
      <c r="K21" s="10">
        <f t="shared" si="20"/>
        <v>151.66999999999999</v>
      </c>
      <c r="L21" s="32">
        <f t="shared" si="21"/>
        <v>151.66999999999999</v>
      </c>
      <c r="M21" s="35">
        <f t="shared" ref="M21:M23" si="25">+L21+M20</f>
        <v>455.01</v>
      </c>
      <c r="N21" s="31">
        <v>1289.1600000000001</v>
      </c>
      <c r="O21" s="44"/>
      <c r="P21" s="11">
        <f t="shared" si="22"/>
        <v>1289.1600000000001</v>
      </c>
      <c r="Q21" s="31"/>
      <c r="R21" s="11">
        <f t="shared" ref="R21" si="26">+P21+Q21+R20</f>
        <v>4763.32</v>
      </c>
      <c r="S21" s="12" t="e">
        <f>+#REF!*L21</f>
        <v>#REF!</v>
      </c>
      <c r="T21" s="13" t="e">
        <f t="shared" si="23"/>
        <v>#REF!</v>
      </c>
      <c r="U21" s="14" t="e">
        <f>+#REF!/0.6*((1.6*T21)/R21-1)</f>
        <v>#REF!</v>
      </c>
      <c r="V21" s="48" t="e">
        <f t="shared" si="24"/>
        <v>#REF!</v>
      </c>
      <c r="W21" s="15" t="e">
        <f>+V21-V20</f>
        <v>#REF!</v>
      </c>
      <c r="X21" s="50">
        <v>150</v>
      </c>
    </row>
    <row r="22" spans="2:24" x14ac:dyDescent="0.25">
      <c r="B22" s="55" t="str">
        <f t="shared" si="19"/>
        <v>Avrilsal3</v>
      </c>
      <c r="C22" s="9" t="s">
        <v>18</v>
      </c>
      <c r="D22" s="27" t="s">
        <v>41</v>
      </c>
      <c r="E22" s="27" t="s">
        <v>30</v>
      </c>
      <c r="F22" s="27" t="s">
        <v>75</v>
      </c>
      <c r="G22" s="31">
        <v>151.66999999999999</v>
      </c>
      <c r="H22" s="31">
        <v>2000</v>
      </c>
      <c r="I22" s="31">
        <v>151.66999999999999</v>
      </c>
      <c r="J22" s="31"/>
      <c r="K22" s="10">
        <f t="shared" si="20"/>
        <v>151.66999999999999</v>
      </c>
      <c r="L22" s="32">
        <f t="shared" si="21"/>
        <v>151.66999999999999</v>
      </c>
      <c r="M22" s="35">
        <f t="shared" si="25"/>
        <v>606.67999999999995</v>
      </c>
      <c r="N22" s="38">
        <v>1668.33</v>
      </c>
      <c r="O22" s="44"/>
      <c r="P22" s="11">
        <f t="shared" si="22"/>
        <v>1668.33</v>
      </c>
      <c r="Q22" s="31"/>
      <c r="R22" s="11">
        <f>+P22+Q22+R21</f>
        <v>6431.65</v>
      </c>
      <c r="S22" s="12" t="e">
        <f>+#REF!*L22</f>
        <v>#REF!</v>
      </c>
      <c r="T22" s="13" t="e">
        <f t="shared" si="23"/>
        <v>#REF!</v>
      </c>
      <c r="U22" s="14" t="e">
        <f>+#REF!/0.6*((1.6*T22)/R22-1)</f>
        <v>#REF!</v>
      </c>
      <c r="V22" s="48" t="e">
        <f t="shared" si="24"/>
        <v>#REF!</v>
      </c>
      <c r="W22" s="15" t="e">
        <f t="shared" ref="W22:W23" si="27">+V22-V21</f>
        <v>#REF!</v>
      </c>
      <c r="X22" s="50">
        <v>150</v>
      </c>
    </row>
    <row r="23" spans="2:24" x14ac:dyDescent="0.25">
      <c r="B23" s="55" t="str">
        <f t="shared" si="19"/>
        <v>Maisal3</v>
      </c>
      <c r="C23" s="9" t="s">
        <v>19</v>
      </c>
      <c r="D23" s="27" t="s">
        <v>41</v>
      </c>
      <c r="E23" s="27" t="s">
        <v>30</v>
      </c>
      <c r="F23" s="27" t="s">
        <v>75</v>
      </c>
      <c r="G23" s="31">
        <v>151.66999999999999</v>
      </c>
      <c r="H23" s="31">
        <v>2000</v>
      </c>
      <c r="I23" s="31">
        <v>100</v>
      </c>
      <c r="J23" s="31"/>
      <c r="K23" s="10">
        <f t="shared" si="20"/>
        <v>151.66999999999999</v>
      </c>
      <c r="L23" s="32">
        <f t="shared" si="21"/>
        <v>151.66999999999999</v>
      </c>
      <c r="M23" s="35">
        <f t="shared" si="25"/>
        <v>758.34999999999991</v>
      </c>
      <c r="N23" s="31">
        <v>959.46</v>
      </c>
      <c r="O23" s="44"/>
      <c r="P23" s="11">
        <f t="shared" si="22"/>
        <v>959.46</v>
      </c>
      <c r="Q23" s="38"/>
      <c r="R23" s="11">
        <f t="shared" ref="R23" si="28">+P23+Q23+R22</f>
        <v>7391.11</v>
      </c>
      <c r="S23" s="12" t="e">
        <f>+#REF!*L23</f>
        <v>#REF!</v>
      </c>
      <c r="T23" s="13" t="e">
        <f t="shared" si="23"/>
        <v>#REF!</v>
      </c>
      <c r="U23" s="14" t="e">
        <f>+#REF!/0.6*((1.6*T23)/R23-1)</f>
        <v>#REF!</v>
      </c>
      <c r="V23" s="48" t="e">
        <f>+R23*U23</f>
        <v>#REF!</v>
      </c>
      <c r="W23" s="15" t="e">
        <f t="shared" si="27"/>
        <v>#REF!</v>
      </c>
      <c r="X23" s="50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X21"/>
  <sheetViews>
    <sheetView showGridLines="0" zoomScale="75" zoomScaleNormal="75" workbookViewId="0">
      <selection activeCell="X21" sqref="X21"/>
    </sheetView>
  </sheetViews>
  <sheetFormatPr baseColWidth="10" defaultRowHeight="15" x14ac:dyDescent="0.25"/>
  <cols>
    <col min="1" max="1" width="3.28515625" customWidth="1"/>
    <col min="3" max="3" width="11.42578125" hidden="1" customWidth="1"/>
    <col min="4" max="4" width="11.5703125" bestFit="1" customWidth="1"/>
    <col min="5" max="5" width="11.7109375" bestFit="1" customWidth="1"/>
    <col min="6" max="6" width="12.28515625" customWidth="1"/>
    <col min="7" max="7" width="8.85546875" customWidth="1"/>
    <col min="8" max="8" width="11.85546875" customWidth="1"/>
    <col min="9" max="9" width="11" customWidth="1"/>
    <col min="10" max="10" width="10.85546875" customWidth="1"/>
    <col min="11" max="11" width="11.7109375" bestFit="1" customWidth="1"/>
    <col min="12" max="12" width="11.5703125" bestFit="1" customWidth="1"/>
    <col min="13" max="13" width="14" customWidth="1"/>
    <col min="14" max="14" width="12.28515625" customWidth="1"/>
    <col min="15" max="15" width="12.7109375" customWidth="1"/>
    <col min="16" max="16" width="11.42578125" customWidth="1"/>
    <col min="17" max="17" width="11.7109375" bestFit="1" customWidth="1"/>
    <col min="18" max="20" width="11.5703125" bestFit="1" customWidth="1"/>
    <col min="21" max="21" width="1.85546875" customWidth="1"/>
    <col min="22" max="22" width="11.5703125" bestFit="1" customWidth="1"/>
    <col min="23" max="23" width="2.28515625" customWidth="1"/>
    <col min="24" max="24" width="11.42578125" customWidth="1"/>
  </cols>
  <sheetData>
    <row r="1" spans="2:24" ht="15.75" thickBot="1" x14ac:dyDescent="0.3"/>
    <row r="2" spans="2:24" ht="15.75" thickBot="1" x14ac:dyDescent="0.3">
      <c r="B2" s="53" t="s">
        <v>41</v>
      </c>
    </row>
    <row r="3" spans="2:24" ht="15.75" thickBot="1" x14ac:dyDescent="0.3"/>
    <row r="4" spans="2:24" ht="15.75" customHeight="1" thickBot="1" x14ac:dyDescent="0.55000000000000004">
      <c r="B4" s="112" t="s">
        <v>1</v>
      </c>
      <c r="C4" s="113"/>
      <c r="D4" s="114"/>
      <c r="E4" s="52">
        <v>9.8800000000000008</v>
      </c>
      <c r="J4" s="22"/>
      <c r="K4" s="22"/>
      <c r="L4" s="22"/>
    </row>
    <row r="5" spans="2:24" ht="15.75" customHeight="1" thickBot="1" x14ac:dyDescent="0.5">
      <c r="B5" s="112" t="s">
        <v>0</v>
      </c>
      <c r="C5" s="113"/>
      <c r="D5" s="114"/>
      <c r="E5" s="26">
        <v>0.28539999999999999</v>
      </c>
      <c r="H5" s="23"/>
      <c r="I5" s="24"/>
    </row>
    <row r="6" spans="2:24" ht="15.75" thickBot="1" x14ac:dyDescent="0.3"/>
    <row r="7" spans="2:24" s="1" customFormat="1" ht="45.75" thickBot="1" x14ac:dyDescent="0.3">
      <c r="D7" s="39" t="s">
        <v>2</v>
      </c>
      <c r="E7" s="39" t="s">
        <v>3</v>
      </c>
      <c r="F7" s="39" t="s">
        <v>34</v>
      </c>
      <c r="G7" s="39" t="s">
        <v>31</v>
      </c>
      <c r="H7" s="39" t="s">
        <v>4</v>
      </c>
      <c r="I7" s="39" t="s">
        <v>5</v>
      </c>
      <c r="J7" s="39" t="s">
        <v>6</v>
      </c>
      <c r="K7" s="39" t="s">
        <v>33</v>
      </c>
      <c r="L7" s="39" t="s">
        <v>32</v>
      </c>
      <c r="M7" s="39" t="s">
        <v>7</v>
      </c>
      <c r="N7" s="39" t="s">
        <v>8</v>
      </c>
      <c r="O7" s="39" t="s">
        <v>9</v>
      </c>
      <c r="P7" s="39" t="s">
        <v>10</v>
      </c>
      <c r="Q7" s="39" t="s">
        <v>11</v>
      </c>
      <c r="R7" s="39" t="s">
        <v>12</v>
      </c>
      <c r="S7" s="39" t="s">
        <v>13</v>
      </c>
      <c r="T7" s="40" t="s">
        <v>14</v>
      </c>
      <c r="V7" s="51" t="s">
        <v>36</v>
      </c>
      <c r="X7" s="51" t="s">
        <v>37</v>
      </c>
    </row>
    <row r="8" spans="2:24" x14ac:dyDescent="0.25">
      <c r="B8" s="3" t="s">
        <v>15</v>
      </c>
      <c r="C8" s="3" t="str">
        <f t="shared" ref="C8:C19" si="0">+CONCATENATE(B8,$B$2)</f>
        <v>Janviersal3</v>
      </c>
      <c r="D8" s="97">
        <f>+IF(ISNA(VLOOKUP(C8,Données!$B$2:$X$7000,6,0)),0,VLOOKUP(C8,Données!$B$2:$X$7000,6,0))</f>
        <v>151.66999999999999</v>
      </c>
      <c r="E8" s="97">
        <f>+IF(ISNA(VLOOKUP(C8,Données!$B$2:$X$7000,7,0)),0,VLOOKUP(C8,Données!$B$2:$X$7000,7,0))</f>
        <v>2000</v>
      </c>
      <c r="F8" s="97">
        <f>+IF(ISNA(VLOOKUP(C8,Données!$B$2:$X$7000,8,0)),0,VLOOKUP(C8,Données!$B$2:$X$7000,8,0))</f>
        <v>151.66999999999999</v>
      </c>
      <c r="G8" s="97">
        <f>+IF(ISNA(VLOOKUP(C8,Données!$B$2:$X$7000,9,0)),0,VLOOKUP(C8,Données!$B$2:$X$7000,9,0))</f>
        <v>0</v>
      </c>
      <c r="H8" s="97">
        <f>+G8+F8</f>
        <v>151.66999999999999</v>
      </c>
      <c r="I8" s="98">
        <f t="shared" ref="I8:I18" si="1">+IF(E8&lt;&gt;0,IF(G8&lt;&gt;0,H8,IF(K8/(E8/D8)&gt;F8,K8/(E8/D8),H8)),0)</f>
        <v>151.66999999999999</v>
      </c>
      <c r="J8" s="98">
        <f>+I8</f>
        <v>151.66999999999999</v>
      </c>
      <c r="K8" s="97">
        <f>+IF(ISNA(VLOOKUP(C8,Données!$B$2:$X$7000,13,0)),0,VLOOKUP(C8,Données!$B$2:$X$7000,13,0))</f>
        <v>1805.83</v>
      </c>
      <c r="L8" s="98">
        <f>+IF(ISNA(VLOOKUP(C8,Données!$B$2:$X$7000,14,0)),0,VLOOKUP(C8,Données!$B$2:$X$7000,14,0))</f>
        <v>0</v>
      </c>
      <c r="M8" s="97">
        <f>+K8+L8</f>
        <v>1805.83</v>
      </c>
      <c r="N8" s="99">
        <f>+IF(ISNA(VLOOKUP(C8,Données!$B$2:$X$7000,16,0)),0,VLOOKUP(C8,Données!$B$2:$X$7000,16,0))</f>
        <v>0</v>
      </c>
      <c r="O8" s="97">
        <f>+M8+N8</f>
        <v>1805.83</v>
      </c>
      <c r="P8" s="97">
        <f t="shared" ref="P8:P19" si="2">+$E$4*I8</f>
        <v>1498.4996000000001</v>
      </c>
      <c r="Q8" s="97">
        <f>+P8</f>
        <v>1498.4996000000001</v>
      </c>
      <c r="R8" s="97">
        <f t="shared" ref="R8:R19" si="3">IF(E8&lt;&gt;0,$E$5/0.6*((1.6*Q8)/O8-1),0)</f>
        <v>0.15587566875434944</v>
      </c>
      <c r="S8" s="97">
        <f>+O8*R8</f>
        <v>281.48495890666686</v>
      </c>
      <c r="T8" s="100">
        <f>+S8</f>
        <v>281.48495890666686</v>
      </c>
      <c r="U8" s="101"/>
      <c r="V8" s="68">
        <f>+IF(ISNA(VLOOKUP(C8,Données!$B$2:$X$7000,23,0)),0,VLOOKUP(C8,Données!$B$2:$X$7000,23,0))</f>
        <v>150</v>
      </c>
      <c r="W8" s="66"/>
      <c r="X8" s="68">
        <f>+T8-V8</f>
        <v>131.48495890666686</v>
      </c>
    </row>
    <row r="9" spans="2:24" x14ac:dyDescent="0.25">
      <c r="B9" s="9" t="s">
        <v>16</v>
      </c>
      <c r="C9" s="9" t="str">
        <f t="shared" si="0"/>
        <v>Févriersal3</v>
      </c>
      <c r="D9" s="102">
        <f>+IF(ISNA(VLOOKUP(C9,Données!$B$2:$X$7000,6,0)),0,VLOOKUP(C9,Données!$B$2:$X$7000,6,0))</f>
        <v>151.66999999999999</v>
      </c>
      <c r="E9" s="102">
        <f>+IF(ISNA(VLOOKUP(C9,Données!$B$2:$X$7000,7,0)),0,VLOOKUP(C9,Données!$B$2:$X$7000,7,0))</f>
        <v>2000</v>
      </c>
      <c r="F9" s="102">
        <f>+IF(ISNA(VLOOKUP(C9,Données!$B$2:$X$7000,8,0)),0,VLOOKUP(C9,Données!$B$2:$X$7000,8,0))</f>
        <v>151.66999999999999</v>
      </c>
      <c r="G9" s="102">
        <f>+IF(ISNA(VLOOKUP(C9,Données!$B$2:$X$7000,9,0)),0,VLOOKUP(C9,Données!$B$2:$X$7000,9,0))</f>
        <v>0</v>
      </c>
      <c r="H9" s="102">
        <f t="shared" ref="H9:H19" si="4">+G9+F9</f>
        <v>151.66999999999999</v>
      </c>
      <c r="I9" s="103">
        <f t="shared" si="1"/>
        <v>151.66999999999999</v>
      </c>
      <c r="J9" s="103">
        <f t="shared" ref="J9:J19" si="5">+I9</f>
        <v>151.66999999999999</v>
      </c>
      <c r="K9" s="102">
        <f>+IF(ISNA(VLOOKUP(C9,Données!$B$2:$X$7000,13,0)),0,VLOOKUP(C9,Données!$B$2:$X$7000,13,0))</f>
        <v>1668.33</v>
      </c>
      <c r="L9" s="103">
        <f>+IF(ISNA(VLOOKUP(C9,Données!$B$2:$X$7000,14,0)),0,VLOOKUP(C9,Données!$B$2:$X$7000,14,0))</f>
        <v>0</v>
      </c>
      <c r="M9" s="102">
        <f t="shared" ref="M9:M19" si="6">+K9+L9</f>
        <v>1668.33</v>
      </c>
      <c r="N9" s="104">
        <f>+IF(ISNA(VLOOKUP(C9,Données!$B$2:$X$7000,16,0)),0,VLOOKUP(C9,Données!$B$2:$X$7000,16,0))</f>
        <v>0</v>
      </c>
      <c r="O9" s="102">
        <f t="shared" ref="O9:O19" si="7">+M9+N9</f>
        <v>1668.33</v>
      </c>
      <c r="P9" s="105">
        <f t="shared" si="2"/>
        <v>1498.4996000000001</v>
      </c>
      <c r="Q9" s="102">
        <f t="shared" ref="Q9:Q19" si="8">+P9</f>
        <v>1498.4996000000001</v>
      </c>
      <c r="R9" s="105">
        <f t="shared" si="3"/>
        <v>0.20792596523069989</v>
      </c>
      <c r="S9" s="102">
        <f t="shared" ref="S9:S19" si="9">+O9*R9</f>
        <v>346.88912557333356</v>
      </c>
      <c r="T9" s="106">
        <f t="shared" ref="T9:T19" si="10">+S9</f>
        <v>346.88912557333356</v>
      </c>
      <c r="U9" s="101"/>
      <c r="V9" s="81">
        <f>+IF(ISNA(VLOOKUP(C9,Données!$B$2:$X$7000,23,0)),0,VLOOKUP(C9,Données!$B$2:$X$7000,23,0))</f>
        <v>150</v>
      </c>
      <c r="W9" s="66"/>
      <c r="X9" s="81">
        <f t="shared" ref="X9:X19" si="11">+T9-V9</f>
        <v>196.88912557333356</v>
      </c>
    </row>
    <row r="10" spans="2:24" x14ac:dyDescent="0.25">
      <c r="B10" s="9" t="s">
        <v>17</v>
      </c>
      <c r="C10" s="9" t="str">
        <f t="shared" si="0"/>
        <v>Marssal3</v>
      </c>
      <c r="D10" s="102">
        <f>+IF(ISNA(VLOOKUP(C10,Données!$B$2:$X$7000,6,0)),0,VLOOKUP(C10,Données!$B$2:$X$7000,6,0))</f>
        <v>151.66999999999999</v>
      </c>
      <c r="E10" s="102">
        <f>+IF(ISNA(VLOOKUP(C10,Données!$B$2:$X$7000,7,0)),0,VLOOKUP(C10,Données!$B$2:$X$7000,7,0))</f>
        <v>2000</v>
      </c>
      <c r="F10" s="102">
        <f>+IF(ISNA(VLOOKUP(C10,Données!$B$2:$X$7000,8,0)),0,VLOOKUP(C10,Données!$B$2:$X$7000,8,0))</f>
        <v>116.67</v>
      </c>
      <c r="G10" s="102">
        <f>+IF(ISNA(VLOOKUP(C10,Données!$B$2:$X$7000,9,0)),0,VLOOKUP(C10,Données!$B$2:$X$7000,9,0))</f>
        <v>0</v>
      </c>
      <c r="H10" s="102">
        <f t="shared" si="4"/>
        <v>116.67</v>
      </c>
      <c r="I10" s="103">
        <f t="shared" si="1"/>
        <v>116.67</v>
      </c>
      <c r="J10" s="103">
        <f t="shared" si="5"/>
        <v>116.67</v>
      </c>
      <c r="K10" s="102">
        <f>+IF(ISNA(VLOOKUP(C10,Données!$B$2:$X$7000,13,0)),0,VLOOKUP(C10,Données!$B$2:$X$7000,13,0))</f>
        <v>1289.1600000000001</v>
      </c>
      <c r="L10" s="103">
        <f>+IF(ISNA(VLOOKUP(C10,Données!$B$2:$X$7000,14,0)),0,VLOOKUP(C10,Données!$B$2:$X$7000,14,0))</f>
        <v>0</v>
      </c>
      <c r="M10" s="102">
        <f t="shared" si="6"/>
        <v>1289.1600000000001</v>
      </c>
      <c r="N10" s="104">
        <f>+IF(ISNA(VLOOKUP(C10,Données!$B$2:$X$7000,16,0)),0,VLOOKUP(C10,Données!$B$2:$X$7000,16,0))</f>
        <v>0</v>
      </c>
      <c r="O10" s="102">
        <f t="shared" si="7"/>
        <v>1289.1600000000001</v>
      </c>
      <c r="P10" s="105">
        <f t="shared" si="2"/>
        <v>1152.6996000000001</v>
      </c>
      <c r="Q10" s="102">
        <f t="shared" si="8"/>
        <v>1152.6996000000001</v>
      </c>
      <c r="R10" s="105">
        <f t="shared" si="3"/>
        <v>0.20483943206429006</v>
      </c>
      <c r="S10" s="102">
        <f t="shared" si="9"/>
        <v>264.07080224000021</v>
      </c>
      <c r="T10" s="106">
        <f t="shared" si="10"/>
        <v>264.07080224000021</v>
      </c>
      <c r="U10" s="101"/>
      <c r="V10" s="81">
        <f>+IF(ISNA(VLOOKUP(C10,Données!$B$2:$X$7000,23,0)),0,VLOOKUP(C10,Données!$B$2:$X$7000,23,0))</f>
        <v>150</v>
      </c>
      <c r="W10" s="66"/>
      <c r="X10" s="81">
        <f t="shared" si="11"/>
        <v>114.07080224000021</v>
      </c>
    </row>
    <row r="11" spans="2:24" x14ac:dyDescent="0.25">
      <c r="B11" s="9" t="s">
        <v>18</v>
      </c>
      <c r="C11" s="9" t="str">
        <f t="shared" si="0"/>
        <v>Avrilsal3</v>
      </c>
      <c r="D11" s="102">
        <f>+IF(ISNA(VLOOKUP(C11,Données!$B$2:$X$7000,6,0)),0,VLOOKUP(C11,Données!$B$2:$X$7000,6,0))</f>
        <v>151.66999999999999</v>
      </c>
      <c r="E11" s="102">
        <f>+IF(ISNA(VLOOKUP(C11,Données!$B$2:$X$7000,7,0)),0,VLOOKUP(C11,Données!$B$2:$X$7000,7,0))</f>
        <v>2000</v>
      </c>
      <c r="F11" s="102">
        <f>+IF(ISNA(VLOOKUP(C11,Données!$B$2:$X$7000,8,0)),0,VLOOKUP(C11,Données!$B$2:$X$7000,8,0))</f>
        <v>151.66999999999999</v>
      </c>
      <c r="G11" s="102">
        <f>+IF(ISNA(VLOOKUP(C11,Données!$B$2:$X$7000,9,0)),0,VLOOKUP(C11,Données!$B$2:$X$7000,9,0))</f>
        <v>0</v>
      </c>
      <c r="H11" s="102">
        <f t="shared" si="4"/>
        <v>151.66999999999999</v>
      </c>
      <c r="I11" s="103">
        <f t="shared" si="1"/>
        <v>151.66999999999999</v>
      </c>
      <c r="J11" s="103">
        <f t="shared" si="5"/>
        <v>151.66999999999999</v>
      </c>
      <c r="K11" s="102">
        <f>+IF(ISNA(VLOOKUP(C11,Données!$B$2:$X$7000,13,0)),0,VLOOKUP(C11,Données!$B$2:$X$7000,13,0))</f>
        <v>1668.33</v>
      </c>
      <c r="L11" s="103">
        <f>+IF(ISNA(VLOOKUP(C11,Données!$B$2:$X$7000,14,0)),0,VLOOKUP(C11,Données!$B$2:$X$7000,14,0))</f>
        <v>0</v>
      </c>
      <c r="M11" s="102">
        <f t="shared" si="6"/>
        <v>1668.33</v>
      </c>
      <c r="N11" s="104">
        <f>+IF(ISNA(VLOOKUP(C11,Données!$B$2:$X$7000,16,0)),0,VLOOKUP(C11,Données!$B$2:$X$7000,16,0))</f>
        <v>0</v>
      </c>
      <c r="O11" s="102">
        <f t="shared" si="7"/>
        <v>1668.33</v>
      </c>
      <c r="P11" s="105">
        <f t="shared" si="2"/>
        <v>1498.4996000000001</v>
      </c>
      <c r="Q11" s="102">
        <f t="shared" si="8"/>
        <v>1498.4996000000001</v>
      </c>
      <c r="R11" s="105">
        <f t="shared" si="3"/>
        <v>0.20792596523069989</v>
      </c>
      <c r="S11" s="102">
        <f t="shared" si="9"/>
        <v>346.88912557333356</v>
      </c>
      <c r="T11" s="106">
        <f t="shared" si="10"/>
        <v>346.88912557333356</v>
      </c>
      <c r="U11" s="101"/>
      <c r="V11" s="81">
        <f>+IF(ISNA(VLOOKUP(C11,Données!$B$2:$X$7000,23,0)),0,VLOOKUP(C11,Données!$B$2:$X$7000,23,0))</f>
        <v>150</v>
      </c>
      <c r="W11" s="66"/>
      <c r="X11" s="81">
        <f t="shared" si="11"/>
        <v>196.88912557333356</v>
      </c>
    </row>
    <row r="12" spans="2:24" x14ac:dyDescent="0.25">
      <c r="B12" s="9" t="s">
        <v>19</v>
      </c>
      <c r="C12" s="9" t="str">
        <f t="shared" si="0"/>
        <v>Maisal3</v>
      </c>
      <c r="D12" s="102">
        <f>+IF(ISNA(VLOOKUP(C12,Données!$B$2:$X$7000,6,0)),0,VLOOKUP(C12,Données!$B$2:$X$7000,6,0))</f>
        <v>151.66999999999999</v>
      </c>
      <c r="E12" s="102">
        <f>+IF(ISNA(VLOOKUP(C12,Données!$B$2:$X$7000,7,0)),0,VLOOKUP(C12,Données!$B$2:$X$7000,7,0))</f>
        <v>2000</v>
      </c>
      <c r="F12" s="102">
        <f>+IF(ISNA(VLOOKUP(C12,Données!$B$2:$X$7000,8,0)),0,VLOOKUP(C12,Données!$B$2:$X$7000,8,0))</f>
        <v>100</v>
      </c>
      <c r="G12" s="102">
        <f>+IF(ISNA(VLOOKUP(C12,Données!$B$2:$X$7000,9,0)),0,VLOOKUP(C12,Données!$B$2:$X$7000,9,0))</f>
        <v>0</v>
      </c>
      <c r="H12" s="102">
        <f t="shared" si="4"/>
        <v>100</v>
      </c>
      <c r="I12" s="103">
        <f>+IF(E12&lt;&gt;0,IF(G12&lt;&gt;0,H12,IF(K12/(E12/D12)&gt;F12,K12/(E12/D12),H12)),0)</f>
        <v>100</v>
      </c>
      <c r="J12" s="103">
        <f t="shared" si="5"/>
        <v>100</v>
      </c>
      <c r="K12" s="102">
        <f>+IF(ISNA(VLOOKUP(C12,Données!$B$2:$X$7000,13,0)),0,VLOOKUP(C12,Données!$B$2:$X$7000,13,0))</f>
        <v>959.46</v>
      </c>
      <c r="L12" s="103">
        <f>+IF(ISNA(VLOOKUP(C12,Données!$B$2:$X$7000,14,0)),0,VLOOKUP(C12,Données!$B$2:$X$7000,14,0))</f>
        <v>0</v>
      </c>
      <c r="M12" s="102">
        <f t="shared" si="6"/>
        <v>959.46</v>
      </c>
      <c r="N12" s="104">
        <f>+IF(ISNA(VLOOKUP(C12,Données!$B$2:$X$7000,16,0)),0,VLOOKUP(C12,Données!$B$2:$X$7000,16,0))</f>
        <v>0</v>
      </c>
      <c r="O12" s="102">
        <f t="shared" si="7"/>
        <v>959.46</v>
      </c>
      <c r="P12" s="105">
        <f t="shared" si="2"/>
        <v>988.00000000000011</v>
      </c>
      <c r="Q12" s="102">
        <f t="shared" si="8"/>
        <v>988.00000000000011</v>
      </c>
      <c r="R12" s="105">
        <f t="shared" si="3"/>
        <v>0.30803861199702615</v>
      </c>
      <c r="S12" s="102">
        <f t="shared" si="9"/>
        <v>295.55072666666672</v>
      </c>
      <c r="T12" s="106">
        <f t="shared" si="10"/>
        <v>295.55072666666672</v>
      </c>
      <c r="U12" s="101"/>
      <c r="V12" s="81">
        <f>+IF(ISNA(VLOOKUP(C12,Données!$B$2:$X$7000,23,0)),0,VLOOKUP(C12,Données!$B$2:$X$7000,23,0))</f>
        <v>150</v>
      </c>
      <c r="W12" s="66"/>
      <c r="X12" s="81">
        <f t="shared" si="11"/>
        <v>145.55072666666672</v>
      </c>
    </row>
    <row r="13" spans="2:24" x14ac:dyDescent="0.25">
      <c r="B13" s="9" t="s">
        <v>20</v>
      </c>
      <c r="C13" s="9" t="str">
        <f t="shared" si="0"/>
        <v>Juinsal3</v>
      </c>
      <c r="D13" s="102">
        <f>+IF(ISNA(VLOOKUP(C13,Données!$B$2:$X$7000,6,0)),0,VLOOKUP(C13,Données!$B$2:$X$7000,6,0))</f>
        <v>0</v>
      </c>
      <c r="E13" s="102">
        <f>+IF(ISNA(VLOOKUP(C13,Données!$B$2:$X$7000,7,0)),0,VLOOKUP(C13,Données!$B$2:$X$7000,7,0))</f>
        <v>0</v>
      </c>
      <c r="F13" s="102">
        <f>+IF(ISNA(VLOOKUP(C13,Données!$B$2:$X$7000,8,0)),0,VLOOKUP(C13,Données!$B$2:$X$7000,8,0))</f>
        <v>0</v>
      </c>
      <c r="G13" s="102">
        <f>+IF(ISNA(VLOOKUP(C13,Données!$B$2:$X$7000,9,0)),0,VLOOKUP(C13,Données!$B$2:$X$7000,9,0))</f>
        <v>0</v>
      </c>
      <c r="H13" s="102">
        <f t="shared" si="4"/>
        <v>0</v>
      </c>
      <c r="I13" s="103">
        <f t="shared" si="1"/>
        <v>0</v>
      </c>
      <c r="J13" s="103">
        <f t="shared" si="5"/>
        <v>0</v>
      </c>
      <c r="K13" s="102">
        <f>+IF(ISNA(VLOOKUP(C13,Données!$B$2:$X$7000,13,0)),0,VLOOKUP(C13,Données!$B$2:$X$7000,13,0))</f>
        <v>0</v>
      </c>
      <c r="L13" s="103">
        <f>+IF(ISNA(VLOOKUP(C13,Données!$B$2:$X$7000,14,0)),0,VLOOKUP(C13,Données!$B$2:$X$7000,14,0))</f>
        <v>0</v>
      </c>
      <c r="M13" s="102">
        <f t="shared" si="6"/>
        <v>0</v>
      </c>
      <c r="N13" s="104">
        <f>+IF(ISNA(VLOOKUP(C13,Données!$B$2:$X$7000,16,0)),0,VLOOKUP(C13,Données!$B$2:$X$7000,16,0))</f>
        <v>0</v>
      </c>
      <c r="O13" s="102">
        <f t="shared" si="7"/>
        <v>0</v>
      </c>
      <c r="P13" s="105">
        <f t="shared" si="2"/>
        <v>0</v>
      </c>
      <c r="Q13" s="102">
        <f t="shared" si="8"/>
        <v>0</v>
      </c>
      <c r="R13" s="105">
        <f t="shared" si="3"/>
        <v>0</v>
      </c>
      <c r="S13" s="102">
        <f t="shared" si="9"/>
        <v>0</v>
      </c>
      <c r="T13" s="106">
        <f t="shared" si="10"/>
        <v>0</v>
      </c>
      <c r="U13" s="101"/>
      <c r="V13" s="81">
        <f>+IF(ISNA(VLOOKUP(C13,Données!$B$2:$X$7000,23,0)),0,VLOOKUP(C13,Données!$B$2:$X$7000,23,0))</f>
        <v>0</v>
      </c>
      <c r="W13" s="66"/>
      <c r="X13" s="81">
        <f t="shared" si="11"/>
        <v>0</v>
      </c>
    </row>
    <row r="14" spans="2:24" x14ac:dyDescent="0.25">
      <c r="B14" s="9" t="s">
        <v>21</v>
      </c>
      <c r="C14" s="9" t="str">
        <f t="shared" si="0"/>
        <v>Juilletsal3</v>
      </c>
      <c r="D14" s="102">
        <f>+IF(ISNA(VLOOKUP(C14,Données!$B$2:$X$7000,6,0)),0,VLOOKUP(C14,Données!$B$2:$X$7000,6,0))</f>
        <v>0</v>
      </c>
      <c r="E14" s="102">
        <f>+IF(ISNA(VLOOKUP(C14,Données!$B$2:$X$7000,7,0)),0,VLOOKUP(C14,Données!$B$2:$X$7000,7,0))</f>
        <v>0</v>
      </c>
      <c r="F14" s="102">
        <f>+IF(ISNA(VLOOKUP(C14,Données!$B$2:$X$7000,8,0)),0,VLOOKUP(C14,Données!$B$2:$X$7000,8,0))</f>
        <v>0</v>
      </c>
      <c r="G14" s="102">
        <f>+IF(ISNA(VLOOKUP(C14,Données!$B$2:$X$7000,9,0)),0,VLOOKUP(C14,Données!$B$2:$X$7000,9,0))</f>
        <v>0</v>
      </c>
      <c r="H14" s="102">
        <f t="shared" si="4"/>
        <v>0</v>
      </c>
      <c r="I14" s="103">
        <f t="shared" si="1"/>
        <v>0</v>
      </c>
      <c r="J14" s="103">
        <f t="shared" si="5"/>
        <v>0</v>
      </c>
      <c r="K14" s="102">
        <f>+IF(ISNA(VLOOKUP(C14,Données!$B$2:$X$7000,13,0)),0,VLOOKUP(C14,Données!$B$2:$X$7000,13,0))</f>
        <v>0</v>
      </c>
      <c r="L14" s="103">
        <f>+IF(ISNA(VLOOKUP(C14,Données!$B$2:$X$7000,14,0)),0,VLOOKUP(C14,Données!$B$2:$X$7000,14,0))</f>
        <v>0</v>
      </c>
      <c r="M14" s="102">
        <f t="shared" si="6"/>
        <v>0</v>
      </c>
      <c r="N14" s="104">
        <f>+IF(ISNA(VLOOKUP(C14,Données!$B$2:$X$7000,16,0)),0,VLOOKUP(C14,Données!$B$2:$X$7000,16,0))</f>
        <v>0</v>
      </c>
      <c r="O14" s="102">
        <f t="shared" si="7"/>
        <v>0</v>
      </c>
      <c r="P14" s="105">
        <f t="shared" si="2"/>
        <v>0</v>
      </c>
      <c r="Q14" s="102">
        <f t="shared" si="8"/>
        <v>0</v>
      </c>
      <c r="R14" s="105">
        <f t="shared" si="3"/>
        <v>0</v>
      </c>
      <c r="S14" s="102">
        <f t="shared" si="9"/>
        <v>0</v>
      </c>
      <c r="T14" s="106">
        <f t="shared" si="10"/>
        <v>0</v>
      </c>
      <c r="U14" s="101"/>
      <c r="V14" s="81">
        <f>+IF(ISNA(VLOOKUP(C14,Données!$B$2:$X$7000,23,0)),0,VLOOKUP(C14,Données!$B$2:$X$7000,23,0))</f>
        <v>0</v>
      </c>
      <c r="W14" s="66"/>
      <c r="X14" s="81">
        <f t="shared" si="11"/>
        <v>0</v>
      </c>
    </row>
    <row r="15" spans="2:24" x14ac:dyDescent="0.25">
      <c r="B15" s="9" t="s">
        <v>22</v>
      </c>
      <c r="C15" s="9" t="str">
        <f t="shared" si="0"/>
        <v>Aoûtsal3</v>
      </c>
      <c r="D15" s="102">
        <f>+IF(ISNA(VLOOKUP(C15,Données!$B$2:$X$7000,6,0)),0,VLOOKUP(C15,Données!$B$2:$X$7000,6,0))</f>
        <v>0</v>
      </c>
      <c r="E15" s="102">
        <f>+IF(ISNA(VLOOKUP(C15,Données!$B$2:$X$7000,7,0)),0,VLOOKUP(C15,Données!$B$2:$X$7000,7,0))</f>
        <v>0</v>
      </c>
      <c r="F15" s="102">
        <f>+IF(ISNA(VLOOKUP(C15,Données!$B$2:$X$7000,8,0)),0,VLOOKUP(C15,Données!$B$2:$X$7000,8,0))</f>
        <v>0</v>
      </c>
      <c r="G15" s="102">
        <f>+IF(ISNA(VLOOKUP(C15,Données!$B$2:$X$7000,9,0)),0,VLOOKUP(C15,Données!$B$2:$X$7000,9,0))</f>
        <v>0</v>
      </c>
      <c r="H15" s="102">
        <f t="shared" si="4"/>
        <v>0</v>
      </c>
      <c r="I15" s="103">
        <f t="shared" si="1"/>
        <v>0</v>
      </c>
      <c r="J15" s="103">
        <f t="shared" si="5"/>
        <v>0</v>
      </c>
      <c r="K15" s="102">
        <f>+IF(ISNA(VLOOKUP(C15,Données!$B$2:$X$7000,13,0)),0,VLOOKUP(C15,Données!$B$2:$X$7000,13,0))</f>
        <v>0</v>
      </c>
      <c r="L15" s="103">
        <f>+IF(ISNA(VLOOKUP(C15,Données!$B$2:$X$7000,14,0)),0,VLOOKUP(C15,Données!$B$2:$X$7000,14,0))</f>
        <v>0</v>
      </c>
      <c r="M15" s="102">
        <f t="shared" si="6"/>
        <v>0</v>
      </c>
      <c r="N15" s="104">
        <f>+IF(ISNA(VLOOKUP(C15,Données!$B$2:$X$7000,16,0)),0,VLOOKUP(C15,Données!$B$2:$X$7000,16,0))</f>
        <v>0</v>
      </c>
      <c r="O15" s="102">
        <f t="shared" si="7"/>
        <v>0</v>
      </c>
      <c r="P15" s="105">
        <f t="shared" si="2"/>
        <v>0</v>
      </c>
      <c r="Q15" s="102">
        <f t="shared" si="8"/>
        <v>0</v>
      </c>
      <c r="R15" s="105">
        <f t="shared" si="3"/>
        <v>0</v>
      </c>
      <c r="S15" s="102">
        <f t="shared" si="9"/>
        <v>0</v>
      </c>
      <c r="T15" s="106">
        <f t="shared" si="10"/>
        <v>0</v>
      </c>
      <c r="U15" s="101"/>
      <c r="V15" s="81">
        <f>+IF(ISNA(VLOOKUP(C15,Données!$B$2:$X$7000,23,0)),0,VLOOKUP(C15,Données!$B$2:$X$7000,23,0))</f>
        <v>0</v>
      </c>
      <c r="W15" s="66"/>
      <c r="X15" s="81">
        <f t="shared" si="11"/>
        <v>0</v>
      </c>
    </row>
    <row r="16" spans="2:24" x14ac:dyDescent="0.25">
      <c r="B16" s="9" t="s">
        <v>23</v>
      </c>
      <c r="C16" s="9" t="str">
        <f t="shared" si="0"/>
        <v>Septembresal3</v>
      </c>
      <c r="D16" s="102">
        <f>+IF(ISNA(VLOOKUP(C16,Données!$B$2:$X$7000,6,0)),0,VLOOKUP(C16,Données!$B$2:$X$7000,6,0))</f>
        <v>0</v>
      </c>
      <c r="E16" s="102">
        <f>+IF(ISNA(VLOOKUP(C16,Données!$B$2:$X$7000,7,0)),0,VLOOKUP(C16,Données!$B$2:$X$7000,7,0))</f>
        <v>0</v>
      </c>
      <c r="F16" s="102">
        <f>+IF(ISNA(VLOOKUP(C16,Données!$B$2:$X$7000,8,0)),0,VLOOKUP(C16,Données!$B$2:$X$7000,8,0))</f>
        <v>0</v>
      </c>
      <c r="G16" s="102">
        <f>+IF(ISNA(VLOOKUP(C16,Données!$B$2:$X$7000,9,0)),0,VLOOKUP(C16,Données!$B$2:$X$7000,9,0))</f>
        <v>0</v>
      </c>
      <c r="H16" s="102">
        <f t="shared" si="4"/>
        <v>0</v>
      </c>
      <c r="I16" s="103">
        <f t="shared" si="1"/>
        <v>0</v>
      </c>
      <c r="J16" s="103">
        <f t="shared" si="5"/>
        <v>0</v>
      </c>
      <c r="K16" s="102">
        <f>+IF(ISNA(VLOOKUP(C16,Données!$B$2:$X$7000,13,0)),0,VLOOKUP(C16,Données!$B$2:$X$7000,13,0))</f>
        <v>0</v>
      </c>
      <c r="L16" s="103">
        <f>+IF(ISNA(VLOOKUP(C16,Données!$B$2:$X$7000,14,0)),0,VLOOKUP(C16,Données!$B$2:$X$7000,14,0))</f>
        <v>0</v>
      </c>
      <c r="M16" s="102">
        <f t="shared" si="6"/>
        <v>0</v>
      </c>
      <c r="N16" s="104">
        <f>+IF(ISNA(VLOOKUP(C16,Données!$B$2:$X$7000,16,0)),0,VLOOKUP(C16,Données!$B$2:$X$7000,16,0))</f>
        <v>0</v>
      </c>
      <c r="O16" s="102">
        <f t="shared" si="7"/>
        <v>0</v>
      </c>
      <c r="P16" s="105">
        <f t="shared" si="2"/>
        <v>0</v>
      </c>
      <c r="Q16" s="102">
        <f t="shared" si="8"/>
        <v>0</v>
      </c>
      <c r="R16" s="105">
        <f t="shared" si="3"/>
        <v>0</v>
      </c>
      <c r="S16" s="102">
        <f t="shared" si="9"/>
        <v>0</v>
      </c>
      <c r="T16" s="106">
        <f t="shared" si="10"/>
        <v>0</v>
      </c>
      <c r="U16" s="101"/>
      <c r="V16" s="81">
        <f>+IF(ISNA(VLOOKUP(C16,Données!$B$2:$X$7000,23,0)),0,VLOOKUP(C16,Données!$B$2:$X$7000,23,0))</f>
        <v>0</v>
      </c>
      <c r="W16" s="66"/>
      <c r="X16" s="81">
        <f t="shared" si="11"/>
        <v>0</v>
      </c>
    </row>
    <row r="17" spans="2:24" x14ac:dyDescent="0.25">
      <c r="B17" s="9" t="s">
        <v>24</v>
      </c>
      <c r="C17" s="9" t="str">
        <f t="shared" si="0"/>
        <v>Octobresal3</v>
      </c>
      <c r="D17" s="102">
        <f>+IF(ISNA(VLOOKUP(C17,Données!$B$2:$X$7000,6,0)),0,VLOOKUP(C17,Données!$B$2:$X$7000,6,0))</f>
        <v>0</v>
      </c>
      <c r="E17" s="102">
        <f>+IF(ISNA(VLOOKUP(C17,Données!$B$2:$X$7000,7,0)),0,VLOOKUP(C17,Données!$B$2:$X$7000,7,0))</f>
        <v>0</v>
      </c>
      <c r="F17" s="102">
        <f>+IF(ISNA(VLOOKUP(C17,Données!$B$2:$X$7000,8,0)),0,VLOOKUP(C17,Données!$B$2:$X$7000,8,0))</f>
        <v>0</v>
      </c>
      <c r="G17" s="102">
        <f>+IF(ISNA(VLOOKUP(C17,Données!$B$2:$X$7000,9,0)),0,VLOOKUP(C17,Données!$B$2:$X$7000,9,0))</f>
        <v>0</v>
      </c>
      <c r="H17" s="102">
        <f t="shared" si="4"/>
        <v>0</v>
      </c>
      <c r="I17" s="103">
        <f t="shared" si="1"/>
        <v>0</v>
      </c>
      <c r="J17" s="103">
        <f t="shared" si="5"/>
        <v>0</v>
      </c>
      <c r="K17" s="102">
        <f>+IF(ISNA(VLOOKUP(C17,Données!$B$2:$X$7000,13,0)),0,VLOOKUP(C17,Données!$B$2:$X$7000,13,0))</f>
        <v>0</v>
      </c>
      <c r="L17" s="103">
        <f>+IF(ISNA(VLOOKUP(C17,Données!$B$2:$X$7000,14,0)),0,VLOOKUP(C17,Données!$B$2:$X$7000,14,0))</f>
        <v>0</v>
      </c>
      <c r="M17" s="102">
        <f t="shared" si="6"/>
        <v>0</v>
      </c>
      <c r="N17" s="104">
        <f>+IF(ISNA(VLOOKUP(C17,Données!$B$2:$X$7000,16,0)),0,VLOOKUP(C17,Données!$B$2:$X$7000,16,0))</f>
        <v>0</v>
      </c>
      <c r="O17" s="102">
        <f t="shared" si="7"/>
        <v>0</v>
      </c>
      <c r="P17" s="105">
        <f t="shared" si="2"/>
        <v>0</v>
      </c>
      <c r="Q17" s="102">
        <f t="shared" si="8"/>
        <v>0</v>
      </c>
      <c r="R17" s="105">
        <f t="shared" si="3"/>
        <v>0</v>
      </c>
      <c r="S17" s="102">
        <f t="shared" si="9"/>
        <v>0</v>
      </c>
      <c r="T17" s="106">
        <f t="shared" si="10"/>
        <v>0</v>
      </c>
      <c r="U17" s="101"/>
      <c r="V17" s="81">
        <f>+IF(ISNA(VLOOKUP(C17,Données!$B$2:$X$7000,23,0)),0,VLOOKUP(C17,Données!$B$2:$X$7000,23,0))</f>
        <v>0</v>
      </c>
      <c r="W17" s="66"/>
      <c r="X17" s="81">
        <f t="shared" si="11"/>
        <v>0</v>
      </c>
    </row>
    <row r="18" spans="2:24" x14ac:dyDescent="0.25">
      <c r="B18" s="9" t="s">
        <v>25</v>
      </c>
      <c r="C18" s="9" t="str">
        <f t="shared" si="0"/>
        <v>Novembresal3</v>
      </c>
      <c r="D18" s="102">
        <f>+IF(ISNA(VLOOKUP(C18,Données!$B$2:$X$7000,6,0)),0,VLOOKUP(C18,Données!$B$2:$X$7000,6,0))</f>
        <v>0</v>
      </c>
      <c r="E18" s="102">
        <f>+IF(ISNA(VLOOKUP(C18,Données!$B$2:$X$7000,7,0)),0,VLOOKUP(C18,Données!$B$2:$X$7000,7,0))</f>
        <v>0</v>
      </c>
      <c r="F18" s="102">
        <f>+IF(ISNA(VLOOKUP(C18,Données!$B$2:$X$7000,8,0)),0,VLOOKUP(C18,Données!$B$2:$X$7000,8,0))</f>
        <v>0</v>
      </c>
      <c r="G18" s="102">
        <f>+IF(ISNA(VLOOKUP(C18,Données!$B$2:$X$7000,9,0)),0,VLOOKUP(C18,Données!$B$2:$X$7000,9,0))</f>
        <v>0</v>
      </c>
      <c r="H18" s="102">
        <f t="shared" si="4"/>
        <v>0</v>
      </c>
      <c r="I18" s="103">
        <f t="shared" si="1"/>
        <v>0</v>
      </c>
      <c r="J18" s="103">
        <f t="shared" si="5"/>
        <v>0</v>
      </c>
      <c r="K18" s="102">
        <f>+IF(ISNA(VLOOKUP(C18,Données!$B$2:$X$7000,13,0)),0,VLOOKUP(C18,Données!$B$2:$X$7000,13,0))</f>
        <v>0</v>
      </c>
      <c r="L18" s="103">
        <f>+IF(ISNA(VLOOKUP(C18,Données!$B$2:$X$7000,14,0)),0,VLOOKUP(C18,Données!$B$2:$X$7000,14,0))</f>
        <v>0</v>
      </c>
      <c r="M18" s="102">
        <f t="shared" si="6"/>
        <v>0</v>
      </c>
      <c r="N18" s="104">
        <f>+IF(ISNA(VLOOKUP(C18,Données!$B$2:$X$7000,16,0)),0,VLOOKUP(C18,Données!$B$2:$X$7000,16,0))</f>
        <v>0</v>
      </c>
      <c r="O18" s="102">
        <f t="shared" si="7"/>
        <v>0</v>
      </c>
      <c r="P18" s="105">
        <f t="shared" si="2"/>
        <v>0</v>
      </c>
      <c r="Q18" s="102">
        <f t="shared" si="8"/>
        <v>0</v>
      </c>
      <c r="R18" s="105">
        <f t="shared" si="3"/>
        <v>0</v>
      </c>
      <c r="S18" s="102">
        <f t="shared" si="9"/>
        <v>0</v>
      </c>
      <c r="T18" s="106">
        <f t="shared" si="10"/>
        <v>0</v>
      </c>
      <c r="U18" s="101"/>
      <c r="V18" s="81">
        <f>+IF(ISNA(VLOOKUP(C18,Données!$B$2:$X$7000,23,0)),0,VLOOKUP(C18,Données!$B$2:$X$7000,23,0))</f>
        <v>0</v>
      </c>
      <c r="W18" s="66"/>
      <c r="X18" s="81">
        <f t="shared" si="11"/>
        <v>0</v>
      </c>
    </row>
    <row r="19" spans="2:24" ht="15.75" thickBot="1" x14ac:dyDescent="0.3">
      <c r="B19" s="16" t="s">
        <v>26</v>
      </c>
      <c r="C19" s="16" t="str">
        <f t="shared" si="0"/>
        <v>Décembresal3</v>
      </c>
      <c r="D19" s="107">
        <f>+IF(ISNA(VLOOKUP(C19,Données!$B$2:$X$7000,6,0)),0,VLOOKUP(C19,Données!$B$2:$X$7000,6,0))</f>
        <v>0</v>
      </c>
      <c r="E19" s="107">
        <f>+IF(ISNA(VLOOKUP(C19,Données!$B$2:$X$7000,7,0)),0,VLOOKUP(C19,Données!$B$2:$X$7000,7,0))</f>
        <v>0</v>
      </c>
      <c r="F19" s="107">
        <f>+IF(ISNA(VLOOKUP(C19,Données!$B$2:$X$7000,8,0)),0,VLOOKUP(C19,Données!$B$2:$X$7000,8,0))</f>
        <v>0</v>
      </c>
      <c r="G19" s="107">
        <f>+IF(ISNA(VLOOKUP(C19,Données!$B$2:$X$7000,9,0)),0,VLOOKUP(C19,Données!$B$2:$X$7000,9,0))</f>
        <v>0</v>
      </c>
      <c r="H19" s="107">
        <f t="shared" si="4"/>
        <v>0</v>
      </c>
      <c r="I19" s="108">
        <f>+IF(E19&lt;&gt;0,IF(G19&lt;&gt;0,H19,IF(K19/(E19/D19)&gt;F19,K19/(E19/D19),H19)),0)</f>
        <v>0</v>
      </c>
      <c r="J19" s="108">
        <f t="shared" si="5"/>
        <v>0</v>
      </c>
      <c r="K19" s="107">
        <f>+IF(ISNA(VLOOKUP(C19,Données!$B$2:$X$7000,13,0)),0,VLOOKUP(C19,Données!$B$2:$X$7000,13,0))</f>
        <v>0</v>
      </c>
      <c r="L19" s="108">
        <f>+IF(ISNA(VLOOKUP(C19,Données!$B$2:$X$7000,14,0)),0,VLOOKUP(C19,Données!$B$2:$X$7000,14,0))</f>
        <v>0</v>
      </c>
      <c r="M19" s="107">
        <f t="shared" si="6"/>
        <v>0</v>
      </c>
      <c r="N19" s="109">
        <f>+IF(ISNA(VLOOKUP(C19,Données!$B$2:$X$7000,16,0)),0,VLOOKUP(C19,Données!$B$2:$X$7000,16,0))</f>
        <v>0</v>
      </c>
      <c r="O19" s="107">
        <f t="shared" si="7"/>
        <v>0</v>
      </c>
      <c r="P19" s="110">
        <f t="shared" si="2"/>
        <v>0</v>
      </c>
      <c r="Q19" s="107">
        <f t="shared" si="8"/>
        <v>0</v>
      </c>
      <c r="R19" s="110">
        <f t="shared" si="3"/>
        <v>0</v>
      </c>
      <c r="S19" s="107">
        <f t="shared" si="9"/>
        <v>0</v>
      </c>
      <c r="T19" s="111">
        <f t="shared" si="10"/>
        <v>0</v>
      </c>
      <c r="U19" s="101"/>
      <c r="V19" s="94">
        <f>+IF(ISNA(VLOOKUP(C19,Données!$B$2:$X$7000,23,0)),0,VLOOKUP(C19,Données!$B$2:$X$7000,23,0))</f>
        <v>0</v>
      </c>
      <c r="W19" s="66"/>
      <c r="X19" s="94">
        <f t="shared" si="11"/>
        <v>0</v>
      </c>
    </row>
    <row r="21" spans="2:24" x14ac:dyDescent="0.25">
      <c r="X21" s="96">
        <f>SUM(X8:X20)</f>
        <v>784.88473896000085</v>
      </c>
    </row>
  </sheetData>
  <mergeCells count="2">
    <mergeCell ref="B4:D4"/>
    <mergeCell ref="B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F36"/>
  <sheetViews>
    <sheetView workbookViewId="0">
      <selection activeCell="C26" sqref="C26"/>
    </sheetView>
  </sheetViews>
  <sheetFormatPr baseColWidth="10" defaultRowHeight="15" x14ac:dyDescent="0.25"/>
  <cols>
    <col min="1" max="16384" width="11.42578125" style="25"/>
  </cols>
  <sheetData>
    <row r="1" spans="3:6" x14ac:dyDescent="0.25">
      <c r="C1" t="s">
        <v>39</v>
      </c>
      <c r="D1" s="25" t="s">
        <v>38</v>
      </c>
      <c r="E1" s="25" t="s">
        <v>28</v>
      </c>
      <c r="F1" s="95"/>
    </row>
    <row r="2" spans="3:6" x14ac:dyDescent="0.25">
      <c r="C2" t="s">
        <v>40</v>
      </c>
      <c r="D2" s="25" t="s">
        <v>27</v>
      </c>
      <c r="E2" s="25" t="s">
        <v>29</v>
      </c>
      <c r="F2" s="95"/>
    </row>
    <row r="3" spans="3:6" x14ac:dyDescent="0.25">
      <c r="C3" t="s">
        <v>41</v>
      </c>
      <c r="D3" s="25" t="s">
        <v>30</v>
      </c>
      <c r="E3" t="s">
        <v>75</v>
      </c>
      <c r="F3" s="95"/>
    </row>
    <row r="4" spans="3:6" x14ac:dyDescent="0.25">
      <c r="C4" t="s">
        <v>42</v>
      </c>
    </row>
    <row r="5" spans="3:6" x14ac:dyDescent="0.25">
      <c r="C5" t="s">
        <v>43</v>
      </c>
    </row>
    <row r="6" spans="3:6" x14ac:dyDescent="0.25">
      <c r="C6" t="s">
        <v>44</v>
      </c>
    </row>
    <row r="7" spans="3:6" x14ac:dyDescent="0.25">
      <c r="C7" t="s">
        <v>45</v>
      </c>
    </row>
    <row r="8" spans="3:6" x14ac:dyDescent="0.25">
      <c r="C8" t="s">
        <v>46</v>
      </c>
    </row>
    <row r="9" spans="3:6" x14ac:dyDescent="0.25">
      <c r="C9" t="s">
        <v>47</v>
      </c>
    </row>
    <row r="10" spans="3:6" x14ac:dyDescent="0.25">
      <c r="C10" t="s">
        <v>48</v>
      </c>
    </row>
    <row r="11" spans="3:6" x14ac:dyDescent="0.25">
      <c r="C11" t="s">
        <v>49</v>
      </c>
    </row>
    <row r="12" spans="3:6" x14ac:dyDescent="0.25">
      <c r="C12" t="s">
        <v>50</v>
      </c>
    </row>
    <row r="13" spans="3:6" x14ac:dyDescent="0.25">
      <c r="C13" t="s">
        <v>51</v>
      </c>
    </row>
    <row r="14" spans="3:6" x14ac:dyDescent="0.25">
      <c r="C14" t="s">
        <v>52</v>
      </c>
    </row>
    <row r="15" spans="3:6" x14ac:dyDescent="0.25">
      <c r="C15" t="s">
        <v>53</v>
      </c>
    </row>
    <row r="16" spans="3:6" x14ac:dyDescent="0.25">
      <c r="C16" t="s">
        <v>54</v>
      </c>
    </row>
    <row r="17" spans="3:3" x14ac:dyDescent="0.25">
      <c r="C17" t="s">
        <v>55</v>
      </c>
    </row>
    <row r="18" spans="3:3" x14ac:dyDescent="0.25">
      <c r="C18" t="s">
        <v>56</v>
      </c>
    </row>
    <row r="19" spans="3:3" x14ac:dyDescent="0.25">
      <c r="C19" t="s">
        <v>57</v>
      </c>
    </row>
    <row r="20" spans="3:3" x14ac:dyDescent="0.25">
      <c r="C20" t="s">
        <v>58</v>
      </c>
    </row>
    <row r="21" spans="3:3" x14ac:dyDescent="0.25">
      <c r="C21" t="s">
        <v>59</v>
      </c>
    </row>
    <row r="22" spans="3:3" x14ac:dyDescent="0.25">
      <c r="C22" t="s">
        <v>60</v>
      </c>
    </row>
    <row r="23" spans="3:3" x14ac:dyDescent="0.25">
      <c r="C23" t="s">
        <v>61</v>
      </c>
    </row>
    <row r="24" spans="3:3" x14ac:dyDescent="0.25">
      <c r="C24" t="s">
        <v>62</v>
      </c>
    </row>
    <row r="25" spans="3:3" x14ac:dyDescent="0.25">
      <c r="C25" t="s">
        <v>63</v>
      </c>
    </row>
    <row r="26" spans="3:3" x14ac:dyDescent="0.25">
      <c r="C26" t="s">
        <v>64</v>
      </c>
    </row>
    <row r="27" spans="3:3" x14ac:dyDescent="0.25">
      <c r="C27" t="s">
        <v>65</v>
      </c>
    </row>
    <row r="28" spans="3:3" x14ac:dyDescent="0.25">
      <c r="C28" t="s">
        <v>66</v>
      </c>
    </row>
    <row r="29" spans="3:3" x14ac:dyDescent="0.25">
      <c r="C29" t="s">
        <v>67</v>
      </c>
    </row>
    <row r="30" spans="3:3" x14ac:dyDescent="0.25">
      <c r="C30" t="s">
        <v>68</v>
      </c>
    </row>
    <row r="31" spans="3:3" x14ac:dyDescent="0.25">
      <c r="C31" t="s">
        <v>69</v>
      </c>
    </row>
    <row r="32" spans="3:3" x14ac:dyDescent="0.25">
      <c r="C32" t="s">
        <v>70</v>
      </c>
    </row>
    <row r="33" spans="3:3" x14ac:dyDescent="0.25">
      <c r="C33" t="s">
        <v>71</v>
      </c>
    </row>
    <row r="34" spans="3:3" x14ac:dyDescent="0.25">
      <c r="C34" t="s">
        <v>72</v>
      </c>
    </row>
    <row r="35" spans="3:3" x14ac:dyDescent="0.25">
      <c r="C35" t="s">
        <v>73</v>
      </c>
    </row>
    <row r="36" spans="3:3" x14ac:dyDescent="0.25">
      <c r="C36" t="s">
        <v>74</v>
      </c>
    </row>
  </sheetData>
  <hyperlinks>
    <hyperlink ref="D2" r:id="rId1" display="http://www.quelprenom.com/prenom_detail.php?prenom_id=1910"/>
    <hyperlink ref="E2" r:id="rId2" display="http://www.quelprenom.com/prenom_detail.php?prenom_id=15"/>
    <hyperlink ref="D3" r:id="rId3" display="http://www.quelprenom.com/prenom_detail.php?prenom_id=348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X21"/>
  <sheetViews>
    <sheetView showGridLines="0" zoomScale="75" zoomScaleNormal="75" workbookViewId="0">
      <selection activeCell="D8" sqref="D8:X19"/>
    </sheetView>
  </sheetViews>
  <sheetFormatPr baseColWidth="10" defaultRowHeight="15" x14ac:dyDescent="0.25"/>
  <cols>
    <col min="1" max="1" width="3.28515625" customWidth="1"/>
    <col min="3" max="3" width="11.42578125" hidden="1" customWidth="1"/>
    <col min="4" max="4" width="11.5703125" bestFit="1" customWidth="1"/>
    <col min="5" max="5" width="11.7109375" bestFit="1" customWidth="1"/>
    <col min="6" max="6" width="12.28515625" customWidth="1"/>
    <col min="7" max="7" width="8.85546875" customWidth="1"/>
    <col min="8" max="8" width="11.85546875" customWidth="1"/>
    <col min="9" max="9" width="11" customWidth="1"/>
    <col min="10" max="10" width="10.85546875" customWidth="1"/>
    <col min="11" max="11" width="11.7109375" bestFit="1" customWidth="1"/>
    <col min="12" max="12" width="11.5703125" bestFit="1" customWidth="1"/>
    <col min="13" max="13" width="14" customWidth="1"/>
    <col min="14" max="14" width="12.28515625" customWidth="1"/>
    <col min="15" max="15" width="12.7109375" customWidth="1"/>
    <col min="16" max="16" width="11.42578125" customWidth="1"/>
    <col min="17" max="17" width="11.7109375" bestFit="1" customWidth="1"/>
    <col min="18" max="20" width="11.5703125" bestFit="1" customWidth="1"/>
    <col min="21" max="21" width="1.85546875" customWidth="1"/>
    <col min="22" max="22" width="11.5703125" bestFit="1" customWidth="1"/>
    <col min="23" max="23" width="2.28515625" customWidth="1"/>
    <col min="24" max="24" width="11.42578125" customWidth="1"/>
  </cols>
  <sheetData>
    <row r="1" spans="2:24" ht="15.75" thickBot="1" x14ac:dyDescent="0.3"/>
    <row r="2" spans="2:24" ht="15.75" thickBot="1" x14ac:dyDescent="0.3">
      <c r="B2" s="53" t="s">
        <v>40</v>
      </c>
    </row>
    <row r="3" spans="2:24" ht="15.75" thickBot="1" x14ac:dyDescent="0.3"/>
    <row r="4" spans="2:24" ht="15.75" customHeight="1" thickBot="1" x14ac:dyDescent="0.55000000000000004">
      <c r="B4" s="112" t="s">
        <v>1</v>
      </c>
      <c r="C4" s="113"/>
      <c r="D4" s="114"/>
      <c r="E4" s="52">
        <v>9.8800000000000008</v>
      </c>
      <c r="J4" s="22"/>
      <c r="K4" s="22"/>
      <c r="L4" s="22"/>
    </row>
    <row r="5" spans="2:24" ht="15.75" customHeight="1" thickBot="1" x14ac:dyDescent="0.5">
      <c r="B5" s="112" t="s">
        <v>0</v>
      </c>
      <c r="C5" s="113"/>
      <c r="D5" s="114"/>
      <c r="E5" s="26">
        <v>0.28539999999999999</v>
      </c>
      <c r="H5" s="23"/>
      <c r="I5" s="24"/>
    </row>
    <row r="6" spans="2:24" ht="15.75" thickBot="1" x14ac:dyDescent="0.3"/>
    <row r="7" spans="2:24" s="1" customFormat="1" ht="45.75" thickBot="1" x14ac:dyDescent="0.3">
      <c r="D7" s="39" t="s">
        <v>2</v>
      </c>
      <c r="E7" s="39" t="s">
        <v>3</v>
      </c>
      <c r="F7" s="39" t="s">
        <v>34</v>
      </c>
      <c r="G7" s="39" t="s">
        <v>31</v>
      </c>
      <c r="H7" s="39" t="s">
        <v>4</v>
      </c>
      <c r="I7" s="39" t="s">
        <v>5</v>
      </c>
      <c r="J7" s="39" t="s">
        <v>6</v>
      </c>
      <c r="K7" s="39" t="s">
        <v>33</v>
      </c>
      <c r="L7" s="39" t="s">
        <v>32</v>
      </c>
      <c r="M7" s="39" t="s">
        <v>7</v>
      </c>
      <c r="N7" s="39" t="s">
        <v>8</v>
      </c>
      <c r="O7" s="39" t="s">
        <v>9</v>
      </c>
      <c r="P7" s="39" t="s">
        <v>10</v>
      </c>
      <c r="Q7" s="39" t="s">
        <v>11</v>
      </c>
      <c r="R7" s="39" t="s">
        <v>12</v>
      </c>
      <c r="S7" s="39" t="s">
        <v>13</v>
      </c>
      <c r="T7" s="40" t="s">
        <v>14</v>
      </c>
      <c r="V7" s="51" t="s">
        <v>36</v>
      </c>
      <c r="X7" s="51" t="s">
        <v>37</v>
      </c>
    </row>
    <row r="8" spans="2:24" x14ac:dyDescent="0.25">
      <c r="B8" s="3" t="s">
        <v>15</v>
      </c>
      <c r="C8" s="3" t="str">
        <f t="shared" ref="C8:C19" si="0">+CONCATENATE(B8,$B$2)</f>
        <v>Janviersal2</v>
      </c>
      <c r="D8" s="57"/>
      <c r="E8" s="57"/>
      <c r="F8" s="57"/>
      <c r="G8" s="57"/>
      <c r="H8" s="58"/>
      <c r="I8" s="59"/>
      <c r="J8" s="59"/>
      <c r="K8" s="57"/>
      <c r="L8" s="60"/>
      <c r="M8" s="61"/>
      <c r="N8" s="62"/>
      <c r="O8" s="61"/>
      <c r="P8" s="63"/>
      <c r="Q8" s="63"/>
      <c r="R8" s="64"/>
      <c r="S8" s="64"/>
      <c r="T8" s="65"/>
      <c r="U8" s="66"/>
      <c r="V8" s="67"/>
      <c r="W8" s="66"/>
      <c r="X8" s="68"/>
    </row>
    <row r="9" spans="2:24" x14ac:dyDescent="0.25">
      <c r="B9" s="9" t="s">
        <v>16</v>
      </c>
      <c r="C9" s="9" t="str">
        <f t="shared" si="0"/>
        <v>Févriersal2</v>
      </c>
      <c r="D9" s="69"/>
      <c r="E9" s="69"/>
      <c r="F9" s="69"/>
      <c r="G9" s="69"/>
      <c r="H9" s="70"/>
      <c r="I9" s="71"/>
      <c r="J9" s="71"/>
      <c r="K9" s="69"/>
      <c r="L9" s="72"/>
      <c r="M9" s="73"/>
      <c r="N9" s="74"/>
      <c r="O9" s="73"/>
      <c r="P9" s="75"/>
      <c r="Q9" s="76"/>
      <c r="R9" s="77"/>
      <c r="S9" s="78"/>
      <c r="T9" s="79"/>
      <c r="U9" s="66"/>
      <c r="V9" s="80"/>
      <c r="W9" s="66"/>
      <c r="X9" s="81"/>
    </row>
    <row r="10" spans="2:24" x14ac:dyDescent="0.25">
      <c r="B10" s="9" t="s">
        <v>17</v>
      </c>
      <c r="C10" s="9" t="str">
        <f t="shared" si="0"/>
        <v>Marssal2</v>
      </c>
      <c r="D10" s="69"/>
      <c r="E10" s="69"/>
      <c r="F10" s="69"/>
      <c r="G10" s="69"/>
      <c r="H10" s="70"/>
      <c r="I10" s="71"/>
      <c r="J10" s="71"/>
      <c r="K10" s="69"/>
      <c r="L10" s="72"/>
      <c r="M10" s="73"/>
      <c r="N10" s="74"/>
      <c r="O10" s="73"/>
      <c r="P10" s="75"/>
      <c r="Q10" s="76"/>
      <c r="R10" s="77"/>
      <c r="S10" s="78"/>
      <c r="T10" s="79"/>
      <c r="U10" s="66"/>
      <c r="V10" s="80"/>
      <c r="W10" s="66"/>
      <c r="X10" s="81"/>
    </row>
    <row r="11" spans="2:24" x14ac:dyDescent="0.25">
      <c r="B11" s="9" t="s">
        <v>18</v>
      </c>
      <c r="C11" s="9" t="str">
        <f t="shared" si="0"/>
        <v>Avrilsal2</v>
      </c>
      <c r="D11" s="69"/>
      <c r="E11" s="69"/>
      <c r="F11" s="69"/>
      <c r="G11" s="69"/>
      <c r="H11" s="70"/>
      <c r="I11" s="71"/>
      <c r="J11" s="71"/>
      <c r="K11" s="69"/>
      <c r="L11" s="72"/>
      <c r="M11" s="73"/>
      <c r="N11" s="74"/>
      <c r="O11" s="73"/>
      <c r="P11" s="75"/>
      <c r="Q11" s="76"/>
      <c r="R11" s="77"/>
      <c r="S11" s="78"/>
      <c r="T11" s="79"/>
      <c r="U11" s="66"/>
      <c r="V11" s="80"/>
      <c r="W11" s="66"/>
      <c r="X11" s="81"/>
    </row>
    <row r="12" spans="2:24" x14ac:dyDescent="0.25">
      <c r="B12" s="9" t="s">
        <v>19</v>
      </c>
      <c r="C12" s="9" t="str">
        <f t="shared" si="0"/>
        <v>Maisal2</v>
      </c>
      <c r="D12" s="69"/>
      <c r="E12" s="69"/>
      <c r="F12" s="69"/>
      <c r="G12" s="69"/>
      <c r="H12" s="70"/>
      <c r="I12" s="71"/>
      <c r="J12" s="71"/>
      <c r="K12" s="69"/>
      <c r="L12" s="72"/>
      <c r="M12" s="73"/>
      <c r="N12" s="74"/>
      <c r="O12" s="73"/>
      <c r="P12" s="75"/>
      <c r="Q12" s="76"/>
      <c r="R12" s="77"/>
      <c r="S12" s="78"/>
      <c r="T12" s="79"/>
      <c r="U12" s="66"/>
      <c r="V12" s="80"/>
      <c r="W12" s="66"/>
      <c r="X12" s="81"/>
    </row>
    <row r="13" spans="2:24" x14ac:dyDescent="0.25">
      <c r="B13" s="9" t="s">
        <v>20</v>
      </c>
      <c r="C13" s="9" t="str">
        <f t="shared" si="0"/>
        <v>Juinsal2</v>
      </c>
      <c r="D13" s="69"/>
      <c r="E13" s="69"/>
      <c r="F13" s="69"/>
      <c r="G13" s="69"/>
      <c r="H13" s="70"/>
      <c r="I13" s="71"/>
      <c r="J13" s="71"/>
      <c r="K13" s="69"/>
      <c r="L13" s="72"/>
      <c r="M13" s="73"/>
      <c r="N13" s="74"/>
      <c r="O13" s="73"/>
      <c r="P13" s="75"/>
      <c r="Q13" s="76"/>
      <c r="R13" s="77"/>
      <c r="S13" s="78"/>
      <c r="T13" s="79"/>
      <c r="U13" s="66"/>
      <c r="V13" s="80"/>
      <c r="W13" s="66"/>
      <c r="X13" s="81"/>
    </row>
    <row r="14" spans="2:24" x14ac:dyDescent="0.25">
      <c r="B14" s="9" t="s">
        <v>21</v>
      </c>
      <c r="C14" s="9" t="str">
        <f t="shared" si="0"/>
        <v>Juilletsal2</v>
      </c>
      <c r="D14" s="69"/>
      <c r="E14" s="69"/>
      <c r="F14" s="69"/>
      <c r="G14" s="69"/>
      <c r="H14" s="70"/>
      <c r="I14" s="71"/>
      <c r="J14" s="71"/>
      <c r="K14" s="69"/>
      <c r="L14" s="72"/>
      <c r="M14" s="73"/>
      <c r="N14" s="74"/>
      <c r="O14" s="73"/>
      <c r="P14" s="75"/>
      <c r="Q14" s="76"/>
      <c r="R14" s="77"/>
      <c r="S14" s="78"/>
      <c r="T14" s="79"/>
      <c r="U14" s="66"/>
      <c r="V14" s="80"/>
      <c r="W14" s="66"/>
      <c r="X14" s="81"/>
    </row>
    <row r="15" spans="2:24" x14ac:dyDescent="0.25">
      <c r="B15" s="9" t="s">
        <v>22</v>
      </c>
      <c r="C15" s="9" t="str">
        <f t="shared" si="0"/>
        <v>Aoûtsal2</v>
      </c>
      <c r="D15" s="69"/>
      <c r="E15" s="69"/>
      <c r="F15" s="69"/>
      <c r="G15" s="69"/>
      <c r="H15" s="70"/>
      <c r="I15" s="71"/>
      <c r="J15" s="71"/>
      <c r="K15" s="69"/>
      <c r="L15" s="72"/>
      <c r="M15" s="73"/>
      <c r="N15" s="74"/>
      <c r="O15" s="73"/>
      <c r="P15" s="75"/>
      <c r="Q15" s="76"/>
      <c r="R15" s="77"/>
      <c r="S15" s="78"/>
      <c r="T15" s="79"/>
      <c r="U15" s="66"/>
      <c r="V15" s="80"/>
      <c r="W15" s="66"/>
      <c r="X15" s="81"/>
    </row>
    <row r="16" spans="2:24" x14ac:dyDescent="0.25">
      <c r="B16" s="9" t="s">
        <v>23</v>
      </c>
      <c r="C16" s="9" t="str">
        <f t="shared" si="0"/>
        <v>Septembresal2</v>
      </c>
      <c r="D16" s="69"/>
      <c r="E16" s="69"/>
      <c r="F16" s="69"/>
      <c r="G16" s="69"/>
      <c r="H16" s="70"/>
      <c r="I16" s="71"/>
      <c r="J16" s="71"/>
      <c r="K16" s="69"/>
      <c r="L16" s="72"/>
      <c r="M16" s="73"/>
      <c r="N16" s="74"/>
      <c r="O16" s="73"/>
      <c r="P16" s="75"/>
      <c r="Q16" s="76"/>
      <c r="R16" s="77"/>
      <c r="S16" s="78"/>
      <c r="T16" s="79"/>
      <c r="U16" s="66"/>
      <c r="V16" s="80"/>
      <c r="W16" s="66"/>
      <c r="X16" s="81"/>
    </row>
    <row r="17" spans="2:24" x14ac:dyDescent="0.25">
      <c r="B17" s="9" t="s">
        <v>24</v>
      </c>
      <c r="C17" s="9" t="str">
        <f t="shared" si="0"/>
        <v>Octobresal2</v>
      </c>
      <c r="D17" s="69"/>
      <c r="E17" s="69"/>
      <c r="F17" s="69"/>
      <c r="G17" s="69"/>
      <c r="H17" s="70"/>
      <c r="I17" s="71"/>
      <c r="J17" s="71"/>
      <c r="K17" s="69"/>
      <c r="L17" s="72"/>
      <c r="M17" s="73"/>
      <c r="N17" s="74"/>
      <c r="O17" s="73"/>
      <c r="P17" s="75"/>
      <c r="Q17" s="76"/>
      <c r="R17" s="77"/>
      <c r="S17" s="78"/>
      <c r="T17" s="79"/>
      <c r="U17" s="66"/>
      <c r="V17" s="80"/>
      <c r="W17" s="66"/>
      <c r="X17" s="81"/>
    </row>
    <row r="18" spans="2:24" x14ac:dyDescent="0.25">
      <c r="B18" s="9" t="s">
        <v>25</v>
      </c>
      <c r="C18" s="9" t="str">
        <f t="shared" si="0"/>
        <v>Novembresal2</v>
      </c>
      <c r="D18" s="69"/>
      <c r="E18" s="69"/>
      <c r="F18" s="69"/>
      <c r="G18" s="69"/>
      <c r="H18" s="70"/>
      <c r="I18" s="71"/>
      <c r="J18" s="71"/>
      <c r="K18" s="69"/>
      <c r="L18" s="72"/>
      <c r="M18" s="73"/>
      <c r="N18" s="74"/>
      <c r="O18" s="73"/>
      <c r="P18" s="75"/>
      <c r="Q18" s="76"/>
      <c r="R18" s="77"/>
      <c r="S18" s="78"/>
      <c r="T18" s="79"/>
      <c r="U18" s="66"/>
      <c r="V18" s="80"/>
      <c r="W18" s="66"/>
      <c r="X18" s="81"/>
    </row>
    <row r="19" spans="2:24" ht="15.75" thickBot="1" x14ac:dyDescent="0.3">
      <c r="B19" s="16" t="s">
        <v>26</v>
      </c>
      <c r="C19" s="16" t="str">
        <f t="shared" si="0"/>
        <v>Décembresal2</v>
      </c>
      <c r="D19" s="82"/>
      <c r="E19" s="82"/>
      <c r="F19" s="82"/>
      <c r="G19" s="82"/>
      <c r="H19" s="83"/>
      <c r="I19" s="84"/>
      <c r="J19" s="84"/>
      <c r="K19" s="82"/>
      <c r="L19" s="85"/>
      <c r="M19" s="86"/>
      <c r="N19" s="87"/>
      <c r="O19" s="86"/>
      <c r="P19" s="88"/>
      <c r="Q19" s="89"/>
      <c r="R19" s="90"/>
      <c r="S19" s="91"/>
      <c r="T19" s="92"/>
      <c r="U19" s="66"/>
      <c r="V19" s="93"/>
      <c r="W19" s="66"/>
      <c r="X19" s="94"/>
    </row>
    <row r="21" spans="2:24" x14ac:dyDescent="0.25">
      <c r="X21" s="96">
        <f>SUM(X8:X20)</f>
        <v>0</v>
      </c>
    </row>
  </sheetData>
  <mergeCells count="2">
    <mergeCell ref="B4:D4"/>
    <mergeCell ref="B5:D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D1"/>
  <sheetViews>
    <sheetView tabSelected="1" workbookViewId="0">
      <pane ySplit="1" topLeftCell="A2" activePane="bottomLeft" state="frozen"/>
      <selection pane="bottomLeft" activeCell="E1" sqref="E1"/>
    </sheetView>
  </sheetViews>
  <sheetFormatPr baseColWidth="10" defaultRowHeight="15" x14ac:dyDescent="0.25"/>
  <sheetData>
    <row r="1" spans="1:4" s="115" customFormat="1" ht="21.75" customHeight="1" x14ac:dyDescent="0.25">
      <c r="A1" s="115" t="s">
        <v>76</v>
      </c>
      <c r="B1" s="115" t="s">
        <v>77</v>
      </c>
      <c r="C1" s="115" t="s">
        <v>78</v>
      </c>
      <c r="D1" s="115" t="s">
        <v>79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fillon">
                <anchor moveWithCells="1">
                  <from>
                    <xdr:col>4</xdr:col>
                    <xdr:colOff>152400</xdr:colOff>
                    <xdr:row>0</xdr:row>
                    <xdr:rowOff>28575</xdr:rowOff>
                  </from>
                  <to>
                    <xdr:col>4</xdr:col>
                    <xdr:colOff>723900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Analyse</vt:lpstr>
      <vt:lpstr>Liste salariés</vt:lpstr>
      <vt:lpstr>Analyse (2)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Cozien</dc:creator>
  <cp:lastModifiedBy>Eric</cp:lastModifiedBy>
  <dcterms:created xsi:type="dcterms:W3CDTF">2013-11-22T16:11:30Z</dcterms:created>
  <dcterms:modified xsi:type="dcterms:W3CDTF">2018-02-02T23:04:30Z</dcterms:modified>
</cp:coreProperties>
</file>