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filterPrivacy="1" defaultThemeVersion="124226"/>
  <xr:revisionPtr revIDLastSave="0" documentId="13_ncr:1_{08D9B60F-F15E-4737-98C6-B7C784E8FA6A}" xr6:coauthVersionLast="47" xr6:coauthVersionMax="47" xr10:uidLastSave="{00000000-0000-0000-0000-000000000000}"/>
  <bookViews>
    <workbookView xWindow="2115" yWindow="2715" windowWidth="24930" windowHeight="15435" tabRatio="852" xr2:uid="{00000000-000D-0000-FFFF-FFFF00000000}"/>
  </bookViews>
  <sheets>
    <sheet name="Crafts Atelier 2.0" sheetId="44" r:id="rId1"/>
  </sheets>
  <definedNames>
    <definedName name="_xlnm._FilterDatabase" localSheetId="0" hidden="1">'Crafts Atelier 2.0'!$AC$2:$AC$55</definedName>
    <definedName name="ClasseFF14" localSheetId="0">#REF!</definedName>
    <definedName name="ClasseFF14">#REF!</definedName>
    <definedName name="_xlnm.Criteria" localSheetId="0">'Crafts Atelier 2.0'!$Z$3:$AA$57</definedName>
    <definedName name="Dissiple_main" localSheetId="0">#REF!</definedName>
    <definedName name="Dissiple_main">#REF!</definedName>
    <definedName name="matiere" localSheetId="0">#REF!</definedName>
    <definedName name="matiere">#REF!</definedName>
    <definedName name="qte" localSheetId="0">#REF!</definedName>
    <definedName name="qte">#REF!</definedName>
    <definedName name="Servants" localSheetId="0">#REF!</definedName>
    <definedName name="Servants">#REF!</definedName>
    <definedName name="Ul_dah" localSheetId="0">#REF!</definedName>
    <definedName name="Ul_dah">#REF!</definedName>
  </definedNames>
  <calcPr calcId="191029"/>
  <pivotCaches>
    <pivotCache cacheId="0" r:id="rId2"/>
    <pivotCache cacheId="1" r:id="rId3"/>
    <pivotCache cacheId="2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3" i="44" l="1"/>
  <c r="X4" i="44"/>
  <c r="X5" i="44"/>
  <c r="X6" i="44"/>
  <c r="X7" i="44"/>
  <c r="X8" i="44"/>
  <c r="X9" i="44"/>
  <c r="X10" i="44"/>
  <c r="X11" i="44"/>
  <c r="X12" i="44"/>
  <c r="X13" i="44"/>
  <c r="X14" i="44"/>
  <c r="X15" i="44"/>
  <c r="X16" i="44"/>
  <c r="X17" i="44"/>
  <c r="X18" i="44"/>
  <c r="X19" i="44"/>
  <c r="X20" i="44"/>
  <c r="X21" i="44"/>
  <c r="X22" i="44"/>
  <c r="X23" i="44"/>
  <c r="X24" i="44"/>
  <c r="X25" i="44"/>
  <c r="X26" i="44"/>
  <c r="X27" i="44"/>
  <c r="X28" i="44"/>
  <c r="X29" i="44"/>
  <c r="X30" i="44"/>
  <c r="X31" i="44"/>
  <c r="X32" i="44"/>
  <c r="X33" i="44"/>
  <c r="X34" i="44"/>
  <c r="X35" i="44"/>
  <c r="X36" i="44"/>
  <c r="X37" i="44"/>
  <c r="X38" i="44"/>
  <c r="X39" i="44"/>
  <c r="X40" i="44"/>
  <c r="X41" i="44"/>
  <c r="X42" i="44"/>
  <c r="X43" i="44"/>
  <c r="X44" i="44"/>
  <c r="X45" i="44"/>
  <c r="X46" i="44"/>
  <c r="X47" i="44"/>
  <c r="X48" i="44"/>
  <c r="X49" i="44"/>
  <c r="X50" i="44"/>
  <c r="X51" i="44"/>
  <c r="X52" i="44"/>
  <c r="X53" i="44"/>
  <c r="X54" i="44"/>
  <c r="X55" i="44"/>
  <c r="X56" i="44"/>
  <c r="X57" i="44"/>
  <c r="X2" i="44"/>
  <c r="W2" i="44" a="1"/>
  <c r="W2" i="44" s="1"/>
  <c r="S551" i="44"/>
  <c r="I531" i="44"/>
  <c r="M535" i="44" s="1"/>
  <c r="P535" i="44" s="1"/>
  <c r="S524" i="44"/>
  <c r="I504" i="44"/>
  <c r="M525" i="44" s="1"/>
  <c r="P525" i="44" s="1"/>
  <c r="S525" i="44" s="1"/>
  <c r="I481" i="44"/>
  <c r="M502" i="44" s="1"/>
  <c r="S502" i="44" s="1"/>
  <c r="S461" i="44"/>
  <c r="I453" i="44"/>
  <c r="M462" i="44" s="1"/>
  <c r="P462" i="44" s="1"/>
  <c r="I429" i="44"/>
  <c r="M444" i="44" s="1"/>
  <c r="P444" i="44" s="1"/>
  <c r="S444" i="44" s="1"/>
  <c r="I402" i="44"/>
  <c r="M420" i="44" s="1"/>
  <c r="P420" i="44" s="1"/>
  <c r="S420" i="44" s="1"/>
  <c r="I376" i="44"/>
  <c r="M398" i="44" s="1"/>
  <c r="S398" i="44" s="1"/>
  <c r="I350" i="44"/>
  <c r="M365" i="44" s="1"/>
  <c r="I330" i="44"/>
  <c r="M349" i="44" s="1"/>
  <c r="S349" i="44" s="1"/>
  <c r="I312" i="44"/>
  <c r="M328" i="44" s="1"/>
  <c r="P328" i="44" s="1"/>
  <c r="S328" i="44" s="1"/>
  <c r="I290" i="44"/>
  <c r="M302" i="44" s="1"/>
  <c r="P302" i="44" s="1"/>
  <c r="I271" i="44"/>
  <c r="I242" i="44"/>
  <c r="M259" i="44" s="1"/>
  <c r="P259" i="44" s="1"/>
  <c r="S259" i="44" s="1"/>
  <c r="I215" i="44"/>
  <c r="M224" i="44" s="1"/>
  <c r="P224" i="44" s="1"/>
  <c r="I192" i="44"/>
  <c r="M210" i="44" s="1"/>
  <c r="P210" i="44" s="1"/>
  <c r="S210" i="44" s="1"/>
  <c r="I164" i="44"/>
  <c r="M190" i="44" s="1"/>
  <c r="I140" i="44"/>
  <c r="M149" i="44" s="1"/>
  <c r="I121" i="44"/>
  <c r="M138" i="44" s="1"/>
  <c r="P138" i="44" s="1"/>
  <c r="S138" i="44" s="1"/>
  <c r="I100" i="44"/>
  <c r="M120" i="44" s="1"/>
  <c r="S120" i="44" s="1"/>
  <c r="M118" i="44"/>
  <c r="P118" i="44" s="1"/>
  <c r="I80" i="44"/>
  <c r="M89" i="44" s="1"/>
  <c r="S89" i="44" s="1"/>
  <c r="I62" i="44"/>
  <c r="M73" i="44" s="1"/>
  <c r="P73" i="44" s="1"/>
  <c r="S73" i="44" s="1"/>
  <c r="I46" i="44"/>
  <c r="M59" i="44" s="1"/>
  <c r="P59" i="44" s="1"/>
  <c r="S59" i="44" s="1"/>
  <c r="I24" i="44"/>
  <c r="M43" i="44" s="1"/>
  <c r="I2" i="44"/>
  <c r="M11" i="44" s="1"/>
  <c r="S11" i="44" s="1"/>
  <c r="M542" i="44"/>
  <c r="P543" i="44" s="1"/>
  <c r="M526" i="44"/>
  <c r="S526" i="44" s="1"/>
  <c r="M272" i="44"/>
  <c r="S272" i="44" s="1"/>
  <c r="M504" i="44"/>
  <c r="P504" i="44" s="1"/>
  <c r="S504" i="44" s="1"/>
  <c r="M54" i="44"/>
  <c r="P54" i="44" s="1"/>
  <c r="S54" i="44" s="1"/>
  <c r="M279" i="44"/>
  <c r="S279" i="44" s="1"/>
  <c r="M55" i="44"/>
  <c r="P55" i="44" s="1"/>
  <c r="S55" i="44" s="1"/>
  <c r="M46" i="44"/>
  <c r="S47" i="44" s="1"/>
  <c r="M263" i="44"/>
  <c r="P263" i="44" s="1"/>
  <c r="S263" i="44" s="1"/>
  <c r="M48" i="44"/>
  <c r="P48" i="44" s="1"/>
  <c r="M62" i="44"/>
  <c r="P62" i="44" s="1"/>
  <c r="S62" i="44" s="1"/>
  <c r="M60" i="44"/>
  <c r="P60" i="44" s="1"/>
  <c r="S60" i="44" s="1"/>
  <c r="M50" i="44"/>
  <c r="P50" i="44" s="1"/>
  <c r="S50" i="44" s="1"/>
  <c r="M311" i="44"/>
  <c r="S311" i="44" s="1"/>
  <c r="M309" i="44"/>
  <c r="S310" i="44" s="1"/>
  <c r="M296" i="44"/>
  <c r="P296" i="44" s="1"/>
  <c r="M304" i="44"/>
  <c r="S304" i="44" s="1"/>
  <c r="M300" i="44"/>
  <c r="P300" i="44" s="1"/>
  <c r="S300" i="44" s="1"/>
  <c r="M290" i="44"/>
  <c r="M298" i="44"/>
  <c r="S299" i="44" s="1"/>
  <c r="M292" i="44"/>
  <c r="S293" i="44" s="1"/>
  <c r="M326" i="44"/>
  <c r="S327" i="44" s="1"/>
  <c r="M322" i="44"/>
  <c r="P322" i="44" s="1"/>
  <c r="S323" i="44" s="1"/>
  <c r="M312" i="44"/>
  <c r="S313" i="44" s="1"/>
  <c r="M324" i="44"/>
  <c r="S325" i="44" s="1"/>
  <c r="M316" i="44"/>
  <c r="P316" i="44" s="1"/>
  <c r="M294" i="44"/>
  <c r="S295" i="44" s="1"/>
  <c r="M320" i="44"/>
  <c r="P320" i="44" s="1"/>
  <c r="M82" i="44"/>
  <c r="P82" i="44" s="1"/>
  <c r="S82" i="44" s="1"/>
  <c r="M57" i="44"/>
  <c r="P57" i="44" s="1"/>
  <c r="S57" i="44" s="1"/>
  <c r="M68" i="44"/>
  <c r="P68" i="44" s="1"/>
  <c r="S68" i="44" s="1"/>
  <c r="M52" i="44"/>
  <c r="S53" i="44" s="1"/>
  <c r="M554" i="44"/>
  <c r="S555" i="44" s="1"/>
  <c r="M558" i="44"/>
  <c r="S560" i="44" s="1"/>
  <c r="M545" i="44"/>
  <c r="P545" i="44" s="1"/>
  <c r="M531" i="44"/>
  <c r="P531" i="44" s="1"/>
  <c r="M540" i="44"/>
  <c r="P540" i="44" s="1"/>
  <c r="M556" i="44"/>
  <c r="S557" i="44" s="1"/>
  <c r="M61" i="44"/>
  <c r="S61" i="44" s="1"/>
  <c r="M246" i="44"/>
  <c r="S247" i="44" s="1"/>
  <c r="M278" i="44"/>
  <c r="P278" i="44" s="1"/>
  <c r="S278" i="44" s="1"/>
  <c r="M242" i="44"/>
  <c r="P242" i="44" s="1"/>
  <c r="M271" i="44"/>
  <c r="S271" i="44" s="1"/>
  <c r="M510" i="44"/>
  <c r="S512" i="44" s="1"/>
  <c r="M515" i="44"/>
  <c r="S515" i="44" s="1"/>
  <c r="M231" i="44"/>
  <c r="S232" i="44" s="1"/>
  <c r="M260" i="44"/>
  <c r="S260" i="44" s="1"/>
  <c r="M489" i="44"/>
  <c r="P489" i="44" s="1"/>
  <c r="M493" i="44"/>
  <c r="P493" i="44" s="1"/>
  <c r="S493" i="44" s="1"/>
  <c r="M498" i="44"/>
  <c r="P499" i="44" s="1"/>
  <c r="M506" i="44"/>
  <c r="S507" i="44" s="1"/>
  <c r="M520" i="44"/>
  <c r="P520" i="44" s="1"/>
  <c r="S520" i="44" s="1"/>
  <c r="M528" i="44"/>
  <c r="S530" i="44" s="1"/>
  <c r="M273" i="44"/>
  <c r="P273" i="44" s="1"/>
  <c r="S273" i="44" s="1"/>
  <c r="M277" i="44"/>
  <c r="P277" i="44" s="1"/>
  <c r="S277" i="44" s="1"/>
  <c r="M508" i="44"/>
  <c r="P508" i="44" s="1"/>
  <c r="S542" i="44"/>
  <c r="S292" i="44"/>
  <c r="P290" i="44"/>
  <c r="S290" i="44" s="1"/>
  <c r="S291" i="44"/>
  <c r="AD2" i="44"/>
  <c r="AD15" i="44"/>
  <c r="AD5" i="44"/>
  <c r="AX47" i="44"/>
  <c r="AM7" i="44"/>
  <c r="AD37" i="44"/>
  <c r="AX9" i="44"/>
  <c r="AD11" i="44"/>
  <c r="AD52" i="44"/>
  <c r="AX17" i="44"/>
  <c r="AX44" i="44"/>
  <c r="AD35" i="44"/>
  <c r="AD29" i="44"/>
  <c r="AD36" i="44"/>
  <c r="AD45" i="44"/>
  <c r="AD55" i="44"/>
  <c r="AD34" i="44"/>
  <c r="AX42" i="44"/>
  <c r="AM12" i="44"/>
  <c r="AD3" i="44"/>
  <c r="AD54" i="44"/>
  <c r="AM5" i="44"/>
  <c r="AD4" i="44"/>
  <c r="AX22" i="44"/>
  <c r="AX20" i="44"/>
  <c r="AD8" i="44"/>
  <c r="AD14" i="44"/>
  <c r="AX2" i="44"/>
  <c r="AX38" i="44"/>
  <c r="AX40" i="44"/>
  <c r="AX3" i="44"/>
  <c r="AD40" i="44"/>
  <c r="AD48" i="44"/>
  <c r="AD25" i="44"/>
  <c r="AD33" i="44"/>
  <c r="AD50" i="44"/>
  <c r="AX35" i="44"/>
  <c r="AD56" i="44"/>
  <c r="AX39" i="44"/>
  <c r="AD21" i="44"/>
  <c r="AX13" i="44"/>
  <c r="AD28" i="44"/>
  <c r="AD27" i="44"/>
  <c r="AX5" i="44"/>
  <c r="AM14" i="44"/>
  <c r="AD10" i="44"/>
  <c r="AX36" i="44"/>
  <c r="AX12" i="44"/>
  <c r="AX24" i="44"/>
  <c r="AM16" i="44"/>
  <c r="AM15" i="44"/>
  <c r="AX11" i="44"/>
  <c r="AM18" i="44"/>
  <c r="AD30" i="44"/>
  <c r="AM6" i="44"/>
  <c r="AD7" i="44"/>
  <c r="AD17" i="44"/>
  <c r="AD32" i="44"/>
  <c r="AD49" i="44"/>
  <c r="AD22" i="44"/>
  <c r="AD42" i="44"/>
  <c r="AX4" i="44"/>
  <c r="AD46" i="44"/>
  <c r="AX31" i="44"/>
  <c r="AD38" i="44"/>
  <c r="AX26" i="44"/>
  <c r="AM4" i="44"/>
  <c r="AD23" i="44"/>
  <c r="AX41" i="44"/>
  <c r="AX46" i="44"/>
  <c r="AM2" i="44"/>
  <c r="AD12" i="44"/>
  <c r="AD6" i="44"/>
  <c r="AD53" i="44"/>
  <c r="AX10" i="44"/>
  <c r="AX48" i="44"/>
  <c r="AX49" i="44"/>
  <c r="AD20" i="44"/>
  <c r="AM10" i="44"/>
  <c r="AX21" i="44"/>
  <c r="AX25" i="44"/>
  <c r="AX23" i="44"/>
  <c r="AM8" i="44"/>
  <c r="AD13" i="44"/>
  <c r="AD19" i="44"/>
  <c r="AX8" i="44"/>
  <c r="AD31" i="44"/>
  <c r="AD16" i="44"/>
  <c r="AM19" i="44"/>
  <c r="AM9" i="44"/>
  <c r="AX37" i="44"/>
  <c r="AD43" i="44"/>
  <c r="AD44" i="44"/>
  <c r="AX18" i="44"/>
  <c r="AM3" i="44"/>
  <c r="AD39" i="44"/>
  <c r="AX7" i="44"/>
  <c r="AX34" i="44"/>
  <c r="AD51" i="44"/>
  <c r="AX30" i="44"/>
  <c r="AX43" i="44"/>
  <c r="AX6" i="44"/>
  <c r="AM11" i="44"/>
  <c r="AX19" i="44"/>
  <c r="AX32" i="44"/>
  <c r="AX28" i="44"/>
  <c r="AX29" i="44"/>
  <c r="AX27" i="44"/>
  <c r="AM17" i="44"/>
  <c r="AD26" i="44"/>
  <c r="AX14" i="44"/>
  <c r="AD41" i="44"/>
  <c r="AD24" i="44"/>
  <c r="AD9" i="44"/>
  <c r="AX16" i="44"/>
  <c r="AX45" i="44"/>
  <c r="AD18" i="44"/>
  <c r="AX15" i="44"/>
  <c r="AX33" i="44"/>
  <c r="AM13" i="44"/>
  <c r="AD47" i="44"/>
  <c r="M80" i="44" l="1"/>
  <c r="S80" i="44" s="1"/>
  <c r="M90" i="44"/>
  <c r="S90" i="44" s="1"/>
  <c r="M87" i="44"/>
  <c r="P87" i="44" s="1"/>
  <c r="S87" i="44" s="1"/>
  <c r="M448" i="44"/>
  <c r="S449" i="44" s="1"/>
  <c r="M91" i="44"/>
  <c r="P91" i="44" s="1"/>
  <c r="S91" i="44" s="1"/>
  <c r="M83" i="44"/>
  <c r="M81" i="44"/>
  <c r="S81" i="44" s="1"/>
  <c r="M450" i="44"/>
  <c r="M308" i="44"/>
  <c r="P308" i="44" s="1"/>
  <c r="S308" i="44" s="1"/>
  <c r="M251" i="44"/>
  <c r="P251" i="44" s="1"/>
  <c r="S251" i="44" s="1"/>
  <c r="S262" i="44"/>
  <c r="M447" i="44"/>
  <c r="P447" i="44" s="1"/>
  <c r="S447" i="44" s="1"/>
  <c r="M469" i="44"/>
  <c r="S469" i="44" s="1"/>
  <c r="S52" i="44"/>
  <c r="M422" i="44"/>
  <c r="S422" i="44" s="1"/>
  <c r="M14" i="44"/>
  <c r="P14" i="44" s="1"/>
  <c r="S14" i="44" s="1"/>
  <c r="M399" i="44"/>
  <c r="S399" i="44" s="1"/>
  <c r="M151" i="44"/>
  <c r="P151" i="44" s="1"/>
  <c r="S151" i="44" s="1"/>
  <c r="S298" i="44"/>
  <c r="M442" i="44"/>
  <c r="S442" i="44" s="1"/>
  <c r="M429" i="44"/>
  <c r="P429" i="44" s="1"/>
  <c r="S429" i="44" s="1"/>
  <c r="M459" i="44"/>
  <c r="P459" i="44" s="1"/>
  <c r="S459" i="44" s="1"/>
  <c r="M416" i="44"/>
  <c r="P416" i="44" s="1"/>
  <c r="M438" i="44"/>
  <c r="S439" i="44" s="1"/>
  <c r="M473" i="44"/>
  <c r="P474" i="44" s="1"/>
  <c r="M478" i="44"/>
  <c r="S480" i="44" s="1"/>
  <c r="S305" i="44"/>
  <c r="M413" i="44"/>
  <c r="P414" i="44" s="1"/>
  <c r="M330" i="44"/>
  <c r="M339" i="44"/>
  <c r="M382" i="44"/>
  <c r="S384" i="44" s="1"/>
  <c r="M335" i="44"/>
  <c r="S336" i="44" s="1"/>
  <c r="M393" i="44"/>
  <c r="P393" i="44" s="1"/>
  <c r="S393" i="44" s="1"/>
  <c r="M102" i="44"/>
  <c r="S102" i="44" s="1"/>
  <c r="M385" i="44"/>
  <c r="P385" i="44" s="1"/>
  <c r="S385" i="44" s="1"/>
  <c r="M426" i="44"/>
  <c r="P427" i="44" s="1"/>
  <c r="S428" i="44" s="1"/>
  <c r="S510" i="44"/>
  <c r="M341" i="44"/>
  <c r="P341" i="44" s="1"/>
  <c r="S342" i="44" s="1"/>
  <c r="M337" i="44"/>
  <c r="P337" i="44" s="1"/>
  <c r="S337" i="44" s="1"/>
  <c r="M187" i="44"/>
  <c r="S187" i="44" s="1"/>
  <c r="M421" i="44"/>
  <c r="P421" i="44" s="1"/>
  <c r="S421" i="44" s="1"/>
  <c r="M408" i="44"/>
  <c r="S409" i="44" s="1"/>
  <c r="M134" i="44"/>
  <c r="S261" i="44"/>
  <c r="M173" i="44"/>
  <c r="P173" i="44" s="1"/>
  <c r="S173" i="44" s="1"/>
  <c r="M248" i="44"/>
  <c r="S250" i="44" s="1"/>
  <c r="S448" i="44"/>
  <c r="M174" i="44"/>
  <c r="S174" i="44" s="1"/>
  <c r="S312" i="44"/>
  <c r="M406" i="44"/>
  <c r="P406" i="44" s="1"/>
  <c r="S407" i="44" s="1"/>
  <c r="M165" i="44"/>
  <c r="S165" i="44" s="1"/>
  <c r="M265" i="44"/>
  <c r="P266" i="44" s="1"/>
  <c r="S266" i="44" s="1"/>
  <c r="M257" i="44"/>
  <c r="S258" i="44" s="1"/>
  <c r="M185" i="44"/>
  <c r="S185" i="44" s="1"/>
  <c r="M181" i="44"/>
  <c r="M440" i="44"/>
  <c r="P440" i="44" s="1"/>
  <c r="M179" i="44"/>
  <c r="P179" i="44" s="1"/>
  <c r="S179" i="44" s="1"/>
  <c r="M171" i="44"/>
  <c r="S172" i="44" s="1"/>
  <c r="M77" i="44"/>
  <c r="S77" i="44" s="1"/>
  <c r="M436" i="44"/>
  <c r="P436" i="44" s="1"/>
  <c r="S437" i="44" s="1"/>
  <c r="M166" i="44"/>
  <c r="P166" i="44" s="1"/>
  <c r="S297" i="44"/>
  <c r="S296" i="44"/>
  <c r="S243" i="44"/>
  <c r="S242" i="44"/>
  <c r="M455" i="44"/>
  <c r="P455" i="44" s="1"/>
  <c r="S455" i="44" s="1"/>
  <c r="M2" i="44"/>
  <c r="S2" i="44" s="1"/>
  <c r="M136" i="44"/>
  <c r="P324" i="44"/>
  <c r="S324" i="44" s="1"/>
  <c r="S309" i="44"/>
  <c r="M380" i="44"/>
  <c r="S380" i="44" s="1"/>
  <c r="M456" i="44"/>
  <c r="S458" i="44" s="1"/>
  <c r="M20" i="44"/>
  <c r="S58" i="44"/>
  <c r="M453" i="44"/>
  <c r="S453" i="44" s="1"/>
  <c r="M8" i="44"/>
  <c r="M386" i="44"/>
  <c r="P387" i="44" s="1"/>
  <c r="S388" i="44" s="1"/>
  <c r="M153" i="44"/>
  <c r="P153" i="44" s="1"/>
  <c r="S153" i="44" s="1"/>
  <c r="P516" i="44"/>
  <c r="S470" i="44"/>
  <c r="P554" i="44"/>
  <c r="S554" i="44" s="1"/>
  <c r="M466" i="44"/>
  <c r="S468" i="44" s="1"/>
  <c r="M10" i="44"/>
  <c r="P10" i="44" s="1"/>
  <c r="S10" i="44" s="1"/>
  <c r="M376" i="44"/>
  <c r="P376" i="44" s="1"/>
  <c r="S377" i="44" s="1"/>
  <c r="M471" i="44"/>
  <c r="P471" i="44" s="1"/>
  <c r="M5" i="44"/>
  <c r="P400" i="44"/>
  <c r="S401" i="44" s="1"/>
  <c r="S443" i="44"/>
  <c r="M221" i="44"/>
  <c r="S222" i="44" s="1"/>
  <c r="M454" i="44"/>
  <c r="S454" i="44" s="1"/>
  <c r="M394" i="44"/>
  <c r="S394" i="44" s="1"/>
  <c r="S521" i="44"/>
  <c r="M159" i="44"/>
  <c r="P159" i="44" s="1"/>
  <c r="S159" i="44" s="1"/>
  <c r="M476" i="44"/>
  <c r="S476" i="44" s="1"/>
  <c r="M168" i="44"/>
  <c r="S169" i="44" s="1"/>
  <c r="S511" i="44"/>
  <c r="S46" i="44"/>
  <c r="M464" i="44"/>
  <c r="P464" i="44" s="1"/>
  <c r="M176" i="44"/>
  <c r="P176" i="44" s="1"/>
  <c r="S177" i="44" s="1"/>
  <c r="M397" i="44"/>
  <c r="P397" i="44" s="1"/>
  <c r="S397" i="44" s="1"/>
  <c r="M378" i="44"/>
  <c r="S150" i="44"/>
  <c r="S149" i="44"/>
  <c r="S317" i="44"/>
  <c r="S316" i="44"/>
  <c r="S191" i="44"/>
  <c r="S190" i="44"/>
  <c r="S301" i="44"/>
  <c r="S494" i="44"/>
  <c r="P231" i="44"/>
  <c r="S231" i="44" s="1"/>
  <c r="S246" i="44"/>
  <c r="M252" i="44"/>
  <c r="M264" i="44"/>
  <c r="S264" i="44" s="1"/>
  <c r="M389" i="44"/>
  <c r="P389" i="44" s="1"/>
  <c r="M549" i="44"/>
  <c r="M434" i="44"/>
  <c r="P434" i="44" s="1"/>
  <c r="S434" i="44" s="1"/>
  <c r="M139" i="44"/>
  <c r="S139" i="44" s="1"/>
  <c r="M318" i="44"/>
  <c r="M306" i="44"/>
  <c r="M37" i="44"/>
  <c r="P37" i="44" s="1"/>
  <c r="S37" i="44" s="1"/>
  <c r="M3" i="44"/>
  <c r="S3" i="44" s="1"/>
  <c r="M94" i="44"/>
  <c r="M132" i="44"/>
  <c r="P132" i="44" s="1"/>
  <c r="M164" i="44"/>
  <c r="S164" i="44" s="1"/>
  <c r="M255" i="44"/>
  <c r="P255" i="44" s="1"/>
  <c r="S255" i="44" s="1"/>
  <c r="M522" i="44"/>
  <c r="P522" i="44" s="1"/>
  <c r="S522" i="44" s="1"/>
  <c r="M97" i="44"/>
  <c r="M552" i="44"/>
  <c r="P552" i="44" s="1"/>
  <c r="S553" i="44" s="1"/>
  <c r="M162" i="44"/>
  <c r="S162" i="44" s="1"/>
  <c r="M244" i="44"/>
  <c r="M127" i="44"/>
  <c r="S69" i="44"/>
  <c r="M86" i="44"/>
  <c r="S86" i="44" s="1"/>
  <c r="M431" i="44"/>
  <c r="M329" i="44"/>
  <c r="S329" i="44" s="1"/>
  <c r="M518" i="44"/>
  <c r="P518" i="44" s="1"/>
  <c r="S518" i="44" s="1"/>
  <c r="S265" i="44"/>
  <c r="M123" i="44"/>
  <c r="P123" i="44" s="1"/>
  <c r="S124" i="44" s="1"/>
  <c r="M121" i="44"/>
  <c r="M130" i="44"/>
  <c r="P130" i="44" s="1"/>
  <c r="S131" i="44" s="1"/>
  <c r="M547" i="44"/>
  <c r="P547" i="44" s="1"/>
  <c r="S547" i="44" s="1"/>
  <c r="M513" i="44"/>
  <c r="P513" i="44" s="1"/>
  <c r="S513" i="44" s="1"/>
  <c r="S426" i="44"/>
  <c r="S326" i="44"/>
  <c r="M183" i="44"/>
  <c r="M88" i="44"/>
  <c r="P88" i="44" s="1"/>
  <c r="S88" i="44" s="1"/>
  <c r="M445" i="44"/>
  <c r="M314" i="44"/>
  <c r="P314" i="44" s="1"/>
  <c r="S314" i="44" s="1"/>
  <c r="M125" i="44"/>
  <c r="P125" i="44" s="1"/>
  <c r="M178" i="44"/>
  <c r="S178" i="44" s="1"/>
  <c r="M239" i="44"/>
  <c r="P240" i="44" s="1"/>
  <c r="S241" i="44" s="1"/>
  <c r="M537" i="44"/>
  <c r="S538" i="44" s="1"/>
  <c r="S366" i="44"/>
  <c r="S365" i="44"/>
  <c r="S45" i="44"/>
  <c r="P43" i="44"/>
  <c r="S321" i="44"/>
  <c r="S320" i="44"/>
  <c r="S167" i="44"/>
  <c r="S166" i="44"/>
  <c r="S119" i="44"/>
  <c r="S118" i="44"/>
  <c r="S415" i="44"/>
  <c r="S414" i="44"/>
  <c r="S224" i="44"/>
  <c r="S225" i="44"/>
  <c r="S383" i="44"/>
  <c r="S417" i="44"/>
  <c r="S416" i="44"/>
  <c r="M26" i="44"/>
  <c r="P26" i="44" s="1"/>
  <c r="S26" i="44" s="1"/>
  <c r="M103" i="44"/>
  <c r="P103" i="44" s="1"/>
  <c r="S103" i="44" s="1"/>
  <c r="M105" i="44"/>
  <c r="M111" i="44"/>
  <c r="P111" i="44" s="1"/>
  <c r="M100" i="44"/>
  <c r="M109" i="44"/>
  <c r="M104" i="44"/>
  <c r="P104" i="44" s="1"/>
  <c r="S104" i="44" s="1"/>
  <c r="M113" i="44"/>
  <c r="M115" i="44"/>
  <c r="M207" i="44"/>
  <c r="P207" i="44" s="1"/>
  <c r="S207" i="44" s="1"/>
  <c r="M197" i="44"/>
  <c r="P197" i="44" s="1"/>
  <c r="M208" i="44"/>
  <c r="M201" i="44"/>
  <c r="M192" i="44"/>
  <c r="S539" i="44"/>
  <c r="M367" i="44"/>
  <c r="S63" i="44"/>
  <c r="S56" i="44"/>
  <c r="M374" i="44"/>
  <c r="S74" i="44"/>
  <c r="M483" i="44"/>
  <c r="P483" i="44" s="1"/>
  <c r="S483" i="44" s="1"/>
  <c r="M487" i="44"/>
  <c r="M491" i="44"/>
  <c r="P491" i="44" s="1"/>
  <c r="S491" i="44" s="1"/>
  <c r="M501" i="44"/>
  <c r="P501" i="44" s="1"/>
  <c r="S501" i="44" s="1"/>
  <c r="M485" i="44"/>
  <c r="S485" i="44" s="1"/>
  <c r="M495" i="44"/>
  <c r="S496" i="44" s="1"/>
  <c r="M481" i="44"/>
  <c r="S481" i="44" s="1"/>
  <c r="S168" i="44"/>
  <c r="S170" i="44"/>
  <c r="S322" i="44"/>
  <c r="S294" i="44"/>
  <c r="S248" i="44"/>
  <c r="M213" i="44"/>
  <c r="M107" i="44"/>
  <c r="P107" i="44" s="1"/>
  <c r="M357" i="44"/>
  <c r="M27" i="44"/>
  <c r="P27" i="44" s="1"/>
  <c r="S27" i="44" s="1"/>
  <c r="M194" i="44"/>
  <c r="M211" i="44"/>
  <c r="M226" i="44"/>
  <c r="M235" i="44"/>
  <c r="S235" i="44" s="1"/>
  <c r="M215" i="44"/>
  <c r="M234" i="44"/>
  <c r="P234" i="44" s="1"/>
  <c r="S234" i="44" s="1"/>
  <c r="M219" i="44"/>
  <c r="P219" i="44" s="1"/>
  <c r="M217" i="44"/>
  <c r="P217" i="44" s="1"/>
  <c r="M236" i="44"/>
  <c r="M229" i="44"/>
  <c r="P229" i="44" s="1"/>
  <c r="M233" i="44"/>
  <c r="P233" i="44" s="1"/>
  <c r="S233" i="44" s="1"/>
  <c r="M418" i="44"/>
  <c r="M411" i="44"/>
  <c r="P411" i="44" s="1"/>
  <c r="M423" i="44"/>
  <c r="M402" i="44"/>
  <c r="M404" i="44"/>
  <c r="P404" i="44" s="1"/>
  <c r="S438" i="44"/>
  <c r="S506" i="44"/>
  <c r="S51" i="44"/>
  <c r="M205" i="44"/>
  <c r="M363" i="44"/>
  <c r="P363" i="44" s="1"/>
  <c r="S48" i="44"/>
  <c r="S49" i="44"/>
  <c r="M75" i="44"/>
  <c r="P75" i="44" s="1"/>
  <c r="S75" i="44" s="1"/>
  <c r="M64" i="44"/>
  <c r="M66" i="44"/>
  <c r="M72" i="44"/>
  <c r="P72" i="44" s="1"/>
  <c r="S72" i="44" s="1"/>
  <c r="M76" i="44"/>
  <c r="P76" i="44" s="1"/>
  <c r="S76" i="44" s="1"/>
  <c r="M70" i="44"/>
  <c r="M157" i="44"/>
  <c r="M160" i="44"/>
  <c r="M145" i="44"/>
  <c r="P145" i="44" s="1"/>
  <c r="M147" i="44"/>
  <c r="P147" i="44" s="1"/>
  <c r="M155" i="44"/>
  <c r="M140" i="44"/>
  <c r="P140" i="44" s="1"/>
  <c r="M142" i="44"/>
  <c r="M347" i="44"/>
  <c r="P347" i="44" s="1"/>
  <c r="M343" i="44"/>
  <c r="M332" i="44"/>
  <c r="S332" i="44" s="1"/>
  <c r="M345" i="44"/>
  <c r="M333" i="44"/>
  <c r="P333" i="44" s="1"/>
  <c r="S333" i="44" s="1"/>
  <c r="M334" i="44"/>
  <c r="P334" i="44" s="1"/>
  <c r="S334" i="44" s="1"/>
  <c r="M31" i="44"/>
  <c r="P31" i="44" s="1"/>
  <c r="M25" i="44"/>
  <c r="S25" i="44" s="1"/>
  <c r="M40" i="44"/>
  <c r="M28" i="44"/>
  <c r="S28" i="44" s="1"/>
  <c r="M24" i="44"/>
  <c r="S24" i="44" s="1"/>
  <c r="M352" i="44"/>
  <c r="P352" i="44" s="1"/>
  <c r="M351" i="44"/>
  <c r="S351" i="44" s="1"/>
  <c r="M350" i="44"/>
  <c r="S350" i="44" s="1"/>
  <c r="M359" i="44"/>
  <c r="P359" i="44" s="1"/>
  <c r="S359" i="44" s="1"/>
  <c r="M362" i="44"/>
  <c r="S362" i="44" s="1"/>
  <c r="M354" i="44"/>
  <c r="M371" i="44"/>
  <c r="S303" i="44"/>
  <c r="S302" i="44"/>
  <c r="M33" i="44"/>
  <c r="M369" i="44"/>
  <c r="M23" i="44"/>
  <c r="S23" i="44" s="1"/>
  <c r="M4" i="44"/>
  <c r="P4" i="44" s="1"/>
  <c r="S4" i="44" s="1"/>
  <c r="M12" i="44"/>
  <c r="P12" i="44" s="1"/>
  <c r="M17" i="44"/>
  <c r="M15" i="44"/>
  <c r="M7" i="44"/>
  <c r="S7" i="44" s="1"/>
  <c r="S84" i="44"/>
  <c r="S83" i="44"/>
  <c r="S85" i="44"/>
  <c r="M29" i="44"/>
  <c r="P8" i="44"/>
  <c r="S8" i="44" s="1"/>
  <c r="S9" i="44"/>
  <c r="S395" i="44"/>
  <c r="S396" i="44"/>
  <c r="M203" i="44"/>
  <c r="P203" i="44" s="1"/>
  <c r="M199" i="44"/>
  <c r="P199" i="44" s="1"/>
  <c r="M486" i="44"/>
  <c r="P486" i="44" s="1"/>
  <c r="S486" i="44" s="1"/>
  <c r="S382" i="44"/>
  <c r="M35" i="44"/>
  <c r="M284" i="44"/>
  <c r="M280" i="44"/>
  <c r="S280" i="44" s="1"/>
  <c r="M281" i="44"/>
  <c r="P281" i="44" s="1"/>
  <c r="S281" i="44" s="1"/>
  <c r="M282" i="44"/>
  <c r="M276" i="44"/>
  <c r="S276" i="44" s="1"/>
  <c r="M274" i="44"/>
  <c r="M287" i="44"/>
  <c r="M360" i="44"/>
  <c r="P360" i="44" s="1"/>
  <c r="M533" i="44"/>
  <c r="M92" i="44"/>
  <c r="M391" i="44"/>
  <c r="S471" i="44"/>
  <c r="S472" i="44"/>
  <c r="S492" i="44"/>
  <c r="P479" i="44"/>
  <c r="S479" i="44" s="1"/>
  <c r="P528" i="44"/>
  <c r="S529" i="44" s="1"/>
  <c r="S477" i="44"/>
  <c r="S503" i="44"/>
  <c r="S527" i="44"/>
  <c r="S464" i="44"/>
  <c r="S465" i="44"/>
  <c r="S509" i="44"/>
  <c r="S508" i="44"/>
  <c r="S475" i="44"/>
  <c r="S474" i="44"/>
  <c r="S484" i="44"/>
  <c r="S499" i="44"/>
  <c r="S500" i="44"/>
  <c r="S463" i="44"/>
  <c r="S462" i="44"/>
  <c r="S541" i="44"/>
  <c r="S540" i="44"/>
  <c r="S490" i="44"/>
  <c r="S489" i="44"/>
  <c r="S532" i="44"/>
  <c r="S531" i="44"/>
  <c r="S545" i="44"/>
  <c r="S546" i="44"/>
  <c r="S544" i="44"/>
  <c r="S543" i="44"/>
  <c r="S536" i="44"/>
  <c r="S535" i="44"/>
  <c r="P558" i="44"/>
  <c r="S498" i="44"/>
  <c r="S556" i="44"/>
  <c r="S473" i="44"/>
  <c r="S505" i="44"/>
  <c r="P549" i="44"/>
  <c r="S549" i="44" s="1"/>
  <c r="BA35" i="44"/>
  <c r="AF46" i="44"/>
  <c r="BA42" i="44"/>
  <c r="AP13" i="44"/>
  <c r="AP6" i="44"/>
  <c r="AF27" i="44"/>
  <c r="BA48" i="44"/>
  <c r="BA28" i="44"/>
  <c r="BA41" i="44"/>
  <c r="BA30" i="44"/>
  <c r="BA16" i="44"/>
  <c r="AY16" i="44"/>
  <c r="BA22" i="44"/>
  <c r="AF30" i="44"/>
  <c r="BA3" i="44"/>
  <c r="AY19" i="44"/>
  <c r="BA19" i="44"/>
  <c r="AP9" i="44"/>
  <c r="AF28" i="44"/>
  <c r="AF11" i="44"/>
  <c r="AF51" i="44"/>
  <c r="AY38" i="44"/>
  <c r="AP18" i="44"/>
  <c r="AF40" i="44"/>
  <c r="AF21" i="44"/>
  <c r="BA29" i="44"/>
  <c r="BA9" i="44"/>
  <c r="AF39" i="44"/>
  <c r="AF37" i="44"/>
  <c r="AF23" i="44"/>
  <c r="AF35" i="44"/>
  <c r="BA32" i="44"/>
  <c r="AF49" i="44"/>
  <c r="AP16" i="44"/>
  <c r="AF29" i="44"/>
  <c r="BA23" i="44"/>
  <c r="BA39" i="44"/>
  <c r="BA4" i="44"/>
  <c r="AP15" i="44"/>
  <c r="BA18" i="44"/>
  <c r="AY18" i="44"/>
  <c r="AF53" i="44"/>
  <c r="BA45" i="44"/>
  <c r="AF41" i="44"/>
  <c r="AP11" i="44"/>
  <c r="BA21" i="44"/>
  <c r="AF12" i="44"/>
  <c r="BA47" i="44"/>
  <c r="AF31" i="44"/>
  <c r="AF14" i="44"/>
  <c r="AP14" i="44"/>
  <c r="AF50" i="44"/>
  <c r="BA26" i="44"/>
  <c r="AF38" i="44"/>
  <c r="AF9" i="44"/>
  <c r="AP5" i="44"/>
  <c r="BA36" i="44"/>
  <c r="AY20" i="44"/>
  <c r="BA20" i="44"/>
  <c r="AF19" i="44"/>
  <c r="BA38" i="44"/>
  <c r="AF52" i="44"/>
  <c r="AP7" i="44"/>
  <c r="AF55" i="44"/>
  <c r="BA7" i="44"/>
  <c r="AF47" i="44"/>
  <c r="BA6" i="44"/>
  <c r="BA34" i="44"/>
  <c r="AF34" i="44"/>
  <c r="BA13" i="44"/>
  <c r="AF26" i="44"/>
  <c r="AP4" i="44"/>
  <c r="AF20" i="44"/>
  <c r="BA2" i="44"/>
  <c r="AF24" i="44"/>
  <c r="AF10" i="44"/>
  <c r="AF8" i="44"/>
  <c r="AF56" i="44"/>
  <c r="AP2" i="44"/>
  <c r="AF16" i="44" s="1"/>
  <c r="AF33" i="44"/>
  <c r="AF22" i="44"/>
  <c r="BA10" i="44"/>
  <c r="AP19" i="44"/>
  <c r="BA43" i="44"/>
  <c r="AF17" i="44"/>
  <c r="AF32" i="44"/>
  <c r="BA14" i="44"/>
  <c r="BA15" i="44"/>
  <c r="BA11" i="44"/>
  <c r="BA37" i="44"/>
  <c r="AF42" i="44"/>
  <c r="AF54" i="44"/>
  <c r="BA5" i="44"/>
  <c r="AF25" i="44"/>
  <c r="BA31" i="44"/>
  <c r="AY33" i="44"/>
  <c r="BA33" i="44"/>
  <c r="AP3" i="44"/>
  <c r="AP8" i="44"/>
  <c r="AY27" i="44"/>
  <c r="BA27" i="44"/>
  <c r="AF6" i="44"/>
  <c r="AP17" i="44"/>
  <c r="BA12" i="44"/>
  <c r="AF45" i="44"/>
  <c r="BA24" i="44"/>
  <c r="BA25" i="44"/>
  <c r="BA8" i="44"/>
  <c r="AF43" i="44"/>
  <c r="AF5" i="44"/>
  <c r="BA44" i="44"/>
  <c r="AF4" i="44"/>
  <c r="AF7" i="44"/>
  <c r="AF48" i="44"/>
  <c r="AF3" i="44"/>
  <c r="AF15" i="44"/>
  <c r="BA46" i="44"/>
  <c r="AP10" i="44"/>
  <c r="AF2" i="44"/>
  <c r="BA49" i="44"/>
  <c r="AF18" i="44"/>
  <c r="AF44" i="44"/>
  <c r="AF13" i="44"/>
  <c r="BA40" i="44"/>
  <c r="AP12" i="44"/>
  <c r="BA17" i="44"/>
  <c r="AF36" i="44"/>
  <c r="S552" i="44" l="1"/>
  <c r="S240" i="44"/>
  <c r="P460" i="44"/>
  <c r="S427" i="44"/>
  <c r="S239" i="44"/>
  <c r="S130" i="44"/>
  <c r="S249" i="44"/>
  <c r="S408" i="44"/>
  <c r="S410" i="44"/>
  <c r="S523" i="44"/>
  <c r="S152" i="44"/>
  <c r="P523" i="44"/>
  <c r="S387" i="44"/>
  <c r="S537" i="44"/>
  <c r="S451" i="44"/>
  <c r="S450" i="44"/>
  <c r="S267" i="44"/>
  <c r="S413" i="44"/>
  <c r="P257" i="44"/>
  <c r="S257" i="44" s="1"/>
  <c r="S39" i="44"/>
  <c r="S376" i="44"/>
  <c r="S386" i="44"/>
  <c r="S186" i="44"/>
  <c r="S335" i="44"/>
  <c r="S430" i="44"/>
  <c r="S256" i="44"/>
  <c r="S519" i="44"/>
  <c r="S341" i="44"/>
  <c r="S478" i="44"/>
  <c r="S460" i="44"/>
  <c r="S457" i="44"/>
  <c r="S189" i="44"/>
  <c r="S436" i="44"/>
  <c r="S406" i="44"/>
  <c r="S338" i="44"/>
  <c r="P188" i="44"/>
  <c r="S188" i="44" s="1"/>
  <c r="S340" i="44"/>
  <c r="P339" i="44"/>
  <c r="S339" i="44" s="1"/>
  <c r="S331" i="44"/>
  <c r="P330" i="44"/>
  <c r="S330" i="44" s="1"/>
  <c r="S180" i="44"/>
  <c r="S171" i="44"/>
  <c r="S440" i="44"/>
  <c r="S441" i="44"/>
  <c r="S181" i="44"/>
  <c r="S182" i="44"/>
  <c r="S176" i="44"/>
  <c r="P134" i="44"/>
  <c r="S134" i="44" s="1"/>
  <c r="S135" i="44"/>
  <c r="S221" i="44"/>
  <c r="S175" i="44"/>
  <c r="S400" i="44"/>
  <c r="S223" i="44"/>
  <c r="S154" i="44"/>
  <c r="S528" i="44"/>
  <c r="S20" i="44"/>
  <c r="P21" i="44"/>
  <c r="S21" i="44" s="1"/>
  <c r="S22" i="44"/>
  <c r="S379" i="44"/>
  <c r="S378" i="44"/>
  <c r="S516" i="44"/>
  <c r="S517" i="44"/>
  <c r="P466" i="44"/>
  <c r="S466" i="44" s="1"/>
  <c r="S514" i="44"/>
  <c r="S136" i="44"/>
  <c r="S137" i="44"/>
  <c r="S381" i="44"/>
  <c r="S548" i="44"/>
  <c r="S5" i="44"/>
  <c r="S6" i="44"/>
  <c r="S482" i="44"/>
  <c r="S456" i="44"/>
  <c r="S125" i="44"/>
  <c r="S126" i="44"/>
  <c r="P121" i="44"/>
  <c r="S121" i="44" s="1"/>
  <c r="S122" i="44"/>
  <c r="S433" i="44"/>
  <c r="S432" i="44"/>
  <c r="S431" i="44"/>
  <c r="S38" i="44"/>
  <c r="S319" i="44"/>
  <c r="S318" i="44"/>
  <c r="S127" i="44"/>
  <c r="S128" i="44"/>
  <c r="S129" i="44"/>
  <c r="S123" i="44"/>
  <c r="S446" i="44"/>
  <c r="P445" i="44"/>
  <c r="S445" i="44" s="1"/>
  <c r="S245" i="44"/>
  <c r="S244" i="44"/>
  <c r="S133" i="44"/>
  <c r="S132" i="44"/>
  <c r="P550" i="44"/>
  <c r="S550" i="44"/>
  <c r="P94" i="44"/>
  <c r="S96" i="44"/>
  <c r="S390" i="44"/>
  <c r="S389" i="44"/>
  <c r="S315" i="44"/>
  <c r="S184" i="44"/>
  <c r="S183" i="44"/>
  <c r="S99" i="44"/>
  <c r="S97" i="44"/>
  <c r="P98" i="44"/>
  <c r="S98" i="44" s="1"/>
  <c r="P253" i="44"/>
  <c r="S252" i="44"/>
  <c r="S435" i="44"/>
  <c r="S306" i="44"/>
  <c r="S307" i="44"/>
  <c r="S93" i="44"/>
  <c r="S92" i="44"/>
  <c r="P41" i="44"/>
  <c r="S41" i="44" s="1"/>
  <c r="P40" i="44"/>
  <c r="S40" i="44" s="1"/>
  <c r="P42" i="44"/>
  <c r="S42" i="44" s="1"/>
  <c r="S160" i="44"/>
  <c r="S161" i="44"/>
  <c r="S106" i="44"/>
  <c r="S105" i="44"/>
  <c r="S361" i="44"/>
  <c r="S360" i="44"/>
  <c r="S35" i="44"/>
  <c r="S36" i="44"/>
  <c r="S34" i="44"/>
  <c r="P33" i="44"/>
  <c r="S33" i="44" s="1"/>
  <c r="S31" i="44"/>
  <c r="S32" i="44"/>
  <c r="S347" i="44"/>
  <c r="S348" i="44"/>
  <c r="S71" i="44"/>
  <c r="P70" i="44"/>
  <c r="S70" i="44" s="1"/>
  <c r="S419" i="44"/>
  <c r="P418" i="44"/>
  <c r="S418" i="44" s="1"/>
  <c r="S108" i="44"/>
  <c r="S107" i="44"/>
  <c r="S487" i="44"/>
  <c r="S488" i="44"/>
  <c r="S116" i="44"/>
  <c r="S115" i="44"/>
  <c r="S117" i="44"/>
  <c r="P288" i="44"/>
  <c r="S288" i="44" s="1"/>
  <c r="S287" i="44"/>
  <c r="S289" i="44"/>
  <c r="S143" i="44"/>
  <c r="S144" i="44"/>
  <c r="S142" i="44"/>
  <c r="S226" i="44"/>
  <c r="P227" i="44"/>
  <c r="S214" i="44"/>
  <c r="S213" i="44"/>
  <c r="P113" i="44"/>
  <c r="S113" i="44" s="1"/>
  <c r="S114" i="44"/>
  <c r="S15" i="44"/>
  <c r="S16" i="44"/>
  <c r="S363" i="44"/>
  <c r="S364" i="44"/>
  <c r="S283" i="44"/>
  <c r="S282" i="44"/>
  <c r="S203" i="44"/>
  <c r="S204" i="44"/>
  <c r="S12" i="44"/>
  <c r="S13" i="44"/>
  <c r="S356" i="44"/>
  <c r="S355" i="44"/>
  <c r="S354" i="44"/>
  <c r="S148" i="44"/>
  <c r="S147" i="44"/>
  <c r="S64" i="44"/>
  <c r="S65" i="44"/>
  <c r="S205" i="44"/>
  <c r="S206" i="44"/>
  <c r="S405" i="44"/>
  <c r="S404" i="44"/>
  <c r="S217" i="44"/>
  <c r="S218" i="44"/>
  <c r="S497" i="44"/>
  <c r="S495" i="44"/>
  <c r="S202" i="44"/>
  <c r="S201" i="44"/>
  <c r="S101" i="44"/>
  <c r="P100" i="44"/>
  <c r="S100" i="44" s="1"/>
  <c r="S43" i="44"/>
  <c r="S44" i="44"/>
  <c r="S275" i="44"/>
  <c r="S274" i="44"/>
  <c r="S140" i="44"/>
  <c r="S141" i="44"/>
  <c r="S230" i="44"/>
  <c r="S229" i="44"/>
  <c r="S211" i="44"/>
  <c r="S212" i="44"/>
  <c r="S199" i="44"/>
  <c r="S200" i="44"/>
  <c r="S29" i="44"/>
  <c r="S30" i="44"/>
  <c r="P19" i="44"/>
  <c r="S19" i="44" s="1"/>
  <c r="P18" i="44"/>
  <c r="S18" i="44" s="1"/>
  <c r="P17" i="44"/>
  <c r="S17" i="44" s="1"/>
  <c r="S373" i="44"/>
  <c r="S371" i="44"/>
  <c r="P372" i="44"/>
  <c r="S372" i="44" s="1"/>
  <c r="S353" i="44"/>
  <c r="S352" i="44"/>
  <c r="S156" i="44"/>
  <c r="S155" i="44"/>
  <c r="S67" i="44"/>
  <c r="S66" i="44"/>
  <c r="S238" i="44"/>
  <c r="P236" i="44"/>
  <c r="S194" i="44"/>
  <c r="S196" i="44"/>
  <c r="S195" i="44"/>
  <c r="S374" i="44"/>
  <c r="S375" i="44"/>
  <c r="S193" i="44"/>
  <c r="P192" i="44"/>
  <c r="S192" i="44" s="1"/>
  <c r="P109" i="44"/>
  <c r="S109" i="44" s="1"/>
  <c r="S110" i="44"/>
  <c r="S392" i="44"/>
  <c r="P391" i="44"/>
  <c r="S391" i="44" s="1"/>
  <c r="S345" i="44"/>
  <c r="S346" i="44"/>
  <c r="S145" i="44"/>
  <c r="S146" i="44"/>
  <c r="S402" i="44"/>
  <c r="S403" i="44"/>
  <c r="S220" i="44"/>
  <c r="S219" i="44"/>
  <c r="S209" i="44"/>
  <c r="P208" i="44"/>
  <c r="S208" i="44" s="1"/>
  <c r="S111" i="44"/>
  <c r="S112" i="44"/>
  <c r="P423" i="44"/>
  <c r="S425" i="44"/>
  <c r="S198" i="44"/>
  <c r="S197" i="44"/>
  <c r="S533" i="44"/>
  <c r="S534" i="44"/>
  <c r="S286" i="44"/>
  <c r="P284" i="44"/>
  <c r="S370" i="44"/>
  <c r="S369" i="44"/>
  <c r="S344" i="44"/>
  <c r="P343" i="44"/>
  <c r="S343" i="44" s="1"/>
  <c r="S157" i="44"/>
  <c r="S158" i="44"/>
  <c r="S411" i="44"/>
  <c r="S412" i="44"/>
  <c r="S215" i="44"/>
  <c r="S216" i="44"/>
  <c r="S357" i="44"/>
  <c r="S358" i="44"/>
  <c r="S368" i="44"/>
  <c r="S367" i="44"/>
  <c r="S559" i="44"/>
  <c r="S558" i="44"/>
  <c r="S467" i="44" l="1"/>
  <c r="S253" i="44"/>
  <c r="S254" i="44"/>
  <c r="S94" i="44"/>
  <c r="S95" i="44"/>
  <c r="S228" i="44"/>
  <c r="S227" i="44"/>
  <c r="S424" i="44"/>
  <c r="S423" i="44"/>
  <c r="S236" i="44"/>
  <c r="S237" i="44"/>
  <c r="S285" i="44"/>
  <c r="S284" i="4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<sst xmlns="http://schemas.openxmlformats.org/spreadsheetml/2006/main" count="1366" uniqueCount="152">
  <si>
    <t>Peau de sanglier</t>
  </si>
  <si>
    <t>Peau de wyverne</t>
  </si>
  <si>
    <t>Viande de gelato</t>
  </si>
  <si>
    <t>Viande de flan</t>
  </si>
  <si>
    <t>Minerai de cobalt</t>
  </si>
  <si>
    <t>Ambre brut</t>
  </si>
  <si>
    <t>Minerai d'électrum</t>
  </si>
  <si>
    <t>Alun noir</t>
  </si>
  <si>
    <t>Minerai de mithril</t>
  </si>
  <si>
    <t>Silice</t>
  </si>
  <si>
    <t>Cendres de bombo</t>
  </si>
  <si>
    <t>Minerai d'argent</t>
  </si>
  <si>
    <t>Eau effervescente</t>
  </si>
  <si>
    <t>Alun</t>
  </si>
  <si>
    <t>Minerai de fer</t>
  </si>
  <si>
    <t>Sel gemme</t>
  </si>
  <si>
    <t>Minerai de cuivre</t>
  </si>
  <si>
    <t>Rondin de cèdre</t>
  </si>
  <si>
    <t>Rondin de palissandre</t>
  </si>
  <si>
    <t>Rondin d'acajou</t>
  </si>
  <si>
    <t>Rondin de chêne</t>
  </si>
  <si>
    <t>Fibres de lin</t>
  </si>
  <si>
    <t>Rondin de noyer</t>
  </si>
  <si>
    <t>Rondin d'if</t>
  </si>
  <si>
    <t>Minerai d'or</t>
  </si>
  <si>
    <t>Minerai de sombracier</t>
  </si>
  <si>
    <t>Minerai de ferbérite</t>
  </si>
  <si>
    <t>Sable de mithrite</t>
  </si>
  <si>
    <t>Minerai de mithrite</t>
  </si>
  <si>
    <t>Eau de source de Dravania</t>
  </si>
  <si>
    <t>Pépite de mithrite</t>
  </si>
  <si>
    <t>Madrier de cèdre</t>
  </si>
  <si>
    <t>Coque</t>
  </si>
  <si>
    <t>Bronco</t>
  </si>
  <si>
    <t>Madrier d'if</t>
  </si>
  <si>
    <t>Clou en fer</t>
  </si>
  <si>
    <t>Lingot de cobalt</t>
  </si>
  <si>
    <t>Madrier d'épicéa</t>
  </si>
  <si>
    <t>Rivets en bronze</t>
  </si>
  <si>
    <t>Plaque de mithril</t>
  </si>
  <si>
    <t>Lingot d'électrum</t>
  </si>
  <si>
    <t>Rivets en cobalt</t>
  </si>
  <si>
    <t>Plaque de sombracier</t>
  </si>
  <si>
    <t>Cuir de sanglier</t>
  </si>
  <si>
    <t>Canevas de lin</t>
  </si>
  <si>
    <t>Vernis</t>
  </si>
  <si>
    <t>Glu de démon</t>
  </si>
  <si>
    <t>Madrier d'acajou</t>
  </si>
  <si>
    <t>Lingot de fer</t>
  </si>
  <si>
    <t>Rondin d'épicéa</t>
  </si>
  <si>
    <t>Lingot de bronze</t>
  </si>
  <si>
    <t xml:space="preserve">Minerai d'étain </t>
  </si>
  <si>
    <t>Lingot de mithril</t>
  </si>
  <si>
    <t>Pépite de sombracier</t>
  </si>
  <si>
    <t>Fil de coton</t>
  </si>
  <si>
    <t>Cire d'abeille</t>
  </si>
  <si>
    <t>Fleur de coton</t>
  </si>
  <si>
    <t>Fragment d'alvéoles</t>
  </si>
  <si>
    <t>Huile de lin</t>
  </si>
  <si>
    <t>Térébenthine</t>
  </si>
  <si>
    <t>Corne de bouquetin</t>
  </si>
  <si>
    <t>Rivets en fer</t>
  </si>
  <si>
    <t>Lingot d'acier</t>
  </si>
  <si>
    <t>Rivets en acier</t>
  </si>
  <si>
    <t>Lingot de sombracier</t>
  </si>
  <si>
    <t>Étoffe de soie vanya</t>
  </si>
  <si>
    <t>Madrier de palissandre</t>
  </si>
  <si>
    <t>Coke de houille</t>
  </si>
  <si>
    <t>Feuilles de thé de Tinolqa</t>
  </si>
  <si>
    <t>Peau de saurien</t>
  </si>
  <si>
    <t>Cuir d'hippogriffe</t>
  </si>
  <si>
    <t>Suif</t>
  </si>
  <si>
    <t>Peau d'hippogriffe</t>
  </si>
  <si>
    <t>Fil de soie</t>
  </si>
  <si>
    <t>Potasse</t>
  </si>
  <si>
    <t>Cocon de vers à soie</t>
  </si>
  <si>
    <t>Ballon</t>
  </si>
  <si>
    <t xml:space="preserve"> Bronco</t>
  </si>
  <si>
    <t>Q</t>
  </si>
  <si>
    <t>Eau sacrée</t>
  </si>
  <si>
    <t>Gui de Dravania</t>
  </si>
  <si>
    <t>proue</t>
  </si>
  <si>
    <t>Patte en cobalt</t>
  </si>
  <si>
    <t>Patte en acier</t>
  </si>
  <si>
    <t>Rivets en mithril</t>
  </si>
  <si>
    <t>Lingot d'argent</t>
  </si>
  <si>
    <t>poupe</t>
  </si>
  <si>
    <t>Étiquettes de lignes</t>
  </si>
  <si>
    <t>Total général</t>
  </si>
  <si>
    <t>Somme de Q</t>
  </si>
  <si>
    <t>Cuir d'Uraeus</t>
  </si>
  <si>
    <t>Peau d'Uraeus</t>
  </si>
  <si>
    <t>Canevas de la côte des Adieux</t>
  </si>
  <si>
    <t>Touffe d'herbe de moko rouge</t>
  </si>
  <si>
    <t>Glu d'entité</t>
  </si>
  <si>
    <t>(vide)</t>
  </si>
  <si>
    <t>Cuir d'hippogriffe assoupli</t>
  </si>
  <si>
    <t>Cuir de saurien</t>
  </si>
  <si>
    <t>Invincible</t>
  </si>
  <si>
    <t>Madrier de noyer</t>
  </si>
  <si>
    <t>Acier de Garlond</t>
  </si>
  <si>
    <t>Lingot d'or rose</t>
  </si>
  <si>
    <t>Madrier d'épicéa durci</t>
  </si>
  <si>
    <t>Hélice</t>
  </si>
  <si>
    <t>Madrier de morta</t>
  </si>
  <si>
    <t>Minerai de vivianite</t>
  </si>
  <si>
    <t>Pépite d'or rose</t>
  </si>
  <si>
    <t>Minerai de bornite</t>
  </si>
  <si>
    <t>Sève durcie</t>
  </si>
  <si>
    <t>Rondin pétrifié</t>
  </si>
  <si>
    <t>Sève écarlate</t>
  </si>
  <si>
    <t>Requin</t>
  </si>
  <si>
    <t>Pont</t>
  </si>
  <si>
    <t>Unkiu</t>
  </si>
  <si>
    <t>Madrier de chêne</t>
  </si>
  <si>
    <t>Clou en acier</t>
  </si>
  <si>
    <t>Plaque d'acier</t>
  </si>
  <si>
    <t>Lingot de tungstène</t>
  </si>
  <si>
    <t>Minerai de scheelite</t>
  </si>
  <si>
    <t>Plaque de verre incolore</t>
  </si>
  <si>
    <t>Natron</t>
  </si>
  <si>
    <t>Poupe</t>
  </si>
  <si>
    <t>Rivets en sombracier</t>
  </si>
  <si>
    <t>Cuir de wyverne</t>
  </si>
  <si>
    <t>Feuilles de thé du Coerthas</t>
  </si>
  <si>
    <t>Matière</t>
  </si>
  <si>
    <t>Matière +1</t>
  </si>
  <si>
    <t>Q+1</t>
  </si>
  <si>
    <t>Matière +2</t>
  </si>
  <si>
    <t>Q +2</t>
  </si>
  <si>
    <t>Somme de Q+1</t>
  </si>
  <si>
    <t>Somme de Q +2</t>
  </si>
  <si>
    <t>Entreprise</t>
  </si>
  <si>
    <t>Lingot de mithrite</t>
  </si>
  <si>
    <t>Prix U</t>
  </si>
  <si>
    <t>Baleine</t>
  </si>
  <si>
    <t>Madrier de cèdre sacré</t>
  </si>
  <si>
    <t>Célestine</t>
  </si>
  <si>
    <t>Célestine brute</t>
  </si>
  <si>
    <t>Pierre à aiguiser sédimentaire</t>
  </si>
  <si>
    <t>Proue</t>
  </si>
  <si>
    <t>Fil de lin</t>
  </si>
  <si>
    <t>Matière 1ere</t>
  </si>
  <si>
    <t>Q Fab</t>
  </si>
  <si>
    <t>Stock</t>
  </si>
  <si>
    <t>Prix Fab</t>
  </si>
  <si>
    <t>Q1</t>
  </si>
  <si>
    <t>Matière transformé</t>
  </si>
  <si>
    <t>Q2</t>
  </si>
  <si>
    <t>Matière final</t>
  </si>
  <si>
    <t>QF</t>
  </si>
  <si>
    <t>Q -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</si>
</sst>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663300"/>
        <bgColor indexed="64"/>
      </patternFill>
    </fill>
    <fill>
      <patternFill patternType="solid">
        <fgColor rgb="FF993366"/>
        <bgColor indexed="64"/>
      </patternFill>
    </fill>
    <fill>
      <patternFill patternType="solid">
        <fgColor rgb="FFCC6600"/>
        <bgColor indexed="64"/>
      </patternFill>
    </fill>
    <fill>
      <patternFill patternType="solid">
        <fgColor rgb="FF666633"/>
        <bgColor indexed="64"/>
      </patternFill>
    </fill>
    <fill>
      <patternFill patternType="solid">
        <fgColor theme="5" tint="-0.249977111117893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09">
    <xf numFmtId="0" fontId="0" fillId="0" borderId="0" xfId="0"/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NumberFormat="1"/>
    <xf numFmtId="0" fontId="0" fillId="5" borderId="14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12" borderId="14" xfId="0" applyFill="1" applyBorder="1" applyAlignment="1">
      <alignment horizontal="center" vertical="center"/>
    </xf>
    <xf numFmtId="0" fontId="0" fillId="16" borderId="14" xfId="0" applyFill="1" applyBorder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7" borderId="0" xfId="0" applyFill="1"/>
    <xf numFmtId="0" fontId="0" fillId="17" borderId="17" xfId="0" applyFill="1" applyBorder="1" applyAlignment="1">
      <alignment horizontal="center" vertical="center"/>
    </xf>
    <xf numFmtId="0" fontId="0" fillId="17" borderId="16" xfId="0" applyFill="1" applyBorder="1" applyAlignment="1">
      <alignment horizontal="center" vertical="center"/>
    </xf>
    <xf numFmtId="0" fontId="0" fillId="17" borderId="13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17" borderId="10" xfId="0" applyFill="1" applyBorder="1" applyAlignment="1">
      <alignment vertical="center"/>
    </xf>
    <xf numFmtId="0" fontId="0" fillId="17" borderId="24" xfId="0" applyFill="1" applyBorder="1" applyAlignment="1">
      <alignment horizontal="center" vertical="center"/>
    </xf>
    <xf numFmtId="0" fontId="0" fillId="17" borderId="25" xfId="0" applyFill="1" applyBorder="1" applyAlignment="1">
      <alignment horizontal="center" vertical="center"/>
    </xf>
    <xf numFmtId="0" fontId="0" fillId="17" borderId="26" xfId="0" applyFill="1" applyBorder="1" applyAlignment="1">
      <alignment horizontal="center" vertical="center"/>
    </xf>
    <xf numFmtId="0" fontId="0" fillId="17" borderId="32" xfId="0" applyFill="1" applyBorder="1" applyAlignment="1">
      <alignment horizontal="center" vertical="center"/>
    </xf>
    <xf numFmtId="0" fontId="0" fillId="17" borderId="33" xfId="0" applyFill="1" applyBorder="1" applyAlignment="1">
      <alignment horizontal="center" vertical="center"/>
    </xf>
    <xf numFmtId="0" fontId="0" fillId="17" borderId="38" xfId="0" applyFill="1" applyBorder="1" applyAlignment="1">
      <alignment horizontal="center" vertical="center"/>
    </xf>
    <xf numFmtId="0" fontId="0" fillId="17" borderId="39" xfId="0" applyFill="1" applyBorder="1" applyAlignment="1">
      <alignment horizontal="center" vertical="center"/>
    </xf>
    <xf numFmtId="0" fontId="0" fillId="17" borderId="40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0" fillId="12" borderId="32" xfId="0" applyFill="1" applyBorder="1" applyAlignment="1">
      <alignment horizontal="center" vertical="center"/>
    </xf>
    <xf numFmtId="0" fontId="0" fillId="8" borderId="33" xfId="0" applyFill="1" applyBorder="1" applyAlignment="1">
      <alignment horizontal="center" vertical="center"/>
    </xf>
    <xf numFmtId="0" fontId="0" fillId="8" borderId="32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16" borderId="33" xfId="0" applyFill="1" applyBorder="1" applyAlignment="1">
      <alignment horizontal="center" vertical="center"/>
    </xf>
    <xf numFmtId="0" fontId="0" fillId="16" borderId="32" xfId="0" applyFill="1" applyBorder="1" applyAlignment="1">
      <alignment horizontal="center" vertical="center"/>
    </xf>
    <xf numFmtId="0" fontId="0" fillId="13" borderId="33" xfId="0" applyFill="1" applyBorder="1" applyAlignment="1">
      <alignment horizontal="center" vertical="center"/>
    </xf>
    <xf numFmtId="0" fontId="0" fillId="13" borderId="32" xfId="0" applyFill="1" applyBorder="1" applyAlignment="1">
      <alignment horizontal="center" vertical="center"/>
    </xf>
    <xf numFmtId="0" fontId="0" fillId="14" borderId="33" xfId="0" applyFill="1" applyBorder="1" applyAlignment="1">
      <alignment horizontal="center" vertical="center"/>
    </xf>
    <xf numFmtId="0" fontId="0" fillId="14" borderId="32" xfId="0" applyFill="1" applyBorder="1" applyAlignment="1">
      <alignment horizontal="center" vertical="center"/>
    </xf>
    <xf numFmtId="0" fontId="0" fillId="18" borderId="33" xfId="0" applyFill="1" applyBorder="1" applyAlignment="1">
      <alignment horizontal="center" vertical="center"/>
    </xf>
    <xf numFmtId="0" fontId="0" fillId="18" borderId="32" xfId="0" applyFill="1" applyBorder="1" applyAlignment="1">
      <alignment horizontal="center" vertical="center"/>
    </xf>
    <xf numFmtId="0" fontId="0" fillId="19" borderId="33" xfId="0" applyFill="1" applyBorder="1" applyAlignment="1">
      <alignment horizontal="center" vertical="center"/>
    </xf>
    <xf numFmtId="0" fontId="0" fillId="19" borderId="14" xfId="0" applyFill="1" applyBorder="1" applyAlignment="1">
      <alignment horizontal="center" vertical="center"/>
    </xf>
    <xf numFmtId="0" fontId="0" fillId="19" borderId="32" xfId="0" applyFill="1" applyBorder="1" applyAlignment="1">
      <alignment horizontal="center" vertical="center"/>
    </xf>
    <xf numFmtId="0" fontId="0" fillId="15" borderId="33" xfId="0" applyFill="1" applyBorder="1" applyAlignment="1">
      <alignment horizontal="center" vertical="center"/>
    </xf>
    <xf numFmtId="0" fontId="0" fillId="15" borderId="32" xfId="0" applyFill="1" applyBorder="1" applyAlignment="1">
      <alignment horizontal="center" vertical="center"/>
    </xf>
    <xf numFmtId="0" fontId="0" fillId="17" borderId="5" xfId="0" applyFill="1" applyBorder="1" applyAlignment="1">
      <alignment vertical="center"/>
    </xf>
    <xf numFmtId="0" fontId="0" fillId="5" borderId="16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20" borderId="33" xfId="0" applyFill="1" applyBorder="1" applyAlignment="1">
      <alignment horizontal="center" vertical="center"/>
    </xf>
    <xf numFmtId="0" fontId="0" fillId="20" borderId="14" xfId="0" applyFill="1" applyBorder="1" applyAlignment="1">
      <alignment horizontal="center" vertical="center"/>
    </xf>
    <xf numFmtId="0" fontId="0" fillId="20" borderId="15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38" xfId="0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0" fillId="4" borderId="40" xfId="0" applyFill="1" applyBorder="1" applyAlignment="1">
      <alignment horizontal="center" vertical="center"/>
    </xf>
    <xf numFmtId="0" fontId="0" fillId="3" borderId="33" xfId="0" applyFill="1" applyBorder="1" applyAlignment="1">
      <alignment horizontal="center" vertical="center"/>
    </xf>
    <xf numFmtId="0" fontId="0" fillId="11" borderId="38" xfId="0" applyFill="1" applyBorder="1" applyAlignment="1">
      <alignment horizontal="center" vertical="center"/>
    </xf>
    <xf numFmtId="0" fontId="0" fillId="11" borderId="39" xfId="0" applyFill="1" applyBorder="1" applyAlignment="1">
      <alignment horizontal="center" vertical="center"/>
    </xf>
    <xf numFmtId="0" fontId="0" fillId="11" borderId="40" xfId="0" applyFill="1" applyBorder="1" applyAlignment="1">
      <alignment horizontal="center" vertical="center"/>
    </xf>
    <xf numFmtId="0" fontId="0" fillId="7" borderId="10" xfId="0" applyFill="1" applyBorder="1" applyAlignment="1">
      <alignment vertical="center"/>
    </xf>
    <xf numFmtId="0" fontId="0" fillId="7" borderId="33" xfId="0" applyFill="1" applyBorder="1" applyAlignment="1">
      <alignment horizontal="center" vertical="center"/>
    </xf>
    <xf numFmtId="0" fontId="0" fillId="7" borderId="14" xfId="0" applyFill="1" applyBorder="1" applyAlignment="1">
      <alignment horizontal="center" vertical="center"/>
    </xf>
    <xf numFmtId="0" fontId="0" fillId="7" borderId="32" xfId="0" applyFill="1" applyBorder="1" applyAlignment="1">
      <alignment horizontal="center" vertical="center"/>
    </xf>
    <xf numFmtId="0" fontId="0" fillId="10" borderId="10" xfId="0" applyFill="1" applyBorder="1" applyAlignment="1">
      <alignment vertical="center"/>
    </xf>
    <xf numFmtId="0" fontId="0" fillId="10" borderId="33" xfId="0" applyFill="1" applyBorder="1" applyAlignment="1">
      <alignment horizontal="center" vertical="center"/>
    </xf>
    <xf numFmtId="0" fontId="0" fillId="10" borderId="5" xfId="0" applyFill="1" applyBorder="1" applyAlignment="1">
      <alignment vertical="center"/>
    </xf>
    <xf numFmtId="0" fontId="0" fillId="10" borderId="3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21" borderId="16" xfId="0" applyFill="1" applyBorder="1" applyAlignment="1">
      <alignment horizontal="center" vertical="center"/>
    </xf>
    <xf numFmtId="0" fontId="0" fillId="21" borderId="26" xfId="0" applyFill="1" applyBorder="1" applyAlignment="1">
      <alignment horizontal="center" vertical="center"/>
    </xf>
    <xf numFmtId="0" fontId="0" fillId="21" borderId="17" xfId="0" applyFill="1" applyBorder="1" applyAlignment="1">
      <alignment horizontal="center" vertical="center"/>
    </xf>
    <xf numFmtId="0" fontId="0" fillId="21" borderId="38" xfId="0" applyFill="1" applyBorder="1" applyAlignment="1">
      <alignment horizontal="center" vertical="center"/>
    </xf>
    <xf numFmtId="0" fontId="0" fillId="21" borderId="39" xfId="0" applyFill="1" applyBorder="1" applyAlignment="1">
      <alignment horizontal="center" vertical="center"/>
    </xf>
    <xf numFmtId="0" fontId="0" fillId="21" borderId="40" xfId="0" applyFill="1" applyBorder="1" applyAlignment="1">
      <alignment horizontal="center" vertical="center"/>
    </xf>
    <xf numFmtId="0" fontId="0" fillId="15" borderId="14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22" borderId="37" xfId="0" applyFill="1" applyBorder="1" applyAlignment="1">
      <alignment horizontal="center" vertical="center"/>
    </xf>
    <xf numFmtId="0" fontId="0" fillId="22" borderId="22" xfId="0" applyFill="1" applyBorder="1" applyAlignment="1">
      <alignment horizontal="center" vertical="center"/>
    </xf>
    <xf numFmtId="0" fontId="0" fillId="22" borderId="23" xfId="0" applyFill="1" applyBorder="1" applyAlignment="1">
      <alignment horizontal="center" vertical="center"/>
    </xf>
    <xf numFmtId="0" fontId="0" fillId="23" borderId="33" xfId="0" applyFill="1" applyBorder="1" applyAlignment="1">
      <alignment horizontal="center" vertical="center"/>
    </xf>
    <xf numFmtId="0" fontId="0" fillId="23" borderId="32" xfId="0" applyFill="1" applyBorder="1" applyAlignment="1">
      <alignment horizontal="center" vertical="center"/>
    </xf>
    <xf numFmtId="0" fontId="0" fillId="24" borderId="37" xfId="0" applyFill="1" applyBorder="1" applyAlignment="1">
      <alignment horizontal="center" vertical="center"/>
    </xf>
    <xf numFmtId="0" fontId="0" fillId="24" borderId="22" xfId="0" applyFill="1" applyBorder="1" applyAlignment="1">
      <alignment horizontal="center" vertical="center"/>
    </xf>
    <xf numFmtId="0" fontId="0" fillId="24" borderId="23" xfId="0" applyFill="1" applyBorder="1" applyAlignment="1">
      <alignment horizontal="center" vertical="center"/>
    </xf>
    <xf numFmtId="0" fontId="0" fillId="25" borderId="37" xfId="0" applyFill="1" applyBorder="1" applyAlignment="1">
      <alignment horizontal="center" vertical="center"/>
    </xf>
    <xf numFmtId="0" fontId="0" fillId="25" borderId="22" xfId="0" applyFill="1" applyBorder="1" applyAlignment="1">
      <alignment horizontal="center" vertical="center"/>
    </xf>
    <xf numFmtId="0" fontId="0" fillId="25" borderId="23" xfId="0" applyFill="1" applyBorder="1" applyAlignment="1">
      <alignment horizontal="center" vertical="center"/>
    </xf>
    <xf numFmtId="0" fontId="0" fillId="26" borderId="37" xfId="0" applyFill="1" applyBorder="1" applyAlignment="1">
      <alignment horizontal="center" vertical="center"/>
    </xf>
    <xf numFmtId="0" fontId="0" fillId="26" borderId="22" xfId="0" applyFill="1" applyBorder="1" applyAlignment="1">
      <alignment horizontal="center" vertical="center"/>
    </xf>
    <xf numFmtId="0" fontId="0" fillId="26" borderId="23" xfId="0" applyFill="1" applyBorder="1" applyAlignment="1">
      <alignment horizontal="center" vertical="center"/>
    </xf>
    <xf numFmtId="0" fontId="0" fillId="9" borderId="10" xfId="0" applyFill="1" applyBorder="1" applyAlignment="1">
      <alignment vertical="center"/>
    </xf>
    <xf numFmtId="0" fontId="0" fillId="9" borderId="33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0" fillId="12" borderId="41" xfId="0" applyFill="1" applyBorder="1" applyAlignment="1">
      <alignment horizontal="center" vertical="center"/>
    </xf>
    <xf numFmtId="0" fontId="0" fillId="7" borderId="41" xfId="0" applyFill="1" applyBorder="1" applyAlignment="1">
      <alignment horizontal="center" vertical="center"/>
    </xf>
    <xf numFmtId="0" fontId="0" fillId="24" borderId="1" xfId="0" applyFill="1" applyBorder="1" applyAlignment="1">
      <alignment horizontal="center" vertical="center"/>
    </xf>
    <xf numFmtId="0" fontId="0" fillId="17" borderId="0" xfId="0" applyNumberFormat="1" applyFill="1"/>
    <xf numFmtId="0" fontId="0" fillId="2" borderId="0" xfId="0" applyFill="1" applyAlignment="1" applyProtection="1">
      <alignment horizontal="center" vertical="center"/>
      <protection locked="0"/>
    </xf>
    <xf numFmtId="0" fontId="0" fillId="4" borderId="0" xfId="0" applyFill="1" applyAlignment="1" applyProtection="1">
      <alignment horizontal="center" vertical="center"/>
      <protection locked="0"/>
    </xf>
    <xf numFmtId="0" fontId="0" fillId="17" borderId="0" xfId="0" applyFill="1" applyAlignment="1" applyProtection="1">
      <alignment horizontal="center" vertical="center"/>
      <protection locked="0"/>
    </xf>
    <xf numFmtId="0" fontId="0" fillId="17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7" borderId="44" xfId="0" applyFill="1" applyBorder="1" applyAlignment="1">
      <alignment horizontal="center" vertical="center"/>
    </xf>
    <xf numFmtId="0" fontId="0" fillId="17" borderId="10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15" borderId="10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27" borderId="1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23" borderId="10" xfId="0" applyFill="1" applyBorder="1" applyAlignment="1">
      <alignment horizontal="center" vertical="center"/>
    </xf>
    <xf numFmtId="0" fontId="0" fillId="23" borderId="5" xfId="0" applyFill="1" applyBorder="1" applyAlignment="1">
      <alignment horizontal="center" vertical="center"/>
    </xf>
    <xf numFmtId="0" fontId="0" fillId="17" borderId="18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6" borderId="10" xfId="0" applyFill="1" applyBorder="1" applyAlignment="1">
      <alignment horizontal="center" vertical="center"/>
    </xf>
    <xf numFmtId="0" fontId="0" fillId="16" borderId="5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20" borderId="10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20" borderId="19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9" borderId="10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19" borderId="5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17" borderId="20" xfId="0" applyFill="1" applyBorder="1" applyAlignment="1">
      <alignment horizontal="center" vertical="center"/>
    </xf>
    <xf numFmtId="0" fontId="0" fillId="17" borderId="7" xfId="0" applyFill="1" applyBorder="1" applyAlignment="1">
      <alignment horizontal="center" vertical="center"/>
    </xf>
    <xf numFmtId="0" fontId="0" fillId="17" borderId="12" xfId="0" applyFill="1" applyBorder="1" applyAlignment="1">
      <alignment horizontal="center" vertical="center"/>
    </xf>
    <xf numFmtId="0" fontId="0" fillId="17" borderId="8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18" borderId="10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17" borderId="0" xfId="0" applyFill="1" applyAlignment="1">
      <alignment horizontal="center"/>
    </xf>
    <xf numFmtId="0" fontId="0" fillId="14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17" borderId="10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1" fillId="16" borderId="28" xfId="0" applyFont="1" applyFill="1" applyBorder="1" applyAlignment="1">
      <alignment horizontal="center" vertical="center"/>
    </xf>
    <xf numFmtId="0" fontId="1" fillId="16" borderId="31" xfId="0" applyFont="1" applyFill="1" applyBorder="1" applyAlignment="1">
      <alignment horizontal="center" vertical="center"/>
    </xf>
    <xf numFmtId="0" fontId="1" fillId="16" borderId="34" xfId="0" applyFont="1" applyFill="1" applyBorder="1" applyAlignment="1">
      <alignment horizontal="center" vertical="center"/>
    </xf>
    <xf numFmtId="0" fontId="0" fillId="17" borderId="29" xfId="0" applyFill="1" applyBorder="1" applyAlignment="1">
      <alignment horizontal="center" vertical="center"/>
    </xf>
    <xf numFmtId="0" fontId="0" fillId="17" borderId="27" xfId="0" applyFill="1" applyBorder="1" applyAlignment="1">
      <alignment horizontal="center" vertical="center"/>
    </xf>
    <xf numFmtId="0" fontId="0" fillId="17" borderId="35" xfId="0" applyFill="1" applyBorder="1" applyAlignment="1">
      <alignment horizontal="center" vertical="center"/>
    </xf>
    <xf numFmtId="0" fontId="0" fillId="17" borderId="9" xfId="0" applyFill="1" applyBorder="1" applyAlignment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0" fillId="13" borderId="9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10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0" fontId="0" fillId="17" borderId="21" xfId="0" applyFill="1" applyBorder="1" applyAlignment="1">
      <alignment horizontal="center" vertical="center"/>
    </xf>
    <xf numFmtId="0" fontId="0" fillId="16" borderId="9" xfId="0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0" fillId="16" borderId="4" xfId="0" applyFill="1" applyBorder="1" applyAlignment="1">
      <alignment horizontal="center" vertical="center"/>
    </xf>
    <xf numFmtId="0" fontId="0" fillId="16" borderId="10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/>
    </xf>
    <xf numFmtId="0" fontId="0" fillId="16" borderId="5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19" borderId="9" xfId="0" applyFill="1" applyBorder="1" applyAlignment="1">
      <alignment horizontal="center" vertical="center"/>
    </xf>
    <xf numFmtId="0" fontId="0" fillId="19" borderId="3" xfId="0" applyFill="1" applyBorder="1" applyAlignment="1">
      <alignment horizontal="center" vertical="center"/>
    </xf>
    <xf numFmtId="0" fontId="0" fillId="19" borderId="4" xfId="0" applyFill="1" applyBorder="1" applyAlignment="1">
      <alignment horizontal="center" vertical="center"/>
    </xf>
    <xf numFmtId="0" fontId="0" fillId="19" borderId="10" xfId="0" applyFill="1" applyBorder="1" applyAlignment="1">
      <alignment horizontal="center" vertical="center"/>
    </xf>
    <xf numFmtId="0" fontId="0" fillId="19" borderId="1" xfId="0" applyFill="1" applyBorder="1" applyAlignment="1">
      <alignment horizontal="center" vertical="center"/>
    </xf>
    <xf numFmtId="0" fontId="0" fillId="19" borderId="5" xfId="0" applyFill="1" applyBorder="1" applyAlignment="1">
      <alignment horizontal="center" vertical="center"/>
    </xf>
    <xf numFmtId="0" fontId="0" fillId="14" borderId="9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10" borderId="5" xfId="0" applyFill="1" applyBorder="1" applyAlignment="1">
      <alignment horizontal="center" vertical="center"/>
    </xf>
    <xf numFmtId="0" fontId="0" fillId="17" borderId="18" xfId="0" applyFill="1" applyBorder="1" applyAlignment="1">
      <alignment horizontal="center" vertical="center"/>
    </xf>
    <xf numFmtId="0" fontId="0" fillId="16" borderId="28" xfId="0" applyFill="1" applyBorder="1" applyAlignment="1">
      <alignment horizontal="center" vertical="center"/>
    </xf>
    <xf numFmtId="0" fontId="0" fillId="16" borderId="31" xfId="0" applyFill="1" applyBorder="1" applyAlignment="1">
      <alignment horizontal="center" vertical="center"/>
    </xf>
    <xf numFmtId="0" fontId="0" fillId="16" borderId="34" xfId="0" applyFill="1" applyBorder="1" applyAlignment="1">
      <alignment horizontal="center" vertical="center"/>
    </xf>
    <xf numFmtId="0" fontId="0" fillId="17" borderId="30" xfId="0" applyFill="1" applyBorder="1" applyAlignment="1">
      <alignment horizontal="center" vertical="center"/>
    </xf>
    <xf numFmtId="0" fontId="0" fillId="20" borderId="9" xfId="0" applyFill="1" applyBorder="1" applyAlignment="1">
      <alignment horizontal="center" vertical="center"/>
    </xf>
    <xf numFmtId="0" fontId="0" fillId="20" borderId="3" xfId="0" applyFill="1" applyBorder="1" applyAlignment="1">
      <alignment horizontal="center" vertical="center"/>
    </xf>
    <xf numFmtId="0" fontId="0" fillId="20" borderId="36" xfId="0" applyFill="1" applyBorder="1" applyAlignment="1">
      <alignment horizontal="center" vertical="center"/>
    </xf>
    <xf numFmtId="0" fontId="0" fillId="20" borderId="10" xfId="0" applyFill="1" applyBorder="1" applyAlignment="1">
      <alignment horizontal="center" vertical="center"/>
    </xf>
    <xf numFmtId="0" fontId="0" fillId="20" borderId="1" xfId="0" applyFill="1" applyBorder="1" applyAlignment="1">
      <alignment horizontal="center" vertical="center"/>
    </xf>
    <xf numFmtId="0" fontId="0" fillId="20" borderId="19" xfId="0" applyFill="1" applyBorder="1" applyAlignment="1">
      <alignment horizontal="center" vertical="center"/>
    </xf>
    <xf numFmtId="0" fontId="0" fillId="15" borderId="9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4" xfId="0" applyFill="1" applyBorder="1" applyAlignment="1">
      <alignment horizontal="center" vertical="center"/>
    </xf>
    <xf numFmtId="0" fontId="0" fillId="15" borderId="10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/>
    </xf>
    <xf numFmtId="0" fontId="0" fillId="15" borderId="5" xfId="0" applyFill="1" applyBorder="1" applyAlignment="1">
      <alignment horizontal="center" vertical="center"/>
    </xf>
    <xf numFmtId="0" fontId="0" fillId="12" borderId="10" xfId="0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9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4" borderId="36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17" borderId="20" xfId="0" applyFill="1" applyBorder="1" applyAlignment="1">
      <alignment horizontal="center" vertical="center"/>
    </xf>
    <xf numFmtId="0" fontId="0" fillId="17" borderId="7" xfId="0" applyFill="1" applyBorder="1" applyAlignment="1">
      <alignment horizontal="center" vertical="center"/>
    </xf>
    <xf numFmtId="0" fontId="0" fillId="17" borderId="12" xfId="0" applyFill="1" applyBorder="1" applyAlignment="1">
      <alignment horizontal="center" vertical="center"/>
    </xf>
    <xf numFmtId="0" fontId="0" fillId="17" borderId="8" xfId="0" applyFill="1" applyBorder="1" applyAlignment="1">
      <alignment horizontal="center" vertical="center"/>
    </xf>
    <xf numFmtId="0" fontId="0" fillId="10" borderId="20" xfId="0" applyFill="1" applyBorder="1" applyAlignment="1">
      <alignment horizontal="center" vertical="center"/>
    </xf>
    <xf numFmtId="0" fontId="0" fillId="10" borderId="7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23" borderId="9" xfId="0" applyFill="1" applyBorder="1" applyAlignment="1">
      <alignment horizontal="center" vertical="center"/>
    </xf>
    <xf numFmtId="0" fontId="0" fillId="23" borderId="4" xfId="0" applyFill="1" applyBorder="1" applyAlignment="1">
      <alignment horizontal="center" vertical="center"/>
    </xf>
    <xf numFmtId="0" fontId="0" fillId="23" borderId="10" xfId="0" applyFill="1" applyBorder="1" applyAlignment="1">
      <alignment horizontal="center" vertical="center"/>
    </xf>
    <xf numFmtId="0" fontId="0" fillId="23" borderId="5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36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10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18" borderId="10" xfId="0" applyFill="1" applyBorder="1" applyAlignment="1">
      <alignment horizontal="center" vertical="center"/>
    </xf>
    <xf numFmtId="0" fontId="0" fillId="18" borderId="5" xfId="0" applyFill="1" applyBorder="1" applyAlignment="1">
      <alignment horizontal="center" vertical="center"/>
    </xf>
    <xf numFmtId="0" fontId="0" fillId="8" borderId="36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18" borderId="9" xfId="0" applyFill="1" applyBorder="1" applyAlignment="1">
      <alignment horizontal="center" vertical="center"/>
    </xf>
    <xf numFmtId="0" fontId="0" fillId="18" borderId="4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9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7" borderId="10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36" xfId="0" applyFill="1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9" borderId="19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23" borderId="12" xfId="0" applyFill="1" applyBorder="1" applyAlignment="1">
      <alignment horizontal="center" vertical="center"/>
    </xf>
    <xf numFmtId="0" fontId="0" fillId="23" borderId="8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27" borderId="1" xfId="0" applyFill="1" applyBorder="1" applyAlignment="1">
      <alignment horizontal="center" vertical="center"/>
    </xf>
    <xf numFmtId="0" fontId="0" fillId="16" borderId="6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7" borderId="6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14" borderId="1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4" borderId="11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23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2" borderId="44" xfId="0" applyFill="1" applyBorder="1" applyAlignment="1">
      <alignment horizontal="center" vertical="center"/>
    </xf>
    <xf numFmtId="0" fontId="0" fillId="17" borderId="42" xfId="0" applyFill="1" applyBorder="1" applyAlignment="1">
      <alignment horizontal="center" vertical="center"/>
    </xf>
    <xf numFmtId="0" fontId="0" fillId="17" borderId="43" xfId="0" applyFill="1" applyBorder="1" applyAlignment="1">
      <alignment horizontal="center" vertical="center"/>
    </xf>
    <xf numFmtId="0" fontId="0" fillId="17" borderId="44" xfId="0" applyFill="1" applyBorder="1" applyAlignment="1">
      <alignment horizontal="center" vertical="center"/>
    </xf>
    <xf numFmtId="0" fontId="0" fillId="10" borderId="45" xfId="0" applyFill="1" applyBorder="1" applyAlignment="1">
      <alignment horizontal="center" vertical="center"/>
    </xf>
    <xf numFmtId="0" fontId="0" fillId="10" borderId="46" xfId="0" applyFill="1" applyBorder="1" applyAlignment="1">
      <alignment horizontal="center" vertical="center"/>
    </xf>
    <xf numFmtId="0" fontId="0" fillId="27" borderId="44" xfId="0" applyFill="1" applyBorder="1" applyAlignment="1">
      <alignment horizontal="center" vertical="center"/>
    </xf>
    <xf numFmtId="0" fontId="0" fillId="7" borderId="44" xfId="0" applyFill="1" applyBorder="1" applyAlignment="1">
      <alignment horizontal="center" vertical="center"/>
    </xf>
    <xf numFmtId="0" fontId="0" fillId="15" borderId="44" xfId="0" applyFill="1" applyBorder="1" applyAlignment="1">
      <alignment horizontal="center" vertical="center"/>
    </xf>
    <xf numFmtId="0" fontId="0" fillId="14" borderId="44" xfId="0" applyFill="1" applyBorder="1" applyAlignment="1">
      <alignment horizontal="center" vertical="center"/>
    </xf>
    <xf numFmtId="0" fontId="0" fillId="10" borderId="44" xfId="0" applyFill="1" applyBorder="1" applyAlignment="1">
      <alignment horizontal="center" vertical="center"/>
    </xf>
    <xf numFmtId="9" fontId="0" fillId="17" borderId="0" xfId="0" applyNumberFormat="1" applyFill="1" applyBorder="1" applyAlignment="1">
      <alignment horizontal="center" vertical="center"/>
    </xf>
    <xf numFmtId="0" fontId="0" fillId="17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theme="0"/>
        </patternFill>
      </fill>
    </dxf>
  </dxfs>
  <tableStyles count="0" defaultTableStyle="TableStyleMedium9" defaultPivotStyle="PivotStyleLight16"/>
  <colors>
    <mruColors>
      <color rgb="FFE9E9E7"/>
      <color rgb="FF666633"/>
      <color rgb="FFCC6600"/>
      <color rgb="FF993366"/>
      <color rgb="FF663300"/>
      <color rgb="FF99663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pivotCacheDefinition" Target="pivotCache/pivotCacheDefinition2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3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25</xdr:row>
      <xdr:rowOff>57150</xdr:rowOff>
    </xdr:from>
    <xdr:to>
      <xdr:col>5</xdr:col>
      <xdr:colOff>447675</xdr:colOff>
      <xdr:row>30</xdr:row>
      <xdr:rowOff>123825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C1DFD452-1381-44E8-AE0F-667AD60415BB}"/>
            </a:ext>
          </a:extLst>
        </xdr:cNvPr>
        <xdr:cNvSpPr txBox="1"/>
      </xdr:nvSpPr>
      <xdr:spPr>
        <a:xfrm>
          <a:off x="266700" y="5000625"/>
          <a:ext cx="2695575" cy="1057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 récupérer les donné de la colonne T et faire les somme de la S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FF%2014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2" Type="http://schemas.microsoft.com/office/2006/relationships/xlExternalLinkPath/xlPathMissing" Target="FF%2014.xlsx" TargetMode="External"/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2" Type="http://schemas.microsoft.com/office/2006/relationships/xlExternalLinkPath/xlPathMissing" Target="FF%2014.xlsx" TargetMode="External"/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452.681056944442" createdVersion="6" refreshedVersion="6" minRefreshableVersion="3" recordCount="560" xr:uid="{00000000-000A-0000-FFFF-FFFF00000000}">
  <cacheSource type="worksheet">
    <worksheetSource ref="S1:T1048576" sheet="Crafts Atelier 2.0" r:id="rId2"/>
  </cacheSource>
  <cacheFields count="2">
    <cacheField name="Q" numFmtId="0">
      <sharedItems containsString="0" containsBlank="1" containsNumber="1" containsInteger="1" minValue="4" maxValue="270"/>
    </cacheField>
    <cacheField name="Matière" numFmtId="0">
      <sharedItems containsBlank="1" count="56">
        <s v="Rondin d'if"/>
        <s v="Rondin d'acajou"/>
        <s v="Minerai de fer"/>
        <s v="Minerai de cobalt"/>
        <s v="Rondin d'épicéa"/>
        <s v="Minerai de cuivre"/>
        <s v="Minerai d'étain "/>
        <s v="Minerai de mithril"/>
        <s v="Minerai d'électrum"/>
        <s v="Minerai de sombracier"/>
        <s v="Peau de sanglier"/>
        <s v="Alun"/>
        <s v="Fibres de lin"/>
        <s v="Fleur de coton"/>
        <s v="Fragment d'alvéoles"/>
        <s v="Ambre brut"/>
        <s v="Térébenthine"/>
        <s v="Corne de bouquetin"/>
        <s v="Rondin de palissandre"/>
        <s v="Cendres de bombo"/>
        <s v="Coke de houille"/>
        <s v="Feuilles de thé de Tinolqa"/>
        <s v="Peau de saurien"/>
        <s v="Peau d'hippogriffe"/>
        <s v="Alun noir"/>
        <s v="Suif"/>
        <s v="Cocon de vers à soie"/>
        <s v="Eau effervescente"/>
        <s v="Potasse"/>
        <s v="Minerai d'argent"/>
        <m/>
        <s v="Rondin de noyer"/>
        <s v="Minerai de vivianite"/>
        <s v="Rondin de cèdre"/>
        <s v="Minerai d'or"/>
        <s v="Minerai de bornite"/>
        <s v="Sève durcie"/>
        <s v="Rondin pétrifié"/>
        <s v="Sève écarlate"/>
        <s v="Rondin de chêne"/>
        <s v="Peau d'Uraeus"/>
        <s v="Touffe d'herbe de moko rouge"/>
        <s v="Viande de gelato"/>
        <s v="Viande de flan"/>
        <s v="Peau de wyverne"/>
        <s v="Feuilles de thé du Coerthas"/>
        <s v="Minerai de mithrite"/>
        <s v="Sable de mithrite"/>
        <s v="Silice"/>
        <s v="Sel gemme"/>
        <s v="Minerai de scheelite"/>
        <s v="Minerai de ferbérite"/>
        <s v="Eau de source de Dravania"/>
        <s v="Gui de Dravania"/>
        <s v="Célestine brute"/>
        <s v="Pierre à aiguiser sédimentair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452.681057060188" createdVersion="6" refreshedVersion="6" minRefreshableVersion="3" recordCount="560" xr:uid="{00000000-000A-0000-FFFF-FFFF01000000}">
  <cacheSource type="worksheet">
    <worksheetSource ref="P1:Q1048576" sheet="Crafts Atelier 2.0" r:id="rId2"/>
  </cacheSource>
  <cacheFields count="2">
    <cacheField name="Q+1" numFmtId="0">
      <sharedItems containsString="0" containsBlank="1" containsNumber="1" containsInteger="1" minValue="12" maxValue="60"/>
    </cacheField>
    <cacheField name="Matière +1" numFmtId="0">
      <sharedItems containsBlank="1" count="19">
        <m/>
        <s v="Lingot de fer"/>
        <s v="Lingot de bronze"/>
        <s v="Lingot de mithril"/>
        <s v="Lingot de cobalt"/>
        <s v="Pépite de sombracier"/>
        <s v="Fil de lin"/>
        <s v="Fil de coton"/>
        <s v="Cire d'abeille"/>
        <s v="Huile de lin"/>
        <s v="Lingot d'acier"/>
        <s v="Cuir d'hippogriffe"/>
        <s v="Fil de soie"/>
        <s v="Pépite d'or rose"/>
        <s v="Madrier d'épicéa"/>
        <s v="Pépite de mithrite"/>
        <s v="Natron"/>
        <s v="Madrier de cèdre"/>
        <s v="Eau sacré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5452.681057291666" createdVersion="6" refreshedVersion="6" minRefreshableVersion="3" recordCount="560" xr:uid="{00000000-000A-0000-FFFF-FFFF02000000}">
  <cacheSource type="worksheet">
    <worksheetSource ref="M1:N1048576" sheet="Crafts Atelier 2.0" r:id="rId2"/>
  </cacheSource>
  <cacheFields count="2">
    <cacheField name="Q +2" numFmtId="0">
      <sharedItems containsString="0" containsBlank="1" containsNumber="1" containsInteger="1" minValue="6" maxValue="54"/>
    </cacheField>
    <cacheField name="Matière +2" numFmtId="0">
      <sharedItems containsBlank="1" count="49">
        <s v="Madrier d'if"/>
        <s v="Madrier d'acajou"/>
        <s v="Clou en fer"/>
        <s v="Lingot de cobalt"/>
        <m/>
        <s v="Madrier d'épicéa"/>
        <s v="Rivets en bronze"/>
        <s v="Plaque de mithril"/>
        <s v="Lingot d'électrum"/>
        <s v="Rivets en cobalt"/>
        <s v="Plaque de sombracier"/>
        <s v="Cuir de sanglier"/>
        <s v="Canevas de lin"/>
        <s v="Vernis"/>
        <s v="Glu de démon"/>
        <s v="Madrier de palissandre"/>
        <s v="Pépite de sombracier"/>
        <s v="Rivets en fer"/>
        <s v="Lingot de fer"/>
        <s v="Lingot d'acier"/>
        <s v="Rivets en acier"/>
        <s v="Lingot de sombracier"/>
        <s v="Cuir de saurien"/>
        <s v="Cuir d'hippogriffe assoupli"/>
        <s v="Étoffe de soie vanya"/>
        <s v="Patte en cobalt"/>
        <s v="Patte en acier"/>
        <s v="Rivets en mithril"/>
        <s v="Lingot d'argent"/>
        <s v="Madrier de noyer"/>
        <s v="Acier de Garlond"/>
        <s v="Madrier de cèdre"/>
        <s v="Lingot d'or rose"/>
        <s v="Madrier d'épicéa durci"/>
        <s v="Madrier de morta"/>
        <s v="Madrier de chêne"/>
        <s v="Clou en acier"/>
        <s v="Plaque d'acier"/>
        <s v="Cuir d'Uraeus"/>
        <s v="Canevas de la côte des Adieux"/>
        <s v="Glu d'entité"/>
        <s v="Rivets en sombracier"/>
        <s v="Cuir de wyverne"/>
        <s v="Lingot de mithrite"/>
        <s v="Lingot de mithril"/>
        <s v="Plaque de verre incolore"/>
        <s v="Lingot de tungstène"/>
        <s v="Madrier de cèdre sacré"/>
        <s v="Célestin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60">
  <r>
    <n v="54"/>
    <x v="0"/>
  </r>
  <r>
    <n v="54"/>
    <x v="1"/>
  </r>
  <r>
    <n v="54"/>
    <x v="2"/>
  </r>
  <r>
    <n v="36"/>
    <x v="3"/>
  </r>
  <r>
    <n v="18"/>
    <x v="2"/>
  </r>
  <r>
    <n v="54"/>
    <x v="4"/>
  </r>
  <r>
    <n v="36"/>
    <x v="5"/>
  </r>
  <r>
    <n v="18"/>
    <x v="6"/>
  </r>
  <r>
    <n v="108"/>
    <x v="7"/>
  </r>
  <r>
    <n v="72"/>
    <x v="8"/>
  </r>
  <r>
    <n v="36"/>
    <x v="3"/>
  </r>
  <r>
    <n v="18"/>
    <x v="2"/>
  </r>
  <r>
    <n v="108"/>
    <x v="9"/>
  </r>
  <r>
    <n v="18"/>
    <x v="10"/>
  </r>
  <r>
    <n v="18"/>
    <x v="11"/>
  </r>
  <r>
    <n v="36"/>
    <x v="12"/>
  </r>
  <r>
    <n v="36"/>
    <x v="13"/>
  </r>
  <r>
    <n v="54"/>
    <x v="14"/>
  </r>
  <r>
    <n v="36"/>
    <x v="15"/>
  </r>
  <r>
    <n v="36"/>
    <x v="12"/>
  </r>
  <r>
    <n v="18"/>
    <x v="16"/>
  </r>
  <r>
    <n v="36"/>
    <x v="17"/>
  </r>
  <r>
    <n v="63"/>
    <x v="18"/>
  </r>
  <r>
    <n v="63"/>
    <x v="9"/>
  </r>
  <r>
    <n v="63"/>
    <x v="2"/>
  </r>
  <r>
    <n v="126"/>
    <x v="2"/>
  </r>
  <r>
    <n v="63"/>
    <x v="2"/>
  </r>
  <r>
    <n v="42"/>
    <x v="2"/>
  </r>
  <r>
    <n v="21"/>
    <x v="19"/>
  </r>
  <r>
    <n v="66"/>
    <x v="2"/>
  </r>
  <r>
    <n v="33"/>
    <x v="19"/>
  </r>
  <r>
    <n v="36"/>
    <x v="9"/>
  </r>
  <r>
    <n v="54"/>
    <x v="20"/>
  </r>
  <r>
    <n v="6"/>
    <x v="21"/>
  </r>
  <r>
    <n v="6"/>
    <x v="22"/>
  </r>
  <r>
    <n v="12"/>
    <x v="23"/>
  </r>
  <r>
    <n v="12"/>
    <x v="24"/>
  </r>
  <r>
    <n v="54"/>
    <x v="25"/>
  </r>
  <r>
    <n v="36"/>
    <x v="12"/>
  </r>
  <r>
    <n v="36"/>
    <x v="13"/>
  </r>
  <r>
    <n v="54"/>
    <x v="14"/>
  </r>
  <r>
    <n v="24"/>
    <x v="26"/>
  </r>
  <r>
    <n v="12"/>
    <x v="27"/>
  </r>
  <r>
    <n v="54"/>
    <x v="28"/>
  </r>
  <r>
    <n v="96"/>
    <x v="2"/>
  </r>
  <r>
    <n v="48"/>
    <x v="19"/>
  </r>
  <r>
    <n v="48"/>
    <x v="2"/>
  </r>
  <r>
    <n v="24"/>
    <x v="19"/>
  </r>
  <r>
    <n v="48"/>
    <x v="3"/>
  </r>
  <r>
    <n v="24"/>
    <x v="2"/>
  </r>
  <r>
    <n v="48"/>
    <x v="3"/>
  </r>
  <r>
    <n v="24"/>
    <x v="2"/>
  </r>
  <r>
    <n v="72"/>
    <x v="2"/>
  </r>
  <r>
    <n v="48"/>
    <x v="2"/>
  </r>
  <r>
    <n v="24"/>
    <x v="19"/>
  </r>
  <r>
    <n v="36"/>
    <x v="9"/>
  </r>
  <r>
    <n v="54"/>
    <x v="20"/>
  </r>
  <r>
    <n v="90"/>
    <x v="7"/>
  </r>
  <r>
    <n v="36"/>
    <x v="9"/>
  </r>
  <r>
    <n v="90"/>
    <x v="29"/>
  </r>
  <r>
    <n v="48"/>
    <x v="2"/>
  </r>
  <r>
    <n v="24"/>
    <x v="19"/>
  </r>
  <r>
    <n v="48"/>
    <x v="3"/>
  </r>
  <r>
    <n v="24"/>
    <x v="2"/>
  </r>
  <r>
    <n v="108"/>
    <x v="2"/>
  </r>
  <r>
    <n v="54"/>
    <x v="19"/>
  </r>
  <r>
    <n v="48"/>
    <x v="3"/>
  </r>
  <r>
    <n v="24"/>
    <x v="2"/>
  </r>
  <r>
    <n v="36"/>
    <x v="9"/>
  </r>
  <r>
    <n v="54"/>
    <x v="20"/>
  </r>
  <r>
    <n v="90"/>
    <x v="2"/>
  </r>
  <r>
    <n v="60"/>
    <x v="2"/>
  </r>
  <r>
    <n v="30"/>
    <x v="19"/>
  </r>
  <r>
    <n v="90"/>
    <x v="7"/>
  </r>
  <r>
    <n v="72"/>
    <x v="9"/>
  </r>
  <r>
    <n v="90"/>
    <x v="29"/>
  </r>
  <r>
    <m/>
    <x v="30"/>
  </r>
  <r>
    <m/>
    <x v="30"/>
  </r>
  <r>
    <n v="54"/>
    <x v="31"/>
  </r>
  <r>
    <n v="54"/>
    <x v="4"/>
  </r>
  <r>
    <n v="54"/>
    <x v="2"/>
  </r>
  <r>
    <n v="27"/>
    <x v="32"/>
  </r>
  <r>
    <n v="81"/>
    <x v="20"/>
  </r>
  <r>
    <n v="27"/>
    <x v="3"/>
  </r>
  <r>
    <n v="45"/>
    <x v="33"/>
  </r>
  <r>
    <n v="54"/>
    <x v="2"/>
  </r>
  <r>
    <n v="108"/>
    <x v="7"/>
  </r>
  <r>
    <n v="72"/>
    <x v="8"/>
  </r>
  <r>
    <n v="36"/>
    <x v="17"/>
  </r>
  <r>
    <n v="54"/>
    <x v="7"/>
  </r>
  <r>
    <n v="36"/>
    <x v="3"/>
  </r>
  <r>
    <n v="18"/>
    <x v="2"/>
  </r>
  <r>
    <n v="126"/>
    <x v="34"/>
  </r>
  <r>
    <n v="42"/>
    <x v="5"/>
  </r>
  <r>
    <n v="189"/>
    <x v="35"/>
  </r>
  <r>
    <n v="36"/>
    <x v="15"/>
  </r>
  <r>
    <n v="36"/>
    <x v="12"/>
  </r>
  <r>
    <n v="18"/>
    <x v="16"/>
  </r>
  <r>
    <n v="72"/>
    <x v="4"/>
  </r>
  <r>
    <n v="108"/>
    <x v="36"/>
  </r>
  <r>
    <n v="63"/>
    <x v="9"/>
  </r>
  <r>
    <n v="63"/>
    <x v="2"/>
  </r>
  <r>
    <n v="63"/>
    <x v="2"/>
  </r>
  <r>
    <n v="42"/>
    <x v="2"/>
  </r>
  <r>
    <n v="21"/>
    <x v="19"/>
  </r>
  <r>
    <n v="42"/>
    <x v="2"/>
  </r>
  <r>
    <n v="21"/>
    <x v="19"/>
  </r>
  <r>
    <n v="72"/>
    <x v="9"/>
  </r>
  <r>
    <n v="108"/>
    <x v="20"/>
  </r>
  <r>
    <n v="21"/>
    <x v="3"/>
  </r>
  <r>
    <n v="21"/>
    <x v="2"/>
  </r>
  <r>
    <n v="72"/>
    <x v="9"/>
  </r>
  <r>
    <n v="108"/>
    <x v="20"/>
  </r>
  <r>
    <n v="27"/>
    <x v="32"/>
  </r>
  <r>
    <n v="81"/>
    <x v="20"/>
  </r>
  <r>
    <n v="27"/>
    <x v="3"/>
  </r>
  <r>
    <n v="42"/>
    <x v="2"/>
  </r>
  <r>
    <n v="21"/>
    <x v="19"/>
  </r>
  <r>
    <n v="84"/>
    <x v="8"/>
  </r>
  <r>
    <n v="180"/>
    <x v="9"/>
  </r>
  <r>
    <n v="270"/>
    <x v="20"/>
  </r>
  <r>
    <n v="60"/>
    <x v="2"/>
  </r>
  <r>
    <n v="30"/>
    <x v="19"/>
  </r>
  <r>
    <n v="60"/>
    <x v="3"/>
  </r>
  <r>
    <n v="30"/>
    <x v="2"/>
  </r>
  <r>
    <n v="27"/>
    <x v="32"/>
  </r>
  <r>
    <n v="81"/>
    <x v="20"/>
  </r>
  <r>
    <n v="27"/>
    <x v="3"/>
  </r>
  <r>
    <n v="60"/>
    <x v="2"/>
  </r>
  <r>
    <n v="30"/>
    <x v="19"/>
  </r>
  <r>
    <n v="60"/>
    <x v="2"/>
  </r>
  <r>
    <n v="30"/>
    <x v="19"/>
  </r>
  <r>
    <n v="72"/>
    <x v="9"/>
  </r>
  <r>
    <n v="108"/>
    <x v="20"/>
  </r>
  <r>
    <n v="9"/>
    <x v="37"/>
  </r>
  <r>
    <n v="9"/>
    <x v="38"/>
  </r>
  <r>
    <n v="90"/>
    <x v="7"/>
  </r>
  <r>
    <n v="90"/>
    <x v="29"/>
  </r>
  <r>
    <n v="48"/>
    <x v="2"/>
  </r>
  <r>
    <n v="24"/>
    <x v="19"/>
  </r>
  <r>
    <n v="27"/>
    <x v="32"/>
  </r>
  <r>
    <n v="81"/>
    <x v="20"/>
  </r>
  <r>
    <n v="27"/>
    <x v="3"/>
  </r>
  <r>
    <n v="48"/>
    <x v="2"/>
  </r>
  <r>
    <n v="24"/>
    <x v="19"/>
  </r>
  <r>
    <n v="48"/>
    <x v="3"/>
  </r>
  <r>
    <n v="24"/>
    <x v="2"/>
  </r>
  <r>
    <n v="60"/>
    <x v="2"/>
  </r>
  <r>
    <n v="30"/>
    <x v="19"/>
  </r>
  <r>
    <n v="54"/>
    <x v="9"/>
  </r>
  <r>
    <n v="81"/>
    <x v="20"/>
  </r>
  <r>
    <n v="60"/>
    <x v="2"/>
  </r>
  <r>
    <n v="30"/>
    <x v="19"/>
  </r>
  <r>
    <n v="60"/>
    <x v="3"/>
  </r>
  <r>
    <n v="30"/>
    <x v="2"/>
  </r>
  <r>
    <n v="9"/>
    <x v="37"/>
  </r>
  <r>
    <n v="9"/>
    <x v="38"/>
  </r>
  <r>
    <n v="90"/>
    <x v="7"/>
  </r>
  <r>
    <n v="60"/>
    <x v="3"/>
  </r>
  <r>
    <n v="30"/>
    <x v="2"/>
  </r>
  <r>
    <n v="90"/>
    <x v="29"/>
  </r>
  <r>
    <m/>
    <x v="30"/>
  </r>
  <r>
    <n v="72"/>
    <x v="39"/>
  </r>
  <r>
    <n v="72"/>
    <x v="4"/>
  </r>
  <r>
    <n v="48"/>
    <x v="2"/>
  </r>
  <r>
    <n v="24"/>
    <x v="19"/>
  </r>
  <r>
    <n v="27"/>
    <x v="32"/>
  </r>
  <r>
    <n v="81"/>
    <x v="20"/>
  </r>
  <r>
    <n v="27"/>
    <x v="3"/>
  </r>
  <r>
    <n v="24"/>
    <x v="37"/>
  </r>
  <r>
    <n v="24"/>
    <x v="38"/>
  </r>
  <r>
    <n v="72"/>
    <x v="2"/>
  </r>
  <r>
    <n v="48"/>
    <x v="2"/>
  </r>
  <r>
    <n v="24"/>
    <x v="19"/>
  </r>
  <r>
    <n v="96"/>
    <x v="2"/>
  </r>
  <r>
    <n v="48"/>
    <x v="19"/>
  </r>
  <r>
    <n v="96"/>
    <x v="8"/>
  </r>
  <r>
    <n v="24"/>
    <x v="3"/>
  </r>
  <r>
    <n v="24"/>
    <x v="2"/>
  </r>
  <r>
    <n v="48"/>
    <x v="3"/>
  </r>
  <r>
    <n v="24"/>
    <x v="2"/>
  </r>
  <r>
    <n v="24"/>
    <x v="40"/>
  </r>
  <r>
    <n v="24"/>
    <x v="24"/>
  </r>
  <r>
    <n v="27"/>
    <x v="41"/>
  </r>
  <r>
    <n v="81"/>
    <x v="28"/>
  </r>
  <r>
    <n v="36"/>
    <x v="15"/>
  </r>
  <r>
    <n v="36"/>
    <x v="12"/>
  </r>
  <r>
    <n v="18"/>
    <x v="16"/>
  </r>
  <r>
    <n v="27"/>
    <x v="42"/>
  </r>
  <r>
    <n v="18"/>
    <x v="43"/>
  </r>
  <r>
    <n v="72"/>
    <x v="4"/>
  </r>
  <r>
    <n v="108"/>
    <x v="36"/>
  </r>
  <r>
    <n v="27"/>
    <x v="32"/>
  </r>
  <r>
    <n v="81"/>
    <x v="20"/>
  </r>
  <r>
    <n v="27"/>
    <x v="3"/>
  </r>
  <r>
    <n v="42"/>
    <x v="2"/>
  </r>
  <r>
    <n v="21"/>
    <x v="19"/>
  </r>
  <r>
    <n v="42"/>
    <x v="2"/>
  </r>
  <r>
    <n v="21"/>
    <x v="19"/>
  </r>
  <r>
    <n v="42"/>
    <x v="2"/>
  </r>
  <r>
    <n v="21"/>
    <x v="19"/>
  </r>
  <r>
    <n v="42"/>
    <x v="2"/>
  </r>
  <r>
    <n v="21"/>
    <x v="19"/>
  </r>
  <r>
    <n v="42"/>
    <x v="3"/>
  </r>
  <r>
    <n v="21"/>
    <x v="2"/>
  </r>
  <r>
    <n v="63"/>
    <x v="9"/>
  </r>
  <r>
    <n v="108"/>
    <x v="9"/>
  </r>
  <r>
    <n v="162"/>
    <x v="20"/>
  </r>
  <r>
    <n v="54"/>
    <x v="7"/>
  </r>
  <r>
    <n v="54"/>
    <x v="44"/>
  </r>
  <r>
    <n v="18"/>
    <x v="45"/>
  </r>
  <r>
    <n v="27"/>
    <x v="41"/>
  </r>
  <r>
    <n v="81"/>
    <x v="28"/>
  </r>
  <r>
    <n v="60"/>
    <x v="2"/>
  </r>
  <r>
    <n v="30"/>
    <x v="19"/>
  </r>
  <r>
    <n v="30"/>
    <x v="3"/>
  </r>
  <r>
    <n v="30"/>
    <x v="2"/>
  </r>
  <r>
    <n v="60"/>
    <x v="3"/>
  </r>
  <r>
    <n v="30"/>
    <x v="2"/>
  </r>
  <r>
    <n v="27"/>
    <x v="32"/>
  </r>
  <r>
    <n v="81"/>
    <x v="20"/>
  </r>
  <r>
    <n v="27"/>
    <x v="3"/>
  </r>
  <r>
    <n v="60"/>
    <x v="2"/>
  </r>
  <r>
    <n v="30"/>
    <x v="19"/>
  </r>
  <r>
    <n v="72"/>
    <x v="46"/>
  </r>
  <r>
    <n v="90"/>
    <x v="47"/>
  </r>
  <r>
    <n v="18"/>
    <x v="7"/>
  </r>
  <r>
    <n v="60"/>
    <x v="2"/>
  </r>
  <r>
    <n v="30"/>
    <x v="19"/>
  </r>
  <r>
    <n v="54"/>
    <x v="9"/>
  </r>
  <r>
    <n v="81"/>
    <x v="20"/>
  </r>
  <r>
    <n v="90"/>
    <x v="7"/>
  </r>
  <r>
    <n v="54"/>
    <x v="9"/>
  </r>
  <r>
    <n v="90"/>
    <x v="7"/>
  </r>
  <r>
    <n v="108"/>
    <x v="34"/>
  </r>
  <r>
    <n v="36"/>
    <x v="5"/>
  </r>
  <r>
    <n v="162"/>
    <x v="35"/>
  </r>
  <r>
    <n v="30"/>
    <x v="48"/>
  </r>
  <r>
    <n v="30"/>
    <x v="27"/>
  </r>
  <r>
    <n v="30"/>
    <x v="49"/>
  </r>
  <r>
    <n v="48"/>
    <x v="2"/>
  </r>
  <r>
    <n v="24"/>
    <x v="19"/>
  </r>
  <r>
    <n v="48"/>
    <x v="3"/>
  </r>
  <r>
    <n v="24"/>
    <x v="2"/>
  </r>
  <r>
    <n v="48"/>
    <x v="2"/>
  </r>
  <r>
    <n v="24"/>
    <x v="19"/>
  </r>
  <r>
    <n v="27"/>
    <x v="32"/>
  </r>
  <r>
    <n v="81"/>
    <x v="20"/>
  </r>
  <r>
    <n v="27"/>
    <x v="3"/>
  </r>
  <r>
    <n v="90"/>
    <x v="7"/>
  </r>
  <r>
    <n v="72"/>
    <x v="46"/>
  </r>
  <r>
    <n v="90"/>
    <x v="47"/>
  </r>
  <r>
    <n v="18"/>
    <x v="7"/>
  </r>
  <r>
    <n v="60"/>
    <x v="3"/>
  </r>
  <r>
    <n v="30"/>
    <x v="2"/>
  </r>
  <r>
    <n v="54"/>
    <x v="9"/>
  </r>
  <r>
    <n v="81"/>
    <x v="20"/>
  </r>
  <r>
    <n v="90"/>
    <x v="7"/>
  </r>
  <r>
    <n v="18"/>
    <x v="50"/>
  </r>
  <r>
    <n v="18"/>
    <x v="51"/>
  </r>
  <r>
    <n v="18"/>
    <x v="3"/>
  </r>
  <r>
    <n v="108"/>
    <x v="9"/>
  </r>
  <r>
    <n v="90"/>
    <x v="7"/>
  </r>
  <r>
    <n v="30"/>
    <x v="48"/>
  </r>
  <r>
    <n v="30"/>
    <x v="27"/>
  </r>
  <r>
    <n v="30"/>
    <x v="49"/>
  </r>
  <r>
    <m/>
    <x v="30"/>
  </r>
  <r>
    <m/>
    <x v="30"/>
  </r>
  <r>
    <m/>
    <x v="30"/>
  </r>
  <r>
    <n v="54"/>
    <x v="31"/>
  </r>
  <r>
    <n v="54"/>
    <x v="4"/>
  </r>
  <r>
    <n v="54"/>
    <x v="2"/>
  </r>
  <r>
    <n v="36"/>
    <x v="3"/>
  </r>
  <r>
    <n v="18"/>
    <x v="2"/>
  </r>
  <r>
    <n v="45"/>
    <x v="33"/>
  </r>
  <r>
    <n v="54"/>
    <x v="2"/>
  </r>
  <r>
    <n v="108"/>
    <x v="7"/>
  </r>
  <r>
    <n v="72"/>
    <x v="8"/>
  </r>
  <r>
    <n v="36"/>
    <x v="17"/>
  </r>
  <r>
    <n v="54"/>
    <x v="7"/>
  </r>
  <r>
    <n v="36"/>
    <x v="3"/>
  </r>
  <r>
    <n v="18"/>
    <x v="2"/>
  </r>
  <r>
    <n v="126"/>
    <x v="34"/>
  </r>
  <r>
    <n v="42"/>
    <x v="5"/>
  </r>
  <r>
    <n v="189"/>
    <x v="35"/>
  </r>
  <r>
    <n v="36"/>
    <x v="15"/>
  </r>
  <r>
    <n v="36"/>
    <x v="12"/>
  </r>
  <r>
    <n v="18"/>
    <x v="16"/>
  </r>
  <r>
    <n v="48"/>
    <x v="2"/>
  </r>
  <r>
    <n v="24"/>
    <x v="19"/>
  </r>
  <r>
    <n v="36"/>
    <x v="3"/>
  </r>
  <r>
    <n v="18"/>
    <x v="2"/>
  </r>
  <r>
    <n v="48"/>
    <x v="2"/>
  </r>
  <r>
    <n v="24"/>
    <x v="19"/>
  </r>
  <r>
    <n v="48"/>
    <x v="3"/>
  </r>
  <r>
    <n v="24"/>
    <x v="2"/>
  </r>
  <r>
    <n v="60"/>
    <x v="2"/>
  </r>
  <r>
    <n v="30"/>
    <x v="19"/>
  </r>
  <r>
    <n v="54"/>
    <x v="9"/>
  </r>
  <r>
    <n v="81"/>
    <x v="20"/>
  </r>
  <r>
    <n v="60"/>
    <x v="2"/>
  </r>
  <r>
    <n v="30"/>
    <x v="19"/>
  </r>
  <r>
    <n v="60"/>
    <x v="3"/>
  </r>
  <r>
    <n v="30"/>
    <x v="2"/>
  </r>
  <r>
    <n v="9"/>
    <x v="37"/>
  </r>
  <r>
    <n v="9"/>
    <x v="38"/>
  </r>
  <r>
    <n v="90"/>
    <x v="7"/>
  </r>
  <r>
    <n v="60"/>
    <x v="3"/>
  </r>
  <r>
    <n v="30"/>
    <x v="2"/>
  </r>
  <r>
    <n v="90"/>
    <x v="29"/>
  </r>
  <r>
    <n v="60"/>
    <x v="2"/>
  </r>
  <r>
    <n v="30"/>
    <x v="19"/>
  </r>
  <r>
    <n v="60"/>
    <x v="2"/>
  </r>
  <r>
    <n v="30"/>
    <x v="19"/>
  </r>
  <r>
    <n v="60"/>
    <x v="3"/>
  </r>
  <r>
    <n v="30"/>
    <x v="2"/>
  </r>
  <r>
    <n v="36"/>
    <x v="3"/>
  </r>
  <r>
    <n v="18"/>
    <x v="2"/>
  </r>
  <r>
    <n v="60"/>
    <x v="2"/>
  </r>
  <r>
    <n v="30"/>
    <x v="19"/>
  </r>
  <r>
    <n v="60"/>
    <x v="2"/>
  </r>
  <r>
    <n v="30"/>
    <x v="19"/>
  </r>
  <r>
    <n v="72"/>
    <x v="9"/>
  </r>
  <r>
    <n v="108"/>
    <x v="20"/>
  </r>
  <r>
    <n v="9"/>
    <x v="37"/>
  </r>
  <r>
    <n v="9"/>
    <x v="38"/>
  </r>
  <r>
    <n v="90"/>
    <x v="7"/>
  </r>
  <r>
    <n v="90"/>
    <x v="29"/>
  </r>
  <r>
    <n v="72"/>
    <x v="4"/>
  </r>
  <r>
    <n v="108"/>
    <x v="36"/>
  </r>
  <r>
    <n v="63"/>
    <x v="9"/>
  </r>
  <r>
    <n v="63"/>
    <x v="2"/>
  </r>
  <r>
    <n v="63"/>
    <x v="2"/>
  </r>
  <r>
    <n v="42"/>
    <x v="2"/>
  </r>
  <r>
    <n v="21"/>
    <x v="19"/>
  </r>
  <r>
    <n v="42"/>
    <x v="2"/>
  </r>
  <r>
    <n v="21"/>
    <x v="19"/>
  </r>
  <r>
    <n v="72"/>
    <x v="9"/>
  </r>
  <r>
    <n v="108"/>
    <x v="20"/>
  </r>
  <r>
    <n v="42"/>
    <x v="3"/>
  </r>
  <r>
    <n v="21"/>
    <x v="2"/>
  </r>
  <r>
    <n v="72"/>
    <x v="9"/>
  </r>
  <r>
    <n v="108"/>
    <x v="20"/>
  </r>
  <r>
    <n v="36"/>
    <x v="3"/>
  </r>
  <r>
    <n v="18"/>
    <x v="2"/>
  </r>
  <r>
    <n v="42"/>
    <x v="2"/>
  </r>
  <r>
    <n v="21"/>
    <x v="19"/>
  </r>
  <r>
    <n v="84"/>
    <x v="8"/>
  </r>
  <r>
    <n v="72"/>
    <x v="39"/>
  </r>
  <r>
    <n v="72"/>
    <x v="4"/>
  </r>
  <r>
    <n v="48"/>
    <x v="2"/>
  </r>
  <r>
    <n v="24"/>
    <x v="19"/>
  </r>
  <r>
    <n v="27"/>
    <x v="32"/>
  </r>
  <r>
    <n v="81"/>
    <x v="20"/>
  </r>
  <r>
    <n v="27"/>
    <x v="3"/>
  </r>
  <r>
    <n v="24"/>
    <x v="37"/>
  </r>
  <r>
    <n v="24"/>
    <x v="38"/>
  </r>
  <r>
    <n v="72"/>
    <x v="2"/>
  </r>
  <r>
    <n v="96"/>
    <x v="2"/>
  </r>
  <r>
    <n v="48"/>
    <x v="19"/>
  </r>
  <r>
    <n v="96"/>
    <x v="8"/>
  </r>
  <r>
    <n v="48"/>
    <x v="3"/>
  </r>
  <r>
    <n v="24"/>
    <x v="2"/>
  </r>
  <r>
    <n v="48"/>
    <x v="3"/>
  </r>
  <r>
    <n v="24"/>
    <x v="2"/>
  </r>
  <r>
    <n v="24"/>
    <x v="40"/>
  </r>
  <r>
    <n v="24"/>
    <x v="24"/>
  </r>
  <r>
    <n v="27"/>
    <x v="41"/>
  </r>
  <r>
    <n v="81"/>
    <x v="28"/>
  </r>
  <r>
    <n v="36"/>
    <x v="15"/>
  </r>
  <r>
    <n v="36"/>
    <x v="12"/>
  </r>
  <r>
    <n v="18"/>
    <x v="16"/>
  </r>
  <r>
    <n v="27"/>
    <x v="42"/>
  </r>
  <r>
    <n v="18"/>
    <x v="43"/>
  </r>
  <r>
    <n v="48"/>
    <x v="2"/>
  </r>
  <r>
    <n v="24"/>
    <x v="19"/>
  </r>
  <r>
    <n v="48"/>
    <x v="3"/>
  </r>
  <r>
    <n v="24"/>
    <x v="2"/>
  </r>
  <r>
    <n v="48"/>
    <x v="2"/>
  </r>
  <r>
    <n v="24"/>
    <x v="19"/>
  </r>
  <r>
    <n v="27"/>
    <x v="32"/>
  </r>
  <r>
    <n v="81"/>
    <x v="20"/>
  </r>
  <r>
    <n v="27"/>
    <x v="3"/>
  </r>
  <r>
    <n v="90"/>
    <x v="7"/>
  </r>
  <r>
    <n v="72"/>
    <x v="46"/>
  </r>
  <r>
    <n v="90"/>
    <x v="47"/>
  </r>
  <r>
    <n v="18"/>
    <x v="7"/>
  </r>
  <r>
    <n v="60"/>
    <x v="3"/>
  </r>
  <r>
    <n v="30"/>
    <x v="2"/>
  </r>
  <r>
    <n v="54"/>
    <x v="9"/>
  </r>
  <r>
    <n v="81"/>
    <x v="20"/>
  </r>
  <r>
    <n v="90"/>
    <x v="7"/>
  </r>
  <r>
    <n v="18"/>
    <x v="50"/>
  </r>
  <r>
    <n v="18"/>
    <x v="51"/>
  </r>
  <r>
    <n v="18"/>
    <x v="3"/>
  </r>
  <r>
    <n v="108"/>
    <x v="9"/>
  </r>
  <r>
    <n v="90"/>
    <x v="7"/>
  </r>
  <r>
    <n v="30"/>
    <x v="48"/>
  </r>
  <r>
    <n v="30"/>
    <x v="27"/>
  </r>
  <r>
    <n v="30"/>
    <x v="49"/>
  </r>
  <r>
    <n v="60"/>
    <x v="2"/>
  </r>
  <r>
    <n v="30"/>
    <x v="19"/>
  </r>
  <r>
    <n v="60"/>
    <x v="3"/>
  </r>
  <r>
    <n v="30"/>
    <x v="2"/>
  </r>
  <r>
    <n v="60"/>
    <x v="3"/>
  </r>
  <r>
    <n v="30"/>
    <x v="2"/>
  </r>
  <r>
    <n v="27"/>
    <x v="32"/>
  </r>
  <r>
    <n v="81"/>
    <x v="20"/>
  </r>
  <r>
    <n v="27"/>
    <x v="3"/>
  </r>
  <r>
    <n v="60"/>
    <x v="2"/>
  </r>
  <r>
    <n v="30"/>
    <x v="19"/>
  </r>
  <r>
    <n v="72"/>
    <x v="46"/>
  </r>
  <r>
    <n v="90"/>
    <x v="47"/>
  </r>
  <r>
    <n v="18"/>
    <x v="7"/>
  </r>
  <r>
    <n v="60"/>
    <x v="2"/>
  </r>
  <r>
    <n v="30"/>
    <x v="19"/>
  </r>
  <r>
    <n v="54"/>
    <x v="9"/>
  </r>
  <r>
    <n v="81"/>
    <x v="20"/>
  </r>
  <r>
    <n v="90"/>
    <x v="7"/>
  </r>
  <r>
    <n v="54"/>
    <x v="9"/>
  </r>
  <r>
    <n v="90"/>
    <x v="7"/>
  </r>
  <r>
    <n v="108"/>
    <x v="34"/>
  </r>
  <r>
    <n v="36"/>
    <x v="5"/>
  </r>
  <r>
    <n v="162"/>
    <x v="35"/>
  </r>
  <r>
    <n v="30"/>
    <x v="48"/>
  </r>
  <r>
    <n v="30"/>
    <x v="27"/>
  </r>
  <r>
    <n v="30"/>
    <x v="49"/>
  </r>
  <r>
    <n v="72"/>
    <x v="4"/>
  </r>
  <r>
    <n v="108"/>
    <x v="36"/>
  </r>
  <r>
    <n v="27"/>
    <x v="32"/>
  </r>
  <r>
    <n v="81"/>
    <x v="20"/>
  </r>
  <r>
    <n v="27"/>
    <x v="3"/>
  </r>
  <r>
    <n v="42"/>
    <x v="2"/>
  </r>
  <r>
    <n v="21"/>
    <x v="19"/>
  </r>
  <r>
    <n v="42"/>
    <x v="2"/>
  </r>
  <r>
    <n v="21"/>
    <x v="19"/>
  </r>
  <r>
    <n v="42"/>
    <x v="2"/>
  </r>
  <r>
    <n v="21"/>
    <x v="19"/>
  </r>
  <r>
    <n v="42"/>
    <x v="2"/>
  </r>
  <r>
    <n v="21"/>
    <x v="19"/>
  </r>
  <r>
    <n v="42"/>
    <x v="3"/>
  </r>
  <r>
    <n v="21"/>
    <x v="2"/>
  </r>
  <r>
    <n v="63"/>
    <x v="9"/>
  </r>
  <r>
    <n v="108"/>
    <x v="9"/>
  </r>
  <r>
    <n v="162"/>
    <x v="20"/>
  </r>
  <r>
    <n v="54"/>
    <x v="7"/>
  </r>
  <r>
    <n v="54"/>
    <x v="44"/>
  </r>
  <r>
    <n v="18"/>
    <x v="45"/>
  </r>
  <r>
    <n v="27"/>
    <x v="41"/>
  </r>
  <r>
    <n v="81"/>
    <x v="28"/>
  </r>
  <r>
    <m/>
    <x v="30"/>
  </r>
  <r>
    <n v="72"/>
    <x v="31"/>
  </r>
  <r>
    <n v="72"/>
    <x v="4"/>
  </r>
  <r>
    <n v="72"/>
    <x v="2"/>
  </r>
  <r>
    <n v="27"/>
    <x v="32"/>
  </r>
  <r>
    <n v="81"/>
    <x v="20"/>
  </r>
  <r>
    <n v="27"/>
    <x v="3"/>
  </r>
  <r>
    <n v="60"/>
    <x v="33"/>
  </r>
  <r>
    <n v="24"/>
    <x v="52"/>
  </r>
  <r>
    <n v="4"/>
    <x v="53"/>
  </r>
  <r>
    <n v="48"/>
    <x v="3"/>
  </r>
  <r>
    <n v="24"/>
    <x v="2"/>
  </r>
  <r>
    <n v="48"/>
    <x v="3"/>
  </r>
  <r>
    <n v="24"/>
    <x v="2"/>
  </r>
  <r>
    <n v="144"/>
    <x v="34"/>
  </r>
  <r>
    <n v="48"/>
    <x v="5"/>
  </r>
  <r>
    <n v="216"/>
    <x v="35"/>
  </r>
  <r>
    <n v="36"/>
    <x v="42"/>
  </r>
  <r>
    <n v="24"/>
    <x v="43"/>
  </r>
  <r>
    <n v="60"/>
    <x v="3"/>
  </r>
  <r>
    <n v="30"/>
    <x v="2"/>
  </r>
  <r>
    <n v="72"/>
    <x v="46"/>
  </r>
  <r>
    <n v="90"/>
    <x v="47"/>
  </r>
  <r>
    <n v="18"/>
    <x v="7"/>
  </r>
  <r>
    <n v="27"/>
    <x v="54"/>
  </r>
  <r>
    <n v="81"/>
    <x v="55"/>
  </r>
  <r>
    <n v="36"/>
    <x v="15"/>
  </r>
  <r>
    <n v="36"/>
    <x v="12"/>
  </r>
  <r>
    <n v="18"/>
    <x v="16"/>
  </r>
  <r>
    <n v="12"/>
    <x v="37"/>
  </r>
  <r>
    <n v="12"/>
    <x v="38"/>
  </r>
  <r>
    <n v="60"/>
    <x v="2"/>
  </r>
  <r>
    <n v="30"/>
    <x v="19"/>
  </r>
  <r>
    <n v="90"/>
    <x v="9"/>
  </r>
  <r>
    <n v="90"/>
    <x v="7"/>
  </r>
  <r>
    <n v="60"/>
    <x v="2"/>
  </r>
  <r>
    <n v="30"/>
    <x v="19"/>
  </r>
  <r>
    <n v="60"/>
    <x v="2"/>
  </r>
  <r>
    <n v="30"/>
    <x v="19"/>
  </r>
  <r>
    <n v="60"/>
    <x v="3"/>
  </r>
  <r>
    <n v="30"/>
    <x v="2"/>
  </r>
  <r>
    <n v="180"/>
    <x v="9"/>
  </r>
  <r>
    <n v="270"/>
    <x v="20"/>
  </r>
  <r>
    <n v="27"/>
    <x v="32"/>
  </r>
  <r>
    <n v="81"/>
    <x v="20"/>
  </r>
  <r>
    <n v="27"/>
    <x v="3"/>
  </r>
  <r>
    <n v="48"/>
    <x v="46"/>
  </r>
  <r>
    <n v="60"/>
    <x v="47"/>
  </r>
  <r>
    <n v="12"/>
    <x v="7"/>
  </r>
  <r>
    <n v="36"/>
    <x v="9"/>
  </r>
  <r>
    <n v="27"/>
    <x v="54"/>
  </r>
  <r>
    <n v="81"/>
    <x v="55"/>
  </r>
  <r>
    <n v="60"/>
    <x v="2"/>
  </r>
  <r>
    <n v="30"/>
    <x v="19"/>
  </r>
  <r>
    <n v="60"/>
    <x v="2"/>
  </r>
  <r>
    <n v="30"/>
    <x v="19"/>
  </r>
  <r>
    <n v="60"/>
    <x v="3"/>
  </r>
  <r>
    <n v="30"/>
    <x v="2"/>
  </r>
  <r>
    <n v="27"/>
    <x v="32"/>
  </r>
  <r>
    <n v="81"/>
    <x v="20"/>
  </r>
  <r>
    <n v="27"/>
    <x v="3"/>
  </r>
  <r>
    <n v="60"/>
    <x v="2"/>
  </r>
  <r>
    <n v="30"/>
    <x v="19"/>
  </r>
  <r>
    <n v="72"/>
    <x v="46"/>
  </r>
  <r>
    <n v="90"/>
    <x v="47"/>
  </r>
  <r>
    <n v="18"/>
    <x v="7"/>
  </r>
  <r>
    <n v="60"/>
    <x v="3"/>
  </r>
  <r>
    <n v="30"/>
    <x v="2"/>
  </r>
  <r>
    <n v="72"/>
    <x v="9"/>
  </r>
  <r>
    <n v="108"/>
    <x v="20"/>
  </r>
  <r>
    <n v="60"/>
    <x v="33"/>
  </r>
  <r>
    <n v="24"/>
    <x v="52"/>
  </r>
  <r>
    <n v="4"/>
    <x v="53"/>
  </r>
  <r>
    <n v="90"/>
    <x v="9"/>
  </r>
  <r>
    <n v="27"/>
    <x v="54"/>
  </r>
  <r>
    <n v="81"/>
    <x v="55"/>
  </r>
  <r>
    <n v="72"/>
    <x v="34"/>
  </r>
  <r>
    <n v="24"/>
    <x v="5"/>
  </r>
  <r>
    <n v="108"/>
    <x v="35"/>
  </r>
  <r>
    <n v="60"/>
    <x v="2"/>
  </r>
  <r>
    <n v="30"/>
    <x v="19"/>
  </r>
  <r>
    <n v="60"/>
    <x v="2"/>
  </r>
  <r>
    <n v="30"/>
    <x v="19"/>
  </r>
  <r>
    <n v="60"/>
    <x v="3"/>
  </r>
  <r>
    <n v="30"/>
    <x v="2"/>
  </r>
  <r>
    <n v="27"/>
    <x v="32"/>
  </r>
  <r>
    <n v="81"/>
    <x v="20"/>
  </r>
  <r>
    <n v="27"/>
    <x v="3"/>
  </r>
  <r>
    <n v="60"/>
    <x v="2"/>
  </r>
  <r>
    <n v="30"/>
    <x v="19"/>
  </r>
  <r>
    <n v="72"/>
    <x v="46"/>
  </r>
  <r>
    <n v="90"/>
    <x v="47"/>
  </r>
  <r>
    <n v="18"/>
    <x v="7"/>
  </r>
  <r>
    <n v="60"/>
    <x v="3"/>
  </r>
  <r>
    <n v="30"/>
    <x v="2"/>
  </r>
  <r>
    <n v="72"/>
    <x v="9"/>
  </r>
  <r>
    <n v="108"/>
    <x v="20"/>
  </r>
  <r>
    <n v="60"/>
    <x v="33"/>
  </r>
  <r>
    <n v="24"/>
    <x v="52"/>
  </r>
  <r>
    <n v="4"/>
    <x v="53"/>
  </r>
  <r>
    <n v="36"/>
    <x v="3"/>
  </r>
  <r>
    <n v="18"/>
    <x v="2"/>
  </r>
  <r>
    <n v="108"/>
    <x v="9"/>
  </r>
  <r>
    <n v="162"/>
    <x v="20"/>
  </r>
  <r>
    <n v="27"/>
    <x v="54"/>
  </r>
  <r>
    <n v="81"/>
    <x v="55"/>
  </r>
  <r>
    <n v="72"/>
    <x v="34"/>
  </r>
  <r>
    <n v="24"/>
    <x v="5"/>
  </r>
  <r>
    <n v="108"/>
    <x v="35"/>
  </r>
  <r>
    <m/>
    <x v="3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560">
  <r>
    <m/>
    <x v="0"/>
  </r>
  <r>
    <m/>
    <x v="0"/>
  </r>
  <r>
    <n v="18"/>
    <x v="1"/>
  </r>
  <r>
    <m/>
    <x v="0"/>
  </r>
  <r>
    <m/>
    <x v="0"/>
  </r>
  <r>
    <m/>
    <x v="0"/>
  </r>
  <r>
    <n v="18"/>
    <x v="2"/>
  </r>
  <r>
    <m/>
    <x v="0"/>
  </r>
  <r>
    <n v="36"/>
    <x v="3"/>
  </r>
  <r>
    <m/>
    <x v="0"/>
  </r>
  <r>
    <n v="18"/>
    <x v="4"/>
  </r>
  <r>
    <m/>
    <x v="0"/>
  </r>
  <r>
    <n v="36"/>
    <x v="5"/>
  </r>
  <r>
    <m/>
    <x v="0"/>
  </r>
  <r>
    <m/>
    <x v="0"/>
  </r>
  <r>
    <n v="18"/>
    <x v="6"/>
  </r>
  <r>
    <n v="18"/>
    <x v="7"/>
  </r>
  <r>
    <n v="18"/>
    <x v="8"/>
  </r>
  <r>
    <m/>
    <x v="0"/>
  </r>
  <r>
    <n v="18"/>
    <x v="9"/>
  </r>
  <r>
    <m/>
    <x v="0"/>
  </r>
  <r>
    <m/>
    <x v="0"/>
  </r>
  <r>
    <m/>
    <x v="0"/>
  </r>
  <r>
    <m/>
    <x v="0"/>
  </r>
  <r>
    <n v="21"/>
    <x v="1"/>
  </r>
  <r>
    <n v="42"/>
    <x v="1"/>
  </r>
  <r>
    <m/>
    <x v="0"/>
  </r>
  <r>
    <m/>
    <x v="0"/>
  </r>
  <r>
    <m/>
    <x v="0"/>
  </r>
  <r>
    <n v="33"/>
    <x v="10"/>
  </r>
  <r>
    <m/>
    <x v="0"/>
  </r>
  <r>
    <n v="12"/>
    <x v="5"/>
  </r>
  <r>
    <m/>
    <x v="0"/>
  </r>
  <r>
    <m/>
    <x v="0"/>
  </r>
  <r>
    <m/>
    <x v="0"/>
  </r>
  <r>
    <n v="12"/>
    <x v="11"/>
  </r>
  <r>
    <m/>
    <x v="0"/>
  </r>
  <r>
    <m/>
    <x v="0"/>
  </r>
  <r>
    <n v="18"/>
    <x v="6"/>
  </r>
  <r>
    <n v="18"/>
    <x v="7"/>
  </r>
  <r>
    <n v="18"/>
    <x v="8"/>
  </r>
  <r>
    <n v="12"/>
    <x v="12"/>
  </r>
  <r>
    <m/>
    <x v="0"/>
  </r>
  <r>
    <m/>
    <x v="0"/>
  </r>
  <r>
    <m/>
    <x v="0"/>
  </r>
  <r>
    <m/>
    <x v="0"/>
  </r>
  <r>
    <n v="24"/>
    <x v="10"/>
  </r>
  <r>
    <m/>
    <x v="0"/>
  </r>
  <r>
    <n v="24"/>
    <x v="4"/>
  </r>
  <r>
    <m/>
    <x v="0"/>
  </r>
  <r>
    <m/>
    <x v="0"/>
  </r>
  <r>
    <m/>
    <x v="0"/>
  </r>
  <r>
    <n v="24"/>
    <x v="1"/>
  </r>
  <r>
    <n v="24"/>
    <x v="10"/>
  </r>
  <r>
    <m/>
    <x v="0"/>
  </r>
  <r>
    <n v="12"/>
    <x v="5"/>
  </r>
  <r>
    <m/>
    <x v="0"/>
  </r>
  <r>
    <n v="30"/>
    <x v="3"/>
  </r>
  <r>
    <n v="12"/>
    <x v="5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n v="24"/>
    <x v="4"/>
  </r>
  <r>
    <m/>
    <x v="0"/>
  </r>
  <r>
    <n v="12"/>
    <x v="5"/>
  </r>
  <r>
    <m/>
    <x v="0"/>
  </r>
  <r>
    <n v="30"/>
    <x v="1"/>
  </r>
  <r>
    <n v="30"/>
    <x v="10"/>
  </r>
  <r>
    <m/>
    <x v="0"/>
  </r>
  <r>
    <n v="30"/>
    <x v="3"/>
  </r>
  <r>
    <n v="24"/>
    <x v="5"/>
  </r>
  <r>
    <m/>
    <x v="0"/>
  </r>
  <r>
    <m/>
    <x v="0"/>
  </r>
  <r>
    <m/>
    <x v="0"/>
  </r>
  <r>
    <m/>
    <x v="0"/>
  </r>
  <r>
    <m/>
    <x v="0"/>
  </r>
  <r>
    <n v="18"/>
    <x v="1"/>
  </r>
  <r>
    <m/>
    <x v="0"/>
  </r>
  <r>
    <m/>
    <x v="0"/>
  </r>
  <r>
    <m/>
    <x v="0"/>
  </r>
  <r>
    <m/>
    <x v="0"/>
  </r>
  <r>
    <n v="18"/>
    <x v="1"/>
  </r>
  <r>
    <n v="36"/>
    <x v="3"/>
  </r>
  <r>
    <m/>
    <x v="0"/>
  </r>
  <r>
    <m/>
    <x v="0"/>
  </r>
  <r>
    <n v="18"/>
    <x v="3"/>
  </r>
  <r>
    <m/>
    <x v="0"/>
  </r>
  <r>
    <m/>
    <x v="0"/>
  </r>
  <r>
    <n v="42"/>
    <x v="13"/>
  </r>
  <r>
    <m/>
    <x v="0"/>
  </r>
  <r>
    <m/>
    <x v="0"/>
  </r>
  <r>
    <m/>
    <x v="0"/>
  </r>
  <r>
    <n v="18"/>
    <x v="9"/>
  </r>
  <r>
    <m/>
    <x v="0"/>
  </r>
  <r>
    <n v="24"/>
    <x v="14"/>
  </r>
  <r>
    <m/>
    <x v="0"/>
  </r>
  <r>
    <m/>
    <x v="0"/>
  </r>
  <r>
    <n v="21"/>
    <x v="1"/>
  </r>
  <r>
    <n v="21"/>
    <x v="1"/>
  </r>
  <r>
    <m/>
    <x v="0"/>
  </r>
  <r>
    <m/>
    <x v="0"/>
  </r>
  <r>
    <n v="21"/>
    <x v="10"/>
  </r>
  <r>
    <m/>
    <x v="0"/>
  </r>
  <r>
    <n v="24"/>
    <x v="5"/>
  </r>
  <r>
    <m/>
    <x v="0"/>
  </r>
  <r>
    <n v="21"/>
    <x v="4"/>
  </r>
  <r>
    <m/>
    <x v="0"/>
  </r>
  <r>
    <n v="24"/>
    <x v="5"/>
  </r>
  <r>
    <m/>
    <x v="0"/>
  </r>
  <r>
    <m/>
    <x v="0"/>
  </r>
  <r>
    <m/>
    <x v="0"/>
  </r>
  <r>
    <m/>
    <x v="0"/>
  </r>
  <r>
    <n v="21"/>
    <x v="10"/>
  </r>
  <r>
    <m/>
    <x v="0"/>
  </r>
  <r>
    <m/>
    <x v="0"/>
  </r>
  <r>
    <n v="60"/>
    <x v="5"/>
  </r>
  <r>
    <m/>
    <x v="0"/>
  </r>
  <r>
    <n v="30"/>
    <x v="10"/>
  </r>
  <r>
    <m/>
    <x v="0"/>
  </r>
  <r>
    <n v="30"/>
    <x v="4"/>
  </r>
  <r>
    <m/>
    <x v="0"/>
  </r>
  <r>
    <m/>
    <x v="0"/>
  </r>
  <r>
    <m/>
    <x v="0"/>
  </r>
  <r>
    <m/>
    <x v="0"/>
  </r>
  <r>
    <n v="30"/>
    <x v="10"/>
  </r>
  <r>
    <m/>
    <x v="0"/>
  </r>
  <r>
    <n v="30"/>
    <x v="10"/>
  </r>
  <r>
    <m/>
    <x v="0"/>
  </r>
  <r>
    <n v="24"/>
    <x v="5"/>
  </r>
  <r>
    <m/>
    <x v="0"/>
  </r>
  <r>
    <m/>
    <x v="0"/>
  </r>
  <r>
    <m/>
    <x v="0"/>
  </r>
  <r>
    <n v="30"/>
    <x v="3"/>
  </r>
  <r>
    <m/>
    <x v="0"/>
  </r>
  <r>
    <n v="24"/>
    <x v="10"/>
  </r>
  <r>
    <m/>
    <x v="0"/>
  </r>
  <r>
    <m/>
    <x v="0"/>
  </r>
  <r>
    <m/>
    <x v="0"/>
  </r>
  <r>
    <m/>
    <x v="0"/>
  </r>
  <r>
    <n v="24"/>
    <x v="10"/>
  </r>
  <r>
    <m/>
    <x v="0"/>
  </r>
  <r>
    <n v="24"/>
    <x v="4"/>
  </r>
  <r>
    <m/>
    <x v="0"/>
  </r>
  <r>
    <m/>
    <x v="0"/>
  </r>
  <r>
    <m/>
    <x v="0"/>
  </r>
  <r>
    <n v="18"/>
    <x v="5"/>
  </r>
  <r>
    <m/>
    <x v="0"/>
  </r>
  <r>
    <n v="30"/>
    <x v="10"/>
  </r>
  <r>
    <m/>
    <x v="0"/>
  </r>
  <r>
    <m/>
    <x v="0"/>
  </r>
  <r>
    <m/>
    <x v="0"/>
  </r>
  <r>
    <m/>
    <x v="0"/>
  </r>
  <r>
    <m/>
    <x v="0"/>
  </r>
  <r>
    <n v="30"/>
    <x v="3"/>
  </r>
  <r>
    <m/>
    <x v="0"/>
  </r>
  <r>
    <m/>
    <x v="0"/>
  </r>
  <r>
    <m/>
    <x v="0"/>
  </r>
  <r>
    <m/>
    <x v="0"/>
  </r>
  <r>
    <m/>
    <x v="0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m/>
    <x v="0"/>
  </r>
  <r>
    <n v="24"/>
    <x v="1"/>
  </r>
  <r>
    <m/>
    <x v="0"/>
  </r>
  <r>
    <m/>
    <x v="0"/>
  </r>
  <r>
    <n v="48"/>
    <x v="10"/>
  </r>
  <r>
    <m/>
    <x v="0"/>
  </r>
  <r>
    <m/>
    <x v="0"/>
  </r>
  <r>
    <n v="24"/>
    <x v="4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n v="18"/>
    <x v="9"/>
  </r>
  <r>
    <m/>
    <x v="0"/>
  </r>
  <r>
    <m/>
    <x v="0"/>
  </r>
  <r>
    <m/>
    <x v="0"/>
  </r>
  <r>
    <n v="24"/>
    <x v="14"/>
  </r>
  <r>
    <m/>
    <x v="0"/>
  </r>
  <r>
    <m/>
    <x v="0"/>
  </r>
  <r>
    <m/>
    <x v="0"/>
  </r>
  <r>
    <m/>
    <x v="0"/>
  </r>
  <r>
    <n v="21"/>
    <x v="10"/>
  </r>
  <r>
    <m/>
    <x v="0"/>
  </r>
  <r>
    <n v="21"/>
    <x v="10"/>
  </r>
  <r>
    <m/>
    <x v="0"/>
  </r>
  <r>
    <m/>
    <x v="0"/>
  </r>
  <r>
    <m/>
    <x v="0"/>
  </r>
  <r>
    <n v="21"/>
    <x v="10"/>
  </r>
  <r>
    <m/>
    <x v="0"/>
  </r>
  <r>
    <m/>
    <x v="0"/>
  </r>
  <r>
    <m/>
    <x v="0"/>
  </r>
  <r>
    <n v="21"/>
    <x v="5"/>
  </r>
  <r>
    <n v="36"/>
    <x v="5"/>
  </r>
  <r>
    <m/>
    <x v="0"/>
  </r>
  <r>
    <n v="18"/>
    <x v="3"/>
  </r>
  <r>
    <m/>
    <x v="0"/>
  </r>
  <r>
    <m/>
    <x v="0"/>
  </r>
  <r>
    <m/>
    <x v="0"/>
  </r>
  <r>
    <m/>
    <x v="0"/>
  </r>
  <r>
    <m/>
    <x v="0"/>
  </r>
  <r>
    <m/>
    <x v="0"/>
  </r>
  <r>
    <n v="30"/>
    <x v="4"/>
  </r>
  <r>
    <m/>
    <x v="0"/>
  </r>
  <r>
    <n v="30"/>
    <x v="4"/>
  </r>
  <r>
    <m/>
    <x v="0"/>
  </r>
  <r>
    <m/>
    <x v="0"/>
  </r>
  <r>
    <m/>
    <x v="0"/>
  </r>
  <r>
    <m/>
    <x v="0"/>
  </r>
  <r>
    <n v="30"/>
    <x v="10"/>
  </r>
  <r>
    <m/>
    <x v="0"/>
  </r>
  <r>
    <m/>
    <x v="0"/>
  </r>
  <r>
    <n v="18"/>
    <x v="15"/>
  </r>
  <r>
    <m/>
    <x v="0"/>
  </r>
  <r>
    <n v="30"/>
    <x v="10"/>
  </r>
  <r>
    <m/>
    <x v="0"/>
  </r>
  <r>
    <n v="18"/>
    <x v="5"/>
  </r>
  <r>
    <m/>
    <x v="0"/>
  </r>
  <r>
    <n v="30"/>
    <x v="3"/>
  </r>
  <r>
    <n v="18"/>
    <x v="5"/>
  </r>
  <r>
    <m/>
    <x v="0"/>
  </r>
  <r>
    <n v="36"/>
    <x v="13"/>
  </r>
  <r>
    <m/>
    <x v="0"/>
  </r>
  <r>
    <m/>
    <x v="0"/>
  </r>
  <r>
    <m/>
    <x v="0"/>
  </r>
  <r>
    <n v="30"/>
    <x v="16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n v="30"/>
    <x v="3"/>
  </r>
  <r>
    <m/>
    <x v="0"/>
  </r>
  <r>
    <n v="18"/>
    <x v="15"/>
  </r>
  <r>
    <m/>
    <x v="0"/>
  </r>
  <r>
    <n v="30"/>
    <x v="4"/>
  </r>
  <r>
    <m/>
    <x v="0"/>
  </r>
  <r>
    <n v="18"/>
    <x v="5"/>
  </r>
  <r>
    <m/>
    <x v="0"/>
  </r>
  <r>
    <n v="30"/>
    <x v="3"/>
  </r>
  <r>
    <m/>
    <x v="0"/>
  </r>
  <r>
    <m/>
    <x v="0"/>
  </r>
  <r>
    <m/>
    <x v="0"/>
  </r>
  <r>
    <n v="36"/>
    <x v="5"/>
  </r>
  <r>
    <m/>
    <x v="0"/>
  </r>
  <r>
    <m/>
    <x v="0"/>
  </r>
  <r>
    <n v="30"/>
    <x v="16"/>
  </r>
  <r>
    <m/>
    <x v="0"/>
  </r>
  <r>
    <m/>
    <x v="0"/>
  </r>
  <r>
    <m/>
    <x v="0"/>
  </r>
  <r>
    <m/>
    <x v="0"/>
  </r>
  <r>
    <m/>
    <x v="0"/>
  </r>
  <r>
    <m/>
    <x v="0"/>
  </r>
  <r>
    <n v="18"/>
    <x v="1"/>
  </r>
  <r>
    <m/>
    <x v="0"/>
  </r>
  <r>
    <m/>
    <x v="0"/>
  </r>
  <r>
    <m/>
    <x v="0"/>
  </r>
  <r>
    <n v="18"/>
    <x v="1"/>
  </r>
  <r>
    <n v="36"/>
    <x v="3"/>
  </r>
  <r>
    <m/>
    <x v="0"/>
  </r>
  <r>
    <m/>
    <x v="0"/>
  </r>
  <r>
    <n v="18"/>
    <x v="3"/>
  </r>
  <r>
    <m/>
    <x v="0"/>
  </r>
  <r>
    <m/>
    <x v="0"/>
  </r>
  <r>
    <n v="42"/>
    <x v="13"/>
  </r>
  <r>
    <m/>
    <x v="0"/>
  </r>
  <r>
    <m/>
    <x v="0"/>
  </r>
  <r>
    <m/>
    <x v="0"/>
  </r>
  <r>
    <n v="18"/>
    <x v="9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n v="24"/>
    <x v="4"/>
  </r>
  <r>
    <m/>
    <x v="0"/>
  </r>
  <r>
    <m/>
    <x v="0"/>
  </r>
  <r>
    <m/>
    <x v="0"/>
  </r>
  <r>
    <n v="18"/>
    <x v="5"/>
  </r>
  <r>
    <m/>
    <x v="0"/>
  </r>
  <r>
    <n v="30"/>
    <x v="10"/>
  </r>
  <r>
    <m/>
    <x v="0"/>
  </r>
  <r>
    <m/>
    <x v="0"/>
  </r>
  <r>
    <m/>
    <x v="0"/>
  </r>
  <r>
    <m/>
    <x v="0"/>
  </r>
  <r>
    <m/>
    <x v="0"/>
  </r>
  <r>
    <n v="30"/>
    <x v="3"/>
  </r>
  <r>
    <m/>
    <x v="0"/>
  </r>
  <r>
    <m/>
    <x v="0"/>
  </r>
  <r>
    <m/>
    <x v="0"/>
  </r>
  <r>
    <m/>
    <x v="0"/>
  </r>
  <r>
    <m/>
    <x v="0"/>
  </r>
  <r>
    <n v="30"/>
    <x v="10"/>
  </r>
  <r>
    <m/>
    <x v="0"/>
  </r>
  <r>
    <n v="30"/>
    <x v="4"/>
  </r>
  <r>
    <m/>
    <x v="0"/>
  </r>
  <r>
    <m/>
    <x v="0"/>
  </r>
  <r>
    <m/>
    <x v="0"/>
  </r>
  <r>
    <n v="30"/>
    <x v="10"/>
  </r>
  <r>
    <m/>
    <x v="0"/>
  </r>
  <r>
    <n v="30"/>
    <x v="10"/>
  </r>
  <r>
    <m/>
    <x v="0"/>
  </r>
  <r>
    <n v="24"/>
    <x v="5"/>
  </r>
  <r>
    <m/>
    <x v="0"/>
  </r>
  <r>
    <m/>
    <x v="0"/>
  </r>
  <r>
    <m/>
    <x v="0"/>
  </r>
  <r>
    <n v="30"/>
    <x v="3"/>
  </r>
  <r>
    <m/>
    <x v="0"/>
  </r>
  <r>
    <n v="24"/>
    <x v="14"/>
  </r>
  <r>
    <m/>
    <x v="0"/>
  </r>
  <r>
    <m/>
    <x v="0"/>
  </r>
  <r>
    <n v="21"/>
    <x v="1"/>
  </r>
  <r>
    <n v="21"/>
    <x v="1"/>
  </r>
  <r>
    <m/>
    <x v="0"/>
  </r>
  <r>
    <m/>
    <x v="0"/>
  </r>
  <r>
    <n v="21"/>
    <x v="10"/>
  </r>
  <r>
    <m/>
    <x v="0"/>
  </r>
  <r>
    <n v="24"/>
    <x v="5"/>
  </r>
  <r>
    <m/>
    <x v="0"/>
  </r>
  <r>
    <n v="21"/>
    <x v="4"/>
  </r>
  <r>
    <m/>
    <x v="0"/>
  </r>
  <r>
    <n v="24"/>
    <x v="5"/>
  </r>
  <r>
    <m/>
    <x v="0"/>
  </r>
  <r>
    <m/>
    <x v="0"/>
  </r>
  <r>
    <m/>
    <x v="0"/>
  </r>
  <r>
    <n v="21"/>
    <x v="10"/>
  </r>
  <r>
    <m/>
    <x v="0"/>
  </r>
  <r>
    <m/>
    <x v="0"/>
  </r>
  <r>
    <m/>
    <x v="0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m/>
    <x v="0"/>
  </r>
  <r>
    <n v="24"/>
    <x v="1"/>
  </r>
  <r>
    <n v="48"/>
    <x v="10"/>
  </r>
  <r>
    <m/>
    <x v="0"/>
  </r>
  <r>
    <m/>
    <x v="0"/>
  </r>
  <r>
    <n v="24"/>
    <x v="4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n v="18"/>
    <x v="9"/>
  </r>
  <r>
    <m/>
    <x v="0"/>
  </r>
  <r>
    <m/>
    <x v="0"/>
  </r>
  <r>
    <m/>
    <x v="0"/>
  </r>
  <r>
    <n v="24"/>
    <x v="1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n v="30"/>
    <x v="3"/>
  </r>
  <r>
    <m/>
    <x v="0"/>
  </r>
  <r>
    <n v="18"/>
    <x v="15"/>
  </r>
  <r>
    <m/>
    <x v="0"/>
  </r>
  <r>
    <n v="30"/>
    <x v="4"/>
  </r>
  <r>
    <m/>
    <x v="0"/>
  </r>
  <r>
    <n v="18"/>
    <x v="5"/>
  </r>
  <r>
    <m/>
    <x v="0"/>
  </r>
  <r>
    <n v="30"/>
    <x v="3"/>
  </r>
  <r>
    <m/>
    <x v="0"/>
  </r>
  <r>
    <m/>
    <x v="0"/>
  </r>
  <r>
    <m/>
    <x v="0"/>
  </r>
  <r>
    <n v="36"/>
    <x v="5"/>
  </r>
  <r>
    <m/>
    <x v="0"/>
  </r>
  <r>
    <m/>
    <x v="0"/>
  </r>
  <r>
    <n v="30"/>
    <x v="16"/>
  </r>
  <r>
    <m/>
    <x v="0"/>
  </r>
  <r>
    <m/>
    <x v="0"/>
  </r>
  <r>
    <m/>
    <x v="0"/>
  </r>
  <r>
    <n v="30"/>
    <x v="4"/>
  </r>
  <r>
    <m/>
    <x v="0"/>
  </r>
  <r>
    <n v="30"/>
    <x v="4"/>
  </r>
  <r>
    <m/>
    <x v="0"/>
  </r>
  <r>
    <m/>
    <x v="0"/>
  </r>
  <r>
    <m/>
    <x v="0"/>
  </r>
  <r>
    <m/>
    <x v="0"/>
  </r>
  <r>
    <n v="30"/>
    <x v="10"/>
  </r>
  <r>
    <m/>
    <x v="0"/>
  </r>
  <r>
    <m/>
    <x v="0"/>
  </r>
  <r>
    <n v="18"/>
    <x v="15"/>
  </r>
  <r>
    <m/>
    <x v="0"/>
  </r>
  <r>
    <n v="30"/>
    <x v="10"/>
  </r>
  <r>
    <m/>
    <x v="0"/>
  </r>
  <r>
    <n v="18"/>
    <x v="5"/>
  </r>
  <r>
    <m/>
    <x v="0"/>
  </r>
  <r>
    <n v="30"/>
    <x v="3"/>
  </r>
  <r>
    <n v="18"/>
    <x v="5"/>
  </r>
  <r>
    <m/>
    <x v="0"/>
  </r>
  <r>
    <n v="36"/>
    <x v="13"/>
  </r>
  <r>
    <m/>
    <x v="0"/>
  </r>
  <r>
    <m/>
    <x v="0"/>
  </r>
  <r>
    <m/>
    <x v="0"/>
  </r>
  <r>
    <n v="30"/>
    <x v="16"/>
  </r>
  <r>
    <m/>
    <x v="0"/>
  </r>
  <r>
    <n v="24"/>
    <x v="14"/>
  </r>
  <r>
    <m/>
    <x v="0"/>
  </r>
  <r>
    <m/>
    <x v="0"/>
  </r>
  <r>
    <m/>
    <x v="0"/>
  </r>
  <r>
    <m/>
    <x v="0"/>
  </r>
  <r>
    <n v="21"/>
    <x v="10"/>
  </r>
  <r>
    <m/>
    <x v="0"/>
  </r>
  <r>
    <n v="21"/>
    <x v="10"/>
  </r>
  <r>
    <m/>
    <x v="0"/>
  </r>
  <r>
    <m/>
    <x v="0"/>
  </r>
  <r>
    <m/>
    <x v="0"/>
  </r>
  <r>
    <n v="21"/>
    <x v="10"/>
  </r>
  <r>
    <m/>
    <x v="0"/>
  </r>
  <r>
    <m/>
    <x v="0"/>
  </r>
  <r>
    <m/>
    <x v="0"/>
  </r>
  <r>
    <n v="21"/>
    <x v="5"/>
  </r>
  <r>
    <n v="36"/>
    <x v="5"/>
  </r>
  <r>
    <m/>
    <x v="0"/>
  </r>
  <r>
    <n v="18"/>
    <x v="3"/>
  </r>
  <r>
    <m/>
    <x v="0"/>
  </r>
  <r>
    <m/>
    <x v="0"/>
  </r>
  <r>
    <m/>
    <x v="0"/>
  </r>
  <r>
    <m/>
    <x v="0"/>
  </r>
  <r>
    <m/>
    <x v="0"/>
  </r>
  <r>
    <m/>
    <x v="0"/>
  </r>
  <r>
    <m/>
    <x v="0"/>
  </r>
  <r>
    <n v="24"/>
    <x v="1"/>
  </r>
  <r>
    <m/>
    <x v="0"/>
  </r>
  <r>
    <m/>
    <x v="0"/>
  </r>
  <r>
    <m/>
    <x v="0"/>
  </r>
  <r>
    <n v="12"/>
    <x v="17"/>
  </r>
  <r>
    <n v="24"/>
    <x v="18"/>
  </r>
  <r>
    <m/>
    <x v="0"/>
  </r>
  <r>
    <n v="24"/>
    <x v="4"/>
  </r>
  <r>
    <m/>
    <x v="0"/>
  </r>
  <r>
    <n v="24"/>
    <x v="4"/>
  </r>
  <r>
    <m/>
    <x v="0"/>
  </r>
  <r>
    <n v="48"/>
    <x v="13"/>
  </r>
  <r>
    <m/>
    <x v="0"/>
  </r>
  <r>
    <m/>
    <x v="0"/>
  </r>
  <r>
    <m/>
    <x v="0"/>
  </r>
  <r>
    <m/>
    <x v="0"/>
  </r>
  <r>
    <n v="30"/>
    <x v="4"/>
  </r>
  <r>
    <m/>
    <x v="0"/>
  </r>
  <r>
    <m/>
    <x v="0"/>
  </r>
  <r>
    <n v="18"/>
    <x v="15"/>
  </r>
  <r>
    <m/>
    <x v="0"/>
  </r>
  <r>
    <m/>
    <x v="0"/>
  </r>
  <r>
    <m/>
    <x v="0"/>
  </r>
  <r>
    <m/>
    <x v="0"/>
  </r>
  <r>
    <n v="18"/>
    <x v="9"/>
  </r>
  <r>
    <m/>
    <x v="0"/>
  </r>
  <r>
    <m/>
    <x v="0"/>
  </r>
  <r>
    <m/>
    <x v="0"/>
  </r>
  <r>
    <n v="30"/>
    <x v="10"/>
  </r>
  <r>
    <m/>
    <x v="0"/>
  </r>
  <r>
    <m/>
    <x v="0"/>
  </r>
  <r>
    <n v="30"/>
    <x v="3"/>
  </r>
  <r>
    <m/>
    <x v="0"/>
  </r>
  <r>
    <m/>
    <x v="0"/>
  </r>
  <r>
    <n v="30"/>
    <x v="10"/>
  </r>
  <r>
    <m/>
    <x v="0"/>
  </r>
  <r>
    <n v="30"/>
    <x v="4"/>
  </r>
  <r>
    <m/>
    <x v="0"/>
  </r>
  <r>
    <n v="60"/>
    <x v="5"/>
  </r>
  <r>
    <m/>
    <x v="0"/>
  </r>
  <r>
    <m/>
    <x v="0"/>
  </r>
  <r>
    <m/>
    <x v="0"/>
  </r>
  <r>
    <m/>
    <x v="0"/>
  </r>
  <r>
    <m/>
    <x v="0"/>
  </r>
  <r>
    <n v="12"/>
    <x v="15"/>
  </r>
  <r>
    <m/>
    <x v="0"/>
  </r>
  <r>
    <n v="12"/>
    <x v="5"/>
  </r>
  <r>
    <m/>
    <x v="0"/>
  </r>
  <r>
    <m/>
    <x v="0"/>
  </r>
  <r>
    <n v="30"/>
    <x v="10"/>
  </r>
  <r>
    <m/>
    <x v="0"/>
  </r>
  <r>
    <m/>
    <x v="0"/>
  </r>
  <r>
    <m/>
    <x v="0"/>
  </r>
  <r>
    <n v="30"/>
    <x v="4"/>
  </r>
  <r>
    <m/>
    <x v="0"/>
  </r>
  <r>
    <m/>
    <x v="0"/>
  </r>
  <r>
    <m/>
    <x v="0"/>
  </r>
  <r>
    <m/>
    <x v="0"/>
  </r>
  <r>
    <n v="30"/>
    <x v="10"/>
  </r>
  <r>
    <m/>
    <x v="0"/>
  </r>
  <r>
    <m/>
    <x v="0"/>
  </r>
  <r>
    <n v="18"/>
    <x v="15"/>
  </r>
  <r>
    <m/>
    <x v="0"/>
  </r>
  <r>
    <n v="30"/>
    <x v="4"/>
  </r>
  <r>
    <m/>
    <x v="0"/>
  </r>
  <r>
    <n v="24"/>
    <x v="5"/>
  </r>
  <r>
    <m/>
    <x v="0"/>
  </r>
  <r>
    <n v="12"/>
    <x v="17"/>
  </r>
  <r>
    <n v="24"/>
    <x v="18"/>
  </r>
  <r>
    <m/>
    <x v="0"/>
  </r>
  <r>
    <n v="30"/>
    <x v="5"/>
  </r>
  <r>
    <m/>
    <x v="0"/>
  </r>
  <r>
    <m/>
    <x v="0"/>
  </r>
  <r>
    <n v="24"/>
    <x v="13"/>
  </r>
  <r>
    <m/>
    <x v="0"/>
  </r>
  <r>
    <m/>
    <x v="0"/>
  </r>
  <r>
    <n v="30"/>
    <x v="10"/>
  </r>
  <r>
    <m/>
    <x v="0"/>
  </r>
  <r>
    <m/>
    <x v="0"/>
  </r>
  <r>
    <m/>
    <x v="0"/>
  </r>
  <r>
    <n v="30"/>
    <x v="4"/>
  </r>
  <r>
    <m/>
    <x v="0"/>
  </r>
  <r>
    <m/>
    <x v="0"/>
  </r>
  <r>
    <m/>
    <x v="0"/>
  </r>
  <r>
    <m/>
    <x v="0"/>
  </r>
  <r>
    <n v="30"/>
    <x v="10"/>
  </r>
  <r>
    <m/>
    <x v="0"/>
  </r>
  <r>
    <m/>
    <x v="0"/>
  </r>
  <r>
    <n v="18"/>
    <x v="15"/>
  </r>
  <r>
    <m/>
    <x v="0"/>
  </r>
  <r>
    <n v="30"/>
    <x v="4"/>
  </r>
  <r>
    <m/>
    <x v="0"/>
  </r>
  <r>
    <n v="24"/>
    <x v="5"/>
  </r>
  <r>
    <m/>
    <x v="0"/>
  </r>
  <r>
    <n v="12"/>
    <x v="17"/>
  </r>
  <r>
    <n v="24"/>
    <x v="18"/>
  </r>
  <r>
    <m/>
    <x v="0"/>
  </r>
  <r>
    <n v="18"/>
    <x v="4"/>
  </r>
  <r>
    <m/>
    <x v="0"/>
  </r>
  <r>
    <n v="36"/>
    <x v="5"/>
  </r>
  <r>
    <m/>
    <x v="0"/>
  </r>
  <r>
    <m/>
    <x v="0"/>
  </r>
  <r>
    <m/>
    <x v="0"/>
  </r>
  <r>
    <n v="24"/>
    <x v="13"/>
  </r>
  <r>
    <m/>
    <x v="0"/>
  </r>
  <r>
    <m/>
    <x v="0"/>
  </r>
  <r>
    <m/>
    <x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560">
  <r>
    <n v="18"/>
    <x v="0"/>
  </r>
  <r>
    <n v="18"/>
    <x v="1"/>
  </r>
  <r>
    <n v="18"/>
    <x v="2"/>
  </r>
  <r>
    <n v="18"/>
    <x v="3"/>
  </r>
  <r>
    <m/>
    <x v="4"/>
  </r>
  <r>
    <n v="18"/>
    <x v="5"/>
  </r>
  <r>
    <n v="18"/>
    <x v="6"/>
  </r>
  <r>
    <m/>
    <x v="4"/>
  </r>
  <r>
    <n v="18"/>
    <x v="7"/>
  </r>
  <r>
    <n v="18"/>
    <x v="8"/>
  </r>
  <r>
    <n v="18"/>
    <x v="9"/>
  </r>
  <r>
    <m/>
    <x v="4"/>
  </r>
  <r>
    <n v="18"/>
    <x v="10"/>
  </r>
  <r>
    <n v="18"/>
    <x v="11"/>
  </r>
  <r>
    <m/>
    <x v="4"/>
  </r>
  <r>
    <n v="18"/>
    <x v="12"/>
  </r>
  <r>
    <m/>
    <x v="4"/>
  </r>
  <r>
    <m/>
    <x v="4"/>
  </r>
  <r>
    <n v="18"/>
    <x v="13"/>
  </r>
  <r>
    <m/>
    <x v="4"/>
  </r>
  <r>
    <m/>
    <x v="4"/>
  </r>
  <r>
    <n v="18"/>
    <x v="14"/>
  </r>
  <r>
    <n v="21"/>
    <x v="15"/>
  </r>
  <r>
    <n v="21"/>
    <x v="16"/>
  </r>
  <r>
    <n v="21"/>
    <x v="2"/>
  </r>
  <r>
    <n v="42"/>
    <x v="17"/>
  </r>
  <r>
    <n v="21"/>
    <x v="18"/>
  </r>
  <r>
    <n v="21"/>
    <x v="19"/>
  </r>
  <r>
    <m/>
    <x v="4"/>
  </r>
  <r>
    <n v="33"/>
    <x v="20"/>
  </r>
  <r>
    <m/>
    <x v="4"/>
  </r>
  <r>
    <n v="6"/>
    <x v="21"/>
  </r>
  <r>
    <m/>
    <x v="4"/>
  </r>
  <r>
    <n v="6"/>
    <x v="22"/>
  </r>
  <r>
    <m/>
    <x v="4"/>
  </r>
  <r>
    <n v="6"/>
    <x v="23"/>
  </r>
  <r>
    <m/>
    <x v="4"/>
  </r>
  <r>
    <m/>
    <x v="4"/>
  </r>
  <r>
    <n v="18"/>
    <x v="12"/>
  </r>
  <r>
    <m/>
    <x v="4"/>
  </r>
  <r>
    <m/>
    <x v="4"/>
  </r>
  <r>
    <n v="6"/>
    <x v="24"/>
  </r>
  <r>
    <m/>
    <x v="4"/>
  </r>
  <r>
    <m/>
    <x v="4"/>
  </r>
  <r>
    <n v="48"/>
    <x v="19"/>
  </r>
  <r>
    <m/>
    <x v="4"/>
  </r>
  <r>
    <n v="24"/>
    <x v="20"/>
  </r>
  <r>
    <m/>
    <x v="4"/>
  </r>
  <r>
    <n v="24"/>
    <x v="25"/>
  </r>
  <r>
    <m/>
    <x v="4"/>
  </r>
  <r>
    <n v="24"/>
    <x v="3"/>
  </r>
  <r>
    <m/>
    <x v="4"/>
  </r>
  <r>
    <n v="24"/>
    <x v="17"/>
  </r>
  <r>
    <n v="24"/>
    <x v="26"/>
  </r>
  <r>
    <m/>
    <x v="4"/>
  </r>
  <r>
    <n v="6"/>
    <x v="21"/>
  </r>
  <r>
    <m/>
    <x v="4"/>
  </r>
  <r>
    <n v="30"/>
    <x v="27"/>
  </r>
  <r>
    <n v="6"/>
    <x v="10"/>
  </r>
  <r>
    <n v="30"/>
    <x v="28"/>
  </r>
  <r>
    <n v="24"/>
    <x v="20"/>
  </r>
  <r>
    <m/>
    <x v="4"/>
  </r>
  <r>
    <n v="24"/>
    <x v="3"/>
  </r>
  <r>
    <m/>
    <x v="4"/>
  </r>
  <r>
    <n v="54"/>
    <x v="19"/>
  </r>
  <r>
    <m/>
    <x v="4"/>
  </r>
  <r>
    <n v="24"/>
    <x v="25"/>
  </r>
  <r>
    <m/>
    <x v="4"/>
  </r>
  <r>
    <n v="6"/>
    <x v="21"/>
  </r>
  <r>
    <m/>
    <x v="4"/>
  </r>
  <r>
    <n v="30"/>
    <x v="17"/>
  </r>
  <r>
    <n v="30"/>
    <x v="26"/>
  </r>
  <r>
    <m/>
    <x v="4"/>
  </r>
  <r>
    <n v="30"/>
    <x v="27"/>
  </r>
  <r>
    <n v="12"/>
    <x v="10"/>
  </r>
  <r>
    <n v="30"/>
    <x v="28"/>
  </r>
  <r>
    <m/>
    <x v="4"/>
  </r>
  <r>
    <m/>
    <x v="4"/>
  </r>
  <r>
    <n v="18"/>
    <x v="29"/>
  </r>
  <r>
    <n v="18"/>
    <x v="5"/>
  </r>
  <r>
    <n v="18"/>
    <x v="2"/>
  </r>
  <r>
    <n v="9"/>
    <x v="30"/>
  </r>
  <r>
    <m/>
    <x v="4"/>
  </r>
  <r>
    <m/>
    <x v="4"/>
  </r>
  <r>
    <n v="9"/>
    <x v="31"/>
  </r>
  <r>
    <n v="18"/>
    <x v="17"/>
  </r>
  <r>
    <n v="18"/>
    <x v="7"/>
  </r>
  <r>
    <n v="18"/>
    <x v="8"/>
  </r>
  <r>
    <n v="18"/>
    <x v="14"/>
  </r>
  <r>
    <n v="18"/>
    <x v="27"/>
  </r>
  <r>
    <n v="18"/>
    <x v="3"/>
  </r>
  <r>
    <m/>
    <x v="4"/>
  </r>
  <r>
    <n v="21"/>
    <x v="32"/>
  </r>
  <r>
    <m/>
    <x v="4"/>
  </r>
  <r>
    <m/>
    <x v="4"/>
  </r>
  <r>
    <n v="18"/>
    <x v="13"/>
  </r>
  <r>
    <m/>
    <x v="4"/>
  </r>
  <r>
    <m/>
    <x v="4"/>
  </r>
  <r>
    <n v="12"/>
    <x v="33"/>
  </r>
  <r>
    <m/>
    <x v="4"/>
  </r>
  <r>
    <n v="21"/>
    <x v="16"/>
  </r>
  <r>
    <n v="21"/>
    <x v="2"/>
  </r>
  <r>
    <n v="21"/>
    <x v="17"/>
  </r>
  <r>
    <n v="21"/>
    <x v="19"/>
  </r>
  <r>
    <m/>
    <x v="4"/>
  </r>
  <r>
    <n v="21"/>
    <x v="20"/>
  </r>
  <r>
    <m/>
    <x v="4"/>
  </r>
  <r>
    <n v="12"/>
    <x v="21"/>
  </r>
  <r>
    <m/>
    <x v="4"/>
  </r>
  <r>
    <n v="21"/>
    <x v="9"/>
  </r>
  <r>
    <m/>
    <x v="4"/>
  </r>
  <r>
    <n v="12"/>
    <x v="21"/>
  </r>
  <r>
    <m/>
    <x v="4"/>
  </r>
  <r>
    <n v="9"/>
    <x v="30"/>
  </r>
  <r>
    <m/>
    <x v="4"/>
  </r>
  <r>
    <m/>
    <x v="4"/>
  </r>
  <r>
    <n v="21"/>
    <x v="20"/>
  </r>
  <r>
    <m/>
    <x v="4"/>
  </r>
  <r>
    <n v="21"/>
    <x v="8"/>
  </r>
  <r>
    <n v="30"/>
    <x v="21"/>
  </r>
  <r>
    <m/>
    <x v="4"/>
  </r>
  <r>
    <n v="30"/>
    <x v="20"/>
  </r>
  <r>
    <m/>
    <x v="4"/>
  </r>
  <r>
    <n v="30"/>
    <x v="25"/>
  </r>
  <r>
    <m/>
    <x v="4"/>
  </r>
  <r>
    <n v="9"/>
    <x v="30"/>
  </r>
  <r>
    <m/>
    <x v="4"/>
  </r>
  <r>
    <m/>
    <x v="4"/>
  </r>
  <r>
    <n v="30"/>
    <x v="20"/>
  </r>
  <r>
    <m/>
    <x v="4"/>
  </r>
  <r>
    <n v="30"/>
    <x v="26"/>
  </r>
  <r>
    <m/>
    <x v="4"/>
  </r>
  <r>
    <n v="12"/>
    <x v="21"/>
  </r>
  <r>
    <m/>
    <x v="4"/>
  </r>
  <r>
    <n v="9"/>
    <x v="34"/>
  </r>
  <r>
    <m/>
    <x v="4"/>
  </r>
  <r>
    <n v="30"/>
    <x v="27"/>
  </r>
  <r>
    <n v="30"/>
    <x v="28"/>
  </r>
  <r>
    <n v="24"/>
    <x v="20"/>
  </r>
  <r>
    <m/>
    <x v="4"/>
  </r>
  <r>
    <n v="9"/>
    <x v="30"/>
  </r>
  <r>
    <m/>
    <x v="4"/>
  </r>
  <r>
    <m/>
    <x v="4"/>
  </r>
  <r>
    <n v="24"/>
    <x v="20"/>
  </r>
  <r>
    <m/>
    <x v="4"/>
  </r>
  <r>
    <n v="24"/>
    <x v="25"/>
  </r>
  <r>
    <m/>
    <x v="4"/>
  </r>
  <r>
    <n v="30"/>
    <x v="19"/>
  </r>
  <r>
    <m/>
    <x v="4"/>
  </r>
  <r>
    <n v="9"/>
    <x v="21"/>
  </r>
  <r>
    <m/>
    <x v="4"/>
  </r>
  <r>
    <n v="30"/>
    <x v="26"/>
  </r>
  <r>
    <m/>
    <x v="4"/>
  </r>
  <r>
    <n v="30"/>
    <x v="3"/>
  </r>
  <r>
    <m/>
    <x v="4"/>
  </r>
  <r>
    <n v="9"/>
    <x v="34"/>
  </r>
  <r>
    <m/>
    <x v="4"/>
  </r>
  <r>
    <n v="30"/>
    <x v="27"/>
  </r>
  <r>
    <n v="30"/>
    <x v="3"/>
  </r>
  <r>
    <m/>
    <x v="4"/>
  </r>
  <r>
    <n v="30"/>
    <x v="28"/>
  </r>
  <r>
    <m/>
    <x v="4"/>
  </r>
  <r>
    <n v="24"/>
    <x v="35"/>
  </r>
  <r>
    <n v="24"/>
    <x v="5"/>
  </r>
  <r>
    <n v="24"/>
    <x v="36"/>
  </r>
  <r>
    <m/>
    <x v="4"/>
  </r>
  <r>
    <n v="9"/>
    <x v="30"/>
  </r>
  <r>
    <m/>
    <x v="4"/>
  </r>
  <r>
    <m/>
    <x v="4"/>
  </r>
  <r>
    <n v="24"/>
    <x v="34"/>
  </r>
  <r>
    <m/>
    <x v="4"/>
  </r>
  <r>
    <n v="24"/>
    <x v="17"/>
  </r>
  <r>
    <n v="24"/>
    <x v="19"/>
  </r>
  <r>
    <m/>
    <x v="4"/>
  </r>
  <r>
    <n v="24"/>
    <x v="37"/>
  </r>
  <r>
    <m/>
    <x v="4"/>
  </r>
  <r>
    <n v="24"/>
    <x v="8"/>
  </r>
  <r>
    <n v="24"/>
    <x v="9"/>
  </r>
  <r>
    <m/>
    <x v="4"/>
  </r>
  <r>
    <n v="24"/>
    <x v="3"/>
  </r>
  <r>
    <m/>
    <x v="4"/>
  </r>
  <r>
    <n v="24"/>
    <x v="38"/>
  </r>
  <r>
    <m/>
    <x v="4"/>
  </r>
  <r>
    <n v="9"/>
    <x v="39"/>
  </r>
  <r>
    <m/>
    <x v="4"/>
  </r>
  <r>
    <n v="18"/>
    <x v="13"/>
  </r>
  <r>
    <m/>
    <x v="4"/>
  </r>
  <r>
    <m/>
    <x v="4"/>
  </r>
  <r>
    <n v="9"/>
    <x v="40"/>
  </r>
  <r>
    <m/>
    <x v="4"/>
  </r>
  <r>
    <n v="12"/>
    <x v="33"/>
  </r>
  <r>
    <m/>
    <x v="4"/>
  </r>
  <r>
    <n v="9"/>
    <x v="30"/>
  </r>
  <r>
    <m/>
    <x v="4"/>
  </r>
  <r>
    <m/>
    <x v="4"/>
  </r>
  <r>
    <n v="21"/>
    <x v="36"/>
  </r>
  <r>
    <m/>
    <x v="4"/>
  </r>
  <r>
    <n v="21"/>
    <x v="20"/>
  </r>
  <r>
    <m/>
    <x v="4"/>
  </r>
  <r>
    <n v="21"/>
    <x v="19"/>
  </r>
  <r>
    <m/>
    <x v="4"/>
  </r>
  <r>
    <n v="21"/>
    <x v="20"/>
  </r>
  <r>
    <m/>
    <x v="4"/>
  </r>
  <r>
    <n v="21"/>
    <x v="3"/>
  </r>
  <r>
    <m/>
    <x v="4"/>
  </r>
  <r>
    <n v="21"/>
    <x v="41"/>
  </r>
  <r>
    <n v="18"/>
    <x v="21"/>
  </r>
  <r>
    <m/>
    <x v="4"/>
  </r>
  <r>
    <n v="18"/>
    <x v="27"/>
  </r>
  <r>
    <n v="18"/>
    <x v="42"/>
  </r>
  <r>
    <m/>
    <x v="4"/>
  </r>
  <r>
    <n v="9"/>
    <x v="39"/>
  </r>
  <r>
    <m/>
    <x v="4"/>
  </r>
  <r>
    <n v="30"/>
    <x v="19"/>
  </r>
  <r>
    <m/>
    <x v="4"/>
  </r>
  <r>
    <n v="30"/>
    <x v="9"/>
  </r>
  <r>
    <m/>
    <x v="4"/>
  </r>
  <r>
    <n v="30"/>
    <x v="25"/>
  </r>
  <r>
    <m/>
    <x v="4"/>
  </r>
  <r>
    <n v="9"/>
    <x v="30"/>
  </r>
  <r>
    <m/>
    <x v="4"/>
  </r>
  <r>
    <m/>
    <x v="4"/>
  </r>
  <r>
    <n v="30"/>
    <x v="20"/>
  </r>
  <r>
    <m/>
    <x v="4"/>
  </r>
  <r>
    <n v="18"/>
    <x v="43"/>
  </r>
  <r>
    <m/>
    <x v="4"/>
  </r>
  <r>
    <m/>
    <x v="4"/>
  </r>
  <r>
    <n v="30"/>
    <x v="26"/>
  </r>
  <r>
    <m/>
    <x v="4"/>
  </r>
  <r>
    <n v="9"/>
    <x v="21"/>
  </r>
  <r>
    <m/>
    <x v="4"/>
  </r>
  <r>
    <n v="30"/>
    <x v="27"/>
  </r>
  <r>
    <n v="9"/>
    <x v="10"/>
  </r>
  <r>
    <n v="30"/>
    <x v="44"/>
  </r>
  <r>
    <n v="18"/>
    <x v="32"/>
  </r>
  <r>
    <m/>
    <x v="4"/>
  </r>
  <r>
    <m/>
    <x v="4"/>
  </r>
  <r>
    <n v="30"/>
    <x v="45"/>
  </r>
  <r>
    <m/>
    <x v="4"/>
  </r>
  <r>
    <m/>
    <x v="4"/>
  </r>
  <r>
    <n v="24"/>
    <x v="20"/>
  </r>
  <r>
    <m/>
    <x v="4"/>
  </r>
  <r>
    <n v="24"/>
    <x v="3"/>
  </r>
  <r>
    <m/>
    <x v="4"/>
  </r>
  <r>
    <n v="24"/>
    <x v="19"/>
  </r>
  <r>
    <m/>
    <x v="4"/>
  </r>
  <r>
    <n v="9"/>
    <x v="30"/>
  </r>
  <r>
    <m/>
    <x v="4"/>
  </r>
  <r>
    <m/>
    <x v="4"/>
  </r>
  <r>
    <n v="30"/>
    <x v="27"/>
  </r>
  <r>
    <n v="18"/>
    <x v="43"/>
  </r>
  <r>
    <m/>
    <x v="4"/>
  </r>
  <r>
    <m/>
    <x v="4"/>
  </r>
  <r>
    <n v="30"/>
    <x v="25"/>
  </r>
  <r>
    <m/>
    <x v="4"/>
  </r>
  <r>
    <n v="9"/>
    <x v="21"/>
  </r>
  <r>
    <m/>
    <x v="4"/>
  </r>
  <r>
    <n v="30"/>
    <x v="27"/>
  </r>
  <r>
    <n v="18"/>
    <x v="46"/>
  </r>
  <r>
    <m/>
    <x v="4"/>
  </r>
  <r>
    <m/>
    <x v="4"/>
  </r>
  <r>
    <n v="18"/>
    <x v="10"/>
  </r>
  <r>
    <n v="30"/>
    <x v="44"/>
  </r>
  <r>
    <n v="30"/>
    <x v="45"/>
  </r>
  <r>
    <m/>
    <x v="4"/>
  </r>
  <r>
    <m/>
    <x v="4"/>
  </r>
  <r>
    <m/>
    <x v="4"/>
  </r>
  <r>
    <m/>
    <x v="4"/>
  </r>
  <r>
    <m/>
    <x v="4"/>
  </r>
  <r>
    <n v="18"/>
    <x v="29"/>
  </r>
  <r>
    <n v="18"/>
    <x v="5"/>
  </r>
  <r>
    <n v="18"/>
    <x v="2"/>
  </r>
  <r>
    <n v="18"/>
    <x v="3"/>
  </r>
  <r>
    <m/>
    <x v="4"/>
  </r>
  <r>
    <n v="9"/>
    <x v="31"/>
  </r>
  <r>
    <n v="18"/>
    <x v="17"/>
  </r>
  <r>
    <n v="18"/>
    <x v="7"/>
  </r>
  <r>
    <n v="18"/>
    <x v="8"/>
  </r>
  <r>
    <n v="18"/>
    <x v="14"/>
  </r>
  <r>
    <n v="18"/>
    <x v="27"/>
  </r>
  <r>
    <n v="18"/>
    <x v="3"/>
  </r>
  <r>
    <m/>
    <x v="4"/>
  </r>
  <r>
    <n v="21"/>
    <x v="32"/>
  </r>
  <r>
    <m/>
    <x v="4"/>
  </r>
  <r>
    <m/>
    <x v="4"/>
  </r>
  <r>
    <n v="18"/>
    <x v="13"/>
  </r>
  <r>
    <m/>
    <x v="4"/>
  </r>
  <r>
    <m/>
    <x v="4"/>
  </r>
  <r>
    <n v="24"/>
    <x v="20"/>
  </r>
  <r>
    <m/>
    <x v="4"/>
  </r>
  <r>
    <n v="18"/>
    <x v="3"/>
  </r>
  <r>
    <m/>
    <x v="4"/>
  </r>
  <r>
    <n v="24"/>
    <x v="19"/>
  </r>
  <r>
    <m/>
    <x v="4"/>
  </r>
  <r>
    <n v="24"/>
    <x v="25"/>
  </r>
  <r>
    <m/>
    <x v="4"/>
  </r>
  <r>
    <n v="30"/>
    <x v="19"/>
  </r>
  <r>
    <m/>
    <x v="4"/>
  </r>
  <r>
    <n v="9"/>
    <x v="21"/>
  </r>
  <r>
    <m/>
    <x v="4"/>
  </r>
  <r>
    <n v="30"/>
    <x v="26"/>
  </r>
  <r>
    <m/>
    <x v="4"/>
  </r>
  <r>
    <n v="30"/>
    <x v="3"/>
  </r>
  <r>
    <m/>
    <x v="4"/>
  </r>
  <r>
    <n v="9"/>
    <x v="34"/>
  </r>
  <r>
    <m/>
    <x v="4"/>
  </r>
  <r>
    <n v="30"/>
    <x v="27"/>
  </r>
  <r>
    <n v="30"/>
    <x v="3"/>
  </r>
  <r>
    <m/>
    <x v="4"/>
  </r>
  <r>
    <n v="30"/>
    <x v="28"/>
  </r>
  <r>
    <n v="30"/>
    <x v="19"/>
  </r>
  <r>
    <m/>
    <x v="4"/>
  </r>
  <r>
    <n v="30"/>
    <x v="20"/>
  </r>
  <r>
    <m/>
    <x v="4"/>
  </r>
  <r>
    <n v="30"/>
    <x v="25"/>
  </r>
  <r>
    <m/>
    <x v="4"/>
  </r>
  <r>
    <n v="18"/>
    <x v="3"/>
  </r>
  <r>
    <m/>
    <x v="4"/>
  </r>
  <r>
    <n v="30"/>
    <x v="20"/>
  </r>
  <r>
    <m/>
    <x v="4"/>
  </r>
  <r>
    <n v="30"/>
    <x v="26"/>
  </r>
  <r>
    <m/>
    <x v="4"/>
  </r>
  <r>
    <n v="12"/>
    <x v="21"/>
  </r>
  <r>
    <m/>
    <x v="4"/>
  </r>
  <r>
    <n v="9"/>
    <x v="34"/>
  </r>
  <r>
    <m/>
    <x v="4"/>
  </r>
  <r>
    <n v="30"/>
    <x v="27"/>
  </r>
  <r>
    <n v="30"/>
    <x v="28"/>
  </r>
  <r>
    <n v="12"/>
    <x v="33"/>
  </r>
  <r>
    <m/>
    <x v="4"/>
  </r>
  <r>
    <n v="21"/>
    <x v="16"/>
  </r>
  <r>
    <n v="21"/>
    <x v="2"/>
  </r>
  <r>
    <n v="21"/>
    <x v="17"/>
  </r>
  <r>
    <n v="21"/>
    <x v="19"/>
  </r>
  <r>
    <m/>
    <x v="4"/>
  </r>
  <r>
    <n v="21"/>
    <x v="20"/>
  </r>
  <r>
    <m/>
    <x v="4"/>
  </r>
  <r>
    <n v="12"/>
    <x v="21"/>
  </r>
  <r>
    <m/>
    <x v="4"/>
  </r>
  <r>
    <n v="21"/>
    <x v="9"/>
  </r>
  <r>
    <m/>
    <x v="4"/>
  </r>
  <r>
    <n v="12"/>
    <x v="21"/>
  </r>
  <r>
    <m/>
    <x v="4"/>
  </r>
  <r>
    <n v="18"/>
    <x v="3"/>
  </r>
  <r>
    <m/>
    <x v="4"/>
  </r>
  <r>
    <n v="21"/>
    <x v="20"/>
  </r>
  <r>
    <m/>
    <x v="4"/>
  </r>
  <r>
    <n v="21"/>
    <x v="8"/>
  </r>
  <r>
    <n v="24"/>
    <x v="35"/>
  </r>
  <r>
    <n v="24"/>
    <x v="5"/>
  </r>
  <r>
    <n v="24"/>
    <x v="36"/>
  </r>
  <r>
    <m/>
    <x v="4"/>
  </r>
  <r>
    <n v="9"/>
    <x v="30"/>
  </r>
  <r>
    <m/>
    <x v="4"/>
  </r>
  <r>
    <m/>
    <x v="4"/>
  </r>
  <r>
    <n v="24"/>
    <x v="34"/>
  </r>
  <r>
    <m/>
    <x v="4"/>
  </r>
  <r>
    <n v="24"/>
    <x v="17"/>
  </r>
  <r>
    <n v="24"/>
    <x v="37"/>
  </r>
  <r>
    <m/>
    <x v="4"/>
  </r>
  <r>
    <n v="24"/>
    <x v="8"/>
  </r>
  <r>
    <n v="24"/>
    <x v="9"/>
  </r>
  <r>
    <m/>
    <x v="4"/>
  </r>
  <r>
    <n v="24"/>
    <x v="3"/>
  </r>
  <r>
    <m/>
    <x v="4"/>
  </r>
  <r>
    <n v="24"/>
    <x v="38"/>
  </r>
  <r>
    <m/>
    <x v="4"/>
  </r>
  <r>
    <n v="9"/>
    <x v="39"/>
  </r>
  <r>
    <m/>
    <x v="4"/>
  </r>
  <r>
    <n v="18"/>
    <x v="13"/>
  </r>
  <r>
    <m/>
    <x v="4"/>
  </r>
  <r>
    <m/>
    <x v="4"/>
  </r>
  <r>
    <n v="9"/>
    <x v="40"/>
  </r>
  <r>
    <m/>
    <x v="4"/>
  </r>
  <r>
    <n v="24"/>
    <x v="20"/>
  </r>
  <r>
    <m/>
    <x v="4"/>
  </r>
  <r>
    <n v="24"/>
    <x v="3"/>
  </r>
  <r>
    <m/>
    <x v="4"/>
  </r>
  <r>
    <n v="24"/>
    <x v="19"/>
  </r>
  <r>
    <m/>
    <x v="4"/>
  </r>
  <r>
    <n v="9"/>
    <x v="30"/>
  </r>
  <r>
    <m/>
    <x v="4"/>
  </r>
  <r>
    <m/>
    <x v="4"/>
  </r>
  <r>
    <n v="30"/>
    <x v="27"/>
  </r>
  <r>
    <n v="18"/>
    <x v="43"/>
  </r>
  <r>
    <m/>
    <x v="4"/>
  </r>
  <r>
    <m/>
    <x v="4"/>
  </r>
  <r>
    <n v="30"/>
    <x v="25"/>
  </r>
  <r>
    <m/>
    <x v="4"/>
  </r>
  <r>
    <n v="9"/>
    <x v="21"/>
  </r>
  <r>
    <m/>
    <x v="4"/>
  </r>
  <r>
    <n v="30"/>
    <x v="27"/>
  </r>
  <r>
    <n v="18"/>
    <x v="46"/>
  </r>
  <r>
    <m/>
    <x v="4"/>
  </r>
  <r>
    <m/>
    <x v="4"/>
  </r>
  <r>
    <n v="18"/>
    <x v="10"/>
  </r>
  <r>
    <n v="30"/>
    <x v="44"/>
  </r>
  <r>
    <n v="30"/>
    <x v="45"/>
  </r>
  <r>
    <m/>
    <x v="4"/>
  </r>
  <r>
    <m/>
    <x v="4"/>
  </r>
  <r>
    <n v="30"/>
    <x v="19"/>
  </r>
  <r>
    <m/>
    <x v="4"/>
  </r>
  <r>
    <n v="30"/>
    <x v="9"/>
  </r>
  <r>
    <m/>
    <x v="4"/>
  </r>
  <r>
    <n v="30"/>
    <x v="25"/>
  </r>
  <r>
    <m/>
    <x v="4"/>
  </r>
  <r>
    <n v="9"/>
    <x v="30"/>
  </r>
  <r>
    <m/>
    <x v="4"/>
  </r>
  <r>
    <m/>
    <x v="4"/>
  </r>
  <r>
    <n v="30"/>
    <x v="20"/>
  </r>
  <r>
    <m/>
    <x v="4"/>
  </r>
  <r>
    <n v="18"/>
    <x v="43"/>
  </r>
  <r>
    <m/>
    <x v="4"/>
  </r>
  <r>
    <m/>
    <x v="4"/>
  </r>
  <r>
    <n v="30"/>
    <x v="26"/>
  </r>
  <r>
    <m/>
    <x v="4"/>
  </r>
  <r>
    <n v="9"/>
    <x v="21"/>
  </r>
  <r>
    <m/>
    <x v="4"/>
  </r>
  <r>
    <n v="30"/>
    <x v="27"/>
  </r>
  <r>
    <n v="9"/>
    <x v="10"/>
  </r>
  <r>
    <n v="30"/>
    <x v="44"/>
  </r>
  <r>
    <n v="18"/>
    <x v="32"/>
  </r>
  <r>
    <m/>
    <x v="4"/>
  </r>
  <r>
    <m/>
    <x v="4"/>
  </r>
  <r>
    <n v="30"/>
    <x v="45"/>
  </r>
  <r>
    <m/>
    <x v="4"/>
  </r>
  <r>
    <m/>
    <x v="4"/>
  </r>
  <r>
    <n v="12"/>
    <x v="33"/>
  </r>
  <r>
    <m/>
    <x v="4"/>
  </r>
  <r>
    <n v="9"/>
    <x v="30"/>
  </r>
  <r>
    <m/>
    <x v="4"/>
  </r>
  <r>
    <m/>
    <x v="4"/>
  </r>
  <r>
    <n v="21"/>
    <x v="36"/>
  </r>
  <r>
    <m/>
    <x v="4"/>
  </r>
  <r>
    <n v="21"/>
    <x v="20"/>
  </r>
  <r>
    <m/>
    <x v="4"/>
  </r>
  <r>
    <n v="21"/>
    <x v="19"/>
  </r>
  <r>
    <m/>
    <x v="4"/>
  </r>
  <r>
    <n v="21"/>
    <x v="20"/>
  </r>
  <r>
    <m/>
    <x v="4"/>
  </r>
  <r>
    <n v="21"/>
    <x v="3"/>
  </r>
  <r>
    <m/>
    <x v="4"/>
  </r>
  <r>
    <n v="21"/>
    <x v="41"/>
  </r>
  <r>
    <n v="18"/>
    <x v="21"/>
  </r>
  <r>
    <m/>
    <x v="4"/>
  </r>
  <r>
    <n v="18"/>
    <x v="27"/>
  </r>
  <r>
    <n v="18"/>
    <x v="42"/>
  </r>
  <r>
    <m/>
    <x v="4"/>
  </r>
  <r>
    <n v="9"/>
    <x v="39"/>
  </r>
  <r>
    <m/>
    <x v="4"/>
  </r>
  <r>
    <m/>
    <x v="4"/>
  </r>
  <r>
    <n v="24"/>
    <x v="29"/>
  </r>
  <r>
    <n v="24"/>
    <x v="5"/>
  </r>
  <r>
    <n v="24"/>
    <x v="2"/>
  </r>
  <r>
    <n v="9"/>
    <x v="30"/>
  </r>
  <r>
    <m/>
    <x v="4"/>
  </r>
  <r>
    <m/>
    <x v="4"/>
  </r>
  <r>
    <n v="12"/>
    <x v="47"/>
  </r>
  <r>
    <m/>
    <x v="4"/>
  </r>
  <r>
    <m/>
    <x v="4"/>
  </r>
  <r>
    <n v="24"/>
    <x v="9"/>
  </r>
  <r>
    <m/>
    <x v="4"/>
  </r>
  <r>
    <n v="24"/>
    <x v="25"/>
  </r>
  <r>
    <m/>
    <x v="4"/>
  </r>
  <r>
    <n v="24"/>
    <x v="32"/>
  </r>
  <r>
    <m/>
    <x v="4"/>
  </r>
  <r>
    <m/>
    <x v="4"/>
  </r>
  <r>
    <n v="12"/>
    <x v="40"/>
  </r>
  <r>
    <m/>
    <x v="4"/>
  </r>
  <r>
    <n v="30"/>
    <x v="9"/>
  </r>
  <r>
    <m/>
    <x v="4"/>
  </r>
  <r>
    <n v="18"/>
    <x v="43"/>
  </r>
  <r>
    <m/>
    <x v="4"/>
  </r>
  <r>
    <m/>
    <x v="4"/>
  </r>
  <r>
    <n v="9"/>
    <x v="48"/>
  </r>
  <r>
    <m/>
    <x v="4"/>
  </r>
  <r>
    <n v="18"/>
    <x v="13"/>
  </r>
  <r>
    <m/>
    <x v="4"/>
  </r>
  <r>
    <m/>
    <x v="4"/>
  </r>
  <r>
    <n v="12"/>
    <x v="34"/>
  </r>
  <r>
    <m/>
    <x v="4"/>
  </r>
  <r>
    <n v="30"/>
    <x v="36"/>
  </r>
  <r>
    <m/>
    <x v="4"/>
  </r>
  <r>
    <n v="30"/>
    <x v="16"/>
  </r>
  <r>
    <n v="30"/>
    <x v="27"/>
  </r>
  <r>
    <n v="30"/>
    <x v="19"/>
  </r>
  <r>
    <m/>
    <x v="4"/>
  </r>
  <r>
    <n v="30"/>
    <x v="20"/>
  </r>
  <r>
    <m/>
    <x v="4"/>
  </r>
  <r>
    <n v="30"/>
    <x v="9"/>
  </r>
  <r>
    <m/>
    <x v="4"/>
  </r>
  <r>
    <n v="30"/>
    <x v="21"/>
  </r>
  <r>
    <m/>
    <x v="4"/>
  </r>
  <r>
    <n v="9"/>
    <x v="30"/>
  </r>
  <r>
    <m/>
    <x v="4"/>
  </r>
  <r>
    <m/>
    <x v="4"/>
  </r>
  <r>
    <n v="12"/>
    <x v="43"/>
  </r>
  <r>
    <m/>
    <x v="4"/>
  </r>
  <r>
    <m/>
    <x v="4"/>
  </r>
  <r>
    <n v="12"/>
    <x v="41"/>
  </r>
  <r>
    <n v="9"/>
    <x v="48"/>
  </r>
  <r>
    <m/>
    <x v="4"/>
  </r>
  <r>
    <n v="30"/>
    <x v="20"/>
  </r>
  <r>
    <m/>
    <x v="4"/>
  </r>
  <r>
    <n v="30"/>
    <x v="19"/>
  </r>
  <r>
    <m/>
    <x v="4"/>
  </r>
  <r>
    <n v="30"/>
    <x v="25"/>
  </r>
  <r>
    <m/>
    <x v="4"/>
  </r>
  <r>
    <n v="9"/>
    <x v="30"/>
  </r>
  <r>
    <m/>
    <x v="4"/>
  </r>
  <r>
    <m/>
    <x v="4"/>
  </r>
  <r>
    <n v="30"/>
    <x v="20"/>
  </r>
  <r>
    <m/>
    <x v="4"/>
  </r>
  <r>
    <n v="18"/>
    <x v="43"/>
  </r>
  <r>
    <m/>
    <x v="4"/>
  </r>
  <r>
    <m/>
    <x v="4"/>
  </r>
  <r>
    <n v="30"/>
    <x v="25"/>
  </r>
  <r>
    <m/>
    <x v="4"/>
  </r>
  <r>
    <n v="12"/>
    <x v="21"/>
  </r>
  <r>
    <m/>
    <x v="4"/>
  </r>
  <r>
    <n v="12"/>
    <x v="47"/>
  </r>
  <r>
    <m/>
    <x v="4"/>
  </r>
  <r>
    <m/>
    <x v="4"/>
  </r>
  <r>
    <n v="30"/>
    <x v="41"/>
  </r>
  <r>
    <n v="9"/>
    <x v="48"/>
  </r>
  <r>
    <m/>
    <x v="4"/>
  </r>
  <r>
    <n v="12"/>
    <x v="32"/>
  </r>
  <r>
    <m/>
    <x v="4"/>
  </r>
  <r>
    <m/>
    <x v="4"/>
  </r>
  <r>
    <n v="30"/>
    <x v="20"/>
  </r>
  <r>
    <m/>
    <x v="4"/>
  </r>
  <r>
    <n v="30"/>
    <x v="19"/>
  </r>
  <r>
    <m/>
    <x v="4"/>
  </r>
  <r>
    <n v="30"/>
    <x v="25"/>
  </r>
  <r>
    <m/>
    <x v="4"/>
  </r>
  <r>
    <n v="9"/>
    <x v="30"/>
  </r>
  <r>
    <m/>
    <x v="4"/>
  </r>
  <r>
    <m/>
    <x v="4"/>
  </r>
  <r>
    <n v="30"/>
    <x v="20"/>
  </r>
  <r>
    <m/>
    <x v="4"/>
  </r>
  <r>
    <n v="18"/>
    <x v="43"/>
  </r>
  <r>
    <m/>
    <x v="4"/>
  </r>
  <r>
    <m/>
    <x v="4"/>
  </r>
  <r>
    <n v="30"/>
    <x v="25"/>
  </r>
  <r>
    <m/>
    <x v="4"/>
  </r>
  <r>
    <n v="12"/>
    <x v="21"/>
  </r>
  <r>
    <m/>
    <x v="4"/>
  </r>
  <r>
    <n v="12"/>
    <x v="47"/>
  </r>
  <r>
    <m/>
    <x v="4"/>
  </r>
  <r>
    <m/>
    <x v="4"/>
  </r>
  <r>
    <n v="18"/>
    <x v="9"/>
  </r>
  <r>
    <m/>
    <x v="4"/>
  </r>
  <r>
    <n v="18"/>
    <x v="21"/>
  </r>
  <r>
    <m/>
    <x v="4"/>
  </r>
  <r>
    <n v="9"/>
    <x v="48"/>
  </r>
  <r>
    <m/>
    <x v="4"/>
  </r>
  <r>
    <n v="12"/>
    <x v="32"/>
  </r>
  <r>
    <m/>
    <x v="4"/>
  </r>
  <r>
    <m/>
    <x v="4"/>
  </r>
  <r>
    <m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1000000}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I2:AJ22" firstHeaderRow="1" firstDataRow="1" firstDataCol="1"/>
  <pivotFields count="2">
    <pivotField dataField="1" showAll="0"/>
    <pivotField axis="axisRow" showAll="0">
      <items count="20">
        <item x="8"/>
        <item x="11"/>
        <item x="18"/>
        <item x="7"/>
        <item x="6"/>
        <item x="12"/>
        <item x="9"/>
        <item x="10"/>
        <item x="2"/>
        <item x="4"/>
        <item x="1"/>
        <item x="3"/>
        <item x="17"/>
        <item x="14"/>
        <item x="16"/>
        <item x="15"/>
        <item x="5"/>
        <item x="13"/>
        <item x="0"/>
        <item t="default"/>
      </items>
    </pivotField>
  </pivotFields>
  <rowFields count="1">
    <field x="1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rowItems>
  <colItems count="1">
    <i/>
  </colItems>
  <dataFields count="1">
    <dataField name="Somme de Q+1" fld="0" baseField="1" baseItem="0"/>
  </dataFields>
  <formats count="1">
    <format dxfId="0">
      <pivotArea collapsedLevelsAreSubtotals="1" fieldPosition="0">
        <references count="1">
          <reference field="1" count="2">
            <x v="16"/>
            <x v="17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2000000}" name="Tableau croisé dynamique3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T2:AU52" firstHeaderRow="1" firstDataRow="1" firstDataCol="1"/>
  <pivotFields count="2">
    <pivotField dataField="1" showAll="0"/>
    <pivotField axis="axisRow" showAll="0">
      <items count="50">
        <item x="30"/>
        <item x="39"/>
        <item x="12"/>
        <item x="48"/>
        <item x="36"/>
        <item x="2"/>
        <item x="11"/>
        <item x="22"/>
        <item x="42"/>
        <item x="23"/>
        <item x="38"/>
        <item x="24"/>
        <item x="14"/>
        <item x="40"/>
        <item x="19"/>
        <item x="28"/>
        <item x="3"/>
        <item x="18"/>
        <item x="44"/>
        <item x="43"/>
        <item x="21"/>
        <item x="46"/>
        <item x="8"/>
        <item x="32"/>
        <item x="1"/>
        <item x="31"/>
        <item x="47"/>
        <item x="35"/>
        <item x="34"/>
        <item x="29"/>
        <item x="15"/>
        <item x="5"/>
        <item x="33"/>
        <item x="0"/>
        <item x="26"/>
        <item x="25"/>
        <item x="16"/>
        <item x="37"/>
        <item x="7"/>
        <item x="10"/>
        <item x="45"/>
        <item x="20"/>
        <item x="6"/>
        <item x="9"/>
        <item x="17"/>
        <item x="27"/>
        <item x="41"/>
        <item x="13"/>
        <item x="4"/>
        <item t="default"/>
      </items>
    </pivotField>
  </pivotFields>
  <rowFields count="1">
    <field x="1"/>
  </rowFields>
  <rowItems count="5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 t="grand">
      <x/>
    </i>
  </rowItems>
  <colItems count="1">
    <i/>
  </colItems>
  <dataFields count="1">
    <dataField name="Somme de Q +2" fld="0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Z2:AA59" firstHeaderRow="1" firstDataRow="1" firstDataCol="1"/>
  <pivotFields count="2">
    <pivotField dataField="1" showAll="0"/>
    <pivotField axis="axisRow" showAll="0">
      <items count="57">
        <item x="11"/>
        <item x="24"/>
        <item x="15"/>
        <item x="54"/>
        <item x="19"/>
        <item x="26"/>
        <item x="20"/>
        <item x="17"/>
        <item x="52"/>
        <item x="27"/>
        <item x="21"/>
        <item x="45"/>
        <item x="12"/>
        <item x="13"/>
        <item x="14"/>
        <item x="53"/>
        <item x="29"/>
        <item x="35"/>
        <item x="3"/>
        <item x="5"/>
        <item x="2"/>
        <item x="51"/>
        <item x="7"/>
        <item x="46"/>
        <item x="50"/>
        <item x="9"/>
        <item x="32"/>
        <item x="8"/>
        <item x="6"/>
        <item x="34"/>
        <item x="10"/>
        <item x="22"/>
        <item x="44"/>
        <item x="23"/>
        <item x="40"/>
        <item x="55"/>
        <item x="28"/>
        <item x="1"/>
        <item x="33"/>
        <item x="39"/>
        <item x="31"/>
        <item x="18"/>
        <item x="4"/>
        <item x="0"/>
        <item x="37"/>
        <item x="47"/>
        <item x="49"/>
        <item x="36"/>
        <item x="38"/>
        <item x="48"/>
        <item x="25"/>
        <item x="16"/>
        <item x="41"/>
        <item x="43"/>
        <item x="42"/>
        <item x="30"/>
        <item t="default"/>
      </items>
    </pivotField>
  </pivotFields>
  <rowFields count="1">
    <field x="1"/>
  </rowFields>
  <row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rowItems>
  <colItems count="1">
    <i/>
  </colItems>
  <dataFields count="1">
    <dataField name="Somme de Q" fld="0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BF560"/>
  <sheetViews>
    <sheetView tabSelected="1" topLeftCell="R1" zoomScaleNormal="100" workbookViewId="0">
      <selection activeCell="X2" sqref="X2"/>
    </sheetView>
  </sheetViews>
  <sheetFormatPr baseColWidth="10" defaultColWidth="11.42578125" defaultRowHeight="15" x14ac:dyDescent="0.25"/>
  <cols>
    <col min="1" max="1" width="3.140625" style="8" customWidth="1"/>
    <col min="2" max="2" width="10.140625" style="8" bestFit="1" customWidth="1"/>
    <col min="3" max="3" width="9.42578125" style="8" customWidth="1"/>
    <col min="4" max="4" width="8" style="8" bestFit="1" customWidth="1"/>
    <col min="5" max="5" width="7" style="8" bestFit="1" customWidth="1"/>
    <col min="6" max="6" width="8" style="8" bestFit="1" customWidth="1"/>
    <col min="7" max="8" width="4.5703125" style="8" customWidth="1"/>
    <col min="9" max="9" width="7" style="8" customWidth="1"/>
    <col min="10" max="10" width="6.7109375" style="8" customWidth="1"/>
    <col min="11" max="11" width="10.140625" style="8" customWidth="1"/>
    <col min="12" max="12" width="3" style="8" customWidth="1"/>
    <col min="13" max="13" width="4.85546875" style="8" customWidth="1"/>
    <col min="14" max="14" width="28" style="8" customWidth="1"/>
    <col min="15" max="15" width="2" style="8" customWidth="1"/>
    <col min="16" max="16" width="5" style="8" customWidth="1"/>
    <col min="17" max="17" width="20" style="8" customWidth="1"/>
    <col min="18" max="18" width="2" style="8" customWidth="1"/>
    <col min="19" max="19" width="6" style="8" customWidth="1"/>
    <col min="20" max="20" width="28.28515625" style="8" customWidth="1"/>
    <col min="21" max="22" width="4.42578125" style="8" customWidth="1"/>
    <col min="23" max="24" width="28.28515625" style="8" customWidth="1"/>
    <col min="25" max="25" width="4" style="8" customWidth="1"/>
    <col min="26" max="26" width="28.28515625" style="8" customWidth="1"/>
    <col min="27" max="28" width="12.28515625" style="8" customWidth="1"/>
    <col min="29" max="29" width="28.28515625" style="8" bestFit="1" customWidth="1"/>
    <col min="30" max="34" width="7.140625" style="8" customWidth="1"/>
    <col min="35" max="35" width="21" style="8" customWidth="1"/>
    <col min="36" max="36" width="14.28515625" style="8" customWidth="1"/>
    <col min="37" max="37" width="11.42578125" style="8"/>
    <col min="38" max="38" width="20" style="8" bestFit="1" customWidth="1"/>
    <col min="39" max="39" width="5" style="8" customWidth="1"/>
    <col min="40" max="40" width="11.42578125" style="10"/>
    <col min="41" max="44" width="7.140625" style="8" customWidth="1"/>
    <col min="45" max="45" width="11.42578125" style="8"/>
    <col min="46" max="46" width="28" style="8" customWidth="1"/>
    <col min="47" max="47" width="14.7109375" style="8" customWidth="1"/>
    <col min="48" max="48" width="11.42578125" style="8" customWidth="1"/>
    <col min="49" max="49" width="28" style="8" bestFit="1" customWidth="1"/>
    <col min="50" max="54" width="7.140625" style="8" customWidth="1"/>
    <col min="55" max="55" width="11.42578125" style="10"/>
    <col min="56" max="57" width="7.140625" style="8" customWidth="1"/>
    <col min="58" max="58" width="11.42578125" style="10"/>
    <col min="59" max="60" width="7.140625" style="8" customWidth="1"/>
    <col min="61" max="16384" width="11.42578125" style="8"/>
  </cols>
  <sheetData>
    <row r="1" spans="2:55" ht="15.75" thickBot="1" x14ac:dyDescent="0.3">
      <c r="M1" s="8" t="s">
        <v>129</v>
      </c>
      <c r="N1" s="8" t="s">
        <v>128</v>
      </c>
      <c r="P1" s="8" t="s">
        <v>127</v>
      </c>
      <c r="Q1" s="8" t="s">
        <v>126</v>
      </c>
      <c r="S1" s="8" t="s">
        <v>78</v>
      </c>
      <c r="T1" s="8" t="s">
        <v>125</v>
      </c>
      <c r="AC1" s="8" t="s">
        <v>142</v>
      </c>
      <c r="AD1" s="8" t="s">
        <v>146</v>
      </c>
      <c r="AE1" s="8" t="s">
        <v>144</v>
      </c>
      <c r="AF1" s="8" t="s">
        <v>78</v>
      </c>
      <c r="AK1" s="10"/>
      <c r="AL1" s="8" t="s">
        <v>147</v>
      </c>
      <c r="AM1" s="8" t="s">
        <v>148</v>
      </c>
      <c r="AN1" s="10" t="s">
        <v>151</v>
      </c>
      <c r="AO1" s="8" t="s">
        <v>144</v>
      </c>
      <c r="AP1" s="8" t="s">
        <v>143</v>
      </c>
      <c r="AQ1" s="8" t="s">
        <v>134</v>
      </c>
      <c r="AR1" s="8" t="s">
        <v>145</v>
      </c>
      <c r="AS1" s="10"/>
      <c r="AW1" s="8" t="s">
        <v>149</v>
      </c>
      <c r="AX1" s="8" t="s">
        <v>150</v>
      </c>
      <c r="AZ1" s="8" t="s">
        <v>144</v>
      </c>
      <c r="BA1" s="8" t="s">
        <v>143</v>
      </c>
      <c r="BB1" s="8" t="s">
        <v>134</v>
      </c>
      <c r="BC1" s="10" t="s">
        <v>145</v>
      </c>
    </row>
    <row r="2" spans="2:55" ht="16.5" thickTop="1" thickBot="1" x14ac:dyDescent="0.3">
      <c r="I2" s="170">
        <f>C6</f>
        <v>1</v>
      </c>
      <c r="J2" s="173" t="s">
        <v>32</v>
      </c>
      <c r="K2" s="173" t="s">
        <v>33</v>
      </c>
      <c r="L2" s="91">
        <v>18</v>
      </c>
      <c r="M2" s="92">
        <f>L2*$I$2</f>
        <v>18</v>
      </c>
      <c r="N2" s="92" t="s">
        <v>34</v>
      </c>
      <c r="O2" s="92"/>
      <c r="P2" s="92"/>
      <c r="Q2" s="92"/>
      <c r="R2" s="92">
        <v>3</v>
      </c>
      <c r="S2" s="92">
        <f>R2*M2</f>
        <v>54</v>
      </c>
      <c r="T2" s="93" t="s">
        <v>23</v>
      </c>
      <c r="U2" s="9"/>
      <c r="V2" s="9"/>
      <c r="W2" s="307" t="str" cm="1">
        <f t="array" ref="W2:W57">_xlfn._xlws.SORT(_xlfn.UNIQUE(T2:T560),,1)</f>
        <v>Alun</v>
      </c>
      <c r="X2" s="308">
        <f>SUMIF(T:T,W2,S:S)</f>
        <v>18</v>
      </c>
      <c r="Y2" s="307"/>
      <c r="Z2" s="2" t="s">
        <v>87</v>
      </c>
      <c r="AA2" t="s">
        <v>89</v>
      </c>
      <c r="AB2" s="10"/>
      <c r="AC2" s="165" t="s">
        <v>13</v>
      </c>
      <c r="AD2" s="8">
        <f>GETPIVOTDATA("Q",$Z$2,"Matière","Alun")</f>
        <v>18</v>
      </c>
      <c r="AE2" s="167"/>
      <c r="AF2" s="166">
        <f t="shared" ref="AF2:AF15" si="0">IF(AD2-AE2&gt;0,AD2-AE2,0)</f>
        <v>18</v>
      </c>
      <c r="AI2" s="2" t="s">
        <v>87</v>
      </c>
      <c r="AJ2" t="s">
        <v>130</v>
      </c>
      <c r="AK2" s="10"/>
      <c r="AL2" s="165" t="s">
        <v>55</v>
      </c>
      <c r="AM2" s="165">
        <f>GETPIVOTDATA("Q+1",$AI$2,"Matière +1","Cire d'abeille")</f>
        <v>36</v>
      </c>
      <c r="AO2" s="167">
        <v>52</v>
      </c>
      <c r="AP2" s="166">
        <f t="shared" ref="AP2:AP19" si="1">IF(AM2-AO2&gt;0,AM2-AO2,0)</f>
        <v>0</v>
      </c>
      <c r="AS2" s="10"/>
      <c r="AT2" s="2" t="s">
        <v>87</v>
      </c>
      <c r="AU2" t="s">
        <v>131</v>
      </c>
      <c r="AV2"/>
      <c r="AW2" s="165" t="s">
        <v>100</v>
      </c>
      <c r="AX2" s="8">
        <f>GETPIVOTDATA("Q +2",$AT$2,"Matière +2","Acier de Garlond")</f>
        <v>144</v>
      </c>
      <c r="AZ2" s="167"/>
      <c r="BA2" s="166">
        <f>IF(AX2-AZ2&gt;0,AX2-AZ2,0)</f>
        <v>144</v>
      </c>
    </row>
    <row r="3" spans="2:55" ht="15.75" thickBot="1" x14ac:dyDescent="0.3">
      <c r="I3" s="171"/>
      <c r="J3" s="174"/>
      <c r="K3" s="174"/>
      <c r="L3" s="78">
        <v>18</v>
      </c>
      <c r="M3" s="76">
        <f>L3*$I$2</f>
        <v>18</v>
      </c>
      <c r="N3" s="76" t="s">
        <v>47</v>
      </c>
      <c r="O3" s="76"/>
      <c r="P3" s="76"/>
      <c r="Q3" s="76"/>
      <c r="R3" s="76">
        <v>3</v>
      </c>
      <c r="S3" s="76">
        <f>R3*M3</f>
        <v>54</v>
      </c>
      <c r="T3" s="77" t="s">
        <v>19</v>
      </c>
      <c r="U3" s="9"/>
      <c r="V3" s="9"/>
      <c r="W3" s="9" t="str">
        <v>Alun noir</v>
      </c>
      <c r="X3" s="308">
        <f t="shared" ref="X3:X57" si="2">SUMIF(T:T,W3,S:S)</f>
        <v>60</v>
      </c>
      <c r="Y3" s="9"/>
      <c r="Z3" s="1" t="s">
        <v>13</v>
      </c>
      <c r="AA3" s="3">
        <v>18</v>
      </c>
      <c r="AB3" s="10"/>
      <c r="AC3" s="165" t="s">
        <v>7</v>
      </c>
      <c r="AD3" s="8">
        <f>GETPIVOTDATA("Q",$Z$2,"Matière","Alun noir")</f>
        <v>60</v>
      </c>
      <c r="AE3" s="167"/>
      <c r="AF3" s="166">
        <f t="shared" si="0"/>
        <v>60</v>
      </c>
      <c r="AI3" s="1" t="s">
        <v>55</v>
      </c>
      <c r="AJ3" s="3">
        <v>36</v>
      </c>
      <c r="AK3" s="10"/>
      <c r="AL3" s="165" t="s">
        <v>70</v>
      </c>
      <c r="AM3" s="165">
        <f>GETPIVOTDATA("Q+1",$AI$2,"Matière +1","Cuir d'hippogriffe")</f>
        <v>12</v>
      </c>
      <c r="AO3" s="167"/>
      <c r="AP3" s="166">
        <f t="shared" si="1"/>
        <v>12</v>
      </c>
      <c r="AS3" s="10"/>
      <c r="AT3" s="1" t="s">
        <v>100</v>
      </c>
      <c r="AU3" s="3">
        <v>144</v>
      </c>
      <c r="AV3" s="10"/>
      <c r="AW3" s="165" t="s">
        <v>92</v>
      </c>
      <c r="AX3" s="8">
        <f>GETPIVOTDATA("Q +2",$AT$2,"Matière +2","Canevas de la côte des Adieux")</f>
        <v>36</v>
      </c>
      <c r="AZ3" s="167"/>
      <c r="BA3" s="166">
        <f t="shared" ref="BA3:BA49" si="3">IF(AX3-AZ3&gt;0,AX3-AZ3,0)</f>
        <v>36</v>
      </c>
    </row>
    <row r="4" spans="2:55" ht="15.75" thickBot="1" x14ac:dyDescent="0.3">
      <c r="I4" s="171"/>
      <c r="J4" s="174"/>
      <c r="K4" s="174"/>
      <c r="L4" s="150">
        <v>18</v>
      </c>
      <c r="M4" s="152">
        <f>L4*$I$2</f>
        <v>18</v>
      </c>
      <c r="N4" s="152" t="s">
        <v>35</v>
      </c>
      <c r="O4" s="152">
        <v>1</v>
      </c>
      <c r="P4" s="152">
        <f>M4</f>
        <v>18</v>
      </c>
      <c r="Q4" s="152" t="s">
        <v>48</v>
      </c>
      <c r="R4" s="152">
        <v>3</v>
      </c>
      <c r="S4" s="152">
        <f>R4*P4</f>
        <v>54</v>
      </c>
      <c r="T4" s="17" t="s">
        <v>14</v>
      </c>
      <c r="U4" s="9"/>
      <c r="V4" s="9"/>
      <c r="W4" s="9" t="str">
        <v>Ambre brut</v>
      </c>
      <c r="X4" s="308">
        <f t="shared" si="2"/>
        <v>216</v>
      </c>
      <c r="Y4" s="9"/>
      <c r="Z4" s="1" t="s">
        <v>7</v>
      </c>
      <c r="AA4" s="3">
        <v>60</v>
      </c>
      <c r="AB4" s="10"/>
      <c r="AC4" s="165" t="s">
        <v>5</v>
      </c>
      <c r="AD4" s="8">
        <f>GETPIVOTDATA("Q",$Z$2,"Matière","Ambre brut")</f>
        <v>216</v>
      </c>
      <c r="AE4" s="167"/>
      <c r="AF4" s="166">
        <f t="shared" si="0"/>
        <v>216</v>
      </c>
      <c r="AI4" s="1" t="s">
        <v>70</v>
      </c>
      <c r="AJ4" s="3">
        <v>12</v>
      </c>
      <c r="AK4" s="10"/>
      <c r="AL4" s="165" t="s">
        <v>79</v>
      </c>
      <c r="AM4" s="165">
        <f>GETPIVOTDATA("Q+1",$AI$2,"Matière +1","Eau sacrée")</f>
        <v>72</v>
      </c>
      <c r="AO4" s="167"/>
      <c r="AP4" s="166">
        <f t="shared" si="1"/>
        <v>72</v>
      </c>
      <c r="AS4" s="10"/>
      <c r="AT4" s="1" t="s">
        <v>92</v>
      </c>
      <c r="AU4" s="3">
        <v>36</v>
      </c>
      <c r="AV4" s="10"/>
      <c r="AW4" s="165" t="s">
        <v>44</v>
      </c>
      <c r="AX4" s="8">
        <f>GETPIVOTDATA("Q +2",$AT$2,"Matière +2","Canevas de lin")</f>
        <v>36</v>
      </c>
      <c r="AZ4" s="167"/>
      <c r="BA4" s="166">
        <f t="shared" si="3"/>
        <v>36</v>
      </c>
    </row>
    <row r="5" spans="2:55" x14ac:dyDescent="0.25">
      <c r="C5" s="8" t="s">
        <v>32</v>
      </c>
      <c r="D5" s="8" t="s">
        <v>76</v>
      </c>
      <c r="E5" s="8" t="s">
        <v>81</v>
      </c>
      <c r="F5" s="8" t="s">
        <v>86</v>
      </c>
      <c r="I5" s="171"/>
      <c r="J5" s="174"/>
      <c r="K5" s="174"/>
      <c r="L5" s="176">
        <v>18</v>
      </c>
      <c r="M5" s="168">
        <f>L5*I2</f>
        <v>18</v>
      </c>
      <c r="N5" s="168" t="s">
        <v>36</v>
      </c>
      <c r="O5" s="168"/>
      <c r="P5" s="168"/>
      <c r="Q5" s="168"/>
      <c r="R5" s="111">
        <v>2</v>
      </c>
      <c r="S5" s="111">
        <f>R5*M5</f>
        <v>36</v>
      </c>
      <c r="T5" s="21" t="s">
        <v>4</v>
      </c>
      <c r="U5" s="9"/>
      <c r="V5" s="9"/>
      <c r="W5" s="9" t="str">
        <v>Célestine brute</v>
      </c>
      <c r="X5" s="308">
        <f t="shared" si="2"/>
        <v>108</v>
      </c>
      <c r="Y5" s="9"/>
      <c r="Z5" s="1" t="s">
        <v>5</v>
      </c>
      <c r="AA5" s="3">
        <v>216</v>
      </c>
      <c r="AB5" s="10"/>
      <c r="AC5" s="165" t="s">
        <v>138</v>
      </c>
      <c r="AD5" s="8">
        <f>GETPIVOTDATA("Q",$Z$2,"Matière","Célestine brute")</f>
        <v>108</v>
      </c>
      <c r="AE5" s="167"/>
      <c r="AF5" s="166">
        <f t="shared" si="0"/>
        <v>108</v>
      </c>
      <c r="AI5" s="1" t="s">
        <v>79</v>
      </c>
      <c r="AJ5" s="3">
        <v>72</v>
      </c>
      <c r="AK5" s="10"/>
      <c r="AL5" s="165" t="s">
        <v>54</v>
      </c>
      <c r="AM5" s="165">
        <f>GETPIVOTDATA("Q+1",$AI$2,"Matière +1","Fil de coton")</f>
        <v>36</v>
      </c>
      <c r="AO5" s="167"/>
      <c r="AP5" s="166">
        <f t="shared" si="1"/>
        <v>36</v>
      </c>
      <c r="AS5" s="10"/>
      <c r="AT5" s="1" t="s">
        <v>44</v>
      </c>
      <c r="AU5" s="3">
        <v>36</v>
      </c>
      <c r="AV5" s="10"/>
      <c r="AW5" s="165" t="s">
        <v>137</v>
      </c>
      <c r="AX5" s="8">
        <f>GETPIVOTDATA("Q +2",$AT$2,"Matière +2","Célestine")</f>
        <v>36</v>
      </c>
      <c r="AZ5" s="167"/>
      <c r="BA5" s="166">
        <f t="shared" si="3"/>
        <v>36</v>
      </c>
    </row>
    <row r="6" spans="2:55" ht="15.75" thickBot="1" x14ac:dyDescent="0.3">
      <c r="B6" s="8" t="s">
        <v>33</v>
      </c>
      <c r="C6" s="105">
        <v>1</v>
      </c>
      <c r="D6" s="105">
        <v>1</v>
      </c>
      <c r="E6" s="105">
        <v>1</v>
      </c>
      <c r="F6" s="105">
        <v>1</v>
      </c>
      <c r="I6" s="171"/>
      <c r="J6" s="174"/>
      <c r="K6" s="174"/>
      <c r="L6" s="177"/>
      <c r="M6" s="169"/>
      <c r="N6" s="169"/>
      <c r="O6" s="169"/>
      <c r="P6" s="169"/>
      <c r="Q6" s="169"/>
      <c r="R6" s="112">
        <v>1</v>
      </c>
      <c r="S6" s="112">
        <f>M5</f>
        <v>18</v>
      </c>
      <c r="T6" s="20" t="s">
        <v>14</v>
      </c>
      <c r="U6" s="9"/>
      <c r="V6" s="9"/>
      <c r="W6" s="9" t="str">
        <v>Cendres de bombo</v>
      </c>
      <c r="X6" s="308">
        <f t="shared" si="2"/>
        <v>1692</v>
      </c>
      <c r="Y6" s="9"/>
      <c r="Z6" s="1" t="s">
        <v>138</v>
      </c>
      <c r="AA6" s="3">
        <v>108</v>
      </c>
      <c r="AB6" s="10"/>
      <c r="AC6" s="165" t="s">
        <v>10</v>
      </c>
      <c r="AD6" s="8">
        <f>GETPIVOTDATA("Q",$Z$2,"Matière","Cendres de bombo")</f>
        <v>1692</v>
      </c>
      <c r="AE6" s="167"/>
      <c r="AF6" s="166">
        <f t="shared" si="0"/>
        <v>1692</v>
      </c>
      <c r="AI6" s="1" t="s">
        <v>54</v>
      </c>
      <c r="AJ6" s="3">
        <v>36</v>
      </c>
      <c r="AK6" s="10"/>
      <c r="AL6" s="165" t="s">
        <v>141</v>
      </c>
      <c r="AM6" s="165">
        <f>GETPIVOTDATA("Q+1",$AI$2,"Matière +1","Fil de lin")</f>
        <v>36</v>
      </c>
      <c r="AO6" s="167"/>
      <c r="AP6" s="166">
        <f t="shared" si="1"/>
        <v>36</v>
      </c>
      <c r="AS6" s="10"/>
      <c r="AT6" s="1" t="s">
        <v>137</v>
      </c>
      <c r="AU6" s="3">
        <v>36</v>
      </c>
      <c r="AV6" s="10"/>
      <c r="AW6" s="165" t="s">
        <v>115</v>
      </c>
      <c r="AX6" s="8">
        <f>GETPIVOTDATA("Q +2",$AT$2,"Matière +2","Clou en acier")</f>
        <v>120</v>
      </c>
      <c r="AZ6" s="167"/>
      <c r="BA6" s="166">
        <f t="shared" si="3"/>
        <v>120</v>
      </c>
    </row>
    <row r="7" spans="2:55" ht="15.75" thickBot="1" x14ac:dyDescent="0.3">
      <c r="C7" s="106"/>
      <c r="D7" s="106"/>
      <c r="E7" s="106"/>
      <c r="F7" s="106"/>
      <c r="I7" s="171"/>
      <c r="J7" s="174"/>
      <c r="K7" s="174"/>
      <c r="L7" s="151">
        <v>18</v>
      </c>
      <c r="M7" s="153">
        <f>L7*I2</f>
        <v>18</v>
      </c>
      <c r="N7" s="153" t="s">
        <v>37</v>
      </c>
      <c r="O7" s="153"/>
      <c r="P7" s="153"/>
      <c r="Q7" s="153"/>
      <c r="R7" s="153">
        <v>3</v>
      </c>
      <c r="S7" s="153">
        <f>R7*M7</f>
        <v>54</v>
      </c>
      <c r="T7" s="18" t="s">
        <v>49</v>
      </c>
      <c r="U7" s="9"/>
      <c r="V7" s="9"/>
      <c r="W7" s="9" t="str">
        <v>Cocon de vers à soie</v>
      </c>
      <c r="X7" s="308">
        <f t="shared" si="2"/>
        <v>24</v>
      </c>
      <c r="Y7" s="9"/>
      <c r="Z7" s="1" t="s">
        <v>10</v>
      </c>
      <c r="AA7" s="3">
        <v>1692</v>
      </c>
      <c r="AB7" s="10"/>
      <c r="AC7" s="165" t="s">
        <v>75</v>
      </c>
      <c r="AD7" s="8">
        <f>GETPIVOTDATA("Q",$Z$2,"Matière","Cocon de vers à soie")</f>
        <v>24</v>
      </c>
      <c r="AE7" s="167"/>
      <c r="AF7" s="166">
        <f t="shared" si="0"/>
        <v>24</v>
      </c>
      <c r="AI7" s="1" t="s">
        <v>141</v>
      </c>
      <c r="AJ7" s="3">
        <v>36</v>
      </c>
      <c r="AK7" s="10"/>
      <c r="AL7" s="165" t="s">
        <v>73</v>
      </c>
      <c r="AM7" s="165">
        <f>GETPIVOTDATA("Q+1",$AI$2,"Matière +1","Fil de soie")</f>
        <v>12</v>
      </c>
      <c r="AO7" s="167"/>
      <c r="AP7" s="166">
        <f t="shared" si="1"/>
        <v>12</v>
      </c>
      <c r="AS7" s="10"/>
      <c r="AT7" s="1" t="s">
        <v>115</v>
      </c>
      <c r="AU7" s="3">
        <v>120</v>
      </c>
      <c r="AV7" s="10"/>
      <c r="AW7" s="165" t="s">
        <v>35</v>
      </c>
      <c r="AX7" s="8">
        <f>GETPIVOTDATA("Q +2",$AT$2,"Matière +2","Clou en fer")</f>
        <v>141</v>
      </c>
      <c r="AZ7" s="167"/>
      <c r="BA7" s="166">
        <f t="shared" si="3"/>
        <v>141</v>
      </c>
    </row>
    <row r="8" spans="2:55" x14ac:dyDescent="0.25">
      <c r="C8" s="107"/>
      <c r="D8" s="107"/>
      <c r="E8" s="107"/>
      <c r="F8" s="107"/>
      <c r="I8" s="171"/>
      <c r="J8" s="174"/>
      <c r="K8" s="174"/>
      <c r="L8" s="176">
        <v>18</v>
      </c>
      <c r="M8" s="168">
        <f>L8*I2</f>
        <v>18</v>
      </c>
      <c r="N8" s="168" t="s">
        <v>38</v>
      </c>
      <c r="O8" s="168">
        <v>1</v>
      </c>
      <c r="P8" s="168">
        <f>M8</f>
        <v>18</v>
      </c>
      <c r="Q8" s="168" t="s">
        <v>50</v>
      </c>
      <c r="R8" s="111">
        <v>2</v>
      </c>
      <c r="S8" s="111">
        <f>R8*P8</f>
        <v>36</v>
      </c>
      <c r="T8" s="21" t="s">
        <v>16</v>
      </c>
      <c r="U8" s="9"/>
      <c r="V8" s="9"/>
      <c r="W8" s="9" t="str">
        <v>Coke de houille</v>
      </c>
      <c r="X8" s="308">
        <f t="shared" si="2"/>
        <v>3834</v>
      </c>
      <c r="Y8" s="9"/>
      <c r="Z8" s="1" t="s">
        <v>75</v>
      </c>
      <c r="AA8" s="3">
        <v>24</v>
      </c>
      <c r="AB8" s="104"/>
      <c r="AC8" s="165" t="s">
        <v>67</v>
      </c>
      <c r="AD8" s="8">
        <f>GETPIVOTDATA("Q",$Z$2,"Matière","Coke de houille")</f>
        <v>3834</v>
      </c>
      <c r="AE8" s="167"/>
      <c r="AF8" s="166">
        <f t="shared" si="0"/>
        <v>3834</v>
      </c>
      <c r="AI8" s="1" t="s">
        <v>73</v>
      </c>
      <c r="AJ8" s="3">
        <v>12</v>
      </c>
      <c r="AK8" s="10"/>
      <c r="AL8" s="165" t="s">
        <v>58</v>
      </c>
      <c r="AM8" s="165">
        <f>GETPIVOTDATA("Q+1",$AI$2,"Matière +1","Huile de lin")</f>
        <v>108</v>
      </c>
      <c r="AO8" s="167"/>
      <c r="AP8" s="166">
        <f t="shared" si="1"/>
        <v>108</v>
      </c>
      <c r="AS8" s="10"/>
      <c r="AT8" s="1" t="s">
        <v>35</v>
      </c>
      <c r="AU8" s="3">
        <v>141</v>
      </c>
      <c r="AV8" s="10"/>
      <c r="AW8" s="165" t="s">
        <v>43</v>
      </c>
      <c r="AX8" s="8">
        <f>GETPIVOTDATA("Q +2",$AT$2,"Matière +2","Cuir de sanglier")</f>
        <v>18</v>
      </c>
      <c r="AZ8" s="167"/>
      <c r="BA8" s="166">
        <f t="shared" si="3"/>
        <v>18</v>
      </c>
    </row>
    <row r="9" spans="2:55" ht="15.75" thickBot="1" x14ac:dyDescent="0.3">
      <c r="B9" s="8" t="s">
        <v>98</v>
      </c>
      <c r="C9" s="105">
        <v>1</v>
      </c>
      <c r="D9" s="105">
        <v>1</v>
      </c>
      <c r="E9" s="105">
        <v>1</v>
      </c>
      <c r="F9" s="105">
        <v>1</v>
      </c>
      <c r="I9" s="171"/>
      <c r="J9" s="174"/>
      <c r="K9" s="174"/>
      <c r="L9" s="177"/>
      <c r="M9" s="169"/>
      <c r="N9" s="169"/>
      <c r="O9" s="169"/>
      <c r="P9" s="169"/>
      <c r="Q9" s="169"/>
      <c r="R9" s="112">
        <v>1</v>
      </c>
      <c r="S9" s="112">
        <f>M8</f>
        <v>18</v>
      </c>
      <c r="T9" s="20" t="s">
        <v>51</v>
      </c>
      <c r="U9" s="9"/>
      <c r="V9" s="9"/>
      <c r="W9" s="9" t="str">
        <v>Corne de bouquetin</v>
      </c>
      <c r="X9" s="308">
        <f t="shared" si="2"/>
        <v>108</v>
      </c>
      <c r="Y9" s="9"/>
      <c r="Z9" s="1" t="s">
        <v>67</v>
      </c>
      <c r="AA9" s="3">
        <v>3834</v>
      </c>
      <c r="AB9" s="104"/>
      <c r="AC9" s="165" t="s">
        <v>60</v>
      </c>
      <c r="AD9" s="8">
        <f>GETPIVOTDATA("Q",$Z$2,"Matière","Corne de bouquetin")</f>
        <v>108</v>
      </c>
      <c r="AE9" s="167"/>
      <c r="AF9" s="166">
        <f t="shared" si="0"/>
        <v>108</v>
      </c>
      <c r="AI9" s="1" t="s">
        <v>58</v>
      </c>
      <c r="AJ9" s="3">
        <v>108</v>
      </c>
      <c r="AK9" s="10"/>
      <c r="AL9" s="165" t="s">
        <v>62</v>
      </c>
      <c r="AM9" s="165">
        <f>GETPIVOTDATA("Q+1",$AI$2,"Matière +1","Lingot d'acier")</f>
        <v>1149</v>
      </c>
      <c r="AO9" s="167"/>
      <c r="AP9" s="166">
        <f t="shared" si="1"/>
        <v>1149</v>
      </c>
      <c r="AS9" s="10"/>
      <c r="AT9" s="1" t="s">
        <v>43</v>
      </c>
      <c r="AU9" s="3">
        <v>18</v>
      </c>
      <c r="AV9" s="10"/>
      <c r="AW9" s="165" t="s">
        <v>97</v>
      </c>
      <c r="AX9" s="8">
        <f>GETPIVOTDATA("Q +2",$AT$2,"Matière +2","Cuir de saurien")</f>
        <v>6</v>
      </c>
      <c r="AZ9" s="167"/>
      <c r="BA9" s="166">
        <f t="shared" si="3"/>
        <v>6</v>
      </c>
    </row>
    <row r="10" spans="2:55" ht="15.75" thickBot="1" x14ac:dyDescent="0.3">
      <c r="C10" s="106"/>
      <c r="D10" s="106"/>
      <c r="E10" s="106"/>
      <c r="F10" s="106"/>
      <c r="I10" s="171"/>
      <c r="J10" s="174"/>
      <c r="K10" s="174"/>
      <c r="L10" s="11">
        <v>18</v>
      </c>
      <c r="M10" s="12">
        <f>L10*I2</f>
        <v>18</v>
      </c>
      <c r="N10" s="12" t="s">
        <v>39</v>
      </c>
      <c r="O10" s="12">
        <v>2</v>
      </c>
      <c r="P10" s="12">
        <f>O10*M10</f>
        <v>36</v>
      </c>
      <c r="Q10" s="12" t="s">
        <v>52</v>
      </c>
      <c r="R10" s="12">
        <v>3</v>
      </c>
      <c r="S10" s="12">
        <f>R10*P10</f>
        <v>108</v>
      </c>
      <c r="T10" s="19" t="s">
        <v>8</v>
      </c>
      <c r="U10" s="9"/>
      <c r="V10" s="9"/>
      <c r="W10" s="9" t="str">
        <v>Eau de source de Dravania</v>
      </c>
      <c r="X10" s="308">
        <f t="shared" si="2"/>
        <v>72</v>
      </c>
      <c r="Y10" s="9"/>
      <c r="Z10" s="1" t="s">
        <v>60</v>
      </c>
      <c r="AA10" s="3">
        <v>108</v>
      </c>
      <c r="AB10" s="104"/>
      <c r="AC10" s="165" t="s">
        <v>29</v>
      </c>
      <c r="AD10" s="8">
        <f>GETPIVOTDATA("Q",$Z$2,"Matière","Eau de source de Dravania")</f>
        <v>72</v>
      </c>
      <c r="AE10" s="167"/>
      <c r="AF10" s="166">
        <f t="shared" si="0"/>
        <v>72</v>
      </c>
      <c r="AI10" s="1" t="s">
        <v>62</v>
      </c>
      <c r="AJ10" s="3">
        <v>1149</v>
      </c>
      <c r="AK10" s="10"/>
      <c r="AL10" s="165" t="s">
        <v>50</v>
      </c>
      <c r="AM10" s="165">
        <f>GETPIVOTDATA("Q+1",$AI$2,"Matière +1","Lingot de bronze")</f>
        <v>18</v>
      </c>
      <c r="AO10" s="167"/>
      <c r="AP10" s="166">
        <f t="shared" si="1"/>
        <v>18</v>
      </c>
      <c r="AS10" s="10"/>
      <c r="AT10" s="1" t="s">
        <v>97</v>
      </c>
      <c r="AU10" s="3">
        <v>6</v>
      </c>
      <c r="AV10" s="10"/>
      <c r="AW10" s="165" t="s">
        <v>123</v>
      </c>
      <c r="AX10" s="8">
        <f>GETPIVOTDATA("Q +2",$AT$2,"Matière +2","Cuir de wyverne")</f>
        <v>36</v>
      </c>
      <c r="AZ10" s="167"/>
      <c r="BA10" s="166">
        <f t="shared" si="3"/>
        <v>36</v>
      </c>
    </row>
    <row r="11" spans="2:55" ht="15.75" thickBot="1" x14ac:dyDescent="0.3">
      <c r="C11" s="107"/>
      <c r="D11" s="107"/>
      <c r="E11" s="107"/>
      <c r="F11" s="107"/>
      <c r="I11" s="171"/>
      <c r="J11" s="174"/>
      <c r="K11" s="174"/>
      <c r="L11" s="71">
        <v>18</v>
      </c>
      <c r="M11" s="69">
        <f>L11*I2</f>
        <v>18</v>
      </c>
      <c r="N11" s="69" t="s">
        <v>40</v>
      </c>
      <c r="O11" s="69"/>
      <c r="P11" s="69"/>
      <c r="Q11" s="69"/>
      <c r="R11" s="69">
        <v>4</v>
      </c>
      <c r="S11" s="69">
        <f>R11*M11</f>
        <v>72</v>
      </c>
      <c r="T11" s="70" t="s">
        <v>6</v>
      </c>
      <c r="U11" s="9"/>
      <c r="V11" s="9"/>
      <c r="W11" s="9" t="str">
        <v>Eau effervescente</v>
      </c>
      <c r="X11" s="308">
        <f t="shared" si="2"/>
        <v>132</v>
      </c>
      <c r="Y11" s="9"/>
      <c r="Z11" s="1" t="s">
        <v>29</v>
      </c>
      <c r="AA11" s="3">
        <v>72</v>
      </c>
      <c r="AB11" s="104"/>
      <c r="AC11" s="165" t="s">
        <v>12</v>
      </c>
      <c r="AD11" s="8">
        <f>GETPIVOTDATA("Q",$Z$2,"Matière","Eau effervescente")</f>
        <v>132</v>
      </c>
      <c r="AE11" s="167"/>
      <c r="AF11" s="166">
        <f t="shared" si="0"/>
        <v>132</v>
      </c>
      <c r="AI11" s="1" t="s">
        <v>50</v>
      </c>
      <c r="AJ11" s="3">
        <v>18</v>
      </c>
      <c r="AK11" s="10"/>
      <c r="AL11" s="165" t="s">
        <v>36</v>
      </c>
      <c r="AM11" s="165">
        <f>GETPIVOTDATA("Q+1",$AI$2,"Matière +1","Lingot de cobalt")</f>
        <v>690</v>
      </c>
      <c r="AO11" s="167"/>
      <c r="AP11" s="166">
        <f t="shared" si="1"/>
        <v>690</v>
      </c>
      <c r="AS11" s="10"/>
      <c r="AT11" s="1" t="s">
        <v>123</v>
      </c>
      <c r="AU11" s="3">
        <v>36</v>
      </c>
      <c r="AV11" s="10"/>
      <c r="AW11" s="165" t="s">
        <v>96</v>
      </c>
      <c r="AX11" s="8">
        <f>GETPIVOTDATA("Q +2",$AT$2,"Matière +2","Cuir d'hippogriffe assoupli")</f>
        <v>6</v>
      </c>
      <c r="AZ11" s="167"/>
      <c r="BA11" s="166">
        <f t="shared" si="3"/>
        <v>6</v>
      </c>
    </row>
    <row r="12" spans="2:55" x14ac:dyDescent="0.25">
      <c r="B12" s="8" t="s">
        <v>132</v>
      </c>
      <c r="C12" s="105">
        <v>1</v>
      </c>
      <c r="D12" s="105">
        <v>1</v>
      </c>
      <c r="E12" s="105">
        <v>1</v>
      </c>
      <c r="F12" s="105">
        <v>1</v>
      </c>
      <c r="I12" s="171"/>
      <c r="J12" s="174"/>
      <c r="K12" s="174"/>
      <c r="L12" s="182">
        <v>18</v>
      </c>
      <c r="M12" s="176">
        <f>L12*I2</f>
        <v>18</v>
      </c>
      <c r="N12" s="168" t="s">
        <v>41</v>
      </c>
      <c r="O12" s="168">
        <v>1</v>
      </c>
      <c r="P12" s="168">
        <f>M12</f>
        <v>18</v>
      </c>
      <c r="Q12" s="168" t="s">
        <v>36</v>
      </c>
      <c r="R12" s="111">
        <v>2</v>
      </c>
      <c r="S12" s="111">
        <f>R12*P12</f>
        <v>36</v>
      </c>
      <c r="T12" s="21" t="s">
        <v>4</v>
      </c>
      <c r="U12" s="9"/>
      <c r="V12" s="9"/>
      <c r="W12" s="9" t="str">
        <v>Feuilles de thé de Tinolqa</v>
      </c>
      <c r="X12" s="308">
        <f t="shared" si="2"/>
        <v>6</v>
      </c>
      <c r="Y12" s="9"/>
      <c r="Z12" s="1" t="s">
        <v>12</v>
      </c>
      <c r="AA12" s="3">
        <v>132</v>
      </c>
      <c r="AB12" s="104"/>
      <c r="AC12" s="165" t="s">
        <v>68</v>
      </c>
      <c r="AD12" s="8">
        <f>GETPIVOTDATA("Q",$Z$2,"Matière","Feuilles de thé de Tinolqa")</f>
        <v>6</v>
      </c>
      <c r="AE12" s="167"/>
      <c r="AF12" s="166">
        <f t="shared" si="0"/>
        <v>6</v>
      </c>
      <c r="AI12" s="1" t="s">
        <v>36</v>
      </c>
      <c r="AJ12" s="3">
        <v>690</v>
      </c>
      <c r="AK12" s="10"/>
      <c r="AL12" s="165" t="s">
        <v>48</v>
      </c>
      <c r="AM12" s="165">
        <f>GETPIVOTDATA("Q+1",$AI$2,"Matière +1","Lingot de fer")</f>
        <v>363</v>
      </c>
      <c r="AO12" s="167"/>
      <c r="AP12" s="166">
        <f t="shared" si="1"/>
        <v>363</v>
      </c>
      <c r="AS12" s="10"/>
      <c r="AT12" s="1" t="s">
        <v>96</v>
      </c>
      <c r="AU12" s="3">
        <v>6</v>
      </c>
      <c r="AV12" s="10"/>
      <c r="AW12" s="165" t="s">
        <v>90</v>
      </c>
      <c r="AX12" s="8">
        <f>GETPIVOTDATA("Q +2",$AT$2,"Matière +2","Cuir d'Uraeus")</f>
        <v>48</v>
      </c>
      <c r="AZ12" s="167"/>
      <c r="BA12" s="166">
        <f t="shared" si="3"/>
        <v>48</v>
      </c>
    </row>
    <row r="13" spans="2:55" ht="15.75" thickBot="1" x14ac:dyDescent="0.3">
      <c r="C13" s="106"/>
      <c r="D13" s="106"/>
      <c r="E13" s="106"/>
      <c r="F13" s="106"/>
      <c r="I13" s="171"/>
      <c r="J13" s="174"/>
      <c r="K13" s="174"/>
      <c r="L13" s="183"/>
      <c r="M13" s="177"/>
      <c r="N13" s="169"/>
      <c r="O13" s="169"/>
      <c r="P13" s="169"/>
      <c r="Q13" s="169"/>
      <c r="R13" s="112">
        <v>1</v>
      </c>
      <c r="S13" s="112">
        <f>P12</f>
        <v>18</v>
      </c>
      <c r="T13" s="20" t="s">
        <v>14</v>
      </c>
      <c r="U13" s="9"/>
      <c r="V13" s="9"/>
      <c r="W13" s="9" t="str">
        <v>Feuilles de thé du Coerthas</v>
      </c>
      <c r="X13" s="308">
        <f t="shared" si="2"/>
        <v>36</v>
      </c>
      <c r="Y13" s="9"/>
      <c r="Z13" s="1" t="s">
        <v>68</v>
      </c>
      <c r="AA13" s="3">
        <v>6</v>
      </c>
      <c r="AB13" s="104"/>
      <c r="AC13" s="165" t="s">
        <v>124</v>
      </c>
      <c r="AD13" s="8">
        <f>GETPIVOTDATA("Q",$Z$2,"Matière","Feuilles de thé du Coerthas")</f>
        <v>36</v>
      </c>
      <c r="AE13" s="167"/>
      <c r="AF13" s="166">
        <f t="shared" si="0"/>
        <v>36</v>
      </c>
      <c r="AI13" s="1" t="s">
        <v>48</v>
      </c>
      <c r="AJ13" s="3">
        <v>363</v>
      </c>
      <c r="AK13" s="10"/>
      <c r="AL13" s="165" t="s">
        <v>52</v>
      </c>
      <c r="AM13" s="165">
        <f>GETPIVOTDATA("Q+1",$AI$2,"Matière +1","Lingot de mithril")</f>
        <v>570</v>
      </c>
      <c r="AO13" s="167"/>
      <c r="AP13" s="166">
        <f t="shared" si="1"/>
        <v>570</v>
      </c>
      <c r="AS13" s="10"/>
      <c r="AT13" s="1" t="s">
        <v>90</v>
      </c>
      <c r="AU13" s="3">
        <v>48</v>
      </c>
      <c r="AV13" s="10"/>
      <c r="AW13" s="165" t="s">
        <v>65</v>
      </c>
      <c r="AX13" s="8">
        <f>GETPIVOTDATA("Q +2",$AT$2,"Matière +2","Étoffe de soie vanya")</f>
        <v>6</v>
      </c>
      <c r="AZ13" s="167"/>
      <c r="BA13" s="166">
        <f t="shared" si="3"/>
        <v>6</v>
      </c>
    </row>
    <row r="14" spans="2:55" ht="15.75" thickBot="1" x14ac:dyDescent="0.3">
      <c r="C14" s="107"/>
      <c r="D14" s="107"/>
      <c r="E14" s="107"/>
      <c r="F14" s="107"/>
      <c r="I14" s="171"/>
      <c r="J14" s="174"/>
      <c r="K14" s="174"/>
      <c r="L14" s="11">
        <v>18</v>
      </c>
      <c r="M14" s="12">
        <f>L14*I2</f>
        <v>18</v>
      </c>
      <c r="N14" s="12" t="s">
        <v>42</v>
      </c>
      <c r="O14" s="12">
        <v>2</v>
      </c>
      <c r="P14" s="12">
        <f>O14*M14</f>
        <v>36</v>
      </c>
      <c r="Q14" s="12" t="s">
        <v>53</v>
      </c>
      <c r="R14" s="12">
        <v>3</v>
      </c>
      <c r="S14" s="12">
        <f>R14*P14</f>
        <v>108</v>
      </c>
      <c r="T14" s="19" t="s">
        <v>25</v>
      </c>
      <c r="U14" s="9"/>
      <c r="V14" s="9"/>
      <c r="W14" s="9" t="str">
        <v>Fibres de lin</v>
      </c>
      <c r="X14" s="308">
        <f t="shared" si="2"/>
        <v>288</v>
      </c>
      <c r="Y14" s="9"/>
      <c r="Z14" s="1" t="s">
        <v>124</v>
      </c>
      <c r="AA14" s="3">
        <v>36</v>
      </c>
      <c r="AB14" s="104"/>
      <c r="AC14" s="165" t="s">
        <v>21</v>
      </c>
      <c r="AD14" s="8">
        <f>GETPIVOTDATA("Q",$Z$2,"Matière","Fibres de lin")</f>
        <v>288</v>
      </c>
      <c r="AE14" s="167"/>
      <c r="AF14" s="166">
        <f t="shared" si="0"/>
        <v>288</v>
      </c>
      <c r="AI14" s="1" t="s">
        <v>52</v>
      </c>
      <c r="AJ14" s="3">
        <v>570</v>
      </c>
      <c r="AK14" s="10"/>
      <c r="AL14" s="165" t="s">
        <v>31</v>
      </c>
      <c r="AM14" s="165">
        <f>GETPIVOTDATA("Q+1",$AI$2,"Matière +1","Madrier de cèdre")</f>
        <v>36</v>
      </c>
      <c r="AO14" s="167"/>
      <c r="AP14" s="166">
        <f t="shared" si="1"/>
        <v>36</v>
      </c>
      <c r="AS14" s="10"/>
      <c r="AT14" s="1" t="s">
        <v>65</v>
      </c>
      <c r="AU14" s="3">
        <v>6</v>
      </c>
      <c r="AV14" s="10"/>
      <c r="AW14" s="165" t="s">
        <v>46</v>
      </c>
      <c r="AX14" s="8">
        <f>GETPIVOTDATA("Q +2",$AT$2,"Matière +2","Glu de démon")</f>
        <v>54</v>
      </c>
      <c r="AZ14" s="167"/>
      <c r="BA14" s="166">
        <f t="shared" si="3"/>
        <v>54</v>
      </c>
    </row>
    <row r="15" spans="2:55" x14ac:dyDescent="0.25">
      <c r="I15" s="171"/>
      <c r="J15" s="174"/>
      <c r="K15" s="174"/>
      <c r="L15" s="178">
        <v>18</v>
      </c>
      <c r="M15" s="180">
        <f>L15*I2</f>
        <v>18</v>
      </c>
      <c r="N15" s="180" t="s">
        <v>43</v>
      </c>
      <c r="O15" s="180"/>
      <c r="P15" s="180"/>
      <c r="Q15" s="180"/>
      <c r="R15" s="136">
        <v>1</v>
      </c>
      <c r="S15" s="136">
        <f>M15</f>
        <v>18</v>
      </c>
      <c r="T15" s="32" t="s">
        <v>0</v>
      </c>
      <c r="U15" s="9"/>
      <c r="V15" s="9"/>
      <c r="W15" s="9" t="str">
        <v>Fleur de coton</v>
      </c>
      <c r="X15" s="308">
        <f t="shared" si="2"/>
        <v>72</v>
      </c>
      <c r="Y15" s="9"/>
      <c r="Z15" s="1" t="s">
        <v>21</v>
      </c>
      <c r="AA15" s="3">
        <v>288</v>
      </c>
      <c r="AB15" s="104"/>
      <c r="AC15" s="165" t="s">
        <v>56</v>
      </c>
      <c r="AD15" s="8">
        <f>GETPIVOTDATA("Q",$Z$2,"Matière","Fleur de coton")</f>
        <v>72</v>
      </c>
      <c r="AE15" s="167"/>
      <c r="AF15" s="166">
        <f t="shared" si="0"/>
        <v>72</v>
      </c>
      <c r="AI15" s="1" t="s">
        <v>31</v>
      </c>
      <c r="AJ15" s="3">
        <v>36</v>
      </c>
      <c r="AK15" s="10"/>
      <c r="AL15" s="165" t="s">
        <v>37</v>
      </c>
      <c r="AM15" s="165">
        <f>GETPIVOTDATA("Q+1",$AI$2,"Matière +1","Madrier d'épicéa")</f>
        <v>96</v>
      </c>
      <c r="AO15" s="167"/>
      <c r="AP15" s="166">
        <f t="shared" si="1"/>
        <v>96</v>
      </c>
      <c r="AS15" s="10"/>
      <c r="AT15" s="1" t="s">
        <v>46</v>
      </c>
      <c r="AU15" s="3">
        <v>54</v>
      </c>
      <c r="AV15" s="10"/>
      <c r="AW15" s="165" t="s">
        <v>94</v>
      </c>
      <c r="AX15" s="8">
        <f>GETPIVOTDATA("Q +2",$AT$2,"Matière +2","Glu d'entité")</f>
        <v>30</v>
      </c>
      <c r="AZ15" s="167"/>
      <c r="BA15" s="166">
        <f t="shared" si="3"/>
        <v>30</v>
      </c>
    </row>
    <row r="16" spans="2:55" ht="15.75" thickBot="1" x14ac:dyDescent="0.3">
      <c r="I16" s="171"/>
      <c r="J16" s="174"/>
      <c r="K16" s="174"/>
      <c r="L16" s="179"/>
      <c r="M16" s="181"/>
      <c r="N16" s="181"/>
      <c r="O16" s="181"/>
      <c r="P16" s="181"/>
      <c r="Q16" s="181"/>
      <c r="R16" s="137">
        <v>1</v>
      </c>
      <c r="S16" s="137">
        <f>M15</f>
        <v>18</v>
      </c>
      <c r="T16" s="33" t="s">
        <v>13</v>
      </c>
      <c r="U16" s="9"/>
      <c r="V16" s="9"/>
      <c r="W16" s="9" t="str">
        <v>Fragment d'alvéoles</v>
      </c>
      <c r="X16" s="308">
        <f t="shared" si="2"/>
        <v>108</v>
      </c>
      <c r="Y16" s="9"/>
      <c r="Z16" s="1" t="s">
        <v>56</v>
      </c>
      <c r="AA16" s="3">
        <v>72</v>
      </c>
      <c r="AB16" s="104"/>
      <c r="AC16" s="165" t="s">
        <v>57</v>
      </c>
      <c r="AD16" s="8">
        <f>GETPIVOTDATA("Q",$Z$2,"Matière","Fragment d'alvéoles")</f>
        <v>108</v>
      </c>
      <c r="AE16" s="167"/>
      <c r="AF16" s="166">
        <f>IF(3*VLOOKUP("Cire d'abeille",AL:AP,5,FALSE)-AE16&gt;0,3*VLOOKUP("Cire d'abeille",AL:AP,5,FALSE)-AE16,0)</f>
        <v>0</v>
      </c>
      <c r="AI16" s="1" t="s">
        <v>37</v>
      </c>
      <c r="AJ16" s="3">
        <v>96</v>
      </c>
      <c r="AK16" s="10"/>
      <c r="AL16" s="165" t="s">
        <v>120</v>
      </c>
      <c r="AM16" s="165">
        <f>GETPIVOTDATA("Q+1",$AI$2,"Matière +1","Natron")</f>
        <v>120</v>
      </c>
      <c r="AO16" s="167"/>
      <c r="AP16" s="166">
        <f t="shared" si="1"/>
        <v>120</v>
      </c>
      <c r="AS16" s="10"/>
      <c r="AT16" s="1" t="s">
        <v>94</v>
      </c>
      <c r="AU16" s="3">
        <v>30</v>
      </c>
      <c r="AV16" s="10"/>
      <c r="AW16" s="165" t="s">
        <v>62</v>
      </c>
      <c r="AX16" s="8">
        <f>GETPIVOTDATA("Q +2",$AT$2,"Matière +2","Lingot d'acier")</f>
        <v>543</v>
      </c>
      <c r="AY16" s="8">
        <f>AX16+AM9</f>
        <v>1692</v>
      </c>
      <c r="AZ16" s="167"/>
      <c r="BA16" s="166">
        <f t="shared" si="3"/>
        <v>543</v>
      </c>
    </row>
    <row r="17" spans="2:53" x14ac:dyDescent="0.25">
      <c r="C17" s="8" t="s">
        <v>32</v>
      </c>
      <c r="D17" s="8" t="s">
        <v>86</v>
      </c>
      <c r="E17" s="8" t="s">
        <v>81</v>
      </c>
      <c r="F17" s="8" t="s">
        <v>112</v>
      </c>
      <c r="I17" s="171"/>
      <c r="J17" s="174"/>
      <c r="K17" s="174"/>
      <c r="L17" s="184">
        <v>18</v>
      </c>
      <c r="M17" s="187">
        <f>L17*I2</f>
        <v>18</v>
      </c>
      <c r="N17" s="187" t="s">
        <v>44</v>
      </c>
      <c r="O17" s="134">
        <v>2</v>
      </c>
      <c r="P17" s="134">
        <f>O17*M17/2</f>
        <v>18</v>
      </c>
      <c r="Q17" s="134" t="s">
        <v>141</v>
      </c>
      <c r="R17" s="134">
        <v>2</v>
      </c>
      <c r="S17" s="134">
        <f>R17*P17</f>
        <v>36</v>
      </c>
      <c r="T17" s="30" t="s">
        <v>21</v>
      </c>
      <c r="U17" s="9"/>
      <c r="V17" s="9"/>
      <c r="W17" s="9" t="str">
        <v>Gui de Dravania</v>
      </c>
      <c r="X17" s="308">
        <f t="shared" si="2"/>
        <v>12</v>
      </c>
      <c r="Y17" s="9"/>
      <c r="Z17" s="1" t="s">
        <v>57</v>
      </c>
      <c r="AA17" s="3">
        <v>108</v>
      </c>
      <c r="AB17" s="104"/>
      <c r="AC17" s="165" t="s">
        <v>80</v>
      </c>
      <c r="AD17" s="8">
        <f>GETPIVOTDATA("Q",$Z$2,"Matière","Gui de Dravania")</f>
        <v>12</v>
      </c>
      <c r="AE17" s="167"/>
      <c r="AF17" s="166">
        <f t="shared" ref="AF17:AF56" si="4">IF(AD17-AE17&gt;0,AD17-AE17,0)</f>
        <v>12</v>
      </c>
      <c r="AI17" s="1" t="s">
        <v>120</v>
      </c>
      <c r="AJ17" s="3">
        <v>120</v>
      </c>
      <c r="AK17" s="10"/>
      <c r="AL17" s="165" t="s">
        <v>30</v>
      </c>
      <c r="AM17" s="165">
        <f>GETPIVOTDATA("Q+1",$AI$2,"Matière +1","Pépite de mithrite")</f>
        <v>138</v>
      </c>
      <c r="AO17" s="167"/>
      <c r="AP17" s="166">
        <f t="shared" si="1"/>
        <v>138</v>
      </c>
      <c r="AS17" s="10"/>
      <c r="AT17" s="1" t="s">
        <v>62</v>
      </c>
      <c r="AU17" s="3">
        <v>543</v>
      </c>
      <c r="AV17" s="10"/>
      <c r="AW17" s="165" t="s">
        <v>85</v>
      </c>
      <c r="AX17" s="8">
        <f>GETPIVOTDATA("Q +2",$AT$2,"Matière +2","Lingot d'argent")</f>
        <v>180</v>
      </c>
      <c r="AZ17" s="167"/>
      <c r="BA17" s="166">
        <f t="shared" si="3"/>
        <v>180</v>
      </c>
    </row>
    <row r="18" spans="2:53" x14ac:dyDescent="0.25">
      <c r="B18" s="8" t="s">
        <v>111</v>
      </c>
      <c r="C18" s="105">
        <v>1</v>
      </c>
      <c r="D18" s="105">
        <v>1</v>
      </c>
      <c r="E18" s="105">
        <v>1</v>
      </c>
      <c r="F18" s="105">
        <v>1</v>
      </c>
      <c r="I18" s="171"/>
      <c r="J18" s="174"/>
      <c r="K18" s="174"/>
      <c r="L18" s="185"/>
      <c r="M18" s="188"/>
      <c r="N18" s="188"/>
      <c r="O18" s="109">
        <v>1</v>
      </c>
      <c r="P18" s="109">
        <f>M17</f>
        <v>18</v>
      </c>
      <c r="Q18" s="109" t="s">
        <v>54</v>
      </c>
      <c r="R18" s="109">
        <v>2</v>
      </c>
      <c r="S18" s="109">
        <f>R18*P18</f>
        <v>36</v>
      </c>
      <c r="T18" s="7" t="s">
        <v>56</v>
      </c>
      <c r="U18" s="9"/>
      <c r="V18" s="9"/>
      <c r="W18" s="9" t="str">
        <v>Minerai d'argent</v>
      </c>
      <c r="X18" s="308">
        <f t="shared" si="2"/>
        <v>540</v>
      </c>
      <c r="Y18" s="9"/>
      <c r="Z18" s="1" t="s">
        <v>80</v>
      </c>
      <c r="AA18" s="3">
        <v>12</v>
      </c>
      <c r="AB18" s="104"/>
      <c r="AC18" s="165" t="s">
        <v>11</v>
      </c>
      <c r="AD18" s="8">
        <f>GETPIVOTDATA("Q",$Z$2,"Matière","Minerai d'argent")</f>
        <v>540</v>
      </c>
      <c r="AE18" s="167"/>
      <c r="AF18" s="166">
        <f t="shared" si="4"/>
        <v>540</v>
      </c>
      <c r="AI18" s="1" t="s">
        <v>30</v>
      </c>
      <c r="AJ18" s="3">
        <v>138</v>
      </c>
      <c r="AK18" s="10"/>
      <c r="AL18" s="165" t="s">
        <v>53</v>
      </c>
      <c r="AM18" s="165">
        <f>GETPIVOTDATA("Q+1",$AI$2,"Matière +1","Pépite de sombracier")</f>
        <v>828</v>
      </c>
      <c r="AO18" s="167"/>
      <c r="AP18" s="166">
        <f t="shared" si="1"/>
        <v>828</v>
      </c>
      <c r="AS18" s="10"/>
      <c r="AT18" s="1" t="s">
        <v>85</v>
      </c>
      <c r="AU18" s="3">
        <v>180</v>
      </c>
      <c r="AV18" s="10"/>
      <c r="AW18" s="165" t="s">
        <v>36</v>
      </c>
      <c r="AX18" s="8">
        <f>GETPIVOTDATA("Q +2",$AT$2,"Matière +2","Lingot de cobalt")</f>
        <v>432</v>
      </c>
      <c r="AY18" s="8">
        <f>AX18+AM11</f>
        <v>1122</v>
      </c>
      <c r="AZ18" s="167"/>
      <c r="BA18" s="166">
        <f t="shared" si="3"/>
        <v>432</v>
      </c>
    </row>
    <row r="19" spans="2:53" ht="15.75" thickBot="1" x14ac:dyDescent="0.3">
      <c r="C19" s="106"/>
      <c r="D19" s="106"/>
      <c r="E19" s="106"/>
      <c r="F19" s="106"/>
      <c r="I19" s="171"/>
      <c r="J19" s="174"/>
      <c r="K19" s="174"/>
      <c r="L19" s="186"/>
      <c r="M19" s="189"/>
      <c r="N19" s="189"/>
      <c r="O19" s="135">
        <v>1</v>
      </c>
      <c r="P19" s="135">
        <f>M17</f>
        <v>18</v>
      </c>
      <c r="Q19" s="135" t="s">
        <v>55</v>
      </c>
      <c r="R19" s="135">
        <v>3</v>
      </c>
      <c r="S19" s="135">
        <f>R19*P19</f>
        <v>54</v>
      </c>
      <c r="T19" s="31" t="s">
        <v>57</v>
      </c>
      <c r="U19" s="9"/>
      <c r="V19" s="9"/>
      <c r="W19" s="9" t="str">
        <v>Minerai de bornite</v>
      </c>
      <c r="X19" s="308">
        <f t="shared" si="2"/>
        <v>1134</v>
      </c>
      <c r="Y19" s="9"/>
      <c r="Z19" s="1" t="s">
        <v>11</v>
      </c>
      <c r="AA19" s="3">
        <v>540</v>
      </c>
      <c r="AB19" s="104"/>
      <c r="AC19" s="165" t="s">
        <v>107</v>
      </c>
      <c r="AD19" s="8">
        <f>GETPIVOTDATA("Q",$Z$2,"Matière","Minerai de bornite")</f>
        <v>1134</v>
      </c>
      <c r="AE19" s="167"/>
      <c r="AF19" s="166">
        <f t="shared" si="4"/>
        <v>1134</v>
      </c>
      <c r="AI19" s="1" t="s">
        <v>53</v>
      </c>
      <c r="AJ19" s="104">
        <v>828</v>
      </c>
      <c r="AL19" s="165" t="s">
        <v>106</v>
      </c>
      <c r="AM19" s="165">
        <f>GETPIVOTDATA("Q+1",$AI$2,"Matière +1","Pépite d'or rose")</f>
        <v>252</v>
      </c>
      <c r="AO19" s="167"/>
      <c r="AP19" s="166">
        <f t="shared" si="1"/>
        <v>252</v>
      </c>
      <c r="AT19" s="1" t="s">
        <v>36</v>
      </c>
      <c r="AU19" s="3">
        <v>432</v>
      </c>
      <c r="AV19" s="10"/>
      <c r="AW19" s="165" t="s">
        <v>48</v>
      </c>
      <c r="AX19" s="8">
        <f>GETPIVOTDATA("Q +2",$AT$2,"Matière +2","Lingot de fer")</f>
        <v>21</v>
      </c>
      <c r="AY19" s="8">
        <f>AX19+AM12</f>
        <v>384</v>
      </c>
      <c r="AZ19" s="167"/>
      <c r="BA19" s="166">
        <f t="shared" si="3"/>
        <v>21</v>
      </c>
    </row>
    <row r="20" spans="2:53" x14ac:dyDescent="0.25">
      <c r="C20" s="107"/>
      <c r="D20" s="107"/>
      <c r="E20" s="107"/>
      <c r="F20" s="107"/>
      <c r="I20" s="171"/>
      <c r="J20" s="174"/>
      <c r="K20" s="174"/>
      <c r="L20" s="190">
        <v>18</v>
      </c>
      <c r="M20" s="193">
        <f>L20*I2</f>
        <v>18</v>
      </c>
      <c r="N20" s="193" t="s">
        <v>45</v>
      </c>
      <c r="O20" s="128"/>
      <c r="P20" s="128"/>
      <c r="Q20" s="128"/>
      <c r="R20" s="128">
        <v>2</v>
      </c>
      <c r="S20" s="128">
        <f>R20*M20</f>
        <v>36</v>
      </c>
      <c r="T20" s="98" t="s">
        <v>5</v>
      </c>
      <c r="U20" s="9"/>
      <c r="V20" s="9"/>
      <c r="W20" s="9" t="str">
        <v>Minerai de cobalt</v>
      </c>
      <c r="X20" s="308">
        <f t="shared" si="2"/>
        <v>2637</v>
      </c>
      <c r="Y20" s="9"/>
      <c r="Z20" s="1" t="s">
        <v>107</v>
      </c>
      <c r="AA20" s="3">
        <v>1134</v>
      </c>
      <c r="AB20" s="104"/>
      <c r="AC20" s="165" t="s">
        <v>4</v>
      </c>
      <c r="AD20" s="8">
        <f>GETPIVOTDATA("Q",$Z$2,"Matière","Minerai de cobalt")</f>
        <v>2637</v>
      </c>
      <c r="AE20" s="167"/>
      <c r="AF20" s="166">
        <f t="shared" si="4"/>
        <v>2637</v>
      </c>
      <c r="AI20" s="1" t="s">
        <v>106</v>
      </c>
      <c r="AJ20" s="104">
        <v>252</v>
      </c>
      <c r="AM20" s="165"/>
      <c r="AT20" s="1" t="s">
        <v>48</v>
      </c>
      <c r="AU20" s="3">
        <v>21</v>
      </c>
      <c r="AW20" s="165" t="s">
        <v>52</v>
      </c>
      <c r="AX20" s="8">
        <f>GETPIVOTDATA("Q +2",$AT$2,"Matière +2","Lingot de mithril")</f>
        <v>120</v>
      </c>
      <c r="AY20" s="8">
        <f>AX20+AM13</f>
        <v>690</v>
      </c>
      <c r="AZ20" s="167"/>
      <c r="BA20" s="166">
        <f t="shared" si="3"/>
        <v>120</v>
      </c>
    </row>
    <row r="21" spans="2:53" x14ac:dyDescent="0.25">
      <c r="B21" s="8" t="s">
        <v>113</v>
      </c>
      <c r="C21" s="105">
        <v>1</v>
      </c>
      <c r="D21" s="105">
        <v>1</v>
      </c>
      <c r="E21" s="105">
        <v>1</v>
      </c>
      <c r="F21" s="105">
        <v>1</v>
      </c>
      <c r="I21" s="171"/>
      <c r="J21" s="174"/>
      <c r="K21" s="174"/>
      <c r="L21" s="191"/>
      <c r="M21" s="194"/>
      <c r="N21" s="194"/>
      <c r="O21" s="127">
        <v>1</v>
      </c>
      <c r="P21" s="127">
        <f>M20</f>
        <v>18</v>
      </c>
      <c r="Q21" s="127" t="s">
        <v>58</v>
      </c>
      <c r="R21" s="127">
        <v>2</v>
      </c>
      <c r="S21" s="127">
        <f>R21*P21</f>
        <v>36</v>
      </c>
      <c r="T21" s="99" t="s">
        <v>21</v>
      </c>
      <c r="U21" s="9"/>
      <c r="V21" s="9"/>
      <c r="W21" s="9" t="str">
        <v>Minerai de cuivre</v>
      </c>
      <c r="X21" s="308">
        <f t="shared" si="2"/>
        <v>288</v>
      </c>
      <c r="Y21" s="9"/>
      <c r="Z21" s="1" t="s">
        <v>4</v>
      </c>
      <c r="AA21" s="3">
        <v>2637</v>
      </c>
      <c r="AB21" s="104"/>
      <c r="AC21" s="165" t="s">
        <v>16</v>
      </c>
      <c r="AD21" s="8">
        <f>GETPIVOTDATA("Q",$Z$2,"Matière","Minerai de cuivre")</f>
        <v>288</v>
      </c>
      <c r="AE21" s="167"/>
      <c r="AF21" s="166">
        <f t="shared" si="4"/>
        <v>288</v>
      </c>
      <c r="AI21" s="1" t="s">
        <v>95</v>
      </c>
      <c r="AJ21" s="3"/>
      <c r="AM21" s="165"/>
      <c r="AT21" s="1" t="s">
        <v>52</v>
      </c>
      <c r="AU21" s="3">
        <v>120</v>
      </c>
      <c r="AW21" s="165" t="s">
        <v>133</v>
      </c>
      <c r="AX21" s="8">
        <f>GETPIVOTDATA("Q +2",$AT$2,"Matière +2","Lingot de mithrite")</f>
        <v>138</v>
      </c>
      <c r="AZ21" s="167"/>
      <c r="BA21" s="166">
        <f t="shared" si="3"/>
        <v>138</v>
      </c>
    </row>
    <row r="22" spans="2:53" ht="15.75" thickBot="1" x14ac:dyDescent="0.3">
      <c r="C22" s="106"/>
      <c r="D22" s="106"/>
      <c r="E22" s="106"/>
      <c r="F22" s="106"/>
      <c r="I22" s="171"/>
      <c r="J22" s="174"/>
      <c r="K22" s="174"/>
      <c r="L22" s="192"/>
      <c r="M22" s="195"/>
      <c r="N22" s="195"/>
      <c r="O22" s="129"/>
      <c r="P22" s="129"/>
      <c r="Q22" s="129"/>
      <c r="R22" s="129">
        <v>1</v>
      </c>
      <c r="S22" s="129">
        <f>M20</f>
        <v>18</v>
      </c>
      <c r="T22" s="100" t="s">
        <v>59</v>
      </c>
      <c r="U22" s="9"/>
      <c r="V22" s="9"/>
      <c r="W22" s="9" t="str">
        <v>Minerai de fer</v>
      </c>
      <c r="X22" s="308">
        <f t="shared" si="2"/>
        <v>5658</v>
      </c>
      <c r="Y22" s="9"/>
      <c r="Z22" s="1" t="s">
        <v>16</v>
      </c>
      <c r="AA22" s="3">
        <v>288</v>
      </c>
      <c r="AB22" s="104"/>
      <c r="AC22" s="165" t="s">
        <v>14</v>
      </c>
      <c r="AD22" s="8">
        <f>GETPIVOTDATA("Q",$Z$2,"Matière","Minerai de fer")</f>
        <v>5658</v>
      </c>
      <c r="AE22" s="167"/>
      <c r="AF22" s="166">
        <f t="shared" si="4"/>
        <v>5658</v>
      </c>
      <c r="AI22" s="1" t="s">
        <v>88</v>
      </c>
      <c r="AJ22" s="3">
        <v>4572</v>
      </c>
      <c r="AM22" s="165"/>
      <c r="AT22" s="1" t="s">
        <v>133</v>
      </c>
      <c r="AU22" s="3">
        <v>138</v>
      </c>
      <c r="AW22" s="165" t="s">
        <v>64</v>
      </c>
      <c r="AX22" s="8">
        <f>GETPIVOTDATA("Q +2",$AT$2,"Matière +2","Lingot de sombracier")</f>
        <v>282</v>
      </c>
      <c r="AZ22" s="167"/>
      <c r="BA22" s="166">
        <f t="shared" si="3"/>
        <v>282</v>
      </c>
    </row>
    <row r="23" spans="2:53" ht="15.75" thickBot="1" x14ac:dyDescent="0.3">
      <c r="C23" s="107"/>
      <c r="D23" s="107"/>
      <c r="E23" s="107"/>
      <c r="F23" s="107"/>
      <c r="I23" s="172"/>
      <c r="J23" s="175"/>
      <c r="K23" s="175"/>
      <c r="L23" s="52">
        <v>18</v>
      </c>
      <c r="M23" s="53">
        <f>L23*I2</f>
        <v>18</v>
      </c>
      <c r="N23" s="53" t="s">
        <v>46</v>
      </c>
      <c r="O23" s="53"/>
      <c r="P23" s="53"/>
      <c r="Q23" s="53"/>
      <c r="R23" s="53">
        <v>2</v>
      </c>
      <c r="S23" s="53">
        <f>R23*M23</f>
        <v>36</v>
      </c>
      <c r="T23" s="54" t="s">
        <v>60</v>
      </c>
      <c r="U23" s="9"/>
      <c r="V23" s="9"/>
      <c r="W23" s="9" t="str">
        <v>Minerai de ferbérite</v>
      </c>
      <c r="X23" s="308">
        <f t="shared" si="2"/>
        <v>36</v>
      </c>
      <c r="Y23" s="9"/>
      <c r="Z23" s="1" t="s">
        <v>14</v>
      </c>
      <c r="AA23" s="3">
        <v>5658</v>
      </c>
      <c r="AB23" s="104"/>
      <c r="AC23" s="165" t="s">
        <v>26</v>
      </c>
      <c r="AD23" s="8">
        <f>GETPIVOTDATA("Q",$Z$2,"Matière","Minerai de ferbérite")</f>
        <v>36</v>
      </c>
      <c r="AE23" s="167"/>
      <c r="AF23" s="166">
        <f t="shared" si="4"/>
        <v>36</v>
      </c>
      <c r="AI23" s="10"/>
      <c r="AM23" s="165"/>
      <c r="AT23" s="1" t="s">
        <v>64</v>
      </c>
      <c r="AU23" s="3">
        <v>282</v>
      </c>
      <c r="AW23" s="165" t="s">
        <v>117</v>
      </c>
      <c r="AX23" s="8">
        <f>GETPIVOTDATA("Q +2",$AT$2,"Matière +2","Lingot de tungstène")</f>
        <v>36</v>
      </c>
      <c r="AZ23" s="167"/>
      <c r="BA23" s="166">
        <f t="shared" si="3"/>
        <v>36</v>
      </c>
    </row>
    <row r="24" spans="2:53" ht="16.5" thickTop="1" thickBot="1" x14ac:dyDescent="0.3">
      <c r="B24" s="8" t="s">
        <v>135</v>
      </c>
      <c r="C24" s="105">
        <v>1</v>
      </c>
      <c r="D24" s="105">
        <v>1</v>
      </c>
      <c r="E24" s="105">
        <v>1</v>
      </c>
      <c r="F24" s="105">
        <v>1</v>
      </c>
      <c r="I24" s="170">
        <f>D6</f>
        <v>1</v>
      </c>
      <c r="J24" s="173" t="s">
        <v>76</v>
      </c>
      <c r="K24" s="173" t="s">
        <v>77</v>
      </c>
      <c r="L24" s="88">
        <v>21</v>
      </c>
      <c r="M24" s="89">
        <f>L24*$I$24</f>
        <v>21</v>
      </c>
      <c r="N24" s="89" t="s">
        <v>66</v>
      </c>
      <c r="O24" s="89"/>
      <c r="P24" s="89"/>
      <c r="Q24" s="89"/>
      <c r="R24" s="89">
        <v>3</v>
      </c>
      <c r="S24" s="89">
        <f>R24*M24</f>
        <v>63</v>
      </c>
      <c r="T24" s="90" t="s">
        <v>18</v>
      </c>
      <c r="U24" s="9"/>
      <c r="V24" s="9"/>
      <c r="W24" s="9" t="str">
        <v>Minerai de mithril</v>
      </c>
      <c r="X24" s="308">
        <f t="shared" si="2"/>
        <v>2208</v>
      </c>
      <c r="Y24" s="9"/>
      <c r="Z24" s="1" t="s">
        <v>26</v>
      </c>
      <c r="AA24" s="3">
        <v>36</v>
      </c>
      <c r="AB24" s="104"/>
      <c r="AC24" s="165" t="s">
        <v>8</v>
      </c>
      <c r="AD24" s="8">
        <f>GETPIVOTDATA("Q",$Z$2,"Matière","Minerai de mithril")</f>
        <v>2208</v>
      </c>
      <c r="AE24" s="167"/>
      <c r="AF24" s="166">
        <f t="shared" si="4"/>
        <v>2208</v>
      </c>
      <c r="AI24" s="10"/>
      <c r="AM24" s="165"/>
      <c r="AT24" s="1" t="s">
        <v>117</v>
      </c>
      <c r="AU24" s="3">
        <v>36</v>
      </c>
      <c r="AW24" s="165" t="s">
        <v>40</v>
      </c>
      <c r="AX24" s="8">
        <f>GETPIVOTDATA("Q +2",$AT$2,"Matière +2","Lingot d'électrum")</f>
        <v>144</v>
      </c>
      <c r="AZ24" s="167"/>
      <c r="BA24" s="166">
        <f t="shared" si="3"/>
        <v>144</v>
      </c>
    </row>
    <row r="25" spans="2:53" ht="15.75" thickBot="1" x14ac:dyDescent="0.3">
      <c r="C25" s="106"/>
      <c r="D25" s="106"/>
      <c r="E25" s="106"/>
      <c r="F25" s="106"/>
      <c r="I25" s="171"/>
      <c r="J25" s="174"/>
      <c r="K25" s="174"/>
      <c r="L25" s="11">
        <v>21</v>
      </c>
      <c r="M25" s="12">
        <f>L25*$I$24</f>
        <v>21</v>
      </c>
      <c r="N25" s="12" t="s">
        <v>53</v>
      </c>
      <c r="O25" s="12"/>
      <c r="P25" s="12"/>
      <c r="Q25" s="12"/>
      <c r="R25" s="12">
        <v>3</v>
      </c>
      <c r="S25" s="12">
        <f>R25*M25</f>
        <v>63</v>
      </c>
      <c r="T25" s="19" t="s">
        <v>25</v>
      </c>
      <c r="U25" s="9"/>
      <c r="V25" s="9"/>
      <c r="W25" s="9" t="str">
        <v>Minerai de mithrite</v>
      </c>
      <c r="X25" s="308">
        <f t="shared" si="2"/>
        <v>552</v>
      </c>
      <c r="Y25" s="9"/>
      <c r="Z25" s="1" t="s">
        <v>8</v>
      </c>
      <c r="AA25" s="3">
        <v>2208</v>
      </c>
      <c r="AB25" s="104"/>
      <c r="AC25" s="165" t="s">
        <v>28</v>
      </c>
      <c r="AD25" s="8">
        <f>GETPIVOTDATA("Q",$Z$2,"Matière","Minerai de mithrite")</f>
        <v>552</v>
      </c>
      <c r="AE25" s="167"/>
      <c r="AF25" s="166">
        <f t="shared" si="4"/>
        <v>552</v>
      </c>
      <c r="AI25" s="10"/>
      <c r="AM25" s="165"/>
      <c r="AT25" s="1" t="s">
        <v>40</v>
      </c>
      <c r="AU25" s="3">
        <v>144</v>
      </c>
      <c r="AW25" s="165" t="s">
        <v>101</v>
      </c>
      <c r="AX25" s="8">
        <f>GETPIVOTDATA("Q +2",$AT$2,"Matière +2","Lingot d'or rose")</f>
        <v>126</v>
      </c>
      <c r="AZ25" s="167"/>
      <c r="BA25" s="166">
        <f t="shared" si="3"/>
        <v>126</v>
      </c>
    </row>
    <row r="26" spans="2:53" ht="15.75" thickBot="1" x14ac:dyDescent="0.3">
      <c r="C26" s="107"/>
      <c r="D26" s="107"/>
      <c r="E26" s="107"/>
      <c r="F26" s="107"/>
      <c r="I26" s="171"/>
      <c r="J26" s="174"/>
      <c r="K26" s="174"/>
      <c r="L26" s="11">
        <v>21</v>
      </c>
      <c r="M26" s="12">
        <f>L26*$I$24</f>
        <v>21</v>
      </c>
      <c r="N26" s="12" t="s">
        <v>35</v>
      </c>
      <c r="O26" s="12">
        <v>1</v>
      </c>
      <c r="P26" s="12">
        <f>M26</f>
        <v>21</v>
      </c>
      <c r="Q26" s="12" t="s">
        <v>48</v>
      </c>
      <c r="R26" s="12">
        <v>3</v>
      </c>
      <c r="S26" s="12">
        <f>R26*P26</f>
        <v>63</v>
      </c>
      <c r="T26" s="19" t="s">
        <v>14</v>
      </c>
      <c r="U26" s="9"/>
      <c r="V26" s="9"/>
      <c r="W26" s="9" t="str">
        <v>Minerai de scheelite</v>
      </c>
      <c r="X26" s="308">
        <f t="shared" si="2"/>
        <v>36</v>
      </c>
      <c r="Y26" s="9"/>
      <c r="Z26" s="1" t="s">
        <v>28</v>
      </c>
      <c r="AA26" s="3">
        <v>552</v>
      </c>
      <c r="AB26" s="104"/>
      <c r="AC26" s="165" t="s">
        <v>118</v>
      </c>
      <c r="AD26" s="8">
        <f>GETPIVOTDATA("Q",$Z$2,"Matière","Minerai de scheelite")</f>
        <v>36</v>
      </c>
      <c r="AE26" s="167"/>
      <c r="AF26" s="166">
        <f t="shared" si="4"/>
        <v>36</v>
      </c>
      <c r="AI26" s="10"/>
      <c r="AM26" s="165"/>
      <c r="AT26" s="1" t="s">
        <v>101</v>
      </c>
      <c r="AU26" s="3">
        <v>126</v>
      </c>
      <c r="AW26" s="165" t="s">
        <v>47</v>
      </c>
      <c r="AX26" s="8">
        <f>GETPIVOTDATA("Q +2",$AT$2,"Matière +2","Madrier d'acajou")</f>
        <v>18</v>
      </c>
      <c r="AZ26" s="167"/>
      <c r="BA26" s="166">
        <f t="shared" si="3"/>
        <v>18</v>
      </c>
    </row>
    <row r="27" spans="2:53" ht="15.75" thickBot="1" x14ac:dyDescent="0.3">
      <c r="I27" s="171"/>
      <c r="J27" s="174"/>
      <c r="K27" s="174"/>
      <c r="L27" s="11">
        <v>42</v>
      </c>
      <c r="M27" s="12">
        <f>L27*$I$24</f>
        <v>42</v>
      </c>
      <c r="N27" s="12" t="s">
        <v>61</v>
      </c>
      <c r="O27" s="12">
        <v>1</v>
      </c>
      <c r="P27" s="12">
        <f>M27</f>
        <v>42</v>
      </c>
      <c r="Q27" s="12" t="s">
        <v>48</v>
      </c>
      <c r="R27" s="12">
        <v>3</v>
      </c>
      <c r="S27" s="12">
        <f>R27*P27</f>
        <v>126</v>
      </c>
      <c r="T27" s="19" t="s">
        <v>14</v>
      </c>
      <c r="U27" s="9"/>
      <c r="V27" s="9"/>
      <c r="W27" s="9" t="str">
        <v>Minerai de sombracier</v>
      </c>
      <c r="X27" s="308">
        <f t="shared" si="2"/>
        <v>2763</v>
      </c>
      <c r="Y27" s="9"/>
      <c r="Z27" s="1" t="s">
        <v>118</v>
      </c>
      <c r="AA27" s="3">
        <v>36</v>
      </c>
      <c r="AB27" s="104"/>
      <c r="AC27" s="165" t="s">
        <v>25</v>
      </c>
      <c r="AD27" s="8">
        <f>GETPIVOTDATA("Q",$Z$2,"Matière","Minerai de sombracier")</f>
        <v>2763</v>
      </c>
      <c r="AE27" s="167"/>
      <c r="AF27" s="166">
        <f t="shared" si="4"/>
        <v>2763</v>
      </c>
      <c r="AI27" s="10"/>
      <c r="AM27" s="165"/>
      <c r="AT27" s="1" t="s">
        <v>47</v>
      </c>
      <c r="AU27" s="3">
        <v>18</v>
      </c>
      <c r="AW27" s="165" t="s">
        <v>31</v>
      </c>
      <c r="AX27" s="8">
        <f>GETPIVOTDATA("Q +2",$AT$2,"Matière +2","Madrier de cèdre")</f>
        <v>18</v>
      </c>
      <c r="AY27" s="8">
        <f>AX27+AM14</f>
        <v>54</v>
      </c>
      <c r="AZ27" s="167"/>
      <c r="BA27" s="166">
        <f t="shared" si="3"/>
        <v>18</v>
      </c>
    </row>
    <row r="28" spans="2:53" ht="15.75" thickBot="1" x14ac:dyDescent="0.3">
      <c r="I28" s="171"/>
      <c r="J28" s="174"/>
      <c r="K28" s="174"/>
      <c r="L28" s="11">
        <v>21</v>
      </c>
      <c r="M28" s="12">
        <f>L28*$I$24</f>
        <v>21</v>
      </c>
      <c r="N28" s="12" t="s">
        <v>48</v>
      </c>
      <c r="O28" s="12"/>
      <c r="P28" s="12"/>
      <c r="Q28" s="12"/>
      <c r="R28" s="12">
        <v>3</v>
      </c>
      <c r="S28" s="12">
        <f>R28*M28</f>
        <v>63</v>
      </c>
      <c r="T28" s="19" t="s">
        <v>14</v>
      </c>
      <c r="U28" s="9"/>
      <c r="V28" s="9"/>
      <c r="W28" s="9" t="str">
        <v>Minerai de vivianite</v>
      </c>
      <c r="X28" s="308">
        <f t="shared" si="2"/>
        <v>432</v>
      </c>
      <c r="Y28" s="9"/>
      <c r="Z28" s="1" t="s">
        <v>25</v>
      </c>
      <c r="AA28" s="3">
        <v>2763</v>
      </c>
      <c r="AB28" s="104"/>
      <c r="AC28" s="165" t="s">
        <v>105</v>
      </c>
      <c r="AD28" s="8">
        <f>GETPIVOTDATA("Q",$Z$2,"Matière","Minerai de vivianite")</f>
        <v>432</v>
      </c>
      <c r="AE28" s="167"/>
      <c r="AF28" s="166">
        <f t="shared" si="4"/>
        <v>432</v>
      </c>
      <c r="AI28" s="10"/>
      <c r="AM28" s="165"/>
      <c r="AT28" s="1" t="s">
        <v>31</v>
      </c>
      <c r="AU28" s="3">
        <v>18</v>
      </c>
      <c r="AW28" s="165" t="s">
        <v>136</v>
      </c>
      <c r="AX28" s="8">
        <f>GETPIVOTDATA("Q +2",$AT$2,"Matière +2","Madrier de cèdre sacré")</f>
        <v>36</v>
      </c>
      <c r="AZ28" s="167"/>
      <c r="BA28" s="166">
        <f t="shared" si="3"/>
        <v>36</v>
      </c>
    </row>
    <row r="29" spans="2:53" x14ac:dyDescent="0.25">
      <c r="I29" s="171"/>
      <c r="J29" s="174"/>
      <c r="K29" s="174"/>
      <c r="L29" s="176">
        <v>21</v>
      </c>
      <c r="M29" s="168">
        <f>L29*I24</f>
        <v>21</v>
      </c>
      <c r="N29" s="168" t="s">
        <v>62</v>
      </c>
      <c r="O29" s="168"/>
      <c r="P29" s="168"/>
      <c r="Q29" s="168"/>
      <c r="R29" s="111">
        <v>2</v>
      </c>
      <c r="S29" s="111">
        <f>R29*M29</f>
        <v>42</v>
      </c>
      <c r="T29" s="21" t="s">
        <v>14</v>
      </c>
      <c r="U29" s="9"/>
      <c r="V29" s="9"/>
      <c r="W29" s="9" t="str">
        <v>Minerai d'électrum</v>
      </c>
      <c r="X29" s="308">
        <f t="shared" si="2"/>
        <v>576</v>
      </c>
      <c r="Y29" s="9"/>
      <c r="Z29" s="1" t="s">
        <v>105</v>
      </c>
      <c r="AA29" s="3">
        <v>432</v>
      </c>
      <c r="AB29" s="104"/>
      <c r="AC29" s="165" t="s">
        <v>6</v>
      </c>
      <c r="AD29" s="8">
        <f>GETPIVOTDATA("Q",$Z$2,"Matière","Minerai d'électrum")</f>
        <v>576</v>
      </c>
      <c r="AE29" s="167"/>
      <c r="AF29" s="166">
        <f t="shared" si="4"/>
        <v>576</v>
      </c>
      <c r="AI29" s="10"/>
      <c r="AM29" s="165"/>
      <c r="AT29" s="1" t="s">
        <v>136</v>
      </c>
      <c r="AU29" s="3">
        <v>36</v>
      </c>
      <c r="AW29" s="165" t="s">
        <v>114</v>
      </c>
      <c r="AX29" s="8">
        <f>GETPIVOTDATA("Q +2",$AT$2,"Matière +2","Madrier de chêne")</f>
        <v>48</v>
      </c>
      <c r="AZ29" s="167"/>
      <c r="BA29" s="166">
        <f t="shared" si="3"/>
        <v>48</v>
      </c>
    </row>
    <row r="30" spans="2:53" ht="15.75" thickBot="1" x14ac:dyDescent="0.3">
      <c r="I30" s="171"/>
      <c r="J30" s="174"/>
      <c r="K30" s="174"/>
      <c r="L30" s="177"/>
      <c r="M30" s="169"/>
      <c r="N30" s="169"/>
      <c r="O30" s="169"/>
      <c r="P30" s="169"/>
      <c r="Q30" s="169"/>
      <c r="R30" s="112">
        <v>1</v>
      </c>
      <c r="S30" s="112">
        <f>M29</f>
        <v>21</v>
      </c>
      <c r="T30" s="20" t="s">
        <v>10</v>
      </c>
      <c r="U30" s="9"/>
      <c r="V30" s="9"/>
      <c r="W30" s="9" t="str">
        <v xml:space="preserve">Minerai d'étain </v>
      </c>
      <c r="X30" s="308">
        <f t="shared" si="2"/>
        <v>18</v>
      </c>
      <c r="Y30" s="9"/>
      <c r="Z30" s="1" t="s">
        <v>6</v>
      </c>
      <c r="AA30" s="3">
        <v>576</v>
      </c>
      <c r="AB30" s="104"/>
      <c r="AC30" s="165" t="s">
        <v>51</v>
      </c>
      <c r="AD30" s="8">
        <f>GETPIVOTDATA("Q",$Z$2,"Matière","Minerai d'étain ")</f>
        <v>18</v>
      </c>
      <c r="AE30" s="167"/>
      <c r="AF30" s="166">
        <f t="shared" si="4"/>
        <v>18</v>
      </c>
      <c r="AI30" s="10"/>
      <c r="AM30" s="165"/>
      <c r="AT30" s="1" t="s">
        <v>114</v>
      </c>
      <c r="AU30" s="3">
        <v>48</v>
      </c>
      <c r="AW30" s="165" t="s">
        <v>104</v>
      </c>
      <c r="AX30" s="8">
        <f>GETPIVOTDATA("Q +2",$AT$2,"Matière +2","Madrier de morta")</f>
        <v>96</v>
      </c>
      <c r="AZ30" s="167"/>
      <c r="BA30" s="166">
        <f t="shared" si="3"/>
        <v>96</v>
      </c>
    </row>
    <row r="31" spans="2:53" x14ac:dyDescent="0.25">
      <c r="I31" s="171"/>
      <c r="J31" s="174"/>
      <c r="K31" s="174"/>
      <c r="L31" s="176">
        <v>33</v>
      </c>
      <c r="M31" s="168">
        <f>L31*I24</f>
        <v>33</v>
      </c>
      <c r="N31" s="168" t="s">
        <v>63</v>
      </c>
      <c r="O31" s="168">
        <v>1</v>
      </c>
      <c r="P31" s="168">
        <f>M31</f>
        <v>33</v>
      </c>
      <c r="Q31" s="168" t="s">
        <v>62</v>
      </c>
      <c r="R31" s="111">
        <v>2</v>
      </c>
      <c r="S31" s="111">
        <f>R31*P31</f>
        <v>66</v>
      </c>
      <c r="T31" s="21" t="s">
        <v>14</v>
      </c>
      <c r="U31" s="9"/>
      <c r="V31" s="9"/>
      <c r="W31" s="9" t="str">
        <v>Minerai d'or</v>
      </c>
      <c r="X31" s="308">
        <f t="shared" si="2"/>
        <v>756</v>
      </c>
      <c r="Y31" s="9"/>
      <c r="Z31" s="1" t="s">
        <v>51</v>
      </c>
      <c r="AA31" s="3">
        <v>18</v>
      </c>
      <c r="AB31" s="104"/>
      <c r="AC31" s="165" t="s">
        <v>24</v>
      </c>
      <c r="AD31" s="8">
        <f>GETPIVOTDATA("Q",$Z$2,"Matière","Minerai d'or")</f>
        <v>756</v>
      </c>
      <c r="AE31" s="167"/>
      <c r="AF31" s="166">
        <f t="shared" si="4"/>
        <v>756</v>
      </c>
      <c r="AI31" s="10"/>
      <c r="AM31" s="165"/>
      <c r="AT31" s="1" t="s">
        <v>104</v>
      </c>
      <c r="AU31" s="3">
        <v>96</v>
      </c>
      <c r="AW31" s="165" t="s">
        <v>99</v>
      </c>
      <c r="AX31" s="8">
        <f>GETPIVOTDATA("Q +2",$AT$2,"Matière +2","Madrier de noyer")</f>
        <v>60</v>
      </c>
      <c r="AZ31" s="167"/>
      <c r="BA31" s="166">
        <f t="shared" si="3"/>
        <v>60</v>
      </c>
    </row>
    <row r="32" spans="2:53" ht="15.75" thickBot="1" x14ac:dyDescent="0.3">
      <c r="I32" s="171"/>
      <c r="J32" s="174"/>
      <c r="K32" s="174"/>
      <c r="L32" s="177"/>
      <c r="M32" s="169"/>
      <c r="N32" s="169"/>
      <c r="O32" s="169"/>
      <c r="P32" s="169"/>
      <c r="Q32" s="169"/>
      <c r="R32" s="112">
        <v>1</v>
      </c>
      <c r="S32" s="112">
        <f>P31</f>
        <v>33</v>
      </c>
      <c r="T32" s="20" t="s">
        <v>10</v>
      </c>
      <c r="U32" s="9"/>
      <c r="V32" s="9"/>
      <c r="W32" s="9" t="str">
        <v>Peau de sanglier</v>
      </c>
      <c r="X32" s="308">
        <f t="shared" si="2"/>
        <v>18</v>
      </c>
      <c r="Y32" s="9"/>
      <c r="Z32" s="1" t="s">
        <v>24</v>
      </c>
      <c r="AA32" s="3">
        <v>756</v>
      </c>
      <c r="AB32" s="104"/>
      <c r="AC32" s="165" t="s">
        <v>0</v>
      </c>
      <c r="AD32" s="8">
        <f>GETPIVOTDATA("Q",$Z$2,"Matière","Peau de sanglier")</f>
        <v>18</v>
      </c>
      <c r="AE32" s="167"/>
      <c r="AF32" s="166">
        <f t="shared" si="4"/>
        <v>18</v>
      </c>
      <c r="AI32" s="10"/>
      <c r="AM32" s="165"/>
      <c r="AT32" s="1" t="s">
        <v>99</v>
      </c>
      <c r="AU32" s="3">
        <v>60</v>
      </c>
      <c r="AW32" s="165" t="s">
        <v>66</v>
      </c>
      <c r="AX32" s="8">
        <f>GETPIVOTDATA("Q +2",$AT$2,"Matière +2","Madrier de palissandre")</f>
        <v>21</v>
      </c>
      <c r="AZ32" s="167"/>
      <c r="BA32" s="166">
        <f t="shared" si="3"/>
        <v>21</v>
      </c>
    </row>
    <row r="33" spans="9:53" x14ac:dyDescent="0.25">
      <c r="I33" s="171"/>
      <c r="J33" s="174"/>
      <c r="K33" s="174"/>
      <c r="L33" s="206">
        <v>6</v>
      </c>
      <c r="M33" s="208">
        <f>L33*$I$24</f>
        <v>6</v>
      </c>
      <c r="N33" s="208" t="s">
        <v>64</v>
      </c>
      <c r="O33" s="63">
        <v>2</v>
      </c>
      <c r="P33" s="132">
        <f>O33*M33</f>
        <v>12</v>
      </c>
      <c r="Q33" s="63" t="s">
        <v>53</v>
      </c>
      <c r="R33" s="132">
        <v>3</v>
      </c>
      <c r="S33" s="132">
        <f>R33*P33</f>
        <v>36</v>
      </c>
      <c r="T33" s="64" t="s">
        <v>25</v>
      </c>
      <c r="U33" s="9"/>
      <c r="V33" s="9"/>
      <c r="W33" s="9" t="str">
        <v>Peau de saurien</v>
      </c>
      <c r="X33" s="308">
        <f t="shared" si="2"/>
        <v>6</v>
      </c>
      <c r="Y33" s="9"/>
      <c r="Z33" s="1" t="s">
        <v>0</v>
      </c>
      <c r="AA33" s="3">
        <v>18</v>
      </c>
      <c r="AB33" s="104"/>
      <c r="AC33" s="165" t="s">
        <v>69</v>
      </c>
      <c r="AD33" s="8">
        <f>GETPIVOTDATA("Q",$Z$2,"Matière","Peau de saurien")</f>
        <v>6</v>
      </c>
      <c r="AE33" s="167"/>
      <c r="AF33" s="166">
        <f t="shared" si="4"/>
        <v>6</v>
      </c>
      <c r="AI33" s="10"/>
      <c r="AM33" s="165"/>
      <c r="AT33" s="1" t="s">
        <v>66</v>
      </c>
      <c r="AU33" s="3">
        <v>21</v>
      </c>
      <c r="AW33" s="165" t="s">
        <v>37</v>
      </c>
      <c r="AX33" s="8">
        <f>GETPIVOTDATA("Q +2",$AT$2,"Matière +2","Madrier d'épicéa")</f>
        <v>126</v>
      </c>
      <c r="AY33" s="8">
        <f>AX33+AM15</f>
        <v>222</v>
      </c>
      <c r="AZ33" s="167"/>
      <c r="BA33" s="166">
        <f t="shared" si="3"/>
        <v>126</v>
      </c>
    </row>
    <row r="34" spans="9:53" ht="15.75" thickBot="1" x14ac:dyDescent="0.3">
      <c r="I34" s="171"/>
      <c r="J34" s="174"/>
      <c r="K34" s="174"/>
      <c r="L34" s="207"/>
      <c r="M34" s="209"/>
      <c r="N34" s="209"/>
      <c r="O34" s="65"/>
      <c r="P34" s="65"/>
      <c r="Q34" s="65"/>
      <c r="R34" s="133">
        <v>9</v>
      </c>
      <c r="S34" s="133">
        <f>R34*M33</f>
        <v>54</v>
      </c>
      <c r="T34" s="66" t="s">
        <v>67</v>
      </c>
      <c r="U34" s="9"/>
      <c r="V34" s="9"/>
      <c r="W34" s="9" t="str">
        <v>Peau de wyverne</v>
      </c>
      <c r="X34" s="308">
        <f t="shared" si="2"/>
        <v>108</v>
      </c>
      <c r="Y34" s="9"/>
      <c r="Z34" s="1" t="s">
        <v>69</v>
      </c>
      <c r="AA34" s="3">
        <v>6</v>
      </c>
      <c r="AB34" s="104"/>
      <c r="AC34" s="165" t="s">
        <v>1</v>
      </c>
      <c r="AD34" s="8">
        <f>GETPIVOTDATA("Q",$Z$2,"Matière","Peau de wyverne")</f>
        <v>108</v>
      </c>
      <c r="AE34" s="167"/>
      <c r="AF34" s="166">
        <f t="shared" si="4"/>
        <v>108</v>
      </c>
      <c r="AI34" s="10"/>
      <c r="AM34" s="165"/>
      <c r="AT34" s="1" t="s">
        <v>37</v>
      </c>
      <c r="AU34" s="3">
        <v>126</v>
      </c>
      <c r="AW34" s="165" t="s">
        <v>102</v>
      </c>
      <c r="AX34" s="8">
        <f>GETPIVOTDATA("Q +2",$AT$2,"Matière +2","Madrier d'épicéa durci")</f>
        <v>48</v>
      </c>
      <c r="AZ34" s="167"/>
      <c r="BA34" s="166">
        <f t="shared" si="3"/>
        <v>48</v>
      </c>
    </row>
    <row r="35" spans="9:53" ht="14.25" customHeight="1" x14ac:dyDescent="0.25">
      <c r="I35" s="171"/>
      <c r="J35" s="174"/>
      <c r="K35" s="174"/>
      <c r="L35" s="202">
        <v>6</v>
      </c>
      <c r="M35" s="204">
        <f>L35*I24</f>
        <v>6</v>
      </c>
      <c r="N35" s="204" t="s">
        <v>97</v>
      </c>
      <c r="O35" s="204"/>
      <c r="P35" s="204"/>
      <c r="Q35" s="204"/>
      <c r="R35" s="141">
        <v>1</v>
      </c>
      <c r="S35" s="141">
        <f>M35</f>
        <v>6</v>
      </c>
      <c r="T35" s="34" t="s">
        <v>68</v>
      </c>
      <c r="U35" s="9"/>
      <c r="V35" s="9"/>
      <c r="W35" s="9" t="str">
        <v>Peau d'hippogriffe</v>
      </c>
      <c r="X35" s="308">
        <f t="shared" si="2"/>
        <v>12</v>
      </c>
      <c r="Y35" s="9"/>
      <c r="Z35" s="1" t="s">
        <v>1</v>
      </c>
      <c r="AA35" s="3">
        <v>108</v>
      </c>
      <c r="AB35" s="104"/>
      <c r="AC35" s="165" t="s">
        <v>72</v>
      </c>
      <c r="AD35" s="8">
        <f>GETPIVOTDATA("Q",$Z$2,"Matière","Peau d'hippogriffe")</f>
        <v>12</v>
      </c>
      <c r="AE35" s="167"/>
      <c r="AF35" s="166">
        <f t="shared" si="4"/>
        <v>12</v>
      </c>
      <c r="AI35" s="10"/>
      <c r="AM35" s="165"/>
      <c r="AT35" s="1" t="s">
        <v>102</v>
      </c>
      <c r="AU35" s="3">
        <v>48</v>
      </c>
      <c r="AW35" s="165" t="s">
        <v>34</v>
      </c>
      <c r="AX35" s="8">
        <f>GETPIVOTDATA("Q +2",$AT$2,"Matière +2","Madrier d'if")</f>
        <v>18</v>
      </c>
      <c r="AZ35" s="167"/>
      <c r="BA35" s="166">
        <f t="shared" si="3"/>
        <v>18</v>
      </c>
    </row>
    <row r="36" spans="9:53" ht="14.25" customHeight="1" thickBot="1" x14ac:dyDescent="0.3">
      <c r="I36" s="171"/>
      <c r="J36" s="174"/>
      <c r="K36" s="174"/>
      <c r="L36" s="203"/>
      <c r="M36" s="205"/>
      <c r="N36" s="205"/>
      <c r="O36" s="205"/>
      <c r="P36" s="205"/>
      <c r="Q36" s="205"/>
      <c r="R36" s="142">
        <v>1</v>
      </c>
      <c r="S36" s="142">
        <f>M35</f>
        <v>6</v>
      </c>
      <c r="T36" s="35" t="s">
        <v>69</v>
      </c>
      <c r="U36" s="9"/>
      <c r="V36" s="9"/>
      <c r="W36" s="9" t="str">
        <v>Peau d'Uraeus</v>
      </c>
      <c r="X36" s="308">
        <f t="shared" si="2"/>
        <v>48</v>
      </c>
      <c r="Y36" s="9"/>
      <c r="Z36" s="1" t="s">
        <v>72</v>
      </c>
      <c r="AA36" s="3">
        <v>12</v>
      </c>
      <c r="AB36" s="104"/>
      <c r="AC36" s="165" t="s">
        <v>91</v>
      </c>
      <c r="AD36" s="8">
        <f>GETPIVOTDATA("Q",$Z$2,"Matière","Peau d'Uraeus")</f>
        <v>48</v>
      </c>
      <c r="AE36" s="167"/>
      <c r="AF36" s="166">
        <f t="shared" si="4"/>
        <v>48</v>
      </c>
      <c r="AI36" s="10"/>
      <c r="AM36" s="165"/>
      <c r="AT36" s="1" t="s">
        <v>34</v>
      </c>
      <c r="AU36" s="3">
        <v>18</v>
      </c>
      <c r="AW36" s="165" t="s">
        <v>83</v>
      </c>
      <c r="AX36" s="8">
        <f>GETPIVOTDATA("Q +2",$AT$2,"Matière +2","Patte en acier")</f>
        <v>234</v>
      </c>
      <c r="AZ36" s="167"/>
      <c r="BA36" s="166">
        <f t="shared" si="3"/>
        <v>234</v>
      </c>
    </row>
    <row r="37" spans="9:53" x14ac:dyDescent="0.25">
      <c r="I37" s="171"/>
      <c r="J37" s="174"/>
      <c r="K37" s="174"/>
      <c r="L37" s="196">
        <v>6</v>
      </c>
      <c r="M37" s="199">
        <f>L37*I24</f>
        <v>6</v>
      </c>
      <c r="N37" s="199" t="s">
        <v>96</v>
      </c>
      <c r="O37" s="199">
        <v>2</v>
      </c>
      <c r="P37" s="199">
        <f>O37*M37</f>
        <v>12</v>
      </c>
      <c r="Q37" s="199" t="s">
        <v>70</v>
      </c>
      <c r="R37" s="143">
        <v>1</v>
      </c>
      <c r="S37" s="143">
        <f>P37</f>
        <v>12</v>
      </c>
      <c r="T37" s="38" t="s">
        <v>72</v>
      </c>
      <c r="U37" s="9"/>
      <c r="V37" s="9"/>
      <c r="W37" s="9" t="str">
        <v>Pierre à aiguiser sédimentaire</v>
      </c>
      <c r="X37" s="308">
        <f t="shared" si="2"/>
        <v>324</v>
      </c>
      <c r="Y37" s="9"/>
      <c r="Z37" s="1" t="s">
        <v>91</v>
      </c>
      <c r="AA37" s="3">
        <v>48</v>
      </c>
      <c r="AB37" s="104"/>
      <c r="AC37" s="165" t="s">
        <v>139</v>
      </c>
      <c r="AD37" s="8">
        <f>GETPIVOTDATA("Q",$Z$2,"Matière","Pierre à aiguiser sédimentaire")</f>
        <v>324</v>
      </c>
      <c r="AE37" s="167"/>
      <c r="AF37" s="166">
        <f t="shared" si="4"/>
        <v>324</v>
      </c>
      <c r="AI37" s="10"/>
      <c r="AM37" s="165"/>
      <c r="AT37" s="1" t="s">
        <v>83</v>
      </c>
      <c r="AU37" s="3">
        <v>234</v>
      </c>
      <c r="AW37" s="165" t="s">
        <v>82</v>
      </c>
      <c r="AX37" s="8">
        <f>GETPIVOTDATA("Q +2",$AT$2,"Matière +2","Patte en cobalt")</f>
        <v>420</v>
      </c>
      <c r="AZ37" s="167"/>
      <c r="BA37" s="166">
        <f t="shared" si="3"/>
        <v>420</v>
      </c>
    </row>
    <row r="38" spans="9:53" x14ac:dyDescent="0.25">
      <c r="I38" s="171"/>
      <c r="J38" s="174"/>
      <c r="K38" s="174"/>
      <c r="L38" s="197"/>
      <c r="M38" s="200"/>
      <c r="N38" s="200"/>
      <c r="O38" s="200"/>
      <c r="P38" s="200"/>
      <c r="Q38" s="200"/>
      <c r="R38" s="144">
        <v>1</v>
      </c>
      <c r="S38" s="144">
        <f>P37</f>
        <v>12</v>
      </c>
      <c r="T38" s="39" t="s">
        <v>7</v>
      </c>
      <c r="U38" s="9"/>
      <c r="V38" s="9"/>
      <c r="W38" s="9" t="str">
        <v>Potasse</v>
      </c>
      <c r="X38" s="308">
        <f t="shared" si="2"/>
        <v>378</v>
      </c>
      <c r="Y38" s="9"/>
      <c r="Z38" s="1" t="s">
        <v>139</v>
      </c>
      <c r="AA38" s="3">
        <v>324</v>
      </c>
      <c r="AB38" s="104"/>
      <c r="AC38" s="165" t="s">
        <v>74</v>
      </c>
      <c r="AD38" s="8">
        <f>GETPIVOTDATA("Q",$Z$2,"Matière","Potasse")</f>
        <v>378</v>
      </c>
      <c r="AE38" s="167"/>
      <c r="AF38" s="166">
        <f t="shared" si="4"/>
        <v>378</v>
      </c>
      <c r="AI38" s="10"/>
      <c r="AM38" s="165"/>
      <c r="AT38" s="1" t="s">
        <v>82</v>
      </c>
      <c r="AU38" s="3">
        <v>420</v>
      </c>
      <c r="AW38" s="165" t="s">
        <v>53</v>
      </c>
      <c r="AX38" s="8">
        <f>GETPIVOTDATA("Q +2",$AT$2,"Matière +2","Pépite de sombracier")</f>
        <v>93</v>
      </c>
      <c r="AY38" s="8">
        <f>AM18+AX38</f>
        <v>921</v>
      </c>
      <c r="AZ38" s="167"/>
      <c r="BA38" s="166">
        <f t="shared" si="3"/>
        <v>93</v>
      </c>
    </row>
    <row r="39" spans="9:53" ht="15.75" thickBot="1" x14ac:dyDescent="0.3">
      <c r="I39" s="171"/>
      <c r="J39" s="174"/>
      <c r="K39" s="174"/>
      <c r="L39" s="198"/>
      <c r="M39" s="201"/>
      <c r="N39" s="201"/>
      <c r="O39" s="145"/>
      <c r="P39" s="145"/>
      <c r="Q39" s="145"/>
      <c r="R39" s="145">
        <v>9</v>
      </c>
      <c r="S39" s="145">
        <f>R39*M37</f>
        <v>54</v>
      </c>
      <c r="T39" s="40" t="s">
        <v>71</v>
      </c>
      <c r="U39" s="9"/>
      <c r="V39" s="9"/>
      <c r="W39" s="9" t="str">
        <v>Rondin d'acajou</v>
      </c>
      <c r="X39" s="308">
        <f t="shared" si="2"/>
        <v>54</v>
      </c>
      <c r="Y39" s="9"/>
      <c r="Z39" s="1" t="s">
        <v>74</v>
      </c>
      <c r="AA39" s="3">
        <v>378</v>
      </c>
      <c r="AB39" s="104"/>
      <c r="AC39" s="165" t="s">
        <v>19</v>
      </c>
      <c r="AD39" s="8">
        <f>GETPIVOTDATA("Q",$Z$2,"Matière","Rondin d'acajou")</f>
        <v>54</v>
      </c>
      <c r="AE39" s="167"/>
      <c r="AF39" s="166">
        <f t="shared" si="4"/>
        <v>54</v>
      </c>
      <c r="AI39" s="10"/>
      <c r="AM39" s="165"/>
      <c r="AT39" s="1" t="s">
        <v>53</v>
      </c>
      <c r="AU39" s="3">
        <v>93</v>
      </c>
      <c r="AW39" s="165" t="s">
        <v>116</v>
      </c>
      <c r="AX39" s="8">
        <f>GETPIVOTDATA("Q +2",$AT$2,"Matière +2","Plaque d'acier")</f>
        <v>48</v>
      </c>
      <c r="AZ39" s="167"/>
      <c r="BA39" s="166">
        <f t="shared" si="3"/>
        <v>48</v>
      </c>
    </row>
    <row r="40" spans="9:53" x14ac:dyDescent="0.25">
      <c r="I40" s="171"/>
      <c r="J40" s="174"/>
      <c r="K40" s="174"/>
      <c r="L40" s="184">
        <v>18</v>
      </c>
      <c r="M40" s="187">
        <f>L40*I24</f>
        <v>18</v>
      </c>
      <c r="N40" s="187" t="s">
        <v>44</v>
      </c>
      <c r="O40" s="134">
        <v>2</v>
      </c>
      <c r="P40" s="134">
        <f>O40*M40/2</f>
        <v>18</v>
      </c>
      <c r="Q40" s="134" t="s">
        <v>141</v>
      </c>
      <c r="R40" s="134">
        <v>2</v>
      </c>
      <c r="S40" s="134">
        <f>R40*P40</f>
        <v>36</v>
      </c>
      <c r="T40" s="30" t="s">
        <v>21</v>
      </c>
      <c r="U40" s="9"/>
      <c r="V40" s="9"/>
      <c r="W40" s="9" t="str">
        <v>Rondin de cèdre</v>
      </c>
      <c r="X40" s="308">
        <f t="shared" si="2"/>
        <v>270</v>
      </c>
      <c r="Y40" s="9"/>
      <c r="Z40" s="1" t="s">
        <v>19</v>
      </c>
      <c r="AA40" s="3">
        <v>54</v>
      </c>
      <c r="AB40" s="104"/>
      <c r="AC40" s="165" t="s">
        <v>17</v>
      </c>
      <c r="AD40" s="8">
        <f>GETPIVOTDATA("Q",$Z$2,"Matière","Rondin de cèdre")</f>
        <v>270</v>
      </c>
      <c r="AE40" s="167"/>
      <c r="AF40" s="166">
        <f t="shared" si="4"/>
        <v>270</v>
      </c>
      <c r="AI40" s="10"/>
      <c r="AM40" s="165"/>
      <c r="AT40" s="1" t="s">
        <v>116</v>
      </c>
      <c r="AU40" s="3">
        <v>48</v>
      </c>
      <c r="AW40" s="165" t="s">
        <v>39</v>
      </c>
      <c r="AX40" s="8">
        <f>GETPIVOTDATA("Q +2",$AT$2,"Matière +2","Plaque de mithril")</f>
        <v>54</v>
      </c>
      <c r="AZ40" s="167"/>
      <c r="BA40" s="166">
        <f t="shared" si="3"/>
        <v>54</v>
      </c>
    </row>
    <row r="41" spans="9:53" x14ac:dyDescent="0.25">
      <c r="I41" s="171"/>
      <c r="J41" s="174"/>
      <c r="K41" s="174"/>
      <c r="L41" s="185"/>
      <c r="M41" s="188"/>
      <c r="N41" s="188"/>
      <c r="O41" s="109">
        <v>1</v>
      </c>
      <c r="P41" s="109">
        <f>M40</f>
        <v>18</v>
      </c>
      <c r="Q41" s="109" t="s">
        <v>54</v>
      </c>
      <c r="R41" s="109">
        <v>2</v>
      </c>
      <c r="S41" s="109">
        <f>R41*P41</f>
        <v>36</v>
      </c>
      <c r="T41" s="7" t="s">
        <v>56</v>
      </c>
      <c r="U41" s="9"/>
      <c r="V41" s="9"/>
      <c r="W41" s="9" t="str">
        <v>Rondin de chêne</v>
      </c>
      <c r="X41" s="308">
        <f t="shared" si="2"/>
        <v>144</v>
      </c>
      <c r="Y41" s="9"/>
      <c r="Z41" s="1" t="s">
        <v>17</v>
      </c>
      <c r="AA41" s="3">
        <v>270</v>
      </c>
      <c r="AB41" s="104"/>
      <c r="AC41" s="165" t="s">
        <v>20</v>
      </c>
      <c r="AD41" s="8">
        <f>GETPIVOTDATA("Q",$Z$2,"Matière","Rondin de chêne")</f>
        <v>144</v>
      </c>
      <c r="AE41" s="167"/>
      <c r="AF41" s="166">
        <f t="shared" si="4"/>
        <v>144</v>
      </c>
      <c r="AI41" s="10"/>
      <c r="AM41" s="165"/>
      <c r="AT41" s="1" t="s">
        <v>39</v>
      </c>
      <c r="AU41" s="3">
        <v>54</v>
      </c>
      <c r="AW41" s="165" t="s">
        <v>42</v>
      </c>
      <c r="AX41" s="8">
        <f>GETPIVOTDATA("Q +2",$AT$2,"Matière +2","Plaque de sombracier")</f>
        <v>90</v>
      </c>
      <c r="AZ41" s="167"/>
      <c r="BA41" s="166">
        <f t="shared" si="3"/>
        <v>90</v>
      </c>
    </row>
    <row r="42" spans="9:53" ht="15.75" thickBot="1" x14ac:dyDescent="0.3">
      <c r="I42" s="171"/>
      <c r="J42" s="174"/>
      <c r="K42" s="174"/>
      <c r="L42" s="186"/>
      <c r="M42" s="189"/>
      <c r="N42" s="189"/>
      <c r="O42" s="135">
        <v>1</v>
      </c>
      <c r="P42" s="135">
        <f>M40</f>
        <v>18</v>
      </c>
      <c r="Q42" s="135" t="s">
        <v>55</v>
      </c>
      <c r="R42" s="135">
        <v>3</v>
      </c>
      <c r="S42" s="135">
        <f>R42*P42</f>
        <v>54</v>
      </c>
      <c r="T42" s="31" t="s">
        <v>57</v>
      </c>
      <c r="U42" s="9"/>
      <c r="V42" s="9"/>
      <c r="W42" s="9" t="str">
        <v>Rondin de noyer</v>
      </c>
      <c r="X42" s="308">
        <f t="shared" si="2"/>
        <v>180</v>
      </c>
      <c r="Y42" s="9"/>
      <c r="Z42" s="1" t="s">
        <v>20</v>
      </c>
      <c r="AA42" s="3">
        <v>144</v>
      </c>
      <c r="AB42" s="104"/>
      <c r="AC42" s="165" t="s">
        <v>22</v>
      </c>
      <c r="AD42" s="8">
        <f>GETPIVOTDATA("Q",$Z$2,"Matière","Rondin de noyer")</f>
        <v>180</v>
      </c>
      <c r="AE42" s="167"/>
      <c r="AF42" s="166">
        <f t="shared" si="4"/>
        <v>180</v>
      </c>
      <c r="AI42" s="10"/>
      <c r="AM42" s="165"/>
      <c r="AT42" s="1" t="s">
        <v>42</v>
      </c>
      <c r="AU42" s="3">
        <v>90</v>
      </c>
      <c r="AW42" s="165" t="s">
        <v>119</v>
      </c>
      <c r="AX42" s="8">
        <f>GETPIVOTDATA("Q +2",$AT$2,"Matière +2","Plaque de verre incolore")</f>
        <v>120</v>
      </c>
      <c r="AZ42" s="167"/>
      <c r="BA42" s="166">
        <f t="shared" si="3"/>
        <v>120</v>
      </c>
    </row>
    <row r="43" spans="9:53" x14ac:dyDescent="0.25">
      <c r="I43" s="171"/>
      <c r="J43" s="174"/>
      <c r="K43" s="174"/>
      <c r="L43" s="215">
        <v>6</v>
      </c>
      <c r="M43" s="218">
        <f>L43*I24</f>
        <v>6</v>
      </c>
      <c r="N43" s="218" t="s">
        <v>65</v>
      </c>
      <c r="O43" s="218">
        <v>2</v>
      </c>
      <c r="P43" s="218">
        <f>O43*M43</f>
        <v>12</v>
      </c>
      <c r="Q43" s="218" t="s">
        <v>73</v>
      </c>
      <c r="R43" s="138">
        <v>2</v>
      </c>
      <c r="S43" s="138">
        <f>R43*P43</f>
        <v>24</v>
      </c>
      <c r="T43" s="46" t="s">
        <v>75</v>
      </c>
      <c r="U43" s="9"/>
      <c r="V43" s="9"/>
      <c r="W43" s="9" t="str">
        <v>Rondin de palissandre</v>
      </c>
      <c r="X43" s="308">
        <f t="shared" si="2"/>
        <v>63</v>
      </c>
      <c r="Y43" s="9"/>
      <c r="Z43" s="1" t="s">
        <v>22</v>
      </c>
      <c r="AA43" s="3">
        <v>180</v>
      </c>
      <c r="AB43" s="104"/>
      <c r="AC43" s="165" t="s">
        <v>18</v>
      </c>
      <c r="AD43" s="8">
        <f>GETPIVOTDATA("Q",$Z$2,"Matière","Rondin de palissandre")</f>
        <v>63</v>
      </c>
      <c r="AE43" s="167"/>
      <c r="AF43" s="166">
        <f t="shared" si="4"/>
        <v>63</v>
      </c>
      <c r="AI43" s="10"/>
      <c r="AM43" s="165"/>
      <c r="AT43" s="1" t="s">
        <v>119</v>
      </c>
      <c r="AU43" s="3">
        <v>120</v>
      </c>
      <c r="AW43" s="165" t="s">
        <v>63</v>
      </c>
      <c r="AX43" s="8">
        <f>GETPIVOTDATA("Q +2",$AT$2,"Matière +2","Rivets en acier")</f>
        <v>699</v>
      </c>
      <c r="AZ43" s="167"/>
      <c r="BA43" s="166">
        <f t="shared" si="3"/>
        <v>699</v>
      </c>
    </row>
    <row r="44" spans="9:53" x14ac:dyDescent="0.25">
      <c r="I44" s="171"/>
      <c r="J44" s="174"/>
      <c r="K44" s="174"/>
      <c r="L44" s="216"/>
      <c r="M44" s="219"/>
      <c r="N44" s="219"/>
      <c r="O44" s="219"/>
      <c r="P44" s="219"/>
      <c r="Q44" s="219"/>
      <c r="R44" s="139">
        <v>1</v>
      </c>
      <c r="S44" s="139">
        <f>P43</f>
        <v>12</v>
      </c>
      <c r="T44" s="47" t="s">
        <v>12</v>
      </c>
      <c r="U44" s="9"/>
      <c r="V44" s="9"/>
      <c r="W44" s="9" t="str">
        <v>Rondin d'épicéa</v>
      </c>
      <c r="X44" s="308">
        <f t="shared" si="2"/>
        <v>666</v>
      </c>
      <c r="Y44" s="9"/>
      <c r="Z44" s="1" t="s">
        <v>18</v>
      </c>
      <c r="AA44" s="3">
        <v>63</v>
      </c>
      <c r="AB44" s="104"/>
      <c r="AC44" s="165" t="s">
        <v>49</v>
      </c>
      <c r="AD44" s="8">
        <f>GETPIVOTDATA("Q",$Z$2,"Matière","Rondin d'épicéa")</f>
        <v>666</v>
      </c>
      <c r="AE44" s="167"/>
      <c r="AF44" s="166">
        <f t="shared" si="4"/>
        <v>666</v>
      </c>
      <c r="AI44" s="10"/>
      <c r="AM44" s="165"/>
      <c r="AT44" s="1" t="s">
        <v>63</v>
      </c>
      <c r="AU44" s="3">
        <v>699</v>
      </c>
      <c r="AW44" s="165" t="s">
        <v>38</v>
      </c>
      <c r="AX44" s="8">
        <f>GETPIVOTDATA("Q +2",$AT$2,"Matière +2","Rivets en bronze")</f>
        <v>18</v>
      </c>
      <c r="AZ44" s="167"/>
      <c r="BA44" s="166">
        <f t="shared" si="3"/>
        <v>18</v>
      </c>
    </row>
    <row r="45" spans="9:53" ht="15.75" thickBot="1" x14ac:dyDescent="0.3">
      <c r="I45" s="172"/>
      <c r="J45" s="175"/>
      <c r="K45" s="175"/>
      <c r="L45" s="217"/>
      <c r="M45" s="220"/>
      <c r="N45" s="220"/>
      <c r="O45" s="140"/>
      <c r="P45" s="140"/>
      <c r="Q45" s="140"/>
      <c r="R45" s="140">
        <v>9</v>
      </c>
      <c r="S45" s="140">
        <f>R45*M43</f>
        <v>54</v>
      </c>
      <c r="T45" s="48" t="s">
        <v>74</v>
      </c>
      <c r="U45" s="9"/>
      <c r="V45" s="9"/>
      <c r="W45" s="9" t="str">
        <v>Rondin d'if</v>
      </c>
      <c r="X45" s="308">
        <f t="shared" si="2"/>
        <v>54</v>
      </c>
      <c r="Y45" s="9"/>
      <c r="Z45" s="1" t="s">
        <v>49</v>
      </c>
      <c r="AA45" s="3">
        <v>666</v>
      </c>
      <c r="AB45" s="104"/>
      <c r="AC45" s="165" t="s">
        <v>23</v>
      </c>
      <c r="AD45" s="8">
        <f>GETPIVOTDATA("Q",$Z$2,"Matière","Rondin d'if")</f>
        <v>54</v>
      </c>
      <c r="AE45" s="167"/>
      <c r="AF45" s="166">
        <f t="shared" si="4"/>
        <v>54</v>
      </c>
      <c r="AI45" s="10"/>
      <c r="AM45" s="165"/>
      <c r="AT45" s="1" t="s">
        <v>38</v>
      </c>
      <c r="AU45" s="3">
        <v>18</v>
      </c>
      <c r="AW45" s="165" t="s">
        <v>41</v>
      </c>
      <c r="AX45" s="8">
        <f>GETPIVOTDATA("Q +2",$AT$2,"Matière +2","Rivets en cobalt")</f>
        <v>270</v>
      </c>
      <c r="AZ45" s="167"/>
      <c r="BA45" s="166">
        <f t="shared" si="3"/>
        <v>270</v>
      </c>
    </row>
    <row r="46" spans="9:53" ht="15.75" thickTop="1" x14ac:dyDescent="0.25">
      <c r="I46" s="211">
        <f>E6</f>
        <v>1</v>
      </c>
      <c r="J46" s="173" t="s">
        <v>81</v>
      </c>
      <c r="K46" s="173" t="s">
        <v>77</v>
      </c>
      <c r="L46" s="214">
        <v>48</v>
      </c>
      <c r="M46" s="210">
        <f>L46*I46</f>
        <v>48</v>
      </c>
      <c r="N46" s="210" t="s">
        <v>62</v>
      </c>
      <c r="O46" s="210"/>
      <c r="P46" s="210"/>
      <c r="Q46" s="210"/>
      <c r="R46" s="126">
        <v>2</v>
      </c>
      <c r="S46" s="126">
        <f>R46*M46</f>
        <v>96</v>
      </c>
      <c r="T46" s="13" t="s">
        <v>14</v>
      </c>
      <c r="U46" s="9"/>
      <c r="V46" s="9"/>
      <c r="W46" s="9" t="str">
        <v>Rondin pétrifié</v>
      </c>
      <c r="X46" s="308">
        <f t="shared" si="2"/>
        <v>96</v>
      </c>
      <c r="Y46" s="9"/>
      <c r="Z46" s="1" t="s">
        <v>23</v>
      </c>
      <c r="AA46" s="3">
        <v>54</v>
      </c>
      <c r="AB46" s="104"/>
      <c r="AC46" s="165" t="s">
        <v>109</v>
      </c>
      <c r="AD46" s="8">
        <f>GETPIVOTDATA("Q",$Z$2,"Matière","Rondin pétrifié")</f>
        <v>96</v>
      </c>
      <c r="AE46" s="167"/>
      <c r="AF46" s="166">
        <f t="shared" si="4"/>
        <v>96</v>
      </c>
      <c r="AI46" s="10"/>
      <c r="AM46" s="165"/>
      <c r="AT46" s="1" t="s">
        <v>41</v>
      </c>
      <c r="AU46" s="3">
        <v>270</v>
      </c>
      <c r="AW46" s="165" t="s">
        <v>61</v>
      </c>
      <c r="AX46" s="8">
        <f>GETPIVOTDATA("Q +2",$AT$2,"Matière +2","Rivets en fer")</f>
        <v>222</v>
      </c>
      <c r="AZ46" s="167"/>
      <c r="BA46" s="166">
        <f t="shared" si="3"/>
        <v>222</v>
      </c>
    </row>
    <row r="47" spans="9:53" ht="15.75" thickBot="1" x14ac:dyDescent="0.3">
      <c r="I47" s="212"/>
      <c r="J47" s="174"/>
      <c r="K47" s="174"/>
      <c r="L47" s="177"/>
      <c r="M47" s="169"/>
      <c r="N47" s="169"/>
      <c r="O47" s="169"/>
      <c r="P47" s="169"/>
      <c r="Q47" s="169"/>
      <c r="R47" s="112">
        <v>1</v>
      </c>
      <c r="S47" s="112">
        <f>M46</f>
        <v>48</v>
      </c>
      <c r="T47" s="20" t="s">
        <v>10</v>
      </c>
      <c r="U47" s="9"/>
      <c r="V47" s="9"/>
      <c r="W47" s="9" t="str">
        <v>Sable de mithrite</v>
      </c>
      <c r="X47" s="308">
        <f t="shared" si="2"/>
        <v>690</v>
      </c>
      <c r="Y47" s="9"/>
      <c r="Z47" s="1" t="s">
        <v>109</v>
      </c>
      <c r="AA47" s="3">
        <v>96</v>
      </c>
      <c r="AB47" s="104"/>
      <c r="AC47" s="165" t="s">
        <v>27</v>
      </c>
      <c r="AD47" s="8">
        <f>GETPIVOTDATA("Q",$Z$2,"Matière","Sable de mithrite")</f>
        <v>690</v>
      </c>
      <c r="AE47" s="167"/>
      <c r="AF47" s="166">
        <f t="shared" si="4"/>
        <v>690</v>
      </c>
      <c r="AI47" s="10"/>
      <c r="AM47" s="165"/>
      <c r="AT47" s="1" t="s">
        <v>61</v>
      </c>
      <c r="AU47" s="3">
        <v>222</v>
      </c>
      <c r="AW47" s="165" t="s">
        <v>84</v>
      </c>
      <c r="AX47" s="8">
        <f>GETPIVOTDATA("Q +2",$AT$2,"Matière +2","Rivets en mithril")</f>
        <v>462</v>
      </c>
      <c r="AZ47" s="167"/>
      <c r="BA47" s="166">
        <f t="shared" si="3"/>
        <v>462</v>
      </c>
    </row>
    <row r="48" spans="9:53" x14ac:dyDescent="0.25">
      <c r="I48" s="212"/>
      <c r="J48" s="174"/>
      <c r="K48" s="174"/>
      <c r="L48" s="176">
        <v>24</v>
      </c>
      <c r="M48" s="168">
        <f>L48*I46</f>
        <v>24</v>
      </c>
      <c r="N48" s="168" t="s">
        <v>63</v>
      </c>
      <c r="O48" s="168">
        <v>1</v>
      </c>
      <c r="P48" s="168">
        <f>M48</f>
        <v>24</v>
      </c>
      <c r="Q48" s="168" t="s">
        <v>62</v>
      </c>
      <c r="R48" s="111">
        <v>2</v>
      </c>
      <c r="S48" s="111">
        <f>R48*P48</f>
        <v>48</v>
      </c>
      <c r="T48" s="21" t="s">
        <v>14</v>
      </c>
      <c r="U48" s="9"/>
      <c r="V48" s="9"/>
      <c r="W48" s="9" t="str">
        <v>Sel gemme</v>
      </c>
      <c r="X48" s="308">
        <f t="shared" si="2"/>
        <v>120</v>
      </c>
      <c r="Y48" s="9"/>
      <c r="Z48" s="1" t="s">
        <v>27</v>
      </c>
      <c r="AA48" s="3">
        <v>690</v>
      </c>
      <c r="AB48" s="104"/>
      <c r="AC48" s="165" t="s">
        <v>15</v>
      </c>
      <c r="AD48" s="8">
        <f>GETPIVOTDATA("Q",$Z$2,"Matière","Sel gemme")</f>
        <v>120</v>
      </c>
      <c r="AE48" s="167"/>
      <c r="AF48" s="166">
        <f t="shared" si="4"/>
        <v>120</v>
      </c>
      <c r="AI48"/>
      <c r="AM48" s="165"/>
      <c r="AT48" s="1" t="s">
        <v>84</v>
      </c>
      <c r="AU48" s="3">
        <v>462</v>
      </c>
      <c r="AW48" s="165" t="s">
        <v>122</v>
      </c>
      <c r="AX48" s="8">
        <f>GETPIVOTDATA("Q +2",$AT$2,"Matière +2","Rivets en sombracier")</f>
        <v>84</v>
      </c>
      <c r="AZ48" s="167"/>
      <c r="BA48" s="166">
        <f t="shared" si="3"/>
        <v>84</v>
      </c>
    </row>
    <row r="49" spans="9:53" ht="15.75" thickBot="1" x14ac:dyDescent="0.3">
      <c r="I49" s="212"/>
      <c r="J49" s="174"/>
      <c r="K49" s="174"/>
      <c r="L49" s="177"/>
      <c r="M49" s="169"/>
      <c r="N49" s="169"/>
      <c r="O49" s="169"/>
      <c r="P49" s="169"/>
      <c r="Q49" s="169"/>
      <c r="R49" s="112">
        <v>1</v>
      </c>
      <c r="S49" s="112">
        <f>P48</f>
        <v>24</v>
      </c>
      <c r="T49" s="20" t="s">
        <v>10</v>
      </c>
      <c r="U49" s="9"/>
      <c r="V49" s="9"/>
      <c r="W49" s="9" t="str">
        <v>Sève durcie</v>
      </c>
      <c r="X49" s="308">
        <f t="shared" si="2"/>
        <v>432</v>
      </c>
      <c r="Y49" s="9"/>
      <c r="Z49" s="1" t="s">
        <v>15</v>
      </c>
      <c r="AA49" s="3">
        <v>120</v>
      </c>
      <c r="AB49" s="104"/>
      <c r="AC49" s="165" t="s">
        <v>108</v>
      </c>
      <c r="AD49" s="8">
        <f>GETPIVOTDATA("Q",$Z$2,"Matière","Sève durcie")</f>
        <v>432</v>
      </c>
      <c r="AE49" s="167"/>
      <c r="AF49" s="166">
        <f t="shared" si="4"/>
        <v>432</v>
      </c>
      <c r="AM49" s="165"/>
      <c r="AT49" s="1" t="s">
        <v>122</v>
      </c>
      <c r="AU49" s="3">
        <v>84</v>
      </c>
      <c r="AW49" s="165" t="s">
        <v>45</v>
      </c>
      <c r="AX49" s="8">
        <f>GETPIVOTDATA("Q +2",$AT$2,"Matière +2","Vernis")</f>
        <v>108</v>
      </c>
      <c r="AZ49" s="167"/>
      <c r="BA49" s="166">
        <f t="shared" si="3"/>
        <v>108</v>
      </c>
    </row>
    <row r="50" spans="9:53" x14ac:dyDescent="0.25">
      <c r="I50" s="212"/>
      <c r="J50" s="174"/>
      <c r="K50" s="174"/>
      <c r="L50" s="176">
        <v>24</v>
      </c>
      <c r="M50" s="168">
        <f>L50*I46</f>
        <v>24</v>
      </c>
      <c r="N50" s="168" t="s">
        <v>82</v>
      </c>
      <c r="O50" s="168">
        <v>1</v>
      </c>
      <c r="P50" s="168">
        <f>M50</f>
        <v>24</v>
      </c>
      <c r="Q50" s="168" t="s">
        <v>36</v>
      </c>
      <c r="R50" s="111">
        <v>2</v>
      </c>
      <c r="S50" s="111">
        <f>R50*P50</f>
        <v>48</v>
      </c>
      <c r="T50" s="21" t="s">
        <v>4</v>
      </c>
      <c r="U50" s="9"/>
      <c r="V50" s="9"/>
      <c r="W50" s="9" t="str">
        <v>Sève écarlate</v>
      </c>
      <c r="X50" s="308">
        <f t="shared" si="2"/>
        <v>96</v>
      </c>
      <c r="Y50" s="9"/>
      <c r="Z50" s="1" t="s">
        <v>108</v>
      </c>
      <c r="AA50" s="3">
        <v>432</v>
      </c>
      <c r="AB50" s="104"/>
      <c r="AC50" s="165" t="s">
        <v>110</v>
      </c>
      <c r="AD50" s="8">
        <f>GETPIVOTDATA("Q",$Z$2,"Matière","Sève écarlate")</f>
        <v>96</v>
      </c>
      <c r="AE50" s="167"/>
      <c r="AF50" s="166">
        <f t="shared" si="4"/>
        <v>96</v>
      </c>
      <c r="AM50" s="165"/>
      <c r="AT50" s="1" t="s">
        <v>45</v>
      </c>
      <c r="AU50" s="3">
        <v>108</v>
      </c>
    </row>
    <row r="51" spans="9:53" ht="15.75" thickBot="1" x14ac:dyDescent="0.3">
      <c r="I51" s="212"/>
      <c r="J51" s="174"/>
      <c r="K51" s="174"/>
      <c r="L51" s="177"/>
      <c r="M51" s="169"/>
      <c r="N51" s="169"/>
      <c r="O51" s="169"/>
      <c r="P51" s="169"/>
      <c r="Q51" s="169"/>
      <c r="R51" s="112">
        <v>1</v>
      </c>
      <c r="S51" s="112">
        <f>P50</f>
        <v>24</v>
      </c>
      <c r="T51" s="20" t="s">
        <v>14</v>
      </c>
      <c r="U51" s="9"/>
      <c r="V51" s="9"/>
      <c r="W51" s="9" t="str">
        <v>Silice</v>
      </c>
      <c r="X51" s="308">
        <f t="shared" si="2"/>
        <v>120</v>
      </c>
      <c r="Y51" s="9"/>
      <c r="Z51" s="1" t="s">
        <v>110</v>
      </c>
      <c r="AA51" s="3">
        <v>96</v>
      </c>
      <c r="AB51" s="104"/>
      <c r="AC51" s="165" t="s">
        <v>9</v>
      </c>
      <c r="AD51" s="8">
        <f>GETPIVOTDATA("Q",$Z$2,"Matière","Silice")</f>
        <v>120</v>
      </c>
      <c r="AE51" s="167"/>
      <c r="AF51" s="166">
        <f t="shared" si="4"/>
        <v>120</v>
      </c>
      <c r="AT51" s="1" t="s">
        <v>95</v>
      </c>
      <c r="AU51" s="3"/>
    </row>
    <row r="52" spans="9:53" x14ac:dyDescent="0.25">
      <c r="I52" s="212"/>
      <c r="J52" s="174"/>
      <c r="K52" s="174"/>
      <c r="L52" s="176">
        <v>24</v>
      </c>
      <c r="M52" s="168">
        <f>L52*I46</f>
        <v>24</v>
      </c>
      <c r="N52" s="168" t="s">
        <v>36</v>
      </c>
      <c r="O52" s="168"/>
      <c r="P52" s="168"/>
      <c r="Q52" s="168"/>
      <c r="R52" s="111">
        <v>2</v>
      </c>
      <c r="S52" s="111">
        <f>R52*M52</f>
        <v>48</v>
      </c>
      <c r="T52" s="21" t="s">
        <v>4</v>
      </c>
      <c r="U52" s="9"/>
      <c r="V52" s="9"/>
      <c r="W52" s="9" t="str">
        <v>Suif</v>
      </c>
      <c r="X52" s="308">
        <f t="shared" si="2"/>
        <v>54</v>
      </c>
      <c r="Y52" s="9"/>
      <c r="Z52" s="1" t="s">
        <v>9</v>
      </c>
      <c r="AA52" s="3">
        <v>120</v>
      </c>
      <c r="AB52" s="104"/>
      <c r="AC52" s="165" t="s">
        <v>71</v>
      </c>
      <c r="AD52" s="8">
        <f>GETPIVOTDATA("Q",$Z$2,"Matière","Suif")</f>
        <v>54</v>
      </c>
      <c r="AE52" s="167"/>
      <c r="AF52" s="166">
        <f t="shared" si="4"/>
        <v>54</v>
      </c>
      <c r="AT52" s="1" t="s">
        <v>88</v>
      </c>
      <c r="AU52" s="3">
        <v>6150</v>
      </c>
    </row>
    <row r="53" spans="9:53" ht="15.75" thickBot="1" x14ac:dyDescent="0.3">
      <c r="I53" s="212"/>
      <c r="J53" s="174"/>
      <c r="K53" s="174"/>
      <c r="L53" s="177"/>
      <c r="M53" s="169"/>
      <c r="N53" s="169"/>
      <c r="O53" s="169"/>
      <c r="P53" s="169"/>
      <c r="Q53" s="169"/>
      <c r="R53" s="112">
        <v>1</v>
      </c>
      <c r="S53" s="112">
        <f>M52</f>
        <v>24</v>
      </c>
      <c r="T53" s="20" t="s">
        <v>14</v>
      </c>
      <c r="U53" s="9"/>
      <c r="V53" s="9"/>
      <c r="W53" s="9" t="str">
        <v>Térébenthine</v>
      </c>
      <c r="X53" s="308">
        <f t="shared" si="2"/>
        <v>108</v>
      </c>
      <c r="Y53" s="9"/>
      <c r="Z53" s="1" t="s">
        <v>71</v>
      </c>
      <c r="AA53" s="3">
        <v>54</v>
      </c>
      <c r="AB53" s="104"/>
      <c r="AC53" s="165" t="s">
        <v>59</v>
      </c>
      <c r="AD53" s="8">
        <f>GETPIVOTDATA("Q",$Z$2,"Matière","Térébenthine")</f>
        <v>108</v>
      </c>
      <c r="AE53" s="167"/>
      <c r="AF53" s="166">
        <f t="shared" si="4"/>
        <v>108</v>
      </c>
      <c r="AT53" s="10"/>
    </row>
    <row r="54" spans="9:53" ht="15.75" thickBot="1" x14ac:dyDescent="0.3">
      <c r="I54" s="212"/>
      <c r="J54" s="174"/>
      <c r="K54" s="174"/>
      <c r="L54" s="11">
        <v>24</v>
      </c>
      <c r="M54" s="12">
        <f>L54*I46</f>
        <v>24</v>
      </c>
      <c r="N54" s="12" t="s">
        <v>61</v>
      </c>
      <c r="O54" s="12">
        <v>1</v>
      </c>
      <c r="P54" s="12">
        <f>M54</f>
        <v>24</v>
      </c>
      <c r="Q54" s="12" t="s">
        <v>48</v>
      </c>
      <c r="R54" s="12">
        <v>3</v>
      </c>
      <c r="S54" s="12">
        <f>R54*P54</f>
        <v>72</v>
      </c>
      <c r="T54" s="19" t="s">
        <v>14</v>
      </c>
      <c r="U54" s="9"/>
      <c r="V54" s="9"/>
      <c r="W54" s="9" t="str">
        <v>Touffe d'herbe de moko rouge</v>
      </c>
      <c r="X54" s="308">
        <f t="shared" si="2"/>
        <v>108</v>
      </c>
      <c r="Y54" s="9"/>
      <c r="Z54" s="1" t="s">
        <v>59</v>
      </c>
      <c r="AA54" s="3">
        <v>108</v>
      </c>
      <c r="AB54" s="104"/>
      <c r="AC54" s="165" t="s">
        <v>93</v>
      </c>
      <c r="AD54" s="8">
        <f>GETPIVOTDATA("Q",$Z$2,"Matière","Touffe d'herbe de moko rouge")</f>
        <v>108</v>
      </c>
      <c r="AE54" s="167"/>
      <c r="AF54" s="166">
        <f t="shared" si="4"/>
        <v>108</v>
      </c>
      <c r="AT54" s="10"/>
    </row>
    <row r="55" spans="9:53" x14ac:dyDescent="0.25">
      <c r="I55" s="212"/>
      <c r="J55" s="174"/>
      <c r="K55" s="174"/>
      <c r="L55" s="176">
        <v>24</v>
      </c>
      <c r="M55" s="168">
        <f>L55*I46</f>
        <v>24</v>
      </c>
      <c r="N55" s="168" t="s">
        <v>83</v>
      </c>
      <c r="O55" s="168">
        <v>1</v>
      </c>
      <c r="P55" s="168">
        <f>M55</f>
        <v>24</v>
      </c>
      <c r="Q55" s="168" t="s">
        <v>62</v>
      </c>
      <c r="R55" s="111">
        <v>2</v>
      </c>
      <c r="S55" s="111">
        <f>R55*P55</f>
        <v>48</v>
      </c>
      <c r="T55" s="21" t="s">
        <v>14</v>
      </c>
      <c r="U55" s="9"/>
      <c r="V55" s="9"/>
      <c r="W55" s="9" t="str">
        <v>Viande de flan</v>
      </c>
      <c r="X55" s="308">
        <f t="shared" si="2"/>
        <v>60</v>
      </c>
      <c r="Y55" s="9"/>
      <c r="Z55" s="1" t="s">
        <v>93</v>
      </c>
      <c r="AA55" s="3">
        <v>108</v>
      </c>
      <c r="AB55" s="104"/>
      <c r="AC55" s="165" t="s">
        <v>3</v>
      </c>
      <c r="AD55" s="8">
        <f>GETPIVOTDATA("Q",$Z$2,"Matière","Viande de flan")</f>
        <v>60</v>
      </c>
      <c r="AE55" s="167"/>
      <c r="AF55" s="166">
        <f t="shared" si="4"/>
        <v>60</v>
      </c>
      <c r="AT55" s="10"/>
    </row>
    <row r="56" spans="9:53" ht="15.75" thickBot="1" x14ac:dyDescent="0.3">
      <c r="I56" s="212"/>
      <c r="J56" s="174"/>
      <c r="K56" s="174"/>
      <c r="L56" s="177"/>
      <c r="M56" s="169"/>
      <c r="N56" s="169"/>
      <c r="O56" s="169"/>
      <c r="P56" s="169"/>
      <c r="Q56" s="169"/>
      <c r="R56" s="112">
        <v>1</v>
      </c>
      <c r="S56" s="112">
        <f>P55</f>
        <v>24</v>
      </c>
      <c r="T56" s="20" t="s">
        <v>10</v>
      </c>
      <c r="U56" s="9"/>
      <c r="V56" s="9"/>
      <c r="W56" s="9" t="str">
        <v>Viande de gelato</v>
      </c>
      <c r="X56" s="308">
        <f t="shared" si="2"/>
        <v>90</v>
      </c>
      <c r="Y56" s="9"/>
      <c r="Z56" s="1" t="s">
        <v>3</v>
      </c>
      <c r="AA56" s="3">
        <v>60</v>
      </c>
      <c r="AB56" s="104"/>
      <c r="AC56" s="165" t="s">
        <v>2</v>
      </c>
      <c r="AD56" s="8">
        <f>GETPIVOTDATA("Q",$Z$2,"Matière","Viande de gelato")</f>
        <v>90</v>
      </c>
      <c r="AE56" s="167"/>
      <c r="AF56" s="166">
        <f t="shared" si="4"/>
        <v>90</v>
      </c>
      <c r="AT56" s="10"/>
    </row>
    <row r="57" spans="9:53" x14ac:dyDescent="0.25">
      <c r="I57" s="212"/>
      <c r="J57" s="174"/>
      <c r="K57" s="174"/>
      <c r="L57" s="176">
        <v>6</v>
      </c>
      <c r="M57" s="168">
        <f>L57*$I$46</f>
        <v>6</v>
      </c>
      <c r="N57" s="168" t="s">
        <v>64</v>
      </c>
      <c r="O57" s="16">
        <v>2</v>
      </c>
      <c r="P57" s="111">
        <f>O57*M57</f>
        <v>12</v>
      </c>
      <c r="Q57" s="16" t="s">
        <v>53</v>
      </c>
      <c r="R57" s="111">
        <v>3</v>
      </c>
      <c r="S57" s="111">
        <f>R57*P57</f>
        <v>36</v>
      </c>
      <c r="T57" s="21" t="s">
        <v>25</v>
      </c>
      <c r="U57" s="9"/>
      <c r="V57" s="9"/>
      <c r="W57" s="9">
        <v>0</v>
      </c>
      <c r="X57" s="308">
        <f t="shared" si="2"/>
        <v>0</v>
      </c>
      <c r="Y57" s="9"/>
      <c r="Z57" s="1" t="s">
        <v>2</v>
      </c>
      <c r="AA57" s="3">
        <v>90</v>
      </c>
      <c r="AB57" s="104"/>
      <c r="AT57" s="10"/>
    </row>
    <row r="58" spans="9:53" ht="15.75" thickBot="1" x14ac:dyDescent="0.3">
      <c r="I58" s="212"/>
      <c r="J58" s="174"/>
      <c r="K58" s="174"/>
      <c r="L58" s="177"/>
      <c r="M58" s="169"/>
      <c r="N58" s="169"/>
      <c r="O58" s="43"/>
      <c r="P58" s="43"/>
      <c r="Q58" s="43"/>
      <c r="R58" s="112">
        <v>9</v>
      </c>
      <c r="S58" s="112">
        <f>R58*M57</f>
        <v>54</v>
      </c>
      <c r="T58" s="20" t="s">
        <v>67</v>
      </c>
      <c r="U58" s="9"/>
      <c r="V58" s="9"/>
      <c r="W58" s="9"/>
      <c r="X58" s="9"/>
      <c r="Y58" s="9"/>
      <c r="Z58" s="1" t="s">
        <v>95</v>
      </c>
      <c r="AA58" s="3"/>
      <c r="AB58" s="104"/>
      <c r="AT58" s="10"/>
    </row>
    <row r="59" spans="9:53" ht="15.75" thickBot="1" x14ac:dyDescent="0.3">
      <c r="I59" s="212"/>
      <c r="J59" s="174"/>
      <c r="K59" s="174"/>
      <c r="L59" s="11">
        <v>30</v>
      </c>
      <c r="M59" s="12">
        <f>L59*I46</f>
        <v>30</v>
      </c>
      <c r="N59" s="12" t="s">
        <v>84</v>
      </c>
      <c r="O59" s="12">
        <v>1</v>
      </c>
      <c r="P59" s="12">
        <f>M59</f>
        <v>30</v>
      </c>
      <c r="Q59" s="12" t="s">
        <v>52</v>
      </c>
      <c r="R59" s="12">
        <v>3</v>
      </c>
      <c r="S59" s="12">
        <f>R59*P59</f>
        <v>90</v>
      </c>
      <c r="T59" s="19" t="s">
        <v>8</v>
      </c>
      <c r="U59" s="9"/>
      <c r="V59" s="9"/>
      <c r="W59" s="9"/>
      <c r="X59" s="9"/>
      <c r="Y59" s="9"/>
      <c r="Z59" s="1" t="s">
        <v>88</v>
      </c>
      <c r="AA59" s="3">
        <v>28719</v>
      </c>
      <c r="AB59" s="104"/>
      <c r="AT59" s="10"/>
    </row>
    <row r="60" spans="9:53" ht="15.75" thickBot="1" x14ac:dyDescent="0.3">
      <c r="I60" s="212"/>
      <c r="J60" s="174"/>
      <c r="K60" s="174"/>
      <c r="L60" s="11">
        <v>6</v>
      </c>
      <c r="M60" s="12">
        <f>L60*I46</f>
        <v>6</v>
      </c>
      <c r="N60" s="12" t="s">
        <v>42</v>
      </c>
      <c r="O60" s="12">
        <v>2</v>
      </c>
      <c r="P60" s="12">
        <f>O60*M60</f>
        <v>12</v>
      </c>
      <c r="Q60" s="12" t="s">
        <v>53</v>
      </c>
      <c r="R60" s="12">
        <v>3</v>
      </c>
      <c r="S60" s="12">
        <f>R60*P60</f>
        <v>36</v>
      </c>
      <c r="T60" s="19" t="s">
        <v>25</v>
      </c>
      <c r="U60" s="9"/>
      <c r="V60" s="9"/>
      <c r="W60" s="9"/>
      <c r="X60" s="9"/>
      <c r="Y60" s="9"/>
      <c r="Z60" s="10"/>
      <c r="AA60" s="10"/>
      <c r="AB60" s="10"/>
      <c r="AT60" s="10"/>
    </row>
    <row r="61" spans="9:53" ht="15.75" thickBot="1" x14ac:dyDescent="0.3">
      <c r="I61" s="213"/>
      <c r="J61" s="175"/>
      <c r="K61" s="175"/>
      <c r="L61" s="56">
        <v>30</v>
      </c>
      <c r="M61" s="57">
        <f>L61*I46</f>
        <v>30</v>
      </c>
      <c r="N61" s="57" t="s">
        <v>85</v>
      </c>
      <c r="O61" s="57"/>
      <c r="P61" s="57"/>
      <c r="Q61" s="57"/>
      <c r="R61" s="57">
        <v>3</v>
      </c>
      <c r="S61" s="57">
        <f>R61*M61</f>
        <v>90</v>
      </c>
      <c r="T61" s="58" t="s">
        <v>11</v>
      </c>
      <c r="U61" s="9"/>
      <c r="V61" s="9"/>
      <c r="W61" s="9"/>
      <c r="X61" s="9"/>
      <c r="Y61" s="9"/>
      <c r="Z61" s="10"/>
      <c r="AA61" s="10"/>
      <c r="AB61" s="10"/>
      <c r="AT61" s="10"/>
    </row>
    <row r="62" spans="9:53" ht="15.75" thickTop="1" x14ac:dyDescent="0.25">
      <c r="I62" s="211">
        <f>F6</f>
        <v>1</v>
      </c>
      <c r="J62" s="173" t="s">
        <v>86</v>
      </c>
      <c r="K62" s="173" t="s">
        <v>77</v>
      </c>
      <c r="L62" s="214">
        <v>24</v>
      </c>
      <c r="M62" s="210">
        <f>L62*$I$62</f>
        <v>24</v>
      </c>
      <c r="N62" s="210" t="s">
        <v>63</v>
      </c>
      <c r="O62" s="210">
        <v>1</v>
      </c>
      <c r="P62" s="210">
        <f>M62</f>
        <v>24</v>
      </c>
      <c r="Q62" s="210" t="s">
        <v>62</v>
      </c>
      <c r="R62" s="126">
        <v>2</v>
      </c>
      <c r="S62" s="126">
        <f>R62*P62</f>
        <v>48</v>
      </c>
      <c r="T62" s="13" t="s">
        <v>14</v>
      </c>
      <c r="U62" s="9"/>
      <c r="V62" s="9"/>
      <c r="W62" s="9"/>
      <c r="X62" s="9"/>
      <c r="Y62" s="9"/>
      <c r="Z62" s="10"/>
      <c r="AA62" s="10"/>
      <c r="AB62" s="10"/>
      <c r="AT62" s="10"/>
    </row>
    <row r="63" spans="9:53" ht="15.75" thickBot="1" x14ac:dyDescent="0.3">
      <c r="I63" s="212"/>
      <c r="J63" s="174"/>
      <c r="K63" s="174"/>
      <c r="L63" s="177"/>
      <c r="M63" s="169"/>
      <c r="N63" s="169"/>
      <c r="O63" s="169"/>
      <c r="P63" s="169"/>
      <c r="Q63" s="169"/>
      <c r="R63" s="112">
        <v>1</v>
      </c>
      <c r="S63" s="112">
        <f>P62</f>
        <v>24</v>
      </c>
      <c r="T63" s="20" t="s">
        <v>10</v>
      </c>
      <c r="U63" s="9"/>
      <c r="V63" s="9"/>
      <c r="W63" s="9"/>
      <c r="X63" s="9"/>
      <c r="Y63" s="9"/>
      <c r="Z63" s="10"/>
      <c r="AA63" s="10"/>
      <c r="AB63" s="10"/>
      <c r="AT63" s="10"/>
    </row>
    <row r="64" spans="9:53" x14ac:dyDescent="0.25">
      <c r="I64" s="212"/>
      <c r="J64" s="174"/>
      <c r="K64" s="174"/>
      <c r="L64" s="176">
        <v>24</v>
      </c>
      <c r="M64" s="168">
        <f>L64*$I$62</f>
        <v>24</v>
      </c>
      <c r="N64" s="168" t="s">
        <v>36</v>
      </c>
      <c r="O64" s="168"/>
      <c r="P64" s="168"/>
      <c r="Q64" s="168"/>
      <c r="R64" s="111">
        <v>2</v>
      </c>
      <c r="S64" s="111">
        <f>R64*M64</f>
        <v>48</v>
      </c>
      <c r="T64" s="21" t="s">
        <v>4</v>
      </c>
      <c r="U64" s="9"/>
      <c r="V64" s="9"/>
      <c r="W64" s="9"/>
      <c r="X64" s="9"/>
      <c r="Y64" s="9"/>
      <c r="Z64" s="10"/>
      <c r="AA64" s="10"/>
      <c r="AB64" s="10"/>
      <c r="AT64" s="10"/>
    </row>
    <row r="65" spans="9:46" ht="15.75" thickBot="1" x14ac:dyDescent="0.3">
      <c r="I65" s="212"/>
      <c r="J65" s="174"/>
      <c r="K65" s="174"/>
      <c r="L65" s="177"/>
      <c r="M65" s="169"/>
      <c r="N65" s="169"/>
      <c r="O65" s="169"/>
      <c r="P65" s="169"/>
      <c r="Q65" s="169"/>
      <c r="R65" s="112">
        <v>1</v>
      </c>
      <c r="S65" s="112">
        <f>M64</f>
        <v>24</v>
      </c>
      <c r="T65" s="20" t="s">
        <v>14</v>
      </c>
      <c r="U65" s="9"/>
      <c r="V65" s="9"/>
      <c r="W65" s="9"/>
      <c r="X65" s="9"/>
      <c r="Y65" s="9"/>
      <c r="Z65" s="10"/>
      <c r="AA65" s="10"/>
      <c r="AB65" s="10"/>
      <c r="AT65" s="10"/>
    </row>
    <row r="66" spans="9:46" x14ac:dyDescent="0.25">
      <c r="I66" s="212"/>
      <c r="J66" s="174"/>
      <c r="K66" s="174"/>
      <c r="L66" s="176">
        <v>54</v>
      </c>
      <c r="M66" s="168">
        <f>L66*$I$62</f>
        <v>54</v>
      </c>
      <c r="N66" s="168" t="s">
        <v>62</v>
      </c>
      <c r="O66" s="168"/>
      <c r="P66" s="168"/>
      <c r="Q66" s="168"/>
      <c r="R66" s="111">
        <v>2</v>
      </c>
      <c r="S66" s="111">
        <f>R66*M66</f>
        <v>108</v>
      </c>
      <c r="T66" s="21" t="s">
        <v>14</v>
      </c>
      <c r="U66" s="9"/>
      <c r="V66" s="9"/>
      <c r="W66" s="9"/>
      <c r="X66" s="9"/>
      <c r="Y66" s="9"/>
      <c r="Z66" s="10"/>
      <c r="AA66" s="10"/>
      <c r="AB66" s="10"/>
      <c r="AT66" s="10"/>
    </row>
    <row r="67" spans="9:46" ht="15.75" thickBot="1" x14ac:dyDescent="0.3">
      <c r="I67" s="212"/>
      <c r="J67" s="174"/>
      <c r="K67" s="174"/>
      <c r="L67" s="177"/>
      <c r="M67" s="169"/>
      <c r="N67" s="169"/>
      <c r="O67" s="169"/>
      <c r="P67" s="169"/>
      <c r="Q67" s="169"/>
      <c r="R67" s="112">
        <v>1</v>
      </c>
      <c r="S67" s="112">
        <f>M66</f>
        <v>54</v>
      </c>
      <c r="T67" s="20" t="s">
        <v>10</v>
      </c>
      <c r="U67" s="9"/>
      <c r="V67" s="9"/>
      <c r="W67" s="9"/>
      <c r="X67" s="9"/>
      <c r="Y67" s="9"/>
      <c r="Z67" s="10"/>
      <c r="AA67" s="10"/>
      <c r="AB67" s="10"/>
      <c r="AT67" s="10"/>
    </row>
    <row r="68" spans="9:46" x14ac:dyDescent="0.25">
      <c r="I68" s="212"/>
      <c r="J68" s="174"/>
      <c r="K68" s="174"/>
      <c r="L68" s="176">
        <v>24</v>
      </c>
      <c r="M68" s="168">
        <f>L68*$I$62</f>
        <v>24</v>
      </c>
      <c r="N68" s="168" t="s">
        <v>82</v>
      </c>
      <c r="O68" s="168">
        <v>1</v>
      </c>
      <c r="P68" s="168">
        <f>M68</f>
        <v>24</v>
      </c>
      <c r="Q68" s="168" t="s">
        <v>36</v>
      </c>
      <c r="R68" s="111">
        <v>2</v>
      </c>
      <c r="S68" s="111">
        <f>R68*P68</f>
        <v>48</v>
      </c>
      <c r="T68" s="21" t="s">
        <v>4</v>
      </c>
      <c r="U68" s="9"/>
      <c r="V68" s="9"/>
      <c r="W68" s="9"/>
      <c r="X68" s="9"/>
      <c r="Y68" s="9"/>
      <c r="Z68" s="10"/>
      <c r="AA68" s="10"/>
      <c r="AB68" s="10"/>
      <c r="AT68" s="10"/>
    </row>
    <row r="69" spans="9:46" ht="15.75" thickBot="1" x14ac:dyDescent="0.3">
      <c r="I69" s="212"/>
      <c r="J69" s="174"/>
      <c r="K69" s="174"/>
      <c r="L69" s="177"/>
      <c r="M69" s="169"/>
      <c r="N69" s="169"/>
      <c r="O69" s="169"/>
      <c r="P69" s="169"/>
      <c r="Q69" s="169"/>
      <c r="R69" s="112">
        <v>1</v>
      </c>
      <c r="S69" s="112">
        <f>P68</f>
        <v>24</v>
      </c>
      <c r="T69" s="20" t="s">
        <v>14</v>
      </c>
      <c r="U69" s="9"/>
      <c r="V69" s="9"/>
      <c r="W69" s="9"/>
      <c r="X69" s="9"/>
      <c r="Y69" s="9"/>
      <c r="Z69" s="10"/>
      <c r="AA69" s="10"/>
      <c r="AB69" s="10"/>
      <c r="AT69" s="10"/>
    </row>
    <row r="70" spans="9:46" x14ac:dyDescent="0.25">
      <c r="I70" s="212"/>
      <c r="J70" s="174"/>
      <c r="K70" s="174"/>
      <c r="L70" s="206">
        <v>6</v>
      </c>
      <c r="M70" s="208">
        <f>L70*$I$62</f>
        <v>6</v>
      </c>
      <c r="N70" s="208" t="s">
        <v>64</v>
      </c>
      <c r="O70" s="63">
        <v>2</v>
      </c>
      <c r="P70" s="63">
        <f>O70*M70</f>
        <v>12</v>
      </c>
      <c r="Q70" s="63" t="s">
        <v>53</v>
      </c>
      <c r="R70" s="132">
        <v>3</v>
      </c>
      <c r="S70" s="132">
        <f>R70*P70</f>
        <v>36</v>
      </c>
      <c r="T70" s="64" t="s">
        <v>25</v>
      </c>
      <c r="U70" s="9"/>
      <c r="V70" s="9"/>
      <c r="W70" s="9"/>
      <c r="X70" s="9"/>
      <c r="Y70" s="9"/>
      <c r="Z70" s="10"/>
      <c r="AA70" s="10"/>
      <c r="AB70" s="10"/>
      <c r="AT70" s="10"/>
    </row>
    <row r="71" spans="9:46" ht="15.75" thickBot="1" x14ac:dyDescent="0.3">
      <c r="I71" s="212"/>
      <c r="J71" s="174"/>
      <c r="K71" s="174"/>
      <c r="L71" s="207"/>
      <c r="M71" s="209"/>
      <c r="N71" s="209"/>
      <c r="O71" s="65"/>
      <c r="P71" s="65"/>
      <c r="Q71" s="65"/>
      <c r="R71" s="133">
        <v>9</v>
      </c>
      <c r="S71" s="133">
        <f>R71*M70</f>
        <v>54</v>
      </c>
      <c r="T71" s="66" t="s">
        <v>67</v>
      </c>
      <c r="U71" s="9"/>
      <c r="V71" s="9"/>
      <c r="W71" s="9"/>
      <c r="X71" s="9"/>
      <c r="Y71" s="9"/>
      <c r="Z71" s="10"/>
      <c r="AA71" s="10"/>
      <c r="AB71" s="10"/>
      <c r="AT71" s="10"/>
    </row>
    <row r="72" spans="9:46" ht="15.75" thickBot="1" x14ac:dyDescent="0.3">
      <c r="I72" s="212"/>
      <c r="J72" s="174"/>
      <c r="K72" s="174"/>
      <c r="L72" s="11">
        <v>30</v>
      </c>
      <c r="M72" s="12">
        <f>L72*I62</f>
        <v>30</v>
      </c>
      <c r="N72" s="12" t="s">
        <v>61</v>
      </c>
      <c r="O72" s="12">
        <v>1</v>
      </c>
      <c r="P72" s="12">
        <f>M72</f>
        <v>30</v>
      </c>
      <c r="Q72" s="12" t="s">
        <v>48</v>
      </c>
      <c r="R72" s="12">
        <v>3</v>
      </c>
      <c r="S72" s="12">
        <f>R72*P72</f>
        <v>90</v>
      </c>
      <c r="T72" s="19" t="s">
        <v>14</v>
      </c>
      <c r="U72" s="9"/>
      <c r="V72" s="9"/>
      <c r="W72" s="9"/>
      <c r="X72" s="9"/>
      <c r="Y72" s="9"/>
      <c r="Z72" s="10"/>
      <c r="AA72" s="10"/>
      <c r="AB72" s="10"/>
      <c r="AT72" s="10"/>
    </row>
    <row r="73" spans="9:46" x14ac:dyDescent="0.25">
      <c r="I73" s="212"/>
      <c r="J73" s="174"/>
      <c r="K73" s="174"/>
      <c r="L73" s="176">
        <v>30</v>
      </c>
      <c r="M73" s="168">
        <f>L73*I62</f>
        <v>30</v>
      </c>
      <c r="N73" s="168" t="s">
        <v>83</v>
      </c>
      <c r="O73" s="168">
        <v>1</v>
      </c>
      <c r="P73" s="168">
        <f>M73</f>
        <v>30</v>
      </c>
      <c r="Q73" s="168" t="s">
        <v>62</v>
      </c>
      <c r="R73" s="111">
        <v>2</v>
      </c>
      <c r="S73" s="111">
        <f>R73*P73</f>
        <v>60</v>
      </c>
      <c r="T73" s="21" t="s">
        <v>14</v>
      </c>
      <c r="U73" s="9"/>
      <c r="V73" s="9"/>
      <c r="W73" s="9"/>
      <c r="X73" s="9"/>
      <c r="Y73" s="9"/>
      <c r="Z73" s="10"/>
      <c r="AA73" s="10"/>
      <c r="AB73" s="10"/>
      <c r="AT73" s="10"/>
    </row>
    <row r="74" spans="9:46" ht="15.75" thickBot="1" x14ac:dyDescent="0.3">
      <c r="I74" s="212"/>
      <c r="J74" s="174"/>
      <c r="K74" s="174"/>
      <c r="L74" s="177"/>
      <c r="M74" s="169"/>
      <c r="N74" s="169"/>
      <c r="O74" s="169"/>
      <c r="P74" s="169"/>
      <c r="Q74" s="169"/>
      <c r="R74" s="112">
        <v>1</v>
      </c>
      <c r="S74" s="112">
        <f>P73</f>
        <v>30</v>
      </c>
      <c r="T74" s="20" t="s">
        <v>10</v>
      </c>
      <c r="U74" s="9"/>
      <c r="V74" s="9"/>
      <c r="W74" s="9"/>
      <c r="X74" s="9"/>
      <c r="Y74" s="9"/>
      <c r="Z74" s="10"/>
      <c r="AA74" s="10"/>
      <c r="AB74" s="10"/>
      <c r="AT74" s="10"/>
    </row>
    <row r="75" spans="9:46" ht="15.75" thickBot="1" x14ac:dyDescent="0.3">
      <c r="I75" s="212"/>
      <c r="J75" s="174"/>
      <c r="K75" s="174"/>
      <c r="L75" s="11">
        <v>30</v>
      </c>
      <c r="M75" s="12">
        <f>L75*I62</f>
        <v>30</v>
      </c>
      <c r="N75" s="12" t="s">
        <v>84</v>
      </c>
      <c r="O75" s="12">
        <v>1</v>
      </c>
      <c r="P75" s="12">
        <f>M75</f>
        <v>30</v>
      </c>
      <c r="Q75" s="12" t="s">
        <v>52</v>
      </c>
      <c r="R75" s="12">
        <v>3</v>
      </c>
      <c r="S75" s="12">
        <f>R75*P75</f>
        <v>90</v>
      </c>
      <c r="T75" s="19" t="s">
        <v>8</v>
      </c>
      <c r="U75" s="9"/>
      <c r="V75" s="9"/>
      <c r="W75" s="9"/>
      <c r="X75" s="9"/>
      <c r="Y75" s="9"/>
      <c r="Z75" s="10"/>
      <c r="AA75" s="10"/>
      <c r="AB75" s="10"/>
      <c r="AT75" s="10"/>
    </row>
    <row r="76" spans="9:46" ht="15.75" thickBot="1" x14ac:dyDescent="0.3">
      <c r="I76" s="212"/>
      <c r="J76" s="174"/>
      <c r="K76" s="174"/>
      <c r="L76" s="11">
        <v>12</v>
      </c>
      <c r="M76" s="12">
        <f>L76*I62</f>
        <v>12</v>
      </c>
      <c r="N76" s="12" t="s">
        <v>42</v>
      </c>
      <c r="O76" s="12">
        <v>2</v>
      </c>
      <c r="P76" s="12">
        <f>O76*M76</f>
        <v>24</v>
      </c>
      <c r="Q76" s="12" t="s">
        <v>53</v>
      </c>
      <c r="R76" s="12">
        <v>3</v>
      </c>
      <c r="S76" s="12">
        <f>R76*P76</f>
        <v>72</v>
      </c>
      <c r="T76" s="19" t="s">
        <v>25</v>
      </c>
      <c r="U76" s="9"/>
      <c r="V76" s="9"/>
      <c r="W76" s="9"/>
      <c r="X76" s="9"/>
      <c r="Y76" s="9"/>
      <c r="Z76" s="10"/>
      <c r="AA76" s="10"/>
      <c r="AB76" s="10"/>
      <c r="AT76" s="10"/>
    </row>
    <row r="77" spans="9:46" ht="15.75" thickBot="1" x14ac:dyDescent="0.3">
      <c r="I77" s="213"/>
      <c r="J77" s="175"/>
      <c r="K77" s="175"/>
      <c r="L77" s="22">
        <v>30</v>
      </c>
      <c r="M77" s="23">
        <f>L77*I62</f>
        <v>30</v>
      </c>
      <c r="N77" s="23" t="s">
        <v>85</v>
      </c>
      <c r="O77" s="23"/>
      <c r="P77" s="23"/>
      <c r="Q77" s="23"/>
      <c r="R77" s="23">
        <v>3</v>
      </c>
      <c r="S77" s="23">
        <f>R77*M77</f>
        <v>90</v>
      </c>
      <c r="T77" s="24" t="s">
        <v>11</v>
      </c>
      <c r="U77" s="9"/>
      <c r="V77" s="9"/>
      <c r="W77" s="9"/>
      <c r="X77" s="9"/>
      <c r="Y77" s="9"/>
      <c r="Z77" s="10"/>
      <c r="AA77" s="10"/>
      <c r="AB77" s="10"/>
      <c r="AT77" s="10"/>
    </row>
    <row r="78" spans="9:46" ht="15.75" thickTop="1" x14ac:dyDescent="0.25"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10"/>
      <c r="AA78" s="10"/>
      <c r="AB78" s="10"/>
      <c r="AT78" s="10"/>
    </row>
    <row r="79" spans="9:46" ht="15.75" thickBot="1" x14ac:dyDescent="0.3"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10"/>
      <c r="AA79" s="10"/>
      <c r="AB79" s="10"/>
      <c r="AT79" s="10"/>
    </row>
    <row r="80" spans="9:46" ht="16.5" thickTop="1" thickBot="1" x14ac:dyDescent="0.3">
      <c r="I80" s="211">
        <f>C9</f>
        <v>1</v>
      </c>
      <c r="J80" s="173" t="s">
        <v>32</v>
      </c>
      <c r="K80" s="173" t="s">
        <v>98</v>
      </c>
      <c r="L80" s="85">
        <v>18</v>
      </c>
      <c r="M80" s="86">
        <f>L80*I80</f>
        <v>18</v>
      </c>
      <c r="N80" s="86" t="s">
        <v>99</v>
      </c>
      <c r="O80" s="86"/>
      <c r="P80" s="86"/>
      <c r="Q80" s="86"/>
      <c r="R80" s="86">
        <v>3</v>
      </c>
      <c r="S80" s="86">
        <f>R80*M80</f>
        <v>54</v>
      </c>
      <c r="T80" s="87" t="s">
        <v>22</v>
      </c>
      <c r="U80" s="9"/>
      <c r="V80" s="9"/>
      <c r="W80" s="9"/>
      <c r="X80" s="9"/>
      <c r="Y80" s="9"/>
      <c r="Z80" s="10"/>
      <c r="AA80" s="10"/>
      <c r="AB80" s="10"/>
      <c r="AT80" s="10"/>
    </row>
    <row r="81" spans="9:46" ht="15.75" thickBot="1" x14ac:dyDescent="0.3">
      <c r="I81" s="212"/>
      <c r="J81" s="174"/>
      <c r="K81" s="174"/>
      <c r="L81" s="11">
        <v>18</v>
      </c>
      <c r="M81" s="12">
        <f>L81*I80</f>
        <v>18</v>
      </c>
      <c r="N81" s="12" t="s">
        <v>37</v>
      </c>
      <c r="O81" s="12"/>
      <c r="P81" s="12"/>
      <c r="Q81" s="12"/>
      <c r="R81" s="12">
        <v>3</v>
      </c>
      <c r="S81" s="12">
        <f>R81*M81</f>
        <v>54</v>
      </c>
      <c r="T81" s="19" t="s">
        <v>49</v>
      </c>
      <c r="U81" s="9"/>
      <c r="V81" s="9"/>
      <c r="W81" s="9"/>
      <c r="X81" s="9"/>
      <c r="Y81" s="9"/>
      <c r="Z81" s="10"/>
      <c r="AA81" s="10"/>
      <c r="AB81" s="10"/>
      <c r="AT81" s="10"/>
    </row>
    <row r="82" spans="9:46" ht="15.75" thickBot="1" x14ac:dyDescent="0.3">
      <c r="I82" s="212"/>
      <c r="J82" s="174"/>
      <c r="K82" s="174"/>
      <c r="L82" s="11">
        <v>18</v>
      </c>
      <c r="M82" s="12">
        <f>L82*I80</f>
        <v>18</v>
      </c>
      <c r="N82" s="12" t="s">
        <v>35</v>
      </c>
      <c r="O82" s="12">
        <v>1</v>
      </c>
      <c r="P82" s="12">
        <f>M82</f>
        <v>18</v>
      </c>
      <c r="Q82" s="12" t="s">
        <v>48</v>
      </c>
      <c r="R82" s="12">
        <v>3</v>
      </c>
      <c r="S82" s="12">
        <f>R82*P82</f>
        <v>54</v>
      </c>
      <c r="T82" s="19" t="s">
        <v>14</v>
      </c>
      <c r="U82" s="9"/>
      <c r="V82" s="9"/>
      <c r="W82" s="9"/>
      <c r="X82" s="9"/>
      <c r="Y82" s="9"/>
      <c r="Z82" s="10"/>
      <c r="AA82" s="10"/>
      <c r="AB82" s="10"/>
      <c r="AT82" s="10"/>
    </row>
    <row r="83" spans="9:46" x14ac:dyDescent="0.25">
      <c r="I83" s="212"/>
      <c r="J83" s="174"/>
      <c r="K83" s="174"/>
      <c r="L83" s="230">
        <v>9</v>
      </c>
      <c r="M83" s="227">
        <f>L83*I80</f>
        <v>9</v>
      </c>
      <c r="N83" s="227" t="s">
        <v>100</v>
      </c>
      <c r="O83" s="227"/>
      <c r="P83" s="227"/>
      <c r="Q83" s="227"/>
      <c r="R83" s="120">
        <v>3</v>
      </c>
      <c r="S83" s="120">
        <f>R83*M83</f>
        <v>27</v>
      </c>
      <c r="T83" s="25" t="s">
        <v>105</v>
      </c>
      <c r="U83" s="9"/>
      <c r="V83" s="9"/>
      <c r="W83" s="9"/>
      <c r="X83" s="9"/>
      <c r="Y83" s="9"/>
      <c r="Z83" s="10"/>
      <c r="AA83" s="10"/>
      <c r="AB83" s="10"/>
      <c r="AT83" s="10"/>
    </row>
    <row r="84" spans="9:46" x14ac:dyDescent="0.25">
      <c r="I84" s="212"/>
      <c r="J84" s="174"/>
      <c r="K84" s="174"/>
      <c r="L84" s="231"/>
      <c r="M84" s="228"/>
      <c r="N84" s="228"/>
      <c r="O84" s="228"/>
      <c r="P84" s="228"/>
      <c r="Q84" s="228"/>
      <c r="R84" s="121">
        <v>9</v>
      </c>
      <c r="S84" s="121">
        <f>R84*M83</f>
        <v>81</v>
      </c>
      <c r="T84" s="6" t="s">
        <v>67</v>
      </c>
      <c r="U84" s="9"/>
      <c r="V84" s="9"/>
      <c r="W84" s="9"/>
      <c r="X84" s="9"/>
      <c r="Y84" s="9"/>
      <c r="Z84" s="10"/>
      <c r="AA84" s="10"/>
      <c r="AB84" s="10"/>
      <c r="AT84" s="10"/>
    </row>
    <row r="85" spans="9:46" ht="15.75" thickBot="1" x14ac:dyDescent="0.3">
      <c r="I85" s="212"/>
      <c r="J85" s="174"/>
      <c r="K85" s="174"/>
      <c r="L85" s="232"/>
      <c r="M85" s="229"/>
      <c r="N85" s="229"/>
      <c r="O85" s="229"/>
      <c r="P85" s="229"/>
      <c r="Q85" s="229"/>
      <c r="R85" s="147">
        <v>3</v>
      </c>
      <c r="S85" s="147">
        <f>R85*M83</f>
        <v>27</v>
      </c>
      <c r="T85" s="26" t="s">
        <v>4</v>
      </c>
      <c r="U85" s="9"/>
      <c r="V85" s="9"/>
      <c r="W85" s="9"/>
      <c r="X85" s="9"/>
      <c r="Y85" s="9"/>
      <c r="Z85" s="10"/>
      <c r="AA85" s="10"/>
      <c r="AB85" s="10"/>
      <c r="AT85" s="10"/>
    </row>
    <row r="86" spans="9:46" ht="15.75" thickBot="1" x14ac:dyDescent="0.3">
      <c r="I86" s="212"/>
      <c r="J86" s="174"/>
      <c r="K86" s="174"/>
      <c r="L86" s="79">
        <v>9</v>
      </c>
      <c r="M86" s="44">
        <f>L86*I80</f>
        <v>9</v>
      </c>
      <c r="N86" s="44" t="s">
        <v>31</v>
      </c>
      <c r="O86" s="44"/>
      <c r="P86" s="44"/>
      <c r="Q86" s="44"/>
      <c r="R86" s="44">
        <v>5</v>
      </c>
      <c r="S86" s="44">
        <f>R86*M86</f>
        <v>45</v>
      </c>
      <c r="T86" s="45" t="s">
        <v>17</v>
      </c>
      <c r="U86" s="9"/>
      <c r="V86" s="9"/>
      <c r="W86" s="9"/>
      <c r="X86" s="9"/>
      <c r="Y86" s="9"/>
      <c r="Z86" s="10"/>
      <c r="AA86" s="10"/>
      <c r="AB86" s="10"/>
      <c r="AT86" s="10"/>
    </row>
    <row r="87" spans="9:46" ht="15.75" thickBot="1" x14ac:dyDescent="0.3">
      <c r="I87" s="212"/>
      <c r="J87" s="174"/>
      <c r="K87" s="174"/>
      <c r="L87" s="11">
        <v>18</v>
      </c>
      <c r="M87" s="12">
        <f>L87*I80</f>
        <v>18</v>
      </c>
      <c r="N87" s="12" t="s">
        <v>61</v>
      </c>
      <c r="O87" s="12">
        <v>1</v>
      </c>
      <c r="P87" s="12">
        <f>M87</f>
        <v>18</v>
      </c>
      <c r="Q87" s="12" t="s">
        <v>48</v>
      </c>
      <c r="R87" s="12">
        <v>3</v>
      </c>
      <c r="S87" s="12">
        <f>R87*P87</f>
        <v>54</v>
      </c>
      <c r="T87" s="19" t="s">
        <v>14</v>
      </c>
      <c r="U87" s="9"/>
      <c r="V87" s="9"/>
      <c r="W87" s="9"/>
      <c r="X87" s="9"/>
      <c r="Y87" s="9"/>
      <c r="Z87" s="10"/>
      <c r="AA87" s="10"/>
      <c r="AB87" s="10"/>
      <c r="AT87" s="10"/>
    </row>
    <row r="88" spans="9:46" ht="15.75" thickBot="1" x14ac:dyDescent="0.3">
      <c r="I88" s="212"/>
      <c r="J88" s="174"/>
      <c r="K88" s="174"/>
      <c r="L88" s="11">
        <v>18</v>
      </c>
      <c r="M88" s="12">
        <f>L88*I80</f>
        <v>18</v>
      </c>
      <c r="N88" s="12" t="s">
        <v>39</v>
      </c>
      <c r="O88" s="12">
        <v>2</v>
      </c>
      <c r="P88" s="12">
        <f>O88*M88</f>
        <v>36</v>
      </c>
      <c r="Q88" s="12" t="s">
        <v>52</v>
      </c>
      <c r="R88" s="12">
        <v>3</v>
      </c>
      <c r="S88" s="12">
        <f>R88*P88</f>
        <v>108</v>
      </c>
      <c r="T88" s="19" t="s">
        <v>8</v>
      </c>
      <c r="U88" s="9"/>
      <c r="V88" s="9"/>
      <c r="W88" s="9"/>
      <c r="X88" s="9"/>
      <c r="Y88" s="9"/>
      <c r="Z88" s="10"/>
      <c r="AA88" s="10"/>
      <c r="AB88" s="10"/>
      <c r="AT88" s="10"/>
    </row>
    <row r="89" spans="9:46" ht="15.75" thickBot="1" x14ac:dyDescent="0.3">
      <c r="I89" s="212"/>
      <c r="J89" s="174"/>
      <c r="K89" s="174"/>
      <c r="L89" s="71">
        <v>18</v>
      </c>
      <c r="M89" s="69">
        <f>L89*I80</f>
        <v>18</v>
      </c>
      <c r="N89" s="69" t="s">
        <v>40</v>
      </c>
      <c r="O89" s="69"/>
      <c r="P89" s="69"/>
      <c r="Q89" s="69"/>
      <c r="R89" s="69">
        <v>4</v>
      </c>
      <c r="S89" s="69">
        <f>R89*M89</f>
        <v>72</v>
      </c>
      <c r="T89" s="70" t="s">
        <v>6</v>
      </c>
      <c r="U89" s="9"/>
      <c r="V89" s="9"/>
      <c r="W89" s="9"/>
      <c r="X89" s="9"/>
      <c r="Y89" s="9"/>
      <c r="Z89" s="10"/>
      <c r="AA89" s="10"/>
      <c r="AB89" s="10"/>
      <c r="AT89" s="10"/>
    </row>
    <row r="90" spans="9:46" ht="15.75" thickBot="1" x14ac:dyDescent="0.3">
      <c r="I90" s="212"/>
      <c r="J90" s="174"/>
      <c r="K90" s="174"/>
      <c r="L90" s="49">
        <v>18</v>
      </c>
      <c r="M90" s="50">
        <f>L90*I80</f>
        <v>18</v>
      </c>
      <c r="N90" s="50" t="s">
        <v>46</v>
      </c>
      <c r="O90" s="50"/>
      <c r="P90" s="50"/>
      <c r="Q90" s="50"/>
      <c r="R90" s="50">
        <v>2</v>
      </c>
      <c r="S90" s="50">
        <f>R90*M90</f>
        <v>36</v>
      </c>
      <c r="T90" s="51" t="s">
        <v>60</v>
      </c>
      <c r="U90" s="9"/>
      <c r="V90" s="9"/>
      <c r="W90" s="9"/>
      <c r="X90" s="9"/>
      <c r="Y90" s="9"/>
      <c r="Z90" s="10"/>
      <c r="AA90" s="10"/>
      <c r="AB90" s="10"/>
      <c r="AT90" s="10"/>
    </row>
    <row r="91" spans="9:46" ht="15.75" thickBot="1" x14ac:dyDescent="0.3">
      <c r="I91" s="212"/>
      <c r="J91" s="174"/>
      <c r="K91" s="174"/>
      <c r="L91" s="11">
        <v>18</v>
      </c>
      <c r="M91" s="12">
        <f>L91*I80</f>
        <v>18</v>
      </c>
      <c r="N91" s="12" t="s">
        <v>84</v>
      </c>
      <c r="O91" s="12">
        <v>1</v>
      </c>
      <c r="P91" s="12">
        <f>M91</f>
        <v>18</v>
      </c>
      <c r="Q91" s="12" t="s">
        <v>52</v>
      </c>
      <c r="R91" s="12">
        <v>3</v>
      </c>
      <c r="S91" s="12">
        <f>R91*P91</f>
        <v>54</v>
      </c>
      <c r="T91" s="19" t="s">
        <v>8</v>
      </c>
      <c r="U91" s="9"/>
      <c r="V91" s="9"/>
      <c r="W91" s="9"/>
      <c r="X91" s="9"/>
      <c r="Y91" s="9"/>
      <c r="Z91" s="10"/>
      <c r="AA91" s="10"/>
      <c r="AB91" s="10"/>
      <c r="AT91" s="10"/>
    </row>
    <row r="92" spans="9:46" x14ac:dyDescent="0.25">
      <c r="I92" s="212"/>
      <c r="J92" s="174"/>
      <c r="K92" s="174"/>
      <c r="L92" s="176">
        <v>18</v>
      </c>
      <c r="M92" s="168">
        <f>L92*I80</f>
        <v>18</v>
      </c>
      <c r="N92" s="168" t="s">
        <v>36</v>
      </c>
      <c r="O92" s="168"/>
      <c r="P92" s="168"/>
      <c r="Q92" s="168"/>
      <c r="R92" s="111">
        <v>2</v>
      </c>
      <c r="S92" s="111">
        <f>R92*M92</f>
        <v>36</v>
      </c>
      <c r="T92" s="21" t="s">
        <v>4</v>
      </c>
      <c r="U92" s="9"/>
      <c r="V92" s="9"/>
      <c r="W92" s="9"/>
      <c r="X92" s="9"/>
      <c r="Y92" s="9"/>
      <c r="Z92" s="10"/>
      <c r="AA92" s="10"/>
      <c r="AB92" s="10"/>
      <c r="AT92" s="10"/>
    </row>
    <row r="93" spans="9:46" ht="15.75" thickBot="1" x14ac:dyDescent="0.3">
      <c r="I93" s="212"/>
      <c r="J93" s="174"/>
      <c r="K93" s="174"/>
      <c r="L93" s="177"/>
      <c r="M93" s="169"/>
      <c r="N93" s="169"/>
      <c r="O93" s="169"/>
      <c r="P93" s="169"/>
      <c r="Q93" s="169"/>
      <c r="R93" s="112">
        <v>1</v>
      </c>
      <c r="S93" s="112">
        <f>M92</f>
        <v>18</v>
      </c>
      <c r="T93" s="20" t="s">
        <v>14</v>
      </c>
      <c r="U93" s="9"/>
      <c r="V93" s="9"/>
      <c r="W93" s="9"/>
      <c r="X93" s="9"/>
      <c r="Y93" s="9"/>
      <c r="Z93" s="10"/>
      <c r="AA93" s="10"/>
      <c r="AB93" s="10"/>
      <c r="AT93" s="10"/>
    </row>
    <row r="94" spans="9:46" x14ac:dyDescent="0.25">
      <c r="I94" s="212"/>
      <c r="J94" s="174"/>
      <c r="K94" s="174"/>
      <c r="L94" s="221">
        <v>21</v>
      </c>
      <c r="M94" s="224">
        <f>L94*I80</f>
        <v>21</v>
      </c>
      <c r="N94" s="224" t="s">
        <v>101</v>
      </c>
      <c r="O94" s="224">
        <v>2</v>
      </c>
      <c r="P94" s="224">
        <f>O94*M94</f>
        <v>42</v>
      </c>
      <c r="Q94" s="224" t="s">
        <v>106</v>
      </c>
      <c r="R94" s="113">
        <v>3</v>
      </c>
      <c r="S94" s="113">
        <f>R94*P94</f>
        <v>126</v>
      </c>
      <c r="T94" s="41" t="s">
        <v>24</v>
      </c>
      <c r="U94" s="9"/>
      <c r="V94" s="9"/>
      <c r="W94" s="9"/>
      <c r="X94" s="9"/>
      <c r="Y94" s="9"/>
      <c r="Z94" s="10"/>
      <c r="AA94" s="10"/>
      <c r="AB94" s="10"/>
      <c r="AT94" s="10"/>
    </row>
    <row r="95" spans="9:46" x14ac:dyDescent="0.25">
      <c r="I95" s="212"/>
      <c r="J95" s="174"/>
      <c r="K95" s="174"/>
      <c r="L95" s="222"/>
      <c r="M95" s="225"/>
      <c r="N95" s="225"/>
      <c r="O95" s="225"/>
      <c r="P95" s="225"/>
      <c r="Q95" s="225"/>
      <c r="R95" s="114">
        <v>1</v>
      </c>
      <c r="S95" s="114">
        <f>P94</f>
        <v>42</v>
      </c>
      <c r="T95" s="75" t="s">
        <v>16</v>
      </c>
      <c r="U95" s="9"/>
      <c r="V95" s="9"/>
      <c r="W95" s="9"/>
      <c r="X95" s="9"/>
      <c r="Y95" s="9"/>
      <c r="Z95" s="10"/>
      <c r="AA95" s="10"/>
      <c r="AB95" s="10"/>
      <c r="AT95" s="10"/>
    </row>
    <row r="96" spans="9:46" ht="15.75" thickBot="1" x14ac:dyDescent="0.3">
      <c r="I96" s="212"/>
      <c r="J96" s="174"/>
      <c r="K96" s="174"/>
      <c r="L96" s="223"/>
      <c r="M96" s="226"/>
      <c r="N96" s="226"/>
      <c r="O96" s="115"/>
      <c r="P96" s="115"/>
      <c r="Q96" s="115"/>
      <c r="R96" s="115">
        <v>9</v>
      </c>
      <c r="S96" s="115">
        <f>R96*M94</f>
        <v>189</v>
      </c>
      <c r="T96" s="42" t="s">
        <v>107</v>
      </c>
      <c r="U96" s="9"/>
      <c r="V96" s="9"/>
      <c r="W96" s="9"/>
      <c r="X96" s="9"/>
      <c r="Y96" s="9"/>
      <c r="Z96" s="10"/>
      <c r="AA96" s="10"/>
      <c r="AB96" s="10"/>
      <c r="AT96" s="10"/>
    </row>
    <row r="97" spans="9:46" x14ac:dyDescent="0.25">
      <c r="I97" s="212"/>
      <c r="J97" s="174"/>
      <c r="K97" s="174"/>
      <c r="L97" s="190">
        <v>18</v>
      </c>
      <c r="M97" s="193">
        <f>L97*I80</f>
        <v>18</v>
      </c>
      <c r="N97" s="193" t="s">
        <v>45</v>
      </c>
      <c r="O97" s="128"/>
      <c r="P97" s="128"/>
      <c r="Q97" s="128"/>
      <c r="R97" s="128">
        <v>2</v>
      </c>
      <c r="S97" s="128">
        <f>R97*M97</f>
        <v>36</v>
      </c>
      <c r="T97" s="98" t="s">
        <v>5</v>
      </c>
      <c r="U97" s="9"/>
      <c r="V97" s="9"/>
      <c r="W97" s="9"/>
      <c r="X97" s="9"/>
      <c r="Y97" s="9"/>
      <c r="Z97" s="10"/>
      <c r="AA97" s="10"/>
      <c r="AB97" s="10"/>
      <c r="AT97" s="10"/>
    </row>
    <row r="98" spans="9:46" x14ac:dyDescent="0.25">
      <c r="I98" s="212"/>
      <c r="J98" s="174"/>
      <c r="K98" s="174"/>
      <c r="L98" s="191"/>
      <c r="M98" s="194"/>
      <c r="N98" s="194"/>
      <c r="O98" s="127">
        <v>1</v>
      </c>
      <c r="P98" s="127">
        <f>M97</f>
        <v>18</v>
      </c>
      <c r="Q98" s="127" t="s">
        <v>58</v>
      </c>
      <c r="R98" s="127">
        <v>2</v>
      </c>
      <c r="S98" s="127">
        <f>R98*P98</f>
        <v>36</v>
      </c>
      <c r="T98" s="99" t="s">
        <v>21</v>
      </c>
      <c r="U98" s="9"/>
      <c r="V98" s="9"/>
      <c r="W98" s="9"/>
      <c r="X98" s="9"/>
      <c r="Y98" s="9"/>
      <c r="Z98" s="10"/>
      <c r="AA98" s="10"/>
      <c r="AB98" s="10"/>
      <c r="AT98" s="10"/>
    </row>
    <row r="99" spans="9:46" ht="15.75" thickBot="1" x14ac:dyDescent="0.3">
      <c r="I99" s="213"/>
      <c r="J99" s="175"/>
      <c r="K99" s="175"/>
      <c r="L99" s="233"/>
      <c r="M99" s="234"/>
      <c r="N99" s="234"/>
      <c r="O99" s="146"/>
      <c r="P99" s="146"/>
      <c r="Q99" s="146"/>
      <c r="R99" s="146">
        <v>1</v>
      </c>
      <c r="S99" s="146">
        <f>M97</f>
        <v>18</v>
      </c>
      <c r="T99" s="14" t="s">
        <v>59</v>
      </c>
      <c r="U99" s="9"/>
      <c r="V99" s="9"/>
      <c r="W99" s="9"/>
      <c r="X99" s="9"/>
      <c r="Y99" s="9"/>
      <c r="Z99" s="10"/>
      <c r="AA99" s="10"/>
      <c r="AB99" s="10"/>
      <c r="AT99" s="10"/>
    </row>
    <row r="100" spans="9:46" ht="15.75" thickTop="1" x14ac:dyDescent="0.25">
      <c r="I100" s="211">
        <f>D9</f>
        <v>1</v>
      </c>
      <c r="J100" s="173" t="s">
        <v>103</v>
      </c>
      <c r="K100" s="173" t="s">
        <v>98</v>
      </c>
      <c r="L100" s="235">
        <v>12</v>
      </c>
      <c r="M100" s="237">
        <f>L100*I100</f>
        <v>12</v>
      </c>
      <c r="N100" s="237" t="s">
        <v>102</v>
      </c>
      <c r="O100" s="148">
        <v>2</v>
      </c>
      <c r="P100" s="148">
        <f>O100*M100</f>
        <v>24</v>
      </c>
      <c r="Q100" s="148" t="s">
        <v>37</v>
      </c>
      <c r="R100" s="148">
        <v>3</v>
      </c>
      <c r="S100" s="148">
        <f>R100*P100</f>
        <v>72</v>
      </c>
      <c r="T100" s="5" t="s">
        <v>49</v>
      </c>
      <c r="U100" s="9"/>
      <c r="V100" s="9"/>
      <c r="W100" s="9"/>
      <c r="X100" s="9"/>
      <c r="Y100" s="9"/>
      <c r="Z100" s="10"/>
      <c r="AA100" s="10"/>
      <c r="AB100" s="10"/>
      <c r="AT100" s="10"/>
    </row>
    <row r="101" spans="9:46" ht="15.75" thickBot="1" x14ac:dyDescent="0.3">
      <c r="I101" s="212"/>
      <c r="J101" s="174"/>
      <c r="K101" s="174"/>
      <c r="L101" s="236"/>
      <c r="M101" s="238"/>
      <c r="N101" s="238"/>
      <c r="O101" s="149"/>
      <c r="P101" s="149"/>
      <c r="Q101" s="149"/>
      <c r="R101" s="149">
        <v>9</v>
      </c>
      <c r="S101" s="149">
        <f>R101*M100</f>
        <v>108</v>
      </c>
      <c r="T101" s="68" t="s">
        <v>108</v>
      </c>
      <c r="U101" s="9"/>
      <c r="V101" s="9"/>
      <c r="W101" s="9"/>
      <c r="X101" s="9"/>
      <c r="Y101" s="9"/>
      <c r="Z101" s="10"/>
      <c r="AA101" s="10"/>
      <c r="AB101" s="10"/>
      <c r="AT101" s="10"/>
    </row>
    <row r="102" spans="9:46" ht="15.75" thickBot="1" x14ac:dyDescent="0.3">
      <c r="I102" s="212"/>
      <c r="J102" s="174"/>
      <c r="K102" s="174"/>
      <c r="L102" s="11">
        <v>21</v>
      </c>
      <c r="M102" s="12">
        <f>L102*I100</f>
        <v>21</v>
      </c>
      <c r="N102" s="12" t="s">
        <v>53</v>
      </c>
      <c r="O102" s="12"/>
      <c r="P102" s="12"/>
      <c r="Q102" s="12"/>
      <c r="R102" s="12">
        <v>3</v>
      </c>
      <c r="S102" s="12">
        <f>R102*M102</f>
        <v>63</v>
      </c>
      <c r="T102" s="19" t="s">
        <v>25</v>
      </c>
      <c r="U102" s="9"/>
      <c r="V102" s="9"/>
      <c r="W102" s="9"/>
      <c r="X102" s="9"/>
      <c r="Y102" s="9"/>
      <c r="Z102" s="10"/>
      <c r="AA102" s="10"/>
      <c r="AB102" s="10"/>
      <c r="AT102" s="10"/>
    </row>
    <row r="103" spans="9:46" ht="15.75" thickBot="1" x14ac:dyDescent="0.3">
      <c r="I103" s="212"/>
      <c r="J103" s="174"/>
      <c r="K103" s="174"/>
      <c r="L103" s="11">
        <v>21</v>
      </c>
      <c r="M103" s="12">
        <f>L103*I100</f>
        <v>21</v>
      </c>
      <c r="N103" s="12" t="s">
        <v>35</v>
      </c>
      <c r="O103" s="12">
        <v>1</v>
      </c>
      <c r="P103" s="12">
        <f>M103</f>
        <v>21</v>
      </c>
      <c r="Q103" s="12" t="s">
        <v>48</v>
      </c>
      <c r="R103" s="12">
        <v>3</v>
      </c>
      <c r="S103" s="12">
        <f>R103*P103</f>
        <v>63</v>
      </c>
      <c r="T103" s="19" t="s">
        <v>14</v>
      </c>
      <c r="U103" s="9"/>
      <c r="V103" s="9"/>
      <c r="W103" s="9"/>
      <c r="X103" s="9"/>
      <c r="Y103" s="9"/>
      <c r="Z103" s="10"/>
      <c r="AA103" s="10"/>
      <c r="AB103" s="10"/>
      <c r="AT103" s="10"/>
    </row>
    <row r="104" spans="9:46" ht="15.75" thickBot="1" x14ac:dyDescent="0.3">
      <c r="I104" s="212"/>
      <c r="J104" s="174"/>
      <c r="K104" s="174"/>
      <c r="L104" s="151">
        <v>21</v>
      </c>
      <c r="M104" s="153">
        <f>L104*I100</f>
        <v>21</v>
      </c>
      <c r="N104" s="153" t="s">
        <v>61</v>
      </c>
      <c r="O104" s="153">
        <v>1</v>
      </c>
      <c r="P104" s="153">
        <f>M104</f>
        <v>21</v>
      </c>
      <c r="Q104" s="153" t="s">
        <v>48</v>
      </c>
      <c r="R104" s="153">
        <v>3</v>
      </c>
      <c r="S104" s="153">
        <f>R104*P104</f>
        <v>63</v>
      </c>
      <c r="T104" s="18" t="s">
        <v>14</v>
      </c>
      <c r="U104" s="9"/>
      <c r="V104" s="9"/>
      <c r="W104" s="9"/>
      <c r="X104" s="9"/>
      <c r="Y104" s="9"/>
      <c r="Z104" s="10"/>
      <c r="AA104" s="10"/>
      <c r="AB104" s="10"/>
      <c r="AT104" s="10"/>
    </row>
    <row r="105" spans="9:46" x14ac:dyDescent="0.25">
      <c r="I105" s="212"/>
      <c r="J105" s="174"/>
      <c r="K105" s="174"/>
      <c r="L105" s="176">
        <v>21</v>
      </c>
      <c r="M105" s="168">
        <f>L105*I100</f>
        <v>21</v>
      </c>
      <c r="N105" s="168" t="s">
        <v>62</v>
      </c>
      <c r="O105" s="168"/>
      <c r="P105" s="168"/>
      <c r="Q105" s="168"/>
      <c r="R105" s="111">
        <v>2</v>
      </c>
      <c r="S105" s="111">
        <f>R105*M105</f>
        <v>42</v>
      </c>
      <c r="T105" s="21" t="s">
        <v>14</v>
      </c>
      <c r="U105" s="9"/>
      <c r="V105" s="9"/>
      <c r="W105" s="9"/>
      <c r="X105" s="9"/>
      <c r="Y105" s="9"/>
      <c r="Z105" s="10"/>
      <c r="AA105" s="10"/>
      <c r="AB105" s="10"/>
      <c r="AT105" s="10"/>
    </row>
    <row r="106" spans="9:46" ht="15.75" thickBot="1" x14ac:dyDescent="0.3">
      <c r="I106" s="212"/>
      <c r="J106" s="174"/>
      <c r="K106" s="174"/>
      <c r="L106" s="177"/>
      <c r="M106" s="169"/>
      <c r="N106" s="169"/>
      <c r="O106" s="169"/>
      <c r="P106" s="169"/>
      <c r="Q106" s="169"/>
      <c r="R106" s="112">
        <v>1</v>
      </c>
      <c r="S106" s="112">
        <f>M105</f>
        <v>21</v>
      </c>
      <c r="T106" s="20" t="s">
        <v>10</v>
      </c>
      <c r="U106" s="9"/>
      <c r="V106" s="9"/>
      <c r="W106" s="9"/>
      <c r="X106" s="9"/>
      <c r="Y106" s="9"/>
      <c r="Z106" s="10"/>
      <c r="AA106" s="10"/>
      <c r="AB106" s="10"/>
      <c r="AT106" s="10"/>
    </row>
    <row r="107" spans="9:46" x14ac:dyDescent="0.25">
      <c r="I107" s="212"/>
      <c r="J107" s="174"/>
      <c r="K107" s="174"/>
      <c r="L107" s="176">
        <v>21</v>
      </c>
      <c r="M107" s="168">
        <f>L107*I100</f>
        <v>21</v>
      </c>
      <c r="N107" s="168" t="s">
        <v>63</v>
      </c>
      <c r="O107" s="168">
        <v>1</v>
      </c>
      <c r="P107" s="168">
        <f>M107</f>
        <v>21</v>
      </c>
      <c r="Q107" s="168" t="s">
        <v>62</v>
      </c>
      <c r="R107" s="111">
        <v>2</v>
      </c>
      <c r="S107" s="111">
        <f>R107*P107</f>
        <v>42</v>
      </c>
      <c r="T107" s="21" t="s">
        <v>14</v>
      </c>
      <c r="U107" s="9"/>
      <c r="V107" s="9"/>
      <c r="W107" s="9"/>
      <c r="X107" s="9"/>
      <c r="Y107" s="9"/>
      <c r="Z107" s="10"/>
      <c r="AA107" s="10"/>
      <c r="AB107" s="10"/>
      <c r="AT107" s="10"/>
    </row>
    <row r="108" spans="9:46" ht="15.75" thickBot="1" x14ac:dyDescent="0.3">
      <c r="I108" s="212"/>
      <c r="J108" s="174"/>
      <c r="K108" s="174"/>
      <c r="L108" s="177"/>
      <c r="M108" s="169"/>
      <c r="N108" s="169"/>
      <c r="O108" s="169"/>
      <c r="P108" s="169"/>
      <c r="Q108" s="169"/>
      <c r="R108" s="112">
        <v>1</v>
      </c>
      <c r="S108" s="112">
        <f>P107</f>
        <v>21</v>
      </c>
      <c r="T108" s="20" t="s">
        <v>10</v>
      </c>
      <c r="U108" s="9"/>
      <c r="V108" s="9"/>
      <c r="W108" s="9"/>
      <c r="X108" s="9"/>
      <c r="Y108" s="9"/>
      <c r="Z108" s="10"/>
      <c r="AA108" s="10"/>
      <c r="AB108" s="10"/>
      <c r="AT108" s="10"/>
    </row>
    <row r="109" spans="9:46" x14ac:dyDescent="0.25">
      <c r="I109" s="212"/>
      <c r="J109" s="174"/>
      <c r="K109" s="174"/>
      <c r="L109" s="243">
        <v>12</v>
      </c>
      <c r="M109" s="245">
        <f>L109*I100</f>
        <v>12</v>
      </c>
      <c r="N109" s="245" t="s">
        <v>64</v>
      </c>
      <c r="O109" s="63">
        <v>2</v>
      </c>
      <c r="P109" s="132">
        <f>O109*M109</f>
        <v>24</v>
      </c>
      <c r="Q109" s="63" t="s">
        <v>53</v>
      </c>
      <c r="R109" s="132">
        <v>3</v>
      </c>
      <c r="S109" s="132">
        <f>R109*P109</f>
        <v>72</v>
      </c>
      <c r="T109" s="64" t="s">
        <v>25</v>
      </c>
      <c r="U109" s="9"/>
      <c r="V109" s="9"/>
      <c r="W109" s="9"/>
      <c r="X109" s="9"/>
      <c r="Y109" s="9"/>
      <c r="Z109" s="10"/>
      <c r="AA109" s="10"/>
      <c r="AB109" s="10"/>
      <c r="AT109" s="10"/>
    </row>
    <row r="110" spans="9:46" ht="15.75" thickBot="1" x14ac:dyDescent="0.3">
      <c r="I110" s="212"/>
      <c r="J110" s="174"/>
      <c r="K110" s="174"/>
      <c r="L110" s="244"/>
      <c r="M110" s="246"/>
      <c r="N110" s="246"/>
      <c r="O110" s="65"/>
      <c r="P110" s="65"/>
      <c r="Q110" s="65"/>
      <c r="R110" s="133">
        <v>9</v>
      </c>
      <c r="S110" s="133">
        <f>R110*M109</f>
        <v>108</v>
      </c>
      <c r="T110" s="66" t="s">
        <v>67</v>
      </c>
      <c r="U110" s="9"/>
      <c r="V110" s="9"/>
      <c r="W110" s="9"/>
      <c r="X110" s="9"/>
      <c r="Y110" s="9"/>
      <c r="Z110" s="10"/>
      <c r="AA110" s="10"/>
      <c r="AB110" s="10"/>
      <c r="AT110" s="10"/>
    </row>
    <row r="111" spans="9:46" x14ac:dyDescent="0.25">
      <c r="I111" s="212"/>
      <c r="J111" s="174"/>
      <c r="K111" s="174"/>
      <c r="L111" s="176">
        <v>21</v>
      </c>
      <c r="M111" s="168">
        <f>L111*I100</f>
        <v>21</v>
      </c>
      <c r="N111" s="168" t="s">
        <v>41</v>
      </c>
      <c r="O111" s="168">
        <v>1</v>
      </c>
      <c r="P111" s="168">
        <f>M111</f>
        <v>21</v>
      </c>
      <c r="Q111" s="168" t="s">
        <v>36</v>
      </c>
      <c r="R111" s="111">
        <v>2</v>
      </c>
      <c r="S111" s="111">
        <f>P111</f>
        <v>21</v>
      </c>
      <c r="T111" s="21" t="s">
        <v>4</v>
      </c>
      <c r="U111" s="9"/>
      <c r="V111" s="9"/>
      <c r="W111" s="9"/>
      <c r="X111" s="9"/>
      <c r="Y111" s="9"/>
      <c r="Z111" s="10"/>
      <c r="AA111" s="10"/>
      <c r="AB111" s="10"/>
      <c r="AT111" s="10"/>
    </row>
    <row r="112" spans="9:46" ht="15.75" thickBot="1" x14ac:dyDescent="0.3">
      <c r="I112" s="212"/>
      <c r="J112" s="174"/>
      <c r="K112" s="174"/>
      <c r="L112" s="177"/>
      <c r="M112" s="169"/>
      <c r="N112" s="169"/>
      <c r="O112" s="169"/>
      <c r="P112" s="169"/>
      <c r="Q112" s="169"/>
      <c r="R112" s="112">
        <v>1</v>
      </c>
      <c r="S112" s="112">
        <f>P111</f>
        <v>21</v>
      </c>
      <c r="T112" s="20" t="s">
        <v>14</v>
      </c>
      <c r="U112" s="9"/>
      <c r="V112" s="9"/>
      <c r="W112" s="9"/>
      <c r="X112" s="9"/>
      <c r="Y112" s="9"/>
      <c r="Z112" s="10"/>
      <c r="AA112" s="10"/>
      <c r="AB112" s="10"/>
    </row>
    <row r="113" spans="9:28" x14ac:dyDescent="0.25">
      <c r="I113" s="212"/>
      <c r="J113" s="174"/>
      <c r="K113" s="174"/>
      <c r="L113" s="239">
        <v>12</v>
      </c>
      <c r="M113" s="241">
        <f>L113*I100</f>
        <v>12</v>
      </c>
      <c r="N113" s="241" t="s">
        <v>64</v>
      </c>
      <c r="O113" s="16">
        <v>2</v>
      </c>
      <c r="P113" s="111">
        <f>O113*M113</f>
        <v>24</v>
      </c>
      <c r="Q113" s="16" t="s">
        <v>53</v>
      </c>
      <c r="R113" s="111">
        <v>3</v>
      </c>
      <c r="S113" s="111">
        <f>R113*P113</f>
        <v>72</v>
      </c>
      <c r="T113" s="21" t="s">
        <v>25</v>
      </c>
      <c r="U113" s="9"/>
      <c r="V113" s="9"/>
      <c r="W113" s="9"/>
      <c r="X113" s="9"/>
      <c r="Y113" s="9"/>
      <c r="Z113" s="10"/>
      <c r="AA113" s="10"/>
      <c r="AB113" s="10"/>
    </row>
    <row r="114" spans="9:28" ht="15.75" thickBot="1" x14ac:dyDescent="0.3">
      <c r="I114" s="212"/>
      <c r="J114" s="174"/>
      <c r="K114" s="174"/>
      <c r="L114" s="240"/>
      <c r="M114" s="242"/>
      <c r="N114" s="242"/>
      <c r="O114" s="43"/>
      <c r="P114" s="43"/>
      <c r="Q114" s="43"/>
      <c r="R114" s="112">
        <v>9</v>
      </c>
      <c r="S114" s="112">
        <f>R114*M113</f>
        <v>108</v>
      </c>
      <c r="T114" s="20" t="s">
        <v>67</v>
      </c>
      <c r="U114" s="9"/>
      <c r="V114" s="9"/>
      <c r="W114" s="9"/>
      <c r="X114" s="9"/>
      <c r="Y114" s="9"/>
      <c r="Z114" s="10"/>
      <c r="AA114" s="10"/>
      <c r="AB114" s="10"/>
    </row>
    <row r="115" spans="9:28" x14ac:dyDescent="0.25">
      <c r="I115" s="212"/>
      <c r="J115" s="174"/>
      <c r="K115" s="174"/>
      <c r="L115" s="230">
        <v>9</v>
      </c>
      <c r="M115" s="227">
        <f>L115*I100</f>
        <v>9</v>
      </c>
      <c r="N115" s="227" t="s">
        <v>100</v>
      </c>
      <c r="O115" s="227"/>
      <c r="P115" s="227"/>
      <c r="Q115" s="227"/>
      <c r="R115" s="120">
        <v>3</v>
      </c>
      <c r="S115" s="120">
        <f>R115*M115</f>
        <v>27</v>
      </c>
      <c r="T115" s="25" t="s">
        <v>105</v>
      </c>
      <c r="U115" s="9"/>
      <c r="V115" s="9"/>
      <c r="W115" s="9"/>
      <c r="X115" s="9"/>
      <c r="Y115" s="9"/>
      <c r="Z115" s="10"/>
      <c r="AA115" s="10"/>
      <c r="AB115" s="10"/>
    </row>
    <row r="116" spans="9:28" x14ac:dyDescent="0.25">
      <c r="I116" s="212"/>
      <c r="J116" s="174"/>
      <c r="K116" s="174"/>
      <c r="L116" s="231"/>
      <c r="M116" s="228"/>
      <c r="N116" s="228"/>
      <c r="O116" s="228"/>
      <c r="P116" s="228"/>
      <c r="Q116" s="228"/>
      <c r="R116" s="121">
        <v>9</v>
      </c>
      <c r="S116" s="121">
        <f>R116*M115</f>
        <v>81</v>
      </c>
      <c r="T116" s="6" t="s">
        <v>67</v>
      </c>
      <c r="U116" s="9"/>
      <c r="V116" s="9"/>
      <c r="W116" s="9"/>
      <c r="X116" s="9"/>
      <c r="Y116" s="9"/>
      <c r="Z116" s="10"/>
      <c r="AA116" s="10"/>
      <c r="AB116" s="10"/>
    </row>
    <row r="117" spans="9:28" ht="15.75" thickBot="1" x14ac:dyDescent="0.3">
      <c r="I117" s="212"/>
      <c r="J117" s="174"/>
      <c r="K117" s="174"/>
      <c r="L117" s="232"/>
      <c r="M117" s="229"/>
      <c r="N117" s="229"/>
      <c r="O117" s="229"/>
      <c r="P117" s="229"/>
      <c r="Q117" s="229"/>
      <c r="R117" s="147">
        <v>3</v>
      </c>
      <c r="S117" s="147">
        <f>R117*M115</f>
        <v>27</v>
      </c>
      <c r="T117" s="26" t="s">
        <v>4</v>
      </c>
      <c r="U117" s="9"/>
      <c r="V117" s="9"/>
      <c r="W117" s="9"/>
      <c r="X117" s="9"/>
      <c r="Y117" s="9"/>
      <c r="Z117" s="10"/>
      <c r="AA117" s="10"/>
      <c r="AB117" s="10"/>
    </row>
    <row r="118" spans="9:28" x14ac:dyDescent="0.25">
      <c r="I118" s="212"/>
      <c r="J118" s="174"/>
      <c r="K118" s="174"/>
      <c r="L118" s="176">
        <v>21</v>
      </c>
      <c r="M118" s="168">
        <f>L118*I100</f>
        <v>21</v>
      </c>
      <c r="N118" s="168" t="s">
        <v>63</v>
      </c>
      <c r="O118" s="168">
        <v>1</v>
      </c>
      <c r="P118" s="168">
        <f>M118</f>
        <v>21</v>
      </c>
      <c r="Q118" s="168" t="s">
        <v>62</v>
      </c>
      <c r="R118" s="111">
        <v>2</v>
      </c>
      <c r="S118" s="111">
        <f>R118*P118</f>
        <v>42</v>
      </c>
      <c r="T118" s="21" t="s">
        <v>14</v>
      </c>
      <c r="U118" s="9"/>
      <c r="V118" s="9"/>
      <c r="W118" s="9"/>
      <c r="X118" s="9"/>
      <c r="Y118" s="9"/>
      <c r="Z118" s="10"/>
      <c r="AA118" s="10"/>
      <c r="AB118" s="10"/>
    </row>
    <row r="119" spans="9:28" ht="15.75" thickBot="1" x14ac:dyDescent="0.3">
      <c r="I119" s="212"/>
      <c r="J119" s="174"/>
      <c r="K119" s="174"/>
      <c r="L119" s="177"/>
      <c r="M119" s="169"/>
      <c r="N119" s="169"/>
      <c r="O119" s="169"/>
      <c r="P119" s="169"/>
      <c r="Q119" s="169"/>
      <c r="R119" s="112">
        <v>1</v>
      </c>
      <c r="S119" s="112">
        <f>P118</f>
        <v>21</v>
      </c>
      <c r="T119" s="20" t="s">
        <v>10</v>
      </c>
      <c r="U119" s="9"/>
      <c r="V119" s="9"/>
      <c r="W119" s="9"/>
      <c r="X119" s="9"/>
      <c r="Y119" s="9"/>
      <c r="Z119" s="10"/>
      <c r="AA119" s="10"/>
      <c r="AB119" s="10"/>
    </row>
    <row r="120" spans="9:28" ht="15.75" thickBot="1" x14ac:dyDescent="0.3">
      <c r="I120" s="213"/>
      <c r="J120" s="175"/>
      <c r="K120" s="175"/>
      <c r="L120" s="72">
        <v>21</v>
      </c>
      <c r="M120" s="73">
        <f>L120*I100</f>
        <v>21</v>
      </c>
      <c r="N120" s="73" t="s">
        <v>40</v>
      </c>
      <c r="O120" s="73"/>
      <c r="P120" s="73"/>
      <c r="Q120" s="73"/>
      <c r="R120" s="73">
        <v>4</v>
      </c>
      <c r="S120" s="73">
        <f>R120*M120</f>
        <v>84</v>
      </c>
      <c r="T120" s="74" t="s">
        <v>6</v>
      </c>
      <c r="U120" s="9"/>
      <c r="V120" s="9"/>
      <c r="W120" s="9"/>
      <c r="X120" s="9"/>
      <c r="Y120" s="9"/>
      <c r="Z120" s="10"/>
      <c r="AA120" s="10"/>
      <c r="AB120" s="10"/>
    </row>
    <row r="121" spans="9:28" ht="15.75" thickTop="1" x14ac:dyDescent="0.25">
      <c r="I121" s="211">
        <f>E9</f>
        <v>1</v>
      </c>
      <c r="J121" s="173" t="s">
        <v>81</v>
      </c>
      <c r="K121" s="173" t="s">
        <v>98</v>
      </c>
      <c r="L121" s="239">
        <v>30</v>
      </c>
      <c r="M121" s="241">
        <f>L121*I121</f>
        <v>30</v>
      </c>
      <c r="N121" s="241" t="s">
        <v>64</v>
      </c>
      <c r="O121" s="16">
        <v>2</v>
      </c>
      <c r="P121" s="111">
        <f>O121*M121</f>
        <v>60</v>
      </c>
      <c r="Q121" s="16" t="s">
        <v>53</v>
      </c>
      <c r="R121" s="111">
        <v>3</v>
      </c>
      <c r="S121" s="111">
        <f>R121*P121</f>
        <v>180</v>
      </c>
      <c r="T121" s="21" t="s">
        <v>25</v>
      </c>
      <c r="U121" s="9"/>
      <c r="V121" s="9"/>
      <c r="W121" s="9"/>
      <c r="X121" s="9"/>
      <c r="Y121" s="9"/>
      <c r="Z121" s="10"/>
      <c r="AA121" s="10"/>
      <c r="AB121" s="10"/>
    </row>
    <row r="122" spans="9:28" ht="15.75" thickBot="1" x14ac:dyDescent="0.3">
      <c r="I122" s="212"/>
      <c r="J122" s="174"/>
      <c r="K122" s="174"/>
      <c r="L122" s="240"/>
      <c r="M122" s="242"/>
      <c r="N122" s="242"/>
      <c r="O122" s="43"/>
      <c r="P122" s="43"/>
      <c r="Q122" s="43"/>
      <c r="R122" s="112">
        <v>9</v>
      </c>
      <c r="S122" s="112">
        <f>R122*M121</f>
        <v>270</v>
      </c>
      <c r="T122" s="20" t="s">
        <v>67</v>
      </c>
      <c r="U122" s="9"/>
      <c r="V122" s="9"/>
      <c r="W122" s="9"/>
      <c r="X122" s="9"/>
      <c r="Y122" s="9"/>
      <c r="Z122" s="10"/>
      <c r="AA122" s="10"/>
      <c r="AB122" s="10"/>
    </row>
    <row r="123" spans="9:28" x14ac:dyDescent="0.25">
      <c r="I123" s="212"/>
      <c r="J123" s="174"/>
      <c r="K123" s="174"/>
      <c r="L123" s="176">
        <v>30</v>
      </c>
      <c r="M123" s="168">
        <f>L123*I121</f>
        <v>30</v>
      </c>
      <c r="N123" s="168" t="s">
        <v>63</v>
      </c>
      <c r="O123" s="168">
        <v>1</v>
      </c>
      <c r="P123" s="168">
        <f>M123</f>
        <v>30</v>
      </c>
      <c r="Q123" s="168" t="s">
        <v>62</v>
      </c>
      <c r="R123" s="111">
        <v>2</v>
      </c>
      <c r="S123" s="111">
        <f>R123*P123</f>
        <v>60</v>
      </c>
      <c r="T123" s="21" t="s">
        <v>14</v>
      </c>
      <c r="U123" s="9"/>
      <c r="V123" s="9"/>
      <c r="W123" s="9"/>
      <c r="X123" s="9"/>
      <c r="Y123" s="9"/>
      <c r="Z123" s="10"/>
      <c r="AA123" s="10"/>
      <c r="AB123" s="10"/>
    </row>
    <row r="124" spans="9:28" ht="15.75" thickBot="1" x14ac:dyDescent="0.3">
      <c r="I124" s="212"/>
      <c r="J124" s="174"/>
      <c r="K124" s="174"/>
      <c r="L124" s="177"/>
      <c r="M124" s="169"/>
      <c r="N124" s="169"/>
      <c r="O124" s="169"/>
      <c r="P124" s="169"/>
      <c r="Q124" s="169"/>
      <c r="R124" s="112">
        <v>1</v>
      </c>
      <c r="S124" s="112">
        <f>P123</f>
        <v>30</v>
      </c>
      <c r="T124" s="20" t="s">
        <v>10</v>
      </c>
      <c r="U124" s="9"/>
      <c r="V124" s="9"/>
      <c r="W124" s="9"/>
      <c r="X124" s="9"/>
      <c r="Y124" s="9"/>
      <c r="Z124" s="10"/>
      <c r="AA124" s="10"/>
      <c r="AB124" s="10"/>
    </row>
    <row r="125" spans="9:28" x14ac:dyDescent="0.25">
      <c r="I125" s="212"/>
      <c r="J125" s="174"/>
      <c r="K125" s="174"/>
      <c r="L125" s="176">
        <v>30</v>
      </c>
      <c r="M125" s="168">
        <f>L125*I121</f>
        <v>30</v>
      </c>
      <c r="N125" s="168" t="s">
        <v>82</v>
      </c>
      <c r="O125" s="168">
        <v>1</v>
      </c>
      <c r="P125" s="168">
        <f>M125</f>
        <v>30</v>
      </c>
      <c r="Q125" s="168" t="s">
        <v>36</v>
      </c>
      <c r="R125" s="111">
        <v>2</v>
      </c>
      <c r="S125" s="111">
        <f>R125*P125</f>
        <v>60</v>
      </c>
      <c r="T125" s="21" t="s">
        <v>4</v>
      </c>
      <c r="U125" s="9"/>
      <c r="V125" s="9"/>
      <c r="W125" s="9"/>
      <c r="X125" s="9"/>
      <c r="Y125" s="9"/>
      <c r="Z125" s="10"/>
      <c r="AA125" s="10"/>
      <c r="AB125" s="10"/>
    </row>
    <row r="126" spans="9:28" ht="15.75" thickBot="1" x14ac:dyDescent="0.3">
      <c r="I126" s="212"/>
      <c r="J126" s="174"/>
      <c r="K126" s="174"/>
      <c r="L126" s="177"/>
      <c r="M126" s="169"/>
      <c r="N126" s="169"/>
      <c r="O126" s="169"/>
      <c r="P126" s="169"/>
      <c r="Q126" s="169"/>
      <c r="R126" s="112">
        <v>1</v>
      </c>
      <c r="S126" s="112">
        <f>P125</f>
        <v>30</v>
      </c>
      <c r="T126" s="20" t="s">
        <v>14</v>
      </c>
      <c r="U126" s="9"/>
      <c r="V126" s="9"/>
      <c r="W126" s="9"/>
      <c r="X126" s="9"/>
      <c r="Y126" s="9"/>
      <c r="Z126" s="10"/>
      <c r="AA126" s="10"/>
      <c r="AB126" s="10"/>
    </row>
    <row r="127" spans="9:28" x14ac:dyDescent="0.25">
      <c r="I127" s="212"/>
      <c r="J127" s="174"/>
      <c r="K127" s="174"/>
      <c r="L127" s="230">
        <v>9</v>
      </c>
      <c r="M127" s="227">
        <f>L127*I121</f>
        <v>9</v>
      </c>
      <c r="N127" s="227" t="s">
        <v>100</v>
      </c>
      <c r="O127" s="227"/>
      <c r="P127" s="227"/>
      <c r="Q127" s="227"/>
      <c r="R127" s="120">
        <v>3</v>
      </c>
      <c r="S127" s="120">
        <f>R127*M127</f>
        <v>27</v>
      </c>
      <c r="T127" s="25" t="s">
        <v>105</v>
      </c>
      <c r="U127" s="9"/>
      <c r="V127" s="9"/>
      <c r="W127" s="9"/>
      <c r="X127" s="9"/>
      <c r="Y127" s="9"/>
      <c r="Z127" s="10"/>
      <c r="AA127" s="10"/>
      <c r="AB127" s="10"/>
    </row>
    <row r="128" spans="9:28" x14ac:dyDescent="0.25">
      <c r="I128" s="212"/>
      <c r="J128" s="174"/>
      <c r="K128" s="174"/>
      <c r="L128" s="231"/>
      <c r="M128" s="228"/>
      <c r="N128" s="228"/>
      <c r="O128" s="228"/>
      <c r="P128" s="228"/>
      <c r="Q128" s="228"/>
      <c r="R128" s="121">
        <v>9</v>
      </c>
      <c r="S128" s="121">
        <f>R128*M127</f>
        <v>81</v>
      </c>
      <c r="T128" s="6" t="s">
        <v>67</v>
      </c>
      <c r="U128" s="9"/>
      <c r="V128" s="9"/>
      <c r="W128" s="9"/>
      <c r="X128" s="9"/>
      <c r="Y128" s="9"/>
      <c r="Z128" s="10"/>
      <c r="AA128" s="10"/>
      <c r="AB128" s="10"/>
    </row>
    <row r="129" spans="9:28" ht="15.75" thickBot="1" x14ac:dyDescent="0.3">
      <c r="I129" s="212"/>
      <c r="J129" s="174"/>
      <c r="K129" s="174"/>
      <c r="L129" s="232"/>
      <c r="M129" s="229"/>
      <c r="N129" s="229"/>
      <c r="O129" s="229"/>
      <c r="P129" s="229"/>
      <c r="Q129" s="229"/>
      <c r="R129" s="147">
        <v>3</v>
      </c>
      <c r="S129" s="147">
        <f>R129*M127</f>
        <v>27</v>
      </c>
      <c r="T129" s="26" t="s">
        <v>4</v>
      </c>
      <c r="U129" s="9"/>
      <c r="V129" s="9"/>
      <c r="W129" s="9"/>
      <c r="X129" s="9"/>
      <c r="Y129" s="9"/>
      <c r="Z129" s="10"/>
      <c r="AA129" s="10"/>
      <c r="AB129" s="10"/>
    </row>
    <row r="130" spans="9:28" x14ac:dyDescent="0.25">
      <c r="I130" s="212"/>
      <c r="J130" s="174"/>
      <c r="K130" s="174"/>
      <c r="L130" s="176">
        <v>30</v>
      </c>
      <c r="M130" s="168">
        <f>L130*I121</f>
        <v>30</v>
      </c>
      <c r="N130" s="168" t="s">
        <v>63</v>
      </c>
      <c r="O130" s="168">
        <v>1</v>
      </c>
      <c r="P130" s="168">
        <f>M130</f>
        <v>30</v>
      </c>
      <c r="Q130" s="168" t="s">
        <v>62</v>
      </c>
      <c r="R130" s="111">
        <v>2</v>
      </c>
      <c r="S130" s="111">
        <f>R130*P130</f>
        <v>60</v>
      </c>
      <c r="T130" s="21" t="s">
        <v>14</v>
      </c>
      <c r="U130" s="9"/>
      <c r="V130" s="9"/>
      <c r="W130" s="9"/>
      <c r="X130" s="9"/>
      <c r="Y130" s="9"/>
    </row>
    <row r="131" spans="9:28" ht="15.75" thickBot="1" x14ac:dyDescent="0.3">
      <c r="I131" s="212"/>
      <c r="J131" s="174"/>
      <c r="K131" s="174"/>
      <c r="L131" s="177"/>
      <c r="M131" s="169"/>
      <c r="N131" s="169"/>
      <c r="O131" s="169"/>
      <c r="P131" s="169"/>
      <c r="Q131" s="169"/>
      <c r="R131" s="112">
        <v>1</v>
      </c>
      <c r="S131" s="112">
        <f>P130</f>
        <v>30</v>
      </c>
      <c r="T131" s="20" t="s">
        <v>10</v>
      </c>
      <c r="U131" s="9"/>
      <c r="V131" s="9"/>
      <c r="W131" s="9"/>
      <c r="X131" s="9"/>
      <c r="Y131" s="9"/>
    </row>
    <row r="132" spans="9:28" ht="14.25" customHeight="1" x14ac:dyDescent="0.25">
      <c r="I132" s="212"/>
      <c r="J132" s="174"/>
      <c r="K132" s="174"/>
      <c r="L132" s="176">
        <v>30</v>
      </c>
      <c r="M132" s="168">
        <f>L132*I121</f>
        <v>30</v>
      </c>
      <c r="N132" s="168" t="s">
        <v>83</v>
      </c>
      <c r="O132" s="168">
        <v>1</v>
      </c>
      <c r="P132" s="168">
        <f>M132</f>
        <v>30</v>
      </c>
      <c r="Q132" s="168" t="s">
        <v>62</v>
      </c>
      <c r="R132" s="111">
        <v>2</v>
      </c>
      <c r="S132" s="111">
        <f>R132*P132</f>
        <v>60</v>
      </c>
      <c r="T132" s="21" t="s">
        <v>14</v>
      </c>
      <c r="U132" s="9"/>
      <c r="V132" s="9"/>
      <c r="W132" s="9"/>
      <c r="X132" s="9"/>
      <c r="Y132" s="9"/>
    </row>
    <row r="133" spans="9:28" ht="15.75" thickBot="1" x14ac:dyDescent="0.3">
      <c r="I133" s="212"/>
      <c r="J133" s="174"/>
      <c r="K133" s="174"/>
      <c r="L133" s="177"/>
      <c r="M133" s="169"/>
      <c r="N133" s="169"/>
      <c r="O133" s="169"/>
      <c r="P133" s="169"/>
      <c r="Q133" s="169"/>
      <c r="R133" s="112">
        <v>1</v>
      </c>
      <c r="S133" s="112">
        <f>P132</f>
        <v>30</v>
      </c>
      <c r="T133" s="20" t="s">
        <v>10</v>
      </c>
      <c r="U133" s="9"/>
      <c r="V133" s="9"/>
      <c r="W133" s="9"/>
      <c r="X133" s="9"/>
      <c r="Y133" s="9"/>
    </row>
    <row r="134" spans="9:28" x14ac:dyDescent="0.25">
      <c r="I134" s="212"/>
      <c r="J134" s="174"/>
      <c r="K134" s="174"/>
      <c r="L134" s="243">
        <v>12</v>
      </c>
      <c r="M134" s="245">
        <f>L134*I121</f>
        <v>12</v>
      </c>
      <c r="N134" s="245" t="s">
        <v>64</v>
      </c>
      <c r="O134" s="63">
        <v>2</v>
      </c>
      <c r="P134" s="132">
        <f>O134*M134</f>
        <v>24</v>
      </c>
      <c r="Q134" s="63" t="s">
        <v>53</v>
      </c>
      <c r="R134" s="132">
        <v>3</v>
      </c>
      <c r="S134" s="132">
        <f>R134*P134</f>
        <v>72</v>
      </c>
      <c r="T134" s="64" t="s">
        <v>25</v>
      </c>
      <c r="U134" s="9"/>
      <c r="V134" s="9"/>
      <c r="W134" s="9"/>
      <c r="X134" s="9"/>
      <c r="Y134" s="9"/>
    </row>
    <row r="135" spans="9:28" ht="15.75" thickBot="1" x14ac:dyDescent="0.3">
      <c r="I135" s="212"/>
      <c r="J135" s="174"/>
      <c r="K135" s="174"/>
      <c r="L135" s="244"/>
      <c r="M135" s="246"/>
      <c r="N135" s="246"/>
      <c r="O135" s="65"/>
      <c r="P135" s="65"/>
      <c r="Q135" s="65"/>
      <c r="R135" s="133">
        <v>9</v>
      </c>
      <c r="S135" s="133">
        <f>R135*M134</f>
        <v>108</v>
      </c>
      <c r="T135" s="66" t="s">
        <v>67</v>
      </c>
      <c r="U135" s="9"/>
      <c r="V135" s="9"/>
      <c r="W135" s="9"/>
      <c r="X135" s="9"/>
      <c r="Y135" s="9"/>
    </row>
    <row r="136" spans="9:28" x14ac:dyDescent="0.25">
      <c r="I136" s="212"/>
      <c r="J136" s="174"/>
      <c r="K136" s="174"/>
      <c r="L136" s="247">
        <v>9</v>
      </c>
      <c r="M136" s="249">
        <f>L136*I121</f>
        <v>9</v>
      </c>
      <c r="N136" s="249" t="s">
        <v>104</v>
      </c>
      <c r="O136" s="249"/>
      <c r="P136" s="249"/>
      <c r="Q136" s="249"/>
      <c r="R136" s="124">
        <v>1</v>
      </c>
      <c r="S136" s="124">
        <f>M136</f>
        <v>9</v>
      </c>
      <c r="T136" s="83" t="s">
        <v>109</v>
      </c>
      <c r="U136" s="9"/>
      <c r="V136" s="9"/>
      <c r="W136" s="9"/>
      <c r="X136" s="9"/>
      <c r="Y136" s="9"/>
    </row>
    <row r="137" spans="9:28" ht="15.75" thickBot="1" x14ac:dyDescent="0.3">
      <c r="I137" s="212"/>
      <c r="J137" s="174"/>
      <c r="K137" s="174"/>
      <c r="L137" s="248"/>
      <c r="M137" s="250"/>
      <c r="N137" s="250"/>
      <c r="O137" s="250"/>
      <c r="P137" s="250"/>
      <c r="Q137" s="250"/>
      <c r="R137" s="125">
        <v>1</v>
      </c>
      <c r="S137" s="125">
        <f>M136</f>
        <v>9</v>
      </c>
      <c r="T137" s="84" t="s">
        <v>110</v>
      </c>
      <c r="U137" s="9"/>
      <c r="V137" s="9"/>
      <c r="W137" s="9"/>
      <c r="X137" s="9"/>
      <c r="Y137" s="9"/>
    </row>
    <row r="138" spans="9:28" ht="15.75" thickBot="1" x14ac:dyDescent="0.3">
      <c r="I138" s="212"/>
      <c r="J138" s="174"/>
      <c r="K138" s="174"/>
      <c r="L138" s="11">
        <v>30</v>
      </c>
      <c r="M138" s="12">
        <f>L138*I121</f>
        <v>30</v>
      </c>
      <c r="N138" s="12" t="s">
        <v>84</v>
      </c>
      <c r="O138" s="12">
        <v>1</v>
      </c>
      <c r="P138" s="12">
        <f>M138</f>
        <v>30</v>
      </c>
      <c r="Q138" s="12" t="s">
        <v>52</v>
      </c>
      <c r="R138" s="12">
        <v>3</v>
      </c>
      <c r="S138" s="12">
        <f>R138*P138</f>
        <v>90</v>
      </c>
      <c r="T138" s="19" t="s">
        <v>8</v>
      </c>
      <c r="U138" s="9"/>
      <c r="V138" s="9"/>
      <c r="W138" s="9"/>
      <c r="X138" s="9"/>
      <c r="Y138" s="9"/>
    </row>
    <row r="139" spans="9:28" ht="15.75" thickBot="1" x14ac:dyDescent="0.3">
      <c r="I139" s="213"/>
      <c r="J139" s="175"/>
      <c r="K139" s="175"/>
      <c r="L139" s="56">
        <v>30</v>
      </c>
      <c r="M139" s="57">
        <f>L139*I121</f>
        <v>30</v>
      </c>
      <c r="N139" s="57" t="s">
        <v>85</v>
      </c>
      <c r="O139" s="57"/>
      <c r="P139" s="57"/>
      <c r="Q139" s="57"/>
      <c r="R139" s="57">
        <v>3</v>
      </c>
      <c r="S139" s="57">
        <f>R139*M139</f>
        <v>90</v>
      </c>
      <c r="T139" s="58" t="s">
        <v>11</v>
      </c>
      <c r="U139" s="9"/>
      <c r="V139" s="9"/>
      <c r="W139" s="9"/>
      <c r="X139" s="9"/>
      <c r="Y139" s="9"/>
    </row>
    <row r="140" spans="9:28" ht="15.75" thickTop="1" x14ac:dyDescent="0.25">
      <c r="I140" s="211">
        <f>F9</f>
        <v>1</v>
      </c>
      <c r="J140" s="173" t="s">
        <v>86</v>
      </c>
      <c r="K140" s="173" t="s">
        <v>98</v>
      </c>
      <c r="L140" s="214">
        <v>24</v>
      </c>
      <c r="M140" s="210">
        <f>L140*I140</f>
        <v>24</v>
      </c>
      <c r="N140" s="210" t="s">
        <v>63</v>
      </c>
      <c r="O140" s="210">
        <v>1</v>
      </c>
      <c r="P140" s="210">
        <f>M140</f>
        <v>24</v>
      </c>
      <c r="Q140" s="210" t="s">
        <v>62</v>
      </c>
      <c r="R140" s="126">
        <v>2</v>
      </c>
      <c r="S140" s="126">
        <f>R140*P140</f>
        <v>48</v>
      </c>
      <c r="T140" s="13" t="s">
        <v>14</v>
      </c>
      <c r="U140" s="9"/>
      <c r="V140" s="9"/>
      <c r="W140" s="9"/>
      <c r="X140" s="9"/>
      <c r="Y140" s="9"/>
    </row>
    <row r="141" spans="9:28" ht="15.75" thickBot="1" x14ac:dyDescent="0.3">
      <c r="I141" s="212"/>
      <c r="J141" s="174"/>
      <c r="K141" s="174"/>
      <c r="L141" s="177"/>
      <c r="M141" s="169"/>
      <c r="N141" s="169"/>
      <c r="O141" s="169"/>
      <c r="P141" s="169"/>
      <c r="Q141" s="169"/>
      <c r="R141" s="112">
        <v>1</v>
      </c>
      <c r="S141" s="112">
        <f>P140</f>
        <v>24</v>
      </c>
      <c r="T141" s="20" t="s">
        <v>10</v>
      </c>
      <c r="U141" s="9"/>
      <c r="V141" s="9"/>
      <c r="W141" s="9"/>
      <c r="X141" s="9"/>
      <c r="Y141" s="9"/>
    </row>
    <row r="142" spans="9:28" x14ac:dyDescent="0.25">
      <c r="I142" s="212"/>
      <c r="J142" s="174"/>
      <c r="K142" s="174"/>
      <c r="L142" s="230">
        <v>9</v>
      </c>
      <c r="M142" s="227">
        <f>L142*I140</f>
        <v>9</v>
      </c>
      <c r="N142" s="227" t="s">
        <v>100</v>
      </c>
      <c r="O142" s="227"/>
      <c r="P142" s="227"/>
      <c r="Q142" s="227"/>
      <c r="R142" s="120">
        <v>3</v>
      </c>
      <c r="S142" s="120">
        <f>R142*M142</f>
        <v>27</v>
      </c>
      <c r="T142" s="25" t="s">
        <v>105</v>
      </c>
      <c r="U142" s="9"/>
      <c r="V142" s="9"/>
      <c r="W142" s="9"/>
      <c r="X142" s="9"/>
      <c r="Y142" s="9"/>
    </row>
    <row r="143" spans="9:28" x14ac:dyDescent="0.25">
      <c r="I143" s="212"/>
      <c r="J143" s="174"/>
      <c r="K143" s="174"/>
      <c r="L143" s="231"/>
      <c r="M143" s="228"/>
      <c r="N143" s="228"/>
      <c r="O143" s="228"/>
      <c r="P143" s="228"/>
      <c r="Q143" s="228"/>
      <c r="R143" s="121">
        <v>9</v>
      </c>
      <c r="S143" s="121">
        <f>R143*M142</f>
        <v>81</v>
      </c>
      <c r="T143" s="6" t="s">
        <v>67</v>
      </c>
      <c r="U143" s="9"/>
      <c r="V143" s="9"/>
      <c r="W143" s="9"/>
      <c r="X143" s="9"/>
      <c r="Y143" s="9"/>
    </row>
    <row r="144" spans="9:28" ht="15.75" thickBot="1" x14ac:dyDescent="0.3">
      <c r="I144" s="212"/>
      <c r="J144" s="174"/>
      <c r="K144" s="174"/>
      <c r="L144" s="232"/>
      <c r="M144" s="229"/>
      <c r="N144" s="229"/>
      <c r="O144" s="229"/>
      <c r="P144" s="229"/>
      <c r="Q144" s="229"/>
      <c r="R144" s="147">
        <v>3</v>
      </c>
      <c r="S144" s="147">
        <f>R144*M142</f>
        <v>27</v>
      </c>
      <c r="T144" s="26" t="s">
        <v>4</v>
      </c>
      <c r="U144" s="9"/>
      <c r="V144" s="9"/>
      <c r="W144" s="9"/>
      <c r="X144" s="9"/>
      <c r="Y144" s="9"/>
    </row>
    <row r="145" spans="9:25" x14ac:dyDescent="0.25">
      <c r="I145" s="212"/>
      <c r="J145" s="174"/>
      <c r="K145" s="174"/>
      <c r="L145" s="176">
        <v>24</v>
      </c>
      <c r="M145" s="168">
        <f>L145*I140</f>
        <v>24</v>
      </c>
      <c r="N145" s="168" t="s">
        <v>63</v>
      </c>
      <c r="O145" s="168">
        <v>1</v>
      </c>
      <c r="P145" s="168">
        <f>M145</f>
        <v>24</v>
      </c>
      <c r="Q145" s="168" t="s">
        <v>62</v>
      </c>
      <c r="R145" s="111">
        <v>2</v>
      </c>
      <c r="S145" s="111">
        <f>R145*P145</f>
        <v>48</v>
      </c>
      <c r="T145" s="21" t="s">
        <v>14</v>
      </c>
      <c r="U145" s="9"/>
      <c r="V145" s="9"/>
      <c r="W145" s="9"/>
      <c r="X145" s="9"/>
      <c r="Y145" s="9"/>
    </row>
    <row r="146" spans="9:25" ht="15.75" thickBot="1" x14ac:dyDescent="0.3">
      <c r="I146" s="212"/>
      <c r="J146" s="174"/>
      <c r="K146" s="174"/>
      <c r="L146" s="177"/>
      <c r="M146" s="169"/>
      <c r="N146" s="169"/>
      <c r="O146" s="169"/>
      <c r="P146" s="169"/>
      <c r="Q146" s="169"/>
      <c r="R146" s="112">
        <v>1</v>
      </c>
      <c r="S146" s="112">
        <f>P145</f>
        <v>24</v>
      </c>
      <c r="T146" s="20" t="s">
        <v>10</v>
      </c>
      <c r="U146" s="9"/>
      <c r="V146" s="9"/>
      <c r="W146" s="9"/>
      <c r="X146" s="9"/>
      <c r="Y146" s="9"/>
    </row>
    <row r="147" spans="9:25" x14ac:dyDescent="0.25">
      <c r="I147" s="212"/>
      <c r="J147" s="174"/>
      <c r="K147" s="174"/>
      <c r="L147" s="176">
        <v>24</v>
      </c>
      <c r="M147" s="168">
        <f>L147*I140</f>
        <v>24</v>
      </c>
      <c r="N147" s="168" t="s">
        <v>82</v>
      </c>
      <c r="O147" s="168">
        <v>1</v>
      </c>
      <c r="P147" s="168">
        <f>M147</f>
        <v>24</v>
      </c>
      <c r="Q147" s="168" t="s">
        <v>36</v>
      </c>
      <c r="R147" s="111">
        <v>2</v>
      </c>
      <c r="S147" s="111">
        <f>R147*P147</f>
        <v>48</v>
      </c>
      <c r="T147" s="21" t="s">
        <v>4</v>
      </c>
      <c r="U147" s="9"/>
      <c r="V147" s="9"/>
      <c r="W147" s="9"/>
      <c r="X147" s="9"/>
      <c r="Y147" s="9"/>
    </row>
    <row r="148" spans="9:25" ht="15.75" thickBot="1" x14ac:dyDescent="0.3">
      <c r="I148" s="212"/>
      <c r="J148" s="174"/>
      <c r="K148" s="174"/>
      <c r="L148" s="177"/>
      <c r="M148" s="169"/>
      <c r="N148" s="169"/>
      <c r="O148" s="169"/>
      <c r="P148" s="169"/>
      <c r="Q148" s="169"/>
      <c r="R148" s="112">
        <v>1</v>
      </c>
      <c r="S148" s="112">
        <f>P147</f>
        <v>24</v>
      </c>
      <c r="T148" s="20" t="s">
        <v>14</v>
      </c>
      <c r="U148" s="9"/>
      <c r="V148" s="9"/>
      <c r="W148" s="9"/>
      <c r="X148" s="9"/>
      <c r="Y148" s="9"/>
    </row>
    <row r="149" spans="9:25" x14ac:dyDescent="0.25">
      <c r="I149" s="212"/>
      <c r="J149" s="174"/>
      <c r="K149" s="174"/>
      <c r="L149" s="176">
        <v>30</v>
      </c>
      <c r="M149" s="168">
        <f>L149*I140</f>
        <v>30</v>
      </c>
      <c r="N149" s="168" t="s">
        <v>62</v>
      </c>
      <c r="O149" s="168"/>
      <c r="P149" s="168"/>
      <c r="Q149" s="168"/>
      <c r="R149" s="111">
        <v>2</v>
      </c>
      <c r="S149" s="111">
        <f>R149*M149</f>
        <v>60</v>
      </c>
      <c r="T149" s="21" t="s">
        <v>14</v>
      </c>
      <c r="U149" s="9"/>
      <c r="V149" s="9"/>
      <c r="W149" s="9"/>
      <c r="X149" s="9"/>
      <c r="Y149" s="9"/>
    </row>
    <row r="150" spans="9:25" ht="15.75" thickBot="1" x14ac:dyDescent="0.3">
      <c r="I150" s="212"/>
      <c r="J150" s="174"/>
      <c r="K150" s="174"/>
      <c r="L150" s="177"/>
      <c r="M150" s="169"/>
      <c r="N150" s="169"/>
      <c r="O150" s="169"/>
      <c r="P150" s="169"/>
      <c r="Q150" s="169"/>
      <c r="R150" s="112">
        <v>1</v>
      </c>
      <c r="S150" s="112">
        <f>M149</f>
        <v>30</v>
      </c>
      <c r="T150" s="20" t="s">
        <v>10</v>
      </c>
      <c r="U150" s="9"/>
      <c r="V150" s="9"/>
      <c r="W150" s="9"/>
      <c r="X150" s="9"/>
      <c r="Y150" s="9"/>
    </row>
    <row r="151" spans="9:25" x14ac:dyDescent="0.25">
      <c r="I151" s="212"/>
      <c r="J151" s="174"/>
      <c r="K151" s="174"/>
      <c r="L151" s="239">
        <v>9</v>
      </c>
      <c r="M151" s="241">
        <f>L151*I140</f>
        <v>9</v>
      </c>
      <c r="N151" s="241" t="s">
        <v>64</v>
      </c>
      <c r="O151" s="16">
        <v>2</v>
      </c>
      <c r="P151" s="111">
        <f>O151*M151</f>
        <v>18</v>
      </c>
      <c r="Q151" s="16" t="s">
        <v>53</v>
      </c>
      <c r="R151" s="111">
        <v>3</v>
      </c>
      <c r="S151" s="111">
        <f>R151*P151</f>
        <v>54</v>
      </c>
      <c r="T151" s="21" t="s">
        <v>25</v>
      </c>
      <c r="U151" s="9"/>
      <c r="V151" s="9"/>
      <c r="W151" s="9"/>
      <c r="X151" s="9"/>
      <c r="Y151" s="9"/>
    </row>
    <row r="152" spans="9:25" ht="15.75" thickBot="1" x14ac:dyDescent="0.3">
      <c r="I152" s="212"/>
      <c r="J152" s="174"/>
      <c r="K152" s="174"/>
      <c r="L152" s="240"/>
      <c r="M152" s="242"/>
      <c r="N152" s="242"/>
      <c r="O152" s="43"/>
      <c r="P152" s="43"/>
      <c r="Q152" s="43"/>
      <c r="R152" s="112">
        <v>9</v>
      </c>
      <c r="S152" s="112">
        <f>R152*M151</f>
        <v>81</v>
      </c>
      <c r="T152" s="20" t="s">
        <v>67</v>
      </c>
      <c r="U152" s="9"/>
      <c r="V152" s="9"/>
      <c r="W152" s="9"/>
      <c r="X152" s="9"/>
      <c r="Y152" s="9"/>
    </row>
    <row r="153" spans="9:25" x14ac:dyDescent="0.25">
      <c r="I153" s="212"/>
      <c r="J153" s="174"/>
      <c r="K153" s="174"/>
      <c r="L153" s="176">
        <v>30</v>
      </c>
      <c r="M153" s="168">
        <f>L153*I140</f>
        <v>30</v>
      </c>
      <c r="N153" s="168" t="s">
        <v>83</v>
      </c>
      <c r="O153" s="168">
        <v>1</v>
      </c>
      <c r="P153" s="168">
        <f>M153</f>
        <v>30</v>
      </c>
      <c r="Q153" s="168" t="s">
        <v>62</v>
      </c>
      <c r="R153" s="111">
        <v>2</v>
      </c>
      <c r="S153" s="111">
        <f>R153*P153</f>
        <v>60</v>
      </c>
      <c r="T153" s="21" t="s">
        <v>14</v>
      </c>
      <c r="U153" s="9"/>
      <c r="V153" s="9"/>
      <c r="W153" s="9"/>
      <c r="X153" s="9"/>
      <c r="Y153" s="9"/>
    </row>
    <row r="154" spans="9:25" ht="15.75" thickBot="1" x14ac:dyDescent="0.3">
      <c r="I154" s="212"/>
      <c r="J154" s="174"/>
      <c r="K154" s="174"/>
      <c r="L154" s="177"/>
      <c r="M154" s="169"/>
      <c r="N154" s="169"/>
      <c r="O154" s="169"/>
      <c r="P154" s="169"/>
      <c r="Q154" s="169"/>
      <c r="R154" s="112">
        <v>1</v>
      </c>
      <c r="S154" s="112">
        <f>P153</f>
        <v>30</v>
      </c>
      <c r="T154" s="20" t="s">
        <v>10</v>
      </c>
      <c r="U154" s="9"/>
      <c r="V154" s="9"/>
      <c r="W154" s="9"/>
      <c r="X154" s="9"/>
      <c r="Y154" s="9"/>
    </row>
    <row r="155" spans="9:25" x14ac:dyDescent="0.25">
      <c r="I155" s="212"/>
      <c r="J155" s="174"/>
      <c r="K155" s="174"/>
      <c r="L155" s="176">
        <v>30</v>
      </c>
      <c r="M155" s="168">
        <f>L155*I140</f>
        <v>30</v>
      </c>
      <c r="N155" s="168" t="s">
        <v>36</v>
      </c>
      <c r="O155" s="168"/>
      <c r="P155" s="168"/>
      <c r="Q155" s="168"/>
      <c r="R155" s="111">
        <v>2</v>
      </c>
      <c r="S155" s="111">
        <f>R155*M155</f>
        <v>60</v>
      </c>
      <c r="T155" s="21" t="s">
        <v>4</v>
      </c>
      <c r="U155" s="9"/>
      <c r="V155" s="9"/>
      <c r="W155" s="9"/>
      <c r="X155" s="9"/>
      <c r="Y155" s="9"/>
    </row>
    <row r="156" spans="9:25" ht="15.75" thickBot="1" x14ac:dyDescent="0.3">
      <c r="I156" s="212"/>
      <c r="J156" s="174"/>
      <c r="K156" s="174"/>
      <c r="L156" s="177"/>
      <c r="M156" s="169"/>
      <c r="N156" s="169"/>
      <c r="O156" s="169"/>
      <c r="P156" s="169"/>
      <c r="Q156" s="169"/>
      <c r="R156" s="112">
        <v>1</v>
      </c>
      <c r="S156" s="112">
        <f>M155</f>
        <v>30</v>
      </c>
      <c r="T156" s="20" t="s">
        <v>14</v>
      </c>
      <c r="U156" s="9"/>
      <c r="V156" s="9"/>
      <c r="W156" s="9"/>
      <c r="X156" s="9"/>
      <c r="Y156" s="9"/>
    </row>
    <row r="157" spans="9:25" x14ac:dyDescent="0.25">
      <c r="I157" s="212"/>
      <c r="J157" s="174"/>
      <c r="K157" s="174"/>
      <c r="L157" s="247">
        <v>9</v>
      </c>
      <c r="M157" s="249">
        <f>L157*I140</f>
        <v>9</v>
      </c>
      <c r="N157" s="249" t="s">
        <v>104</v>
      </c>
      <c r="O157" s="249"/>
      <c r="P157" s="249"/>
      <c r="Q157" s="249"/>
      <c r="R157" s="124">
        <v>1</v>
      </c>
      <c r="S157" s="124">
        <f>M157</f>
        <v>9</v>
      </c>
      <c r="T157" s="83" t="s">
        <v>109</v>
      </c>
      <c r="U157" s="9"/>
      <c r="V157" s="9"/>
      <c r="W157" s="9"/>
      <c r="X157" s="9"/>
      <c r="Y157" s="9"/>
    </row>
    <row r="158" spans="9:25" ht="15.75" thickBot="1" x14ac:dyDescent="0.3">
      <c r="I158" s="212"/>
      <c r="J158" s="174"/>
      <c r="K158" s="174"/>
      <c r="L158" s="248"/>
      <c r="M158" s="250"/>
      <c r="N158" s="250"/>
      <c r="O158" s="250"/>
      <c r="P158" s="250"/>
      <c r="Q158" s="250"/>
      <c r="R158" s="125">
        <v>1</v>
      </c>
      <c r="S158" s="125">
        <f>M157</f>
        <v>9</v>
      </c>
      <c r="T158" s="84" t="s">
        <v>110</v>
      </c>
      <c r="U158" s="9"/>
      <c r="V158" s="9"/>
      <c r="W158" s="9"/>
      <c r="X158" s="9"/>
      <c r="Y158" s="9"/>
    </row>
    <row r="159" spans="9:25" ht="15.75" thickBot="1" x14ac:dyDescent="0.3">
      <c r="I159" s="212"/>
      <c r="J159" s="174"/>
      <c r="K159" s="174"/>
      <c r="L159" s="11">
        <v>30</v>
      </c>
      <c r="M159" s="12">
        <f>L159*I140</f>
        <v>30</v>
      </c>
      <c r="N159" s="12" t="s">
        <v>84</v>
      </c>
      <c r="O159" s="12">
        <v>1</v>
      </c>
      <c r="P159" s="12">
        <f>M159</f>
        <v>30</v>
      </c>
      <c r="Q159" s="12" t="s">
        <v>52</v>
      </c>
      <c r="R159" s="12">
        <v>3</v>
      </c>
      <c r="S159" s="12">
        <f>R159*P159</f>
        <v>90</v>
      </c>
      <c r="T159" s="19" t="s">
        <v>8</v>
      </c>
      <c r="U159" s="9"/>
      <c r="V159" s="9"/>
      <c r="W159" s="9"/>
      <c r="X159" s="9"/>
      <c r="Y159" s="9"/>
    </row>
    <row r="160" spans="9:25" x14ac:dyDescent="0.25">
      <c r="I160" s="212"/>
      <c r="J160" s="174"/>
      <c r="K160" s="174"/>
      <c r="L160" s="176">
        <v>30</v>
      </c>
      <c r="M160" s="168">
        <f>L160*I140</f>
        <v>30</v>
      </c>
      <c r="N160" s="168" t="s">
        <v>36</v>
      </c>
      <c r="O160" s="168"/>
      <c r="P160" s="168"/>
      <c r="Q160" s="168"/>
      <c r="R160" s="111">
        <v>2</v>
      </c>
      <c r="S160" s="111">
        <f>R160*M160</f>
        <v>60</v>
      </c>
      <c r="T160" s="21" t="s">
        <v>4</v>
      </c>
      <c r="U160" s="9"/>
      <c r="V160" s="9"/>
      <c r="W160" s="9"/>
      <c r="X160" s="9"/>
      <c r="Y160" s="9"/>
    </row>
    <row r="161" spans="9:25" ht="15.75" thickBot="1" x14ac:dyDescent="0.3">
      <c r="I161" s="212"/>
      <c r="J161" s="174"/>
      <c r="K161" s="174"/>
      <c r="L161" s="177"/>
      <c r="M161" s="169"/>
      <c r="N161" s="169"/>
      <c r="O161" s="169"/>
      <c r="P161" s="169"/>
      <c r="Q161" s="169"/>
      <c r="R161" s="112">
        <v>1</v>
      </c>
      <c r="S161" s="112">
        <f>M160</f>
        <v>30</v>
      </c>
      <c r="T161" s="20" t="s">
        <v>14</v>
      </c>
      <c r="U161" s="9"/>
      <c r="V161" s="9"/>
      <c r="W161" s="9"/>
      <c r="X161" s="9"/>
      <c r="Y161" s="9"/>
    </row>
    <row r="162" spans="9:25" ht="15.75" thickBot="1" x14ac:dyDescent="0.3">
      <c r="I162" s="213"/>
      <c r="J162" s="175"/>
      <c r="K162" s="175"/>
      <c r="L162" s="56">
        <v>30</v>
      </c>
      <c r="M162" s="57">
        <f>L162*I140</f>
        <v>30</v>
      </c>
      <c r="N162" s="57" t="s">
        <v>85</v>
      </c>
      <c r="O162" s="57"/>
      <c r="P162" s="57"/>
      <c r="Q162" s="57"/>
      <c r="R162" s="57">
        <v>3</v>
      </c>
      <c r="S162" s="57">
        <f>R162*M162</f>
        <v>90</v>
      </c>
      <c r="T162" s="58" t="s">
        <v>11</v>
      </c>
      <c r="U162" s="9"/>
      <c r="V162" s="9"/>
      <c r="W162" s="9"/>
      <c r="X162" s="9"/>
      <c r="Y162" s="9"/>
    </row>
    <row r="163" spans="9:25" ht="16.5" thickTop="1" thickBot="1" x14ac:dyDescent="0.3"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</row>
    <row r="164" spans="9:25" ht="16.5" thickTop="1" thickBot="1" x14ac:dyDescent="0.3">
      <c r="I164" s="211">
        <f>C12</f>
        <v>1</v>
      </c>
      <c r="J164" s="173" t="s">
        <v>32</v>
      </c>
      <c r="K164" s="173" t="s">
        <v>132</v>
      </c>
      <c r="L164" s="80">
        <v>24</v>
      </c>
      <c r="M164" s="81">
        <f>L164*I164</f>
        <v>24</v>
      </c>
      <c r="N164" s="81" t="s">
        <v>114</v>
      </c>
      <c r="O164" s="81"/>
      <c r="P164" s="81"/>
      <c r="Q164" s="81"/>
      <c r="R164" s="81">
        <v>3</v>
      </c>
      <c r="S164" s="81">
        <f>R164*M164</f>
        <v>72</v>
      </c>
      <c r="T164" s="82" t="s">
        <v>20</v>
      </c>
      <c r="U164" s="9"/>
      <c r="V164" s="9"/>
      <c r="W164" s="9"/>
      <c r="X164" s="9"/>
      <c r="Y164" s="9"/>
    </row>
    <row r="165" spans="9:25" ht="15.75" thickBot="1" x14ac:dyDescent="0.3">
      <c r="I165" s="212"/>
      <c r="J165" s="174"/>
      <c r="K165" s="174"/>
      <c r="L165" s="11">
        <v>24</v>
      </c>
      <c r="M165" s="12">
        <f>L165*I164</f>
        <v>24</v>
      </c>
      <c r="N165" s="12" t="s">
        <v>37</v>
      </c>
      <c r="O165" s="12"/>
      <c r="P165" s="12"/>
      <c r="Q165" s="12"/>
      <c r="R165" s="12">
        <v>3</v>
      </c>
      <c r="S165" s="12">
        <f>R165*M165</f>
        <v>72</v>
      </c>
      <c r="T165" s="19" t="s">
        <v>49</v>
      </c>
      <c r="U165" s="9"/>
      <c r="V165" s="9"/>
      <c r="W165" s="9"/>
      <c r="X165" s="9"/>
      <c r="Y165" s="9"/>
    </row>
    <row r="166" spans="9:25" x14ac:dyDescent="0.25">
      <c r="I166" s="212"/>
      <c r="J166" s="174"/>
      <c r="K166" s="174"/>
      <c r="L166" s="176">
        <v>24</v>
      </c>
      <c r="M166" s="168">
        <f>L166*I164</f>
        <v>24</v>
      </c>
      <c r="N166" s="168" t="s">
        <v>115</v>
      </c>
      <c r="O166" s="168">
        <v>1</v>
      </c>
      <c r="P166" s="168">
        <f>O166*M166</f>
        <v>24</v>
      </c>
      <c r="Q166" s="168" t="s">
        <v>62</v>
      </c>
      <c r="R166" s="111">
        <v>2</v>
      </c>
      <c r="S166" s="111">
        <f>R166*P166</f>
        <v>48</v>
      </c>
      <c r="T166" s="21" t="s">
        <v>14</v>
      </c>
      <c r="U166" s="9"/>
      <c r="V166" s="9"/>
      <c r="W166" s="9"/>
      <c r="X166" s="9"/>
      <c r="Y166" s="9"/>
    </row>
    <row r="167" spans="9:25" ht="15.75" thickBot="1" x14ac:dyDescent="0.3">
      <c r="I167" s="212"/>
      <c r="J167" s="174"/>
      <c r="K167" s="174"/>
      <c r="L167" s="177"/>
      <c r="M167" s="169"/>
      <c r="N167" s="169"/>
      <c r="O167" s="169"/>
      <c r="P167" s="169"/>
      <c r="Q167" s="169"/>
      <c r="R167" s="112">
        <v>1</v>
      </c>
      <c r="S167" s="112">
        <f>P166</f>
        <v>24</v>
      </c>
      <c r="T167" s="20" t="s">
        <v>10</v>
      </c>
      <c r="U167" s="9"/>
      <c r="V167" s="9"/>
      <c r="W167" s="9"/>
      <c r="X167" s="9"/>
      <c r="Y167" s="9"/>
    </row>
    <row r="168" spans="9:25" x14ac:dyDescent="0.25">
      <c r="I168" s="212"/>
      <c r="J168" s="174"/>
      <c r="K168" s="174"/>
      <c r="L168" s="230">
        <v>9</v>
      </c>
      <c r="M168" s="227">
        <f>L168*I164</f>
        <v>9</v>
      </c>
      <c r="N168" s="227" t="s">
        <v>100</v>
      </c>
      <c r="O168" s="227"/>
      <c r="P168" s="227"/>
      <c r="Q168" s="227"/>
      <c r="R168" s="120">
        <v>3</v>
      </c>
      <c r="S168" s="120">
        <f>R168*M168</f>
        <v>27</v>
      </c>
      <c r="T168" s="25" t="s">
        <v>105</v>
      </c>
      <c r="U168" s="9"/>
      <c r="V168" s="9"/>
      <c r="W168" s="9"/>
      <c r="X168" s="9"/>
      <c r="Y168" s="9"/>
    </row>
    <row r="169" spans="9:25" x14ac:dyDescent="0.25">
      <c r="I169" s="212"/>
      <c r="J169" s="174"/>
      <c r="K169" s="174"/>
      <c r="L169" s="231"/>
      <c r="M169" s="228"/>
      <c r="N169" s="228"/>
      <c r="O169" s="228"/>
      <c r="P169" s="228"/>
      <c r="Q169" s="228"/>
      <c r="R169" s="121">
        <v>9</v>
      </c>
      <c r="S169" s="121">
        <f>R169*M168</f>
        <v>81</v>
      </c>
      <c r="T169" s="6" t="s">
        <v>67</v>
      </c>
      <c r="U169" s="9"/>
      <c r="V169" s="9"/>
      <c r="W169" s="9"/>
      <c r="X169" s="9"/>
      <c r="Y169" s="9"/>
    </row>
    <row r="170" spans="9:25" ht="15.75" thickBot="1" x14ac:dyDescent="0.3">
      <c r="I170" s="212"/>
      <c r="J170" s="174"/>
      <c r="K170" s="174"/>
      <c r="L170" s="232"/>
      <c r="M170" s="229"/>
      <c r="N170" s="229"/>
      <c r="O170" s="229"/>
      <c r="P170" s="229"/>
      <c r="Q170" s="229"/>
      <c r="R170" s="147">
        <v>3</v>
      </c>
      <c r="S170" s="147">
        <f>R170*M168</f>
        <v>27</v>
      </c>
      <c r="T170" s="26" t="s">
        <v>4</v>
      </c>
      <c r="U170" s="9"/>
      <c r="V170" s="9"/>
      <c r="W170" s="9"/>
      <c r="X170" s="9"/>
      <c r="Y170" s="9"/>
    </row>
    <row r="171" spans="9:25" x14ac:dyDescent="0.25">
      <c r="I171" s="212"/>
      <c r="J171" s="174"/>
      <c r="K171" s="174"/>
      <c r="L171" s="176">
        <v>24</v>
      </c>
      <c r="M171" s="168">
        <f>L171*I164</f>
        <v>24</v>
      </c>
      <c r="N171" s="168" t="s">
        <v>104</v>
      </c>
      <c r="O171" s="168"/>
      <c r="P171" s="168"/>
      <c r="Q171" s="168"/>
      <c r="R171" s="111">
        <v>1</v>
      </c>
      <c r="S171" s="111">
        <f>M171</f>
        <v>24</v>
      </c>
      <c r="T171" s="21" t="s">
        <v>109</v>
      </c>
      <c r="U171" s="9"/>
      <c r="V171" s="9"/>
      <c r="W171" s="9"/>
      <c r="X171" s="9"/>
      <c r="Y171" s="9"/>
    </row>
    <row r="172" spans="9:25" ht="15.75" thickBot="1" x14ac:dyDescent="0.3">
      <c r="I172" s="212"/>
      <c r="J172" s="174"/>
      <c r="K172" s="174"/>
      <c r="L172" s="177"/>
      <c r="M172" s="169"/>
      <c r="N172" s="169"/>
      <c r="O172" s="169"/>
      <c r="P172" s="169"/>
      <c r="Q172" s="169"/>
      <c r="R172" s="112">
        <v>1</v>
      </c>
      <c r="S172" s="112">
        <f>M171</f>
        <v>24</v>
      </c>
      <c r="T172" s="20" t="s">
        <v>110</v>
      </c>
      <c r="U172" s="9"/>
      <c r="V172" s="9"/>
      <c r="W172" s="9"/>
      <c r="X172" s="9"/>
      <c r="Y172" s="9"/>
    </row>
    <row r="173" spans="9:25" ht="15.75" thickBot="1" x14ac:dyDescent="0.3">
      <c r="I173" s="212"/>
      <c r="J173" s="174"/>
      <c r="K173" s="174"/>
      <c r="L173" s="11">
        <v>24</v>
      </c>
      <c r="M173" s="12">
        <f>L173*I164</f>
        <v>24</v>
      </c>
      <c r="N173" s="12" t="s">
        <v>61</v>
      </c>
      <c r="O173" s="12">
        <v>1</v>
      </c>
      <c r="P173" s="12">
        <f>M173</f>
        <v>24</v>
      </c>
      <c r="Q173" s="12" t="s">
        <v>48</v>
      </c>
      <c r="R173" s="12">
        <v>3</v>
      </c>
      <c r="S173" s="12">
        <f>R173*P173</f>
        <v>72</v>
      </c>
      <c r="T173" s="19" t="s">
        <v>14</v>
      </c>
      <c r="U173" s="9"/>
      <c r="V173" s="9"/>
      <c r="W173" s="9"/>
      <c r="X173" s="9"/>
      <c r="Y173" s="9"/>
    </row>
    <row r="174" spans="9:25" x14ac:dyDescent="0.25">
      <c r="I174" s="212"/>
      <c r="J174" s="174"/>
      <c r="K174" s="174"/>
      <c r="L174" s="176">
        <v>24</v>
      </c>
      <c r="M174" s="168">
        <f>L174*I164</f>
        <v>24</v>
      </c>
      <c r="N174" s="168" t="s">
        <v>62</v>
      </c>
      <c r="O174" s="168"/>
      <c r="P174" s="168"/>
      <c r="Q174" s="168"/>
      <c r="R174" s="111">
        <v>2</v>
      </c>
      <c r="S174" s="111">
        <f>R174*M174</f>
        <v>48</v>
      </c>
      <c r="T174" s="21" t="s">
        <v>14</v>
      </c>
      <c r="U174" s="9"/>
      <c r="V174" s="9"/>
      <c r="W174" s="9"/>
      <c r="X174" s="9"/>
      <c r="Y174" s="9"/>
    </row>
    <row r="175" spans="9:25" ht="15.75" thickBot="1" x14ac:dyDescent="0.3">
      <c r="I175" s="212"/>
      <c r="J175" s="174"/>
      <c r="K175" s="174"/>
      <c r="L175" s="177"/>
      <c r="M175" s="169"/>
      <c r="N175" s="169"/>
      <c r="O175" s="169"/>
      <c r="P175" s="169"/>
      <c r="Q175" s="169"/>
      <c r="R175" s="112">
        <v>1</v>
      </c>
      <c r="S175" s="112">
        <f>M174</f>
        <v>24</v>
      </c>
      <c r="T175" s="20" t="s">
        <v>10</v>
      </c>
      <c r="U175" s="9"/>
      <c r="V175" s="9"/>
      <c r="W175" s="9"/>
      <c r="X175" s="9"/>
      <c r="Y175" s="9"/>
    </row>
    <row r="176" spans="9:25" x14ac:dyDescent="0.25">
      <c r="I176" s="212"/>
      <c r="J176" s="174"/>
      <c r="K176" s="174"/>
      <c r="L176" s="176">
        <v>24</v>
      </c>
      <c r="M176" s="168">
        <f>L176*I164</f>
        <v>24</v>
      </c>
      <c r="N176" s="168" t="s">
        <v>116</v>
      </c>
      <c r="O176" s="168">
        <v>2</v>
      </c>
      <c r="P176" s="168">
        <f>O176*M176</f>
        <v>48</v>
      </c>
      <c r="Q176" s="168" t="s">
        <v>62</v>
      </c>
      <c r="R176" s="111">
        <v>2</v>
      </c>
      <c r="S176" s="111">
        <f>R176*P176</f>
        <v>96</v>
      </c>
      <c r="T176" s="21" t="s">
        <v>14</v>
      </c>
      <c r="U176" s="9"/>
      <c r="V176" s="9"/>
      <c r="W176" s="9"/>
      <c r="X176" s="9"/>
      <c r="Y176" s="9"/>
    </row>
    <row r="177" spans="9:25" ht="15.75" thickBot="1" x14ac:dyDescent="0.3">
      <c r="I177" s="212"/>
      <c r="J177" s="174"/>
      <c r="K177" s="174"/>
      <c r="L177" s="177"/>
      <c r="M177" s="169"/>
      <c r="N177" s="169"/>
      <c r="O177" s="169"/>
      <c r="P177" s="169"/>
      <c r="Q177" s="169"/>
      <c r="R177" s="112">
        <v>1</v>
      </c>
      <c r="S177" s="112">
        <f>P176</f>
        <v>48</v>
      </c>
      <c r="T177" s="20" t="s">
        <v>10</v>
      </c>
      <c r="U177" s="9"/>
      <c r="V177" s="9"/>
      <c r="W177" s="9"/>
      <c r="X177" s="9"/>
      <c r="Y177" s="9"/>
    </row>
    <row r="178" spans="9:25" ht="15.75" thickBot="1" x14ac:dyDescent="0.3">
      <c r="I178" s="212"/>
      <c r="J178" s="174"/>
      <c r="K178" s="174"/>
      <c r="L178" s="71">
        <v>24</v>
      </c>
      <c r="M178" s="69">
        <f>L178*I164</f>
        <v>24</v>
      </c>
      <c r="N178" s="69" t="s">
        <v>40</v>
      </c>
      <c r="O178" s="69"/>
      <c r="P178" s="69"/>
      <c r="Q178" s="69"/>
      <c r="R178" s="69">
        <v>4</v>
      </c>
      <c r="S178" s="69">
        <f>R178*M178</f>
        <v>96</v>
      </c>
      <c r="T178" s="70" t="s">
        <v>6</v>
      </c>
      <c r="U178" s="9"/>
      <c r="V178" s="9"/>
      <c r="W178" s="9"/>
      <c r="X178" s="9"/>
      <c r="Y178" s="9"/>
    </row>
    <row r="179" spans="9:25" x14ac:dyDescent="0.25">
      <c r="I179" s="212"/>
      <c r="J179" s="174"/>
      <c r="K179" s="174"/>
      <c r="L179" s="176">
        <v>24</v>
      </c>
      <c r="M179" s="168">
        <f>L179*I164</f>
        <v>24</v>
      </c>
      <c r="N179" s="168" t="s">
        <v>41</v>
      </c>
      <c r="O179" s="168">
        <v>1</v>
      </c>
      <c r="P179" s="168">
        <f>M179</f>
        <v>24</v>
      </c>
      <c r="Q179" s="168" t="s">
        <v>36</v>
      </c>
      <c r="R179" s="111">
        <v>2</v>
      </c>
      <c r="S179" s="111">
        <f>P179</f>
        <v>24</v>
      </c>
      <c r="T179" s="21" t="s">
        <v>4</v>
      </c>
      <c r="U179" s="9"/>
      <c r="V179" s="9"/>
      <c r="W179" s="9"/>
      <c r="X179" s="9"/>
      <c r="Y179" s="9"/>
    </row>
    <row r="180" spans="9:25" ht="15.75" thickBot="1" x14ac:dyDescent="0.3">
      <c r="I180" s="212"/>
      <c r="J180" s="174"/>
      <c r="K180" s="174"/>
      <c r="L180" s="177"/>
      <c r="M180" s="169"/>
      <c r="N180" s="169"/>
      <c r="O180" s="169"/>
      <c r="P180" s="169"/>
      <c r="Q180" s="169"/>
      <c r="R180" s="112">
        <v>1</v>
      </c>
      <c r="S180" s="112">
        <f>P179</f>
        <v>24</v>
      </c>
      <c r="T180" s="20" t="s">
        <v>14</v>
      </c>
      <c r="U180" s="9"/>
      <c r="V180" s="9"/>
      <c r="W180" s="9"/>
      <c r="X180" s="9"/>
      <c r="Y180" s="9"/>
    </row>
    <row r="181" spans="9:25" x14ac:dyDescent="0.25">
      <c r="I181" s="212"/>
      <c r="J181" s="174"/>
      <c r="K181" s="174"/>
      <c r="L181" s="176">
        <v>24</v>
      </c>
      <c r="M181" s="168">
        <f>L181*I164</f>
        <v>24</v>
      </c>
      <c r="N181" s="168" t="s">
        <v>36</v>
      </c>
      <c r="O181" s="168"/>
      <c r="P181" s="168"/>
      <c r="Q181" s="168"/>
      <c r="R181" s="111">
        <v>2</v>
      </c>
      <c r="S181" s="111">
        <f>R181*M181</f>
        <v>48</v>
      </c>
      <c r="T181" s="21" t="s">
        <v>4</v>
      </c>
      <c r="U181" s="9"/>
      <c r="V181" s="9"/>
      <c r="W181" s="9"/>
      <c r="X181" s="9"/>
      <c r="Y181" s="9"/>
    </row>
    <row r="182" spans="9:25" ht="15.75" thickBot="1" x14ac:dyDescent="0.3">
      <c r="I182" s="212"/>
      <c r="J182" s="174"/>
      <c r="K182" s="174"/>
      <c r="L182" s="177"/>
      <c r="M182" s="169"/>
      <c r="N182" s="169"/>
      <c r="O182" s="169"/>
      <c r="P182" s="169"/>
      <c r="Q182" s="169"/>
      <c r="R182" s="112">
        <v>1</v>
      </c>
      <c r="S182" s="112">
        <f>M181</f>
        <v>24</v>
      </c>
      <c r="T182" s="20" t="s">
        <v>14</v>
      </c>
      <c r="U182" s="9"/>
      <c r="V182" s="9"/>
      <c r="W182" s="9"/>
      <c r="X182" s="9"/>
      <c r="Y182" s="9"/>
    </row>
    <row r="183" spans="9:25" x14ac:dyDescent="0.25">
      <c r="I183" s="212"/>
      <c r="J183" s="174"/>
      <c r="K183" s="174"/>
      <c r="L183" s="221">
        <v>24</v>
      </c>
      <c r="M183" s="224">
        <f>L183*I164</f>
        <v>24</v>
      </c>
      <c r="N183" s="224" t="s">
        <v>90</v>
      </c>
      <c r="O183" s="224"/>
      <c r="P183" s="224"/>
      <c r="Q183" s="224"/>
      <c r="R183" s="113">
        <v>1</v>
      </c>
      <c r="S183" s="113">
        <f>M183</f>
        <v>24</v>
      </c>
      <c r="T183" s="41" t="s">
        <v>91</v>
      </c>
      <c r="U183" s="9"/>
      <c r="V183" s="9"/>
      <c r="W183" s="9"/>
      <c r="X183" s="9"/>
      <c r="Y183" s="9"/>
    </row>
    <row r="184" spans="9:25" ht="15.75" thickBot="1" x14ac:dyDescent="0.3">
      <c r="I184" s="212"/>
      <c r="J184" s="174"/>
      <c r="K184" s="174"/>
      <c r="L184" s="223"/>
      <c r="M184" s="226"/>
      <c r="N184" s="226"/>
      <c r="O184" s="226"/>
      <c r="P184" s="226"/>
      <c r="Q184" s="226"/>
      <c r="R184" s="115">
        <v>1</v>
      </c>
      <c r="S184" s="115">
        <f>M183</f>
        <v>24</v>
      </c>
      <c r="T184" s="42" t="s">
        <v>7</v>
      </c>
      <c r="U184" s="9"/>
      <c r="V184" s="9"/>
      <c r="W184" s="9"/>
      <c r="X184" s="9"/>
      <c r="Y184" s="9"/>
    </row>
    <row r="185" spans="9:25" x14ac:dyDescent="0.25">
      <c r="I185" s="212"/>
      <c r="J185" s="174"/>
      <c r="K185" s="174"/>
      <c r="L185" s="255">
        <v>9</v>
      </c>
      <c r="M185" s="257">
        <f>L185*I164</f>
        <v>9</v>
      </c>
      <c r="N185" s="257" t="s">
        <v>92</v>
      </c>
      <c r="O185" s="257"/>
      <c r="P185" s="257"/>
      <c r="Q185" s="257"/>
      <c r="R185" s="154">
        <v>3</v>
      </c>
      <c r="S185" s="154">
        <f>R185*M185</f>
        <v>27</v>
      </c>
      <c r="T185" s="27" t="s">
        <v>93</v>
      </c>
      <c r="U185" s="9"/>
      <c r="V185" s="9"/>
      <c r="W185" s="9"/>
      <c r="X185" s="9"/>
      <c r="Y185" s="9"/>
    </row>
    <row r="186" spans="9:25" ht="15.75" thickBot="1" x14ac:dyDescent="0.3">
      <c r="I186" s="212"/>
      <c r="J186" s="174"/>
      <c r="K186" s="174"/>
      <c r="L186" s="256"/>
      <c r="M186" s="258"/>
      <c r="N186" s="258"/>
      <c r="O186" s="258"/>
      <c r="P186" s="258"/>
      <c r="Q186" s="258"/>
      <c r="R186" s="155">
        <v>9</v>
      </c>
      <c r="S186" s="155">
        <f>R186*M185</f>
        <v>81</v>
      </c>
      <c r="T186" s="28" t="s">
        <v>74</v>
      </c>
      <c r="U186" s="9"/>
      <c r="V186" s="9"/>
      <c r="W186" s="9"/>
      <c r="X186" s="9"/>
      <c r="Y186" s="9"/>
    </row>
    <row r="187" spans="9:25" x14ac:dyDescent="0.25">
      <c r="I187" s="212"/>
      <c r="J187" s="174"/>
      <c r="K187" s="174"/>
      <c r="L187" s="190">
        <v>18</v>
      </c>
      <c r="M187" s="193">
        <f>L187*I164</f>
        <v>18</v>
      </c>
      <c r="N187" s="193" t="s">
        <v>45</v>
      </c>
      <c r="O187" s="128"/>
      <c r="P187" s="128"/>
      <c r="Q187" s="128"/>
      <c r="R187" s="128">
        <v>2</v>
      </c>
      <c r="S187" s="128">
        <f>R187*M187</f>
        <v>36</v>
      </c>
      <c r="T187" s="98" t="s">
        <v>5</v>
      </c>
      <c r="U187" s="9"/>
      <c r="V187" s="9"/>
      <c r="W187" s="9"/>
      <c r="X187" s="9"/>
      <c r="Y187" s="9"/>
    </row>
    <row r="188" spans="9:25" x14ac:dyDescent="0.25">
      <c r="I188" s="212"/>
      <c r="J188" s="174"/>
      <c r="K188" s="174"/>
      <c r="L188" s="191"/>
      <c r="M188" s="194"/>
      <c r="N188" s="194"/>
      <c r="O188" s="127">
        <v>1</v>
      </c>
      <c r="P188" s="127">
        <f>M187</f>
        <v>18</v>
      </c>
      <c r="Q188" s="127" t="s">
        <v>58</v>
      </c>
      <c r="R188" s="127">
        <v>2</v>
      </c>
      <c r="S188" s="127">
        <f>R188*P188</f>
        <v>36</v>
      </c>
      <c r="T188" s="99" t="s">
        <v>21</v>
      </c>
      <c r="U188" s="9"/>
      <c r="V188" s="9"/>
      <c r="W188" s="9"/>
      <c r="X188" s="9"/>
      <c r="Y188" s="9"/>
    </row>
    <row r="189" spans="9:25" ht="15.75" thickBot="1" x14ac:dyDescent="0.3">
      <c r="I189" s="212"/>
      <c r="J189" s="174"/>
      <c r="K189" s="174"/>
      <c r="L189" s="192"/>
      <c r="M189" s="195"/>
      <c r="N189" s="195"/>
      <c r="O189" s="129"/>
      <c r="P189" s="129"/>
      <c r="Q189" s="129"/>
      <c r="R189" s="129">
        <v>1</v>
      </c>
      <c r="S189" s="129">
        <f>M187</f>
        <v>18</v>
      </c>
      <c r="T189" s="100" t="s">
        <v>59</v>
      </c>
      <c r="U189" s="9"/>
      <c r="V189" s="9"/>
      <c r="W189" s="9"/>
      <c r="X189" s="9"/>
      <c r="Y189" s="9"/>
    </row>
    <row r="190" spans="9:25" x14ac:dyDescent="0.25">
      <c r="I190" s="212"/>
      <c r="J190" s="174"/>
      <c r="K190" s="174"/>
      <c r="L190" s="251">
        <v>9</v>
      </c>
      <c r="M190" s="253">
        <f>L190*I164</f>
        <v>9</v>
      </c>
      <c r="N190" s="253" t="s">
        <v>94</v>
      </c>
      <c r="O190" s="253"/>
      <c r="P190" s="253"/>
      <c r="Q190" s="253"/>
      <c r="R190" s="130">
        <v>3</v>
      </c>
      <c r="S190" s="130">
        <f>R190*M190</f>
        <v>27</v>
      </c>
      <c r="T190" s="55" t="s">
        <v>2</v>
      </c>
      <c r="U190" s="9"/>
      <c r="V190" s="9"/>
      <c r="W190" s="9"/>
      <c r="X190" s="9"/>
      <c r="Y190" s="9"/>
    </row>
    <row r="191" spans="9:25" ht="15.75" thickBot="1" x14ac:dyDescent="0.3">
      <c r="I191" s="213"/>
      <c r="J191" s="175"/>
      <c r="K191" s="175"/>
      <c r="L191" s="252"/>
      <c r="M191" s="254"/>
      <c r="N191" s="254"/>
      <c r="O191" s="254"/>
      <c r="P191" s="254"/>
      <c r="Q191" s="254"/>
      <c r="R191" s="131">
        <v>2</v>
      </c>
      <c r="S191" s="131">
        <f>R191*M190</f>
        <v>18</v>
      </c>
      <c r="T191" s="15" t="s">
        <v>3</v>
      </c>
      <c r="U191" s="9"/>
      <c r="V191" s="9"/>
      <c r="W191" s="9"/>
      <c r="X191" s="9"/>
      <c r="Y191" s="9"/>
    </row>
    <row r="192" spans="9:25" ht="15.75" thickTop="1" x14ac:dyDescent="0.25">
      <c r="I192" s="211">
        <f>D12</f>
        <v>1</v>
      </c>
      <c r="J192" s="173" t="s">
        <v>76</v>
      </c>
      <c r="K192" s="173" t="s">
        <v>132</v>
      </c>
      <c r="L192" s="235">
        <v>12</v>
      </c>
      <c r="M192" s="237">
        <f>L192*I192</f>
        <v>12</v>
      </c>
      <c r="N192" s="237" t="s">
        <v>102</v>
      </c>
      <c r="O192" s="148">
        <v>2</v>
      </c>
      <c r="P192" s="148">
        <f>O192*M192</f>
        <v>24</v>
      </c>
      <c r="Q192" s="148" t="s">
        <v>37</v>
      </c>
      <c r="R192" s="148">
        <v>3</v>
      </c>
      <c r="S192" s="148">
        <f>R192*P192</f>
        <v>72</v>
      </c>
      <c r="T192" s="5" t="s">
        <v>49</v>
      </c>
      <c r="U192" s="9"/>
      <c r="V192" s="9"/>
      <c r="W192" s="9"/>
      <c r="X192" s="9"/>
      <c r="Y192" s="9"/>
    </row>
    <row r="193" spans="9:25" ht="15.75" thickBot="1" x14ac:dyDescent="0.3">
      <c r="I193" s="212"/>
      <c r="J193" s="174"/>
      <c r="K193" s="174"/>
      <c r="L193" s="236"/>
      <c r="M193" s="238"/>
      <c r="N193" s="238"/>
      <c r="O193" s="149"/>
      <c r="P193" s="149"/>
      <c r="Q193" s="149"/>
      <c r="R193" s="149">
        <v>9</v>
      </c>
      <c r="S193" s="149">
        <f>R193*M192</f>
        <v>108</v>
      </c>
      <c r="T193" s="68" t="s">
        <v>108</v>
      </c>
      <c r="U193" s="9"/>
      <c r="V193" s="9"/>
      <c r="W193" s="9"/>
      <c r="X193" s="9"/>
      <c r="Y193" s="9"/>
    </row>
    <row r="194" spans="9:25" x14ac:dyDescent="0.25">
      <c r="I194" s="212"/>
      <c r="J194" s="174"/>
      <c r="K194" s="174"/>
      <c r="L194" s="230">
        <v>9</v>
      </c>
      <c r="M194" s="227">
        <f>L194*I192</f>
        <v>9</v>
      </c>
      <c r="N194" s="227" t="s">
        <v>100</v>
      </c>
      <c r="O194" s="227"/>
      <c r="P194" s="227"/>
      <c r="Q194" s="227"/>
      <c r="R194" s="120">
        <v>3</v>
      </c>
      <c r="S194" s="120">
        <f>R194*M194</f>
        <v>27</v>
      </c>
      <c r="T194" s="25" t="s">
        <v>105</v>
      </c>
      <c r="U194" s="9"/>
      <c r="V194" s="9"/>
      <c r="W194" s="9"/>
      <c r="X194" s="9"/>
      <c r="Y194" s="9"/>
    </row>
    <row r="195" spans="9:25" x14ac:dyDescent="0.25">
      <c r="I195" s="212"/>
      <c r="J195" s="174"/>
      <c r="K195" s="174"/>
      <c r="L195" s="231"/>
      <c r="M195" s="228"/>
      <c r="N195" s="228"/>
      <c r="O195" s="228"/>
      <c r="P195" s="228"/>
      <c r="Q195" s="228"/>
      <c r="R195" s="121">
        <v>9</v>
      </c>
      <c r="S195" s="121">
        <f>R195*M194</f>
        <v>81</v>
      </c>
      <c r="T195" s="6" t="s">
        <v>67</v>
      </c>
      <c r="U195" s="9"/>
      <c r="V195" s="9"/>
      <c r="W195" s="9"/>
      <c r="X195" s="9"/>
      <c r="Y195" s="9"/>
    </row>
    <row r="196" spans="9:25" ht="15.75" thickBot="1" x14ac:dyDescent="0.3">
      <c r="I196" s="212"/>
      <c r="J196" s="174"/>
      <c r="K196" s="174"/>
      <c r="L196" s="232"/>
      <c r="M196" s="229"/>
      <c r="N196" s="229"/>
      <c r="O196" s="229"/>
      <c r="P196" s="229"/>
      <c r="Q196" s="229"/>
      <c r="R196" s="147">
        <v>3</v>
      </c>
      <c r="S196" s="147">
        <f>R196*M194</f>
        <v>27</v>
      </c>
      <c r="T196" s="26" t="s">
        <v>4</v>
      </c>
      <c r="U196" s="9"/>
      <c r="V196" s="9"/>
      <c r="W196" s="9"/>
      <c r="X196" s="9"/>
      <c r="Y196" s="9"/>
    </row>
    <row r="197" spans="9:25" x14ac:dyDescent="0.25">
      <c r="I197" s="212"/>
      <c r="J197" s="174"/>
      <c r="K197" s="174"/>
      <c r="L197" s="176">
        <v>21</v>
      </c>
      <c r="M197" s="168">
        <f>L197*I192</f>
        <v>21</v>
      </c>
      <c r="N197" s="168" t="s">
        <v>115</v>
      </c>
      <c r="O197" s="168">
        <v>1</v>
      </c>
      <c r="P197" s="168">
        <f>O197*M197</f>
        <v>21</v>
      </c>
      <c r="Q197" s="168" t="s">
        <v>62</v>
      </c>
      <c r="R197" s="111">
        <v>2</v>
      </c>
      <c r="S197" s="111">
        <f>R197*P197</f>
        <v>42</v>
      </c>
      <c r="T197" s="21" t="s">
        <v>14</v>
      </c>
      <c r="U197" s="9"/>
      <c r="V197" s="9"/>
      <c r="W197" s="9"/>
      <c r="X197" s="9"/>
      <c r="Y197" s="9"/>
    </row>
    <row r="198" spans="9:25" ht="15.75" thickBot="1" x14ac:dyDescent="0.3">
      <c r="I198" s="212"/>
      <c r="J198" s="174"/>
      <c r="K198" s="174"/>
      <c r="L198" s="177"/>
      <c r="M198" s="169"/>
      <c r="N198" s="169"/>
      <c r="O198" s="169"/>
      <c r="P198" s="169"/>
      <c r="Q198" s="169"/>
      <c r="R198" s="112">
        <v>1</v>
      </c>
      <c r="S198" s="112">
        <f>P197</f>
        <v>21</v>
      </c>
      <c r="T198" s="20" t="s">
        <v>10</v>
      </c>
      <c r="U198" s="9"/>
      <c r="V198" s="9"/>
      <c r="W198" s="9"/>
      <c r="X198" s="9"/>
      <c r="Y198" s="9"/>
    </row>
    <row r="199" spans="9:25" x14ac:dyDescent="0.25">
      <c r="I199" s="212"/>
      <c r="J199" s="174"/>
      <c r="K199" s="174"/>
      <c r="L199" s="176">
        <v>21</v>
      </c>
      <c r="M199" s="168">
        <f>L199*I192</f>
        <v>21</v>
      </c>
      <c r="N199" s="168" t="s">
        <v>63</v>
      </c>
      <c r="O199" s="168">
        <v>1</v>
      </c>
      <c r="P199" s="168">
        <f>M199</f>
        <v>21</v>
      </c>
      <c r="Q199" s="168" t="s">
        <v>62</v>
      </c>
      <c r="R199" s="111">
        <v>2</v>
      </c>
      <c r="S199" s="111">
        <f>R199*P199</f>
        <v>42</v>
      </c>
      <c r="T199" s="21" t="s">
        <v>14</v>
      </c>
      <c r="U199" s="9"/>
      <c r="V199" s="9"/>
      <c r="W199" s="9"/>
      <c r="X199" s="9"/>
      <c r="Y199" s="9"/>
    </row>
    <row r="200" spans="9:25" ht="15.75" thickBot="1" x14ac:dyDescent="0.3">
      <c r="I200" s="212"/>
      <c r="J200" s="174"/>
      <c r="K200" s="174"/>
      <c r="L200" s="177"/>
      <c r="M200" s="169"/>
      <c r="N200" s="169"/>
      <c r="O200" s="169"/>
      <c r="P200" s="169"/>
      <c r="Q200" s="169"/>
      <c r="R200" s="112">
        <v>1</v>
      </c>
      <c r="S200" s="112">
        <f>P199</f>
        <v>21</v>
      </c>
      <c r="T200" s="20" t="s">
        <v>10</v>
      </c>
      <c r="U200" s="9"/>
      <c r="V200" s="9"/>
      <c r="W200" s="9"/>
      <c r="X200" s="9"/>
      <c r="Y200" s="9"/>
    </row>
    <row r="201" spans="9:25" x14ac:dyDescent="0.25">
      <c r="I201" s="212"/>
      <c r="J201" s="174"/>
      <c r="K201" s="174"/>
      <c r="L201" s="176">
        <v>21</v>
      </c>
      <c r="M201" s="168">
        <f>L201*I192</f>
        <v>21</v>
      </c>
      <c r="N201" s="168" t="s">
        <v>62</v>
      </c>
      <c r="O201" s="168"/>
      <c r="P201" s="168"/>
      <c r="Q201" s="168"/>
      <c r="R201" s="111">
        <v>2</v>
      </c>
      <c r="S201" s="111">
        <f>R201*M201</f>
        <v>42</v>
      </c>
      <c r="T201" s="21" t="s">
        <v>14</v>
      </c>
      <c r="U201" s="9"/>
      <c r="V201" s="9"/>
      <c r="W201" s="9"/>
      <c r="X201" s="9"/>
      <c r="Y201" s="9"/>
    </row>
    <row r="202" spans="9:25" ht="15.75" thickBot="1" x14ac:dyDescent="0.3">
      <c r="I202" s="212"/>
      <c r="J202" s="174"/>
      <c r="K202" s="174"/>
      <c r="L202" s="177"/>
      <c r="M202" s="169"/>
      <c r="N202" s="169"/>
      <c r="O202" s="169"/>
      <c r="P202" s="169"/>
      <c r="Q202" s="169"/>
      <c r="R202" s="112">
        <v>1</v>
      </c>
      <c r="S202" s="112">
        <f>M201</f>
        <v>21</v>
      </c>
      <c r="T202" s="20" t="s">
        <v>10</v>
      </c>
      <c r="U202" s="9"/>
      <c r="V202" s="9"/>
      <c r="W202" s="9"/>
      <c r="X202" s="9"/>
      <c r="Y202" s="9"/>
    </row>
    <row r="203" spans="9:25" x14ac:dyDescent="0.25">
      <c r="I203" s="212"/>
      <c r="J203" s="174"/>
      <c r="K203" s="174"/>
      <c r="L203" s="176">
        <v>21</v>
      </c>
      <c r="M203" s="168">
        <f>L203*I192</f>
        <v>21</v>
      </c>
      <c r="N203" s="168" t="s">
        <v>63</v>
      </c>
      <c r="O203" s="168">
        <v>1</v>
      </c>
      <c r="P203" s="168">
        <f>M203</f>
        <v>21</v>
      </c>
      <c r="Q203" s="168" t="s">
        <v>62</v>
      </c>
      <c r="R203" s="111">
        <v>2</v>
      </c>
      <c r="S203" s="111">
        <f>R203*P203</f>
        <v>42</v>
      </c>
      <c r="T203" s="21" t="s">
        <v>14</v>
      </c>
      <c r="U203" s="9"/>
      <c r="V203" s="9"/>
      <c r="W203" s="9"/>
      <c r="X203" s="9"/>
      <c r="Y203" s="9"/>
    </row>
    <row r="204" spans="9:25" ht="15.75" thickBot="1" x14ac:dyDescent="0.3">
      <c r="I204" s="212"/>
      <c r="J204" s="174"/>
      <c r="K204" s="174"/>
      <c r="L204" s="177"/>
      <c r="M204" s="169"/>
      <c r="N204" s="169"/>
      <c r="O204" s="169"/>
      <c r="P204" s="169"/>
      <c r="Q204" s="169"/>
      <c r="R204" s="112">
        <v>1</v>
      </c>
      <c r="S204" s="112">
        <f>P203</f>
        <v>21</v>
      </c>
      <c r="T204" s="20" t="s">
        <v>10</v>
      </c>
      <c r="U204" s="9"/>
      <c r="V204" s="9"/>
      <c r="W204" s="9"/>
      <c r="X204" s="9"/>
      <c r="Y204" s="9"/>
    </row>
    <row r="205" spans="9:25" x14ac:dyDescent="0.25">
      <c r="I205" s="212"/>
      <c r="J205" s="174"/>
      <c r="K205" s="174"/>
      <c r="L205" s="176">
        <v>21</v>
      </c>
      <c r="M205" s="168">
        <f>L205*I192</f>
        <v>21</v>
      </c>
      <c r="N205" s="168" t="s">
        <v>36</v>
      </c>
      <c r="O205" s="168"/>
      <c r="P205" s="168"/>
      <c r="Q205" s="168"/>
      <c r="R205" s="111">
        <v>2</v>
      </c>
      <c r="S205" s="111">
        <f>R205*M205</f>
        <v>42</v>
      </c>
      <c r="T205" s="21" t="s">
        <v>4</v>
      </c>
      <c r="U205" s="9"/>
      <c r="V205" s="9"/>
      <c r="W205" s="9"/>
      <c r="X205" s="9"/>
      <c r="Y205" s="9"/>
    </row>
    <row r="206" spans="9:25" ht="15.75" thickBot="1" x14ac:dyDescent="0.3">
      <c r="I206" s="212"/>
      <c r="J206" s="174"/>
      <c r="K206" s="174"/>
      <c r="L206" s="177"/>
      <c r="M206" s="169"/>
      <c r="N206" s="169"/>
      <c r="O206" s="169"/>
      <c r="P206" s="169"/>
      <c r="Q206" s="169"/>
      <c r="R206" s="112">
        <v>1</v>
      </c>
      <c r="S206" s="112">
        <f>M205</f>
        <v>21</v>
      </c>
      <c r="T206" s="20" t="s">
        <v>14</v>
      </c>
      <c r="U206" s="9"/>
      <c r="V206" s="9"/>
      <c r="W206" s="9"/>
      <c r="X206" s="9"/>
      <c r="Y206" s="9"/>
    </row>
    <row r="207" spans="9:25" ht="15.75" thickBot="1" x14ac:dyDescent="0.3">
      <c r="I207" s="212"/>
      <c r="J207" s="174"/>
      <c r="K207" s="174"/>
      <c r="L207" s="11">
        <v>21</v>
      </c>
      <c r="M207" s="12">
        <f>L207*I192</f>
        <v>21</v>
      </c>
      <c r="N207" s="12" t="s">
        <v>122</v>
      </c>
      <c r="O207" s="12">
        <v>1</v>
      </c>
      <c r="P207" s="12">
        <f>O207*M207</f>
        <v>21</v>
      </c>
      <c r="Q207" s="12" t="s">
        <v>53</v>
      </c>
      <c r="R207" s="12">
        <v>3</v>
      </c>
      <c r="S207" s="12">
        <f>R207*P207</f>
        <v>63</v>
      </c>
      <c r="T207" s="19" t="s">
        <v>25</v>
      </c>
      <c r="U207" s="9"/>
      <c r="V207" s="9"/>
      <c r="W207" s="9"/>
      <c r="X207" s="9"/>
      <c r="Y207" s="9"/>
    </row>
    <row r="208" spans="9:25" x14ac:dyDescent="0.25">
      <c r="I208" s="212"/>
      <c r="J208" s="174"/>
      <c r="K208" s="174"/>
      <c r="L208" s="243">
        <v>18</v>
      </c>
      <c r="M208" s="245">
        <f>L208*I192</f>
        <v>18</v>
      </c>
      <c r="N208" s="245" t="s">
        <v>64</v>
      </c>
      <c r="O208" s="63">
        <v>2</v>
      </c>
      <c r="P208" s="132">
        <f>O208*M208</f>
        <v>36</v>
      </c>
      <c r="Q208" s="63" t="s">
        <v>53</v>
      </c>
      <c r="R208" s="132">
        <v>3</v>
      </c>
      <c r="S208" s="132">
        <f>R208*P208</f>
        <v>108</v>
      </c>
      <c r="T208" s="64" t="s">
        <v>25</v>
      </c>
      <c r="U208" s="9"/>
      <c r="V208" s="9"/>
      <c r="W208" s="9"/>
      <c r="X208" s="9"/>
      <c r="Y208" s="9"/>
    </row>
    <row r="209" spans="9:25" ht="15.75" thickBot="1" x14ac:dyDescent="0.3">
      <c r="I209" s="212"/>
      <c r="J209" s="174"/>
      <c r="K209" s="174"/>
      <c r="L209" s="244"/>
      <c r="M209" s="246"/>
      <c r="N209" s="246"/>
      <c r="O209" s="65"/>
      <c r="P209" s="65"/>
      <c r="Q209" s="65"/>
      <c r="R209" s="133">
        <v>9</v>
      </c>
      <c r="S209" s="133">
        <f>R209*M208</f>
        <v>162</v>
      </c>
      <c r="T209" s="66" t="s">
        <v>67</v>
      </c>
      <c r="U209" s="9"/>
      <c r="V209" s="9"/>
      <c r="W209" s="9"/>
      <c r="X209" s="9"/>
      <c r="Y209" s="9"/>
    </row>
    <row r="210" spans="9:25" ht="15.75" thickBot="1" x14ac:dyDescent="0.3">
      <c r="I210" s="212"/>
      <c r="J210" s="174"/>
      <c r="K210" s="174"/>
      <c r="L210" s="11">
        <v>18</v>
      </c>
      <c r="M210" s="12">
        <f>L210*I192</f>
        <v>18</v>
      </c>
      <c r="N210" s="12" t="s">
        <v>84</v>
      </c>
      <c r="O210" s="12">
        <v>1</v>
      </c>
      <c r="P210" s="12">
        <f>O210*M210</f>
        <v>18</v>
      </c>
      <c r="Q210" s="12" t="s">
        <v>52</v>
      </c>
      <c r="R210" s="12">
        <v>3</v>
      </c>
      <c r="S210" s="12">
        <f>R210*P210</f>
        <v>54</v>
      </c>
      <c r="T210" s="19" t="s">
        <v>8</v>
      </c>
      <c r="U210" s="9"/>
      <c r="V210" s="9"/>
      <c r="W210" s="9"/>
      <c r="X210" s="9"/>
      <c r="Y210" s="9"/>
    </row>
    <row r="211" spans="9:25" x14ac:dyDescent="0.25">
      <c r="I211" s="212"/>
      <c r="J211" s="174"/>
      <c r="K211" s="174"/>
      <c r="L211" s="263">
        <v>18</v>
      </c>
      <c r="M211" s="259">
        <f>L211*I192</f>
        <v>18</v>
      </c>
      <c r="N211" s="259" t="s">
        <v>123</v>
      </c>
      <c r="O211" s="259"/>
      <c r="P211" s="259"/>
      <c r="Q211" s="259"/>
      <c r="R211" s="156">
        <v>3</v>
      </c>
      <c r="S211" s="156">
        <f>R211*M211</f>
        <v>54</v>
      </c>
      <c r="T211" s="36" t="s">
        <v>1</v>
      </c>
      <c r="U211" s="9"/>
      <c r="V211" s="9"/>
      <c r="W211" s="9"/>
      <c r="X211" s="9"/>
      <c r="Y211" s="9"/>
    </row>
    <row r="212" spans="9:25" ht="15.75" thickBot="1" x14ac:dyDescent="0.3">
      <c r="I212" s="212"/>
      <c r="J212" s="174"/>
      <c r="K212" s="174"/>
      <c r="L212" s="264"/>
      <c r="M212" s="260"/>
      <c r="N212" s="260"/>
      <c r="O212" s="260"/>
      <c r="P212" s="260"/>
      <c r="Q212" s="260"/>
      <c r="R212" s="157">
        <v>1</v>
      </c>
      <c r="S212" s="157">
        <f>R212*M211</f>
        <v>18</v>
      </c>
      <c r="T212" s="37" t="s">
        <v>124</v>
      </c>
      <c r="U212" s="9"/>
      <c r="V212" s="9"/>
      <c r="W212" s="9"/>
      <c r="X212" s="9"/>
      <c r="Y212" s="9"/>
    </row>
    <row r="213" spans="9:25" x14ac:dyDescent="0.25">
      <c r="I213" s="212"/>
      <c r="J213" s="174"/>
      <c r="K213" s="174"/>
      <c r="L213" s="255">
        <v>9</v>
      </c>
      <c r="M213" s="257">
        <f>L213*I192</f>
        <v>9</v>
      </c>
      <c r="N213" s="257" t="s">
        <v>92</v>
      </c>
      <c r="O213" s="257"/>
      <c r="P213" s="257"/>
      <c r="Q213" s="257"/>
      <c r="R213" s="154">
        <v>3</v>
      </c>
      <c r="S213" s="154">
        <f>R213*M213</f>
        <v>27</v>
      </c>
      <c r="T213" s="27" t="s">
        <v>93</v>
      </c>
      <c r="U213" s="9"/>
      <c r="V213" s="9"/>
      <c r="W213" s="9"/>
      <c r="X213" s="9"/>
      <c r="Y213" s="9"/>
    </row>
    <row r="214" spans="9:25" ht="15.75" thickBot="1" x14ac:dyDescent="0.3">
      <c r="I214" s="213"/>
      <c r="J214" s="175"/>
      <c r="K214" s="175"/>
      <c r="L214" s="261"/>
      <c r="M214" s="262"/>
      <c r="N214" s="262"/>
      <c r="O214" s="262"/>
      <c r="P214" s="262"/>
      <c r="Q214" s="262"/>
      <c r="R214" s="158">
        <v>9</v>
      </c>
      <c r="S214" s="158">
        <f>R214*M213</f>
        <v>81</v>
      </c>
      <c r="T214" s="29" t="s">
        <v>74</v>
      </c>
      <c r="U214" s="9"/>
      <c r="V214" s="9"/>
      <c r="W214" s="9"/>
      <c r="X214" s="9"/>
      <c r="Y214" s="9"/>
    </row>
    <row r="215" spans="9:25" ht="15.75" thickTop="1" x14ac:dyDescent="0.25">
      <c r="I215" s="211">
        <f>E12</f>
        <v>1</v>
      </c>
      <c r="J215" s="173" t="s">
        <v>81</v>
      </c>
      <c r="K215" s="173" t="s">
        <v>132</v>
      </c>
      <c r="L215" s="214">
        <v>30</v>
      </c>
      <c r="M215" s="210">
        <f>L215*I215</f>
        <v>30</v>
      </c>
      <c r="N215" s="210" t="s">
        <v>62</v>
      </c>
      <c r="O215" s="210"/>
      <c r="P215" s="210"/>
      <c r="Q215" s="210"/>
      <c r="R215" s="126">
        <v>2</v>
      </c>
      <c r="S215" s="126">
        <f>R215*M215</f>
        <v>60</v>
      </c>
      <c r="T215" s="13" t="s">
        <v>14</v>
      </c>
      <c r="U215" s="9"/>
      <c r="V215" s="9"/>
      <c r="W215" s="9"/>
      <c r="X215" s="9"/>
      <c r="Y215" s="9"/>
    </row>
    <row r="216" spans="9:25" ht="15.75" thickBot="1" x14ac:dyDescent="0.3">
      <c r="I216" s="212"/>
      <c r="J216" s="174"/>
      <c r="K216" s="174"/>
      <c r="L216" s="177"/>
      <c r="M216" s="169"/>
      <c r="N216" s="169"/>
      <c r="O216" s="169"/>
      <c r="P216" s="169"/>
      <c r="Q216" s="169"/>
      <c r="R216" s="112">
        <v>1</v>
      </c>
      <c r="S216" s="112">
        <f>M215</f>
        <v>30</v>
      </c>
      <c r="T216" s="20" t="s">
        <v>10</v>
      </c>
      <c r="U216" s="9"/>
      <c r="V216" s="9"/>
      <c r="W216" s="9"/>
      <c r="X216" s="9"/>
      <c r="Y216" s="9"/>
    </row>
    <row r="217" spans="9:25" x14ac:dyDescent="0.25">
      <c r="I217" s="212"/>
      <c r="J217" s="174"/>
      <c r="K217" s="174"/>
      <c r="L217" s="176">
        <v>30</v>
      </c>
      <c r="M217" s="168">
        <f>L217*I215</f>
        <v>30</v>
      </c>
      <c r="N217" s="168" t="s">
        <v>41</v>
      </c>
      <c r="O217" s="168">
        <v>1</v>
      </c>
      <c r="P217" s="168">
        <f>M217</f>
        <v>30</v>
      </c>
      <c r="Q217" s="168" t="s">
        <v>36</v>
      </c>
      <c r="R217" s="111">
        <v>2</v>
      </c>
      <c r="S217" s="111">
        <f>P217</f>
        <v>30</v>
      </c>
      <c r="T217" s="21" t="s">
        <v>4</v>
      </c>
      <c r="U217" s="9"/>
      <c r="V217" s="9"/>
      <c r="W217" s="9"/>
      <c r="X217" s="9"/>
      <c r="Y217" s="9"/>
    </row>
    <row r="218" spans="9:25" ht="15.75" thickBot="1" x14ac:dyDescent="0.3">
      <c r="I218" s="212"/>
      <c r="J218" s="174"/>
      <c r="K218" s="174"/>
      <c r="L218" s="177"/>
      <c r="M218" s="169"/>
      <c r="N218" s="169"/>
      <c r="O218" s="169"/>
      <c r="P218" s="169"/>
      <c r="Q218" s="169"/>
      <c r="R218" s="112">
        <v>1</v>
      </c>
      <c r="S218" s="112">
        <f>P217</f>
        <v>30</v>
      </c>
      <c r="T218" s="20" t="s">
        <v>14</v>
      </c>
      <c r="U218" s="9"/>
      <c r="V218" s="9"/>
      <c r="W218" s="9"/>
      <c r="X218" s="9"/>
      <c r="Y218" s="9"/>
    </row>
    <row r="219" spans="9:25" x14ac:dyDescent="0.25">
      <c r="I219" s="212"/>
      <c r="J219" s="174"/>
      <c r="K219" s="174"/>
      <c r="L219" s="176">
        <v>30</v>
      </c>
      <c r="M219" s="168">
        <f>L219*I215</f>
        <v>30</v>
      </c>
      <c r="N219" s="168" t="s">
        <v>82</v>
      </c>
      <c r="O219" s="168">
        <v>1</v>
      </c>
      <c r="P219" s="168">
        <f>M219</f>
        <v>30</v>
      </c>
      <c r="Q219" s="168" t="s">
        <v>36</v>
      </c>
      <c r="R219" s="111">
        <v>2</v>
      </c>
      <c r="S219" s="111">
        <f>R219*P219</f>
        <v>60</v>
      </c>
      <c r="T219" s="21" t="s">
        <v>4</v>
      </c>
      <c r="U219" s="9"/>
      <c r="V219" s="9"/>
      <c r="W219" s="9"/>
      <c r="X219" s="9"/>
      <c r="Y219" s="9"/>
    </row>
    <row r="220" spans="9:25" ht="15.75" thickBot="1" x14ac:dyDescent="0.3">
      <c r="I220" s="212"/>
      <c r="J220" s="174"/>
      <c r="K220" s="174"/>
      <c r="L220" s="177"/>
      <c r="M220" s="169"/>
      <c r="N220" s="169"/>
      <c r="O220" s="169"/>
      <c r="P220" s="169"/>
      <c r="Q220" s="169"/>
      <c r="R220" s="112">
        <v>1</v>
      </c>
      <c r="S220" s="112">
        <f>P219</f>
        <v>30</v>
      </c>
      <c r="T220" s="20" t="s">
        <v>14</v>
      </c>
      <c r="U220" s="9"/>
      <c r="V220" s="9"/>
      <c r="W220" s="9"/>
      <c r="X220" s="9"/>
      <c r="Y220" s="9"/>
    </row>
    <row r="221" spans="9:25" x14ac:dyDescent="0.25">
      <c r="I221" s="212"/>
      <c r="J221" s="174"/>
      <c r="K221" s="174"/>
      <c r="L221" s="230">
        <v>9</v>
      </c>
      <c r="M221" s="227">
        <f>L221*I215</f>
        <v>9</v>
      </c>
      <c r="N221" s="227" t="s">
        <v>100</v>
      </c>
      <c r="O221" s="227"/>
      <c r="P221" s="227"/>
      <c r="Q221" s="227"/>
      <c r="R221" s="120">
        <v>3</v>
      </c>
      <c r="S221" s="120">
        <f>R221*M221</f>
        <v>27</v>
      </c>
      <c r="T221" s="25" t="s">
        <v>105</v>
      </c>
      <c r="U221" s="9"/>
      <c r="V221" s="9"/>
      <c r="W221" s="9"/>
      <c r="X221" s="9"/>
      <c r="Y221" s="9"/>
    </row>
    <row r="222" spans="9:25" x14ac:dyDescent="0.25">
      <c r="I222" s="212"/>
      <c r="J222" s="174"/>
      <c r="K222" s="174"/>
      <c r="L222" s="231"/>
      <c r="M222" s="228"/>
      <c r="N222" s="228"/>
      <c r="O222" s="228"/>
      <c r="P222" s="228"/>
      <c r="Q222" s="228"/>
      <c r="R222" s="121">
        <v>9</v>
      </c>
      <c r="S222" s="121">
        <f>R222*M221</f>
        <v>81</v>
      </c>
      <c r="T222" s="6" t="s">
        <v>67</v>
      </c>
      <c r="U222" s="9"/>
      <c r="V222" s="9"/>
      <c r="W222" s="9"/>
      <c r="X222" s="9"/>
      <c r="Y222" s="9"/>
    </row>
    <row r="223" spans="9:25" ht="15.75" thickBot="1" x14ac:dyDescent="0.3">
      <c r="I223" s="212"/>
      <c r="J223" s="174"/>
      <c r="K223" s="174"/>
      <c r="L223" s="232"/>
      <c r="M223" s="229"/>
      <c r="N223" s="229"/>
      <c r="O223" s="229"/>
      <c r="P223" s="229"/>
      <c r="Q223" s="229"/>
      <c r="R223" s="147">
        <v>3</v>
      </c>
      <c r="S223" s="147">
        <f>R223*M221</f>
        <v>27</v>
      </c>
      <c r="T223" s="26" t="s">
        <v>4</v>
      </c>
      <c r="U223" s="9"/>
      <c r="V223" s="9"/>
      <c r="W223" s="9"/>
      <c r="X223" s="9"/>
      <c r="Y223" s="9"/>
    </row>
    <row r="224" spans="9:25" x14ac:dyDescent="0.25">
      <c r="I224" s="212"/>
      <c r="J224" s="174"/>
      <c r="K224" s="174"/>
      <c r="L224" s="176">
        <v>30</v>
      </c>
      <c r="M224" s="168">
        <f>L224*I215</f>
        <v>30</v>
      </c>
      <c r="N224" s="168" t="s">
        <v>63</v>
      </c>
      <c r="O224" s="168">
        <v>1</v>
      </c>
      <c r="P224" s="168">
        <f>M224</f>
        <v>30</v>
      </c>
      <c r="Q224" s="168" t="s">
        <v>62</v>
      </c>
      <c r="R224" s="111">
        <v>2</v>
      </c>
      <c r="S224" s="111">
        <f>R224*P224</f>
        <v>60</v>
      </c>
      <c r="T224" s="21" t="s">
        <v>14</v>
      </c>
      <c r="U224" s="9"/>
      <c r="V224" s="9"/>
      <c r="W224" s="9"/>
      <c r="X224" s="9"/>
      <c r="Y224" s="9"/>
    </row>
    <row r="225" spans="9:25" ht="15.75" thickBot="1" x14ac:dyDescent="0.3">
      <c r="I225" s="212"/>
      <c r="J225" s="174"/>
      <c r="K225" s="174"/>
      <c r="L225" s="177"/>
      <c r="M225" s="169"/>
      <c r="N225" s="169"/>
      <c r="O225" s="169"/>
      <c r="P225" s="169"/>
      <c r="Q225" s="169"/>
      <c r="R225" s="112">
        <v>1</v>
      </c>
      <c r="S225" s="112">
        <f>P224</f>
        <v>30</v>
      </c>
      <c r="T225" s="20" t="s">
        <v>10</v>
      </c>
      <c r="U225" s="9"/>
      <c r="V225" s="9"/>
      <c r="W225" s="9"/>
      <c r="X225" s="9"/>
      <c r="Y225" s="9"/>
    </row>
    <row r="226" spans="9:25" x14ac:dyDescent="0.25">
      <c r="I226" s="212"/>
      <c r="J226" s="174"/>
      <c r="K226" s="174"/>
      <c r="L226" s="267">
        <v>18</v>
      </c>
      <c r="M226" s="270">
        <f>L226*I215</f>
        <v>18</v>
      </c>
      <c r="N226" s="270" t="s">
        <v>133</v>
      </c>
      <c r="O226" s="59"/>
      <c r="P226" s="59"/>
      <c r="Q226" s="59"/>
      <c r="R226" s="117">
        <v>4</v>
      </c>
      <c r="S226" s="117">
        <f>R226*M226</f>
        <v>72</v>
      </c>
      <c r="T226" s="60" t="s">
        <v>28</v>
      </c>
      <c r="U226" s="9"/>
      <c r="V226" s="9"/>
      <c r="W226" s="9"/>
      <c r="X226" s="9"/>
      <c r="Y226" s="9"/>
    </row>
    <row r="227" spans="9:25" x14ac:dyDescent="0.25">
      <c r="I227" s="212"/>
      <c r="J227" s="174"/>
      <c r="K227" s="174"/>
      <c r="L227" s="268"/>
      <c r="M227" s="265"/>
      <c r="N227" s="265"/>
      <c r="O227" s="265">
        <v>1</v>
      </c>
      <c r="P227" s="265">
        <f>O227*M226</f>
        <v>18</v>
      </c>
      <c r="Q227" s="265" t="s">
        <v>30</v>
      </c>
      <c r="R227" s="118">
        <v>5</v>
      </c>
      <c r="S227" s="118">
        <f>R227*P227</f>
        <v>90</v>
      </c>
      <c r="T227" s="61" t="s">
        <v>27</v>
      </c>
      <c r="U227" s="9"/>
      <c r="V227" s="9"/>
      <c r="W227" s="9"/>
      <c r="X227" s="9"/>
      <c r="Y227" s="9"/>
    </row>
    <row r="228" spans="9:25" ht="15.75" thickBot="1" x14ac:dyDescent="0.3">
      <c r="I228" s="212"/>
      <c r="J228" s="174"/>
      <c r="K228" s="174"/>
      <c r="L228" s="269"/>
      <c r="M228" s="266"/>
      <c r="N228" s="266"/>
      <c r="O228" s="266"/>
      <c r="P228" s="266"/>
      <c r="Q228" s="266"/>
      <c r="R228" s="159">
        <v>1</v>
      </c>
      <c r="S228" s="159">
        <f>R228*P227</f>
        <v>18</v>
      </c>
      <c r="T228" s="62" t="s">
        <v>8</v>
      </c>
      <c r="U228" s="9"/>
      <c r="V228" s="9"/>
      <c r="W228" s="9"/>
      <c r="X228" s="9"/>
      <c r="Y228" s="9"/>
    </row>
    <row r="229" spans="9:25" x14ac:dyDescent="0.25">
      <c r="I229" s="212"/>
      <c r="J229" s="174"/>
      <c r="K229" s="174"/>
      <c r="L229" s="176">
        <v>30</v>
      </c>
      <c r="M229" s="168">
        <f>L229*I215</f>
        <v>30</v>
      </c>
      <c r="N229" s="168" t="s">
        <v>83</v>
      </c>
      <c r="O229" s="168">
        <v>1</v>
      </c>
      <c r="P229" s="168">
        <f>M229</f>
        <v>30</v>
      </c>
      <c r="Q229" s="168" t="s">
        <v>62</v>
      </c>
      <c r="R229" s="111">
        <v>2</v>
      </c>
      <c r="S229" s="111">
        <f>R229*P229</f>
        <v>60</v>
      </c>
      <c r="T229" s="21" t="s">
        <v>14</v>
      </c>
      <c r="U229" s="9"/>
      <c r="V229" s="9"/>
      <c r="W229" s="9"/>
      <c r="X229" s="9"/>
      <c r="Y229" s="9"/>
    </row>
    <row r="230" spans="9:25" ht="15.75" thickBot="1" x14ac:dyDescent="0.3">
      <c r="I230" s="212"/>
      <c r="J230" s="174"/>
      <c r="K230" s="174"/>
      <c r="L230" s="177"/>
      <c r="M230" s="169"/>
      <c r="N230" s="169"/>
      <c r="O230" s="169"/>
      <c r="P230" s="169"/>
      <c r="Q230" s="169"/>
      <c r="R230" s="112">
        <v>1</v>
      </c>
      <c r="S230" s="112">
        <f>P229</f>
        <v>30</v>
      </c>
      <c r="T230" s="20" t="s">
        <v>10</v>
      </c>
      <c r="U230" s="9"/>
      <c r="V230" s="9"/>
      <c r="W230" s="9"/>
      <c r="X230" s="9"/>
      <c r="Y230" s="9"/>
    </row>
    <row r="231" spans="9:25" x14ac:dyDescent="0.25">
      <c r="I231" s="212"/>
      <c r="J231" s="174"/>
      <c r="K231" s="174"/>
      <c r="L231" s="243">
        <v>9</v>
      </c>
      <c r="M231" s="245">
        <f>L231*I215</f>
        <v>9</v>
      </c>
      <c r="N231" s="245" t="s">
        <v>64</v>
      </c>
      <c r="O231" s="63">
        <v>2</v>
      </c>
      <c r="P231" s="132">
        <f>O231*M231</f>
        <v>18</v>
      </c>
      <c r="Q231" s="63" t="s">
        <v>53</v>
      </c>
      <c r="R231" s="132">
        <v>3</v>
      </c>
      <c r="S231" s="132">
        <f>R231*P231</f>
        <v>54</v>
      </c>
      <c r="T231" s="64" t="s">
        <v>25</v>
      </c>
      <c r="U231" s="9"/>
      <c r="V231" s="9"/>
      <c r="W231" s="9"/>
      <c r="X231" s="9"/>
      <c r="Y231" s="9"/>
    </row>
    <row r="232" spans="9:25" ht="15.75" thickBot="1" x14ac:dyDescent="0.3">
      <c r="I232" s="212"/>
      <c r="J232" s="174"/>
      <c r="K232" s="174"/>
      <c r="L232" s="244"/>
      <c r="M232" s="246"/>
      <c r="N232" s="246"/>
      <c r="O232" s="65"/>
      <c r="P232" s="65"/>
      <c r="Q232" s="65"/>
      <c r="R232" s="133">
        <v>9</v>
      </c>
      <c r="S232" s="133">
        <f>R232*M231</f>
        <v>81</v>
      </c>
      <c r="T232" s="66" t="s">
        <v>67</v>
      </c>
      <c r="U232" s="9"/>
      <c r="V232" s="9"/>
      <c r="W232" s="9"/>
      <c r="X232" s="9"/>
      <c r="Y232" s="9"/>
    </row>
    <row r="233" spans="9:25" ht="15.75" thickBot="1" x14ac:dyDescent="0.3">
      <c r="I233" s="212"/>
      <c r="J233" s="174"/>
      <c r="K233" s="174"/>
      <c r="L233" s="11">
        <v>30</v>
      </c>
      <c r="M233" s="12">
        <f>L233*I215</f>
        <v>30</v>
      </c>
      <c r="N233" s="12" t="s">
        <v>84</v>
      </c>
      <c r="O233" s="12">
        <v>1</v>
      </c>
      <c r="P233" s="12">
        <f>M233</f>
        <v>30</v>
      </c>
      <c r="Q233" s="12" t="s">
        <v>52</v>
      </c>
      <c r="R233" s="12">
        <v>3</v>
      </c>
      <c r="S233" s="12">
        <f>R233*P233</f>
        <v>90</v>
      </c>
      <c r="T233" s="19" t="s">
        <v>8</v>
      </c>
      <c r="U233" s="9"/>
      <c r="V233" s="9"/>
      <c r="W233" s="9"/>
      <c r="X233" s="9"/>
      <c r="Y233" s="9"/>
    </row>
    <row r="234" spans="9:25" ht="15.75" thickBot="1" x14ac:dyDescent="0.3">
      <c r="I234" s="212"/>
      <c r="J234" s="174"/>
      <c r="K234" s="174"/>
      <c r="L234" s="11">
        <v>9</v>
      </c>
      <c r="M234" s="12">
        <f>L234*I215</f>
        <v>9</v>
      </c>
      <c r="N234" s="12" t="s">
        <v>42</v>
      </c>
      <c r="O234" s="12">
        <v>2</v>
      </c>
      <c r="P234" s="12">
        <f>O234*M234</f>
        <v>18</v>
      </c>
      <c r="Q234" s="12" t="s">
        <v>53</v>
      </c>
      <c r="R234" s="12">
        <v>3</v>
      </c>
      <c r="S234" s="12">
        <f>R234*P234</f>
        <v>54</v>
      </c>
      <c r="T234" s="19" t="s">
        <v>25</v>
      </c>
      <c r="U234" s="9"/>
      <c r="V234" s="9"/>
      <c r="W234" s="9"/>
      <c r="X234" s="9"/>
      <c r="Y234" s="9"/>
    </row>
    <row r="235" spans="9:25" ht="15.75" thickBot="1" x14ac:dyDescent="0.3">
      <c r="I235" s="212"/>
      <c r="J235" s="174"/>
      <c r="K235" s="174"/>
      <c r="L235" s="11">
        <v>30</v>
      </c>
      <c r="M235" s="12">
        <f>L235*I215</f>
        <v>30</v>
      </c>
      <c r="N235" s="12" t="s">
        <v>52</v>
      </c>
      <c r="O235" s="12"/>
      <c r="P235" s="12"/>
      <c r="Q235" s="12"/>
      <c r="R235" s="12">
        <v>3</v>
      </c>
      <c r="S235" s="12">
        <f>R235*M235</f>
        <v>90</v>
      </c>
      <c r="T235" s="19" t="s">
        <v>8</v>
      </c>
      <c r="U235" s="9"/>
      <c r="V235" s="9"/>
      <c r="W235" s="9"/>
      <c r="X235" s="9"/>
      <c r="Y235" s="9"/>
    </row>
    <row r="236" spans="9:25" x14ac:dyDescent="0.25">
      <c r="I236" s="212"/>
      <c r="J236" s="174"/>
      <c r="K236" s="174"/>
      <c r="L236" s="221">
        <v>18</v>
      </c>
      <c r="M236" s="224">
        <f>L236*I215</f>
        <v>18</v>
      </c>
      <c r="N236" s="224" t="s">
        <v>101</v>
      </c>
      <c r="O236" s="224">
        <v>2</v>
      </c>
      <c r="P236" s="224">
        <f>O236*M236</f>
        <v>36</v>
      </c>
      <c r="Q236" s="224" t="s">
        <v>106</v>
      </c>
      <c r="R236" s="113">
        <v>3</v>
      </c>
      <c r="S236" s="113">
        <f>R236*P236</f>
        <v>108</v>
      </c>
      <c r="T236" s="41" t="s">
        <v>24</v>
      </c>
      <c r="U236" s="9"/>
      <c r="V236" s="9"/>
      <c r="W236" s="9"/>
      <c r="X236" s="9"/>
      <c r="Y236" s="9"/>
    </row>
    <row r="237" spans="9:25" x14ac:dyDescent="0.25">
      <c r="I237" s="212"/>
      <c r="J237" s="174"/>
      <c r="K237" s="174"/>
      <c r="L237" s="222"/>
      <c r="M237" s="225"/>
      <c r="N237" s="225"/>
      <c r="O237" s="225"/>
      <c r="P237" s="225"/>
      <c r="Q237" s="225"/>
      <c r="R237" s="114">
        <v>1</v>
      </c>
      <c r="S237" s="114">
        <f>P236</f>
        <v>36</v>
      </c>
      <c r="T237" s="75" t="s">
        <v>16</v>
      </c>
      <c r="U237" s="9"/>
      <c r="V237" s="9"/>
      <c r="W237" s="9"/>
      <c r="X237" s="9"/>
      <c r="Y237" s="9"/>
    </row>
    <row r="238" spans="9:25" ht="15.75" thickBot="1" x14ac:dyDescent="0.3">
      <c r="I238" s="212"/>
      <c r="J238" s="174"/>
      <c r="K238" s="174"/>
      <c r="L238" s="223"/>
      <c r="M238" s="226"/>
      <c r="N238" s="226"/>
      <c r="O238" s="115"/>
      <c r="P238" s="115"/>
      <c r="Q238" s="115"/>
      <c r="R238" s="115">
        <v>9</v>
      </c>
      <c r="S238" s="115">
        <f>R238*M236</f>
        <v>162</v>
      </c>
      <c r="T238" s="42" t="s">
        <v>107</v>
      </c>
      <c r="U238" s="9"/>
      <c r="V238" s="9"/>
      <c r="W238" s="9"/>
      <c r="X238" s="9"/>
      <c r="Y238" s="9"/>
    </row>
    <row r="239" spans="9:25" x14ac:dyDescent="0.25">
      <c r="I239" s="212"/>
      <c r="J239" s="174"/>
      <c r="K239" s="174"/>
      <c r="L239" s="271">
        <v>30</v>
      </c>
      <c r="M239" s="274">
        <f>L239*I215</f>
        <v>30</v>
      </c>
      <c r="N239" s="274" t="s">
        <v>119</v>
      </c>
      <c r="O239" s="94"/>
      <c r="P239" s="94"/>
      <c r="Q239" s="94"/>
      <c r="R239" s="162">
        <v>1</v>
      </c>
      <c r="S239" s="162">
        <f>M239</f>
        <v>30</v>
      </c>
      <c r="T239" s="95" t="s">
        <v>9</v>
      </c>
      <c r="U239" s="9"/>
      <c r="V239" s="9"/>
      <c r="W239" s="9"/>
      <c r="X239" s="9"/>
      <c r="Y239" s="9"/>
    </row>
    <row r="240" spans="9:25" x14ac:dyDescent="0.25">
      <c r="I240" s="212"/>
      <c r="J240" s="174"/>
      <c r="K240" s="174"/>
      <c r="L240" s="272"/>
      <c r="M240" s="275"/>
      <c r="N240" s="275"/>
      <c r="O240" s="275">
        <v>1</v>
      </c>
      <c r="P240" s="275">
        <f>O240*M239</f>
        <v>30</v>
      </c>
      <c r="Q240" s="275" t="s">
        <v>120</v>
      </c>
      <c r="R240" s="160">
        <v>1</v>
      </c>
      <c r="S240" s="160">
        <f>P240</f>
        <v>30</v>
      </c>
      <c r="T240" s="96" t="s">
        <v>12</v>
      </c>
      <c r="U240" s="9"/>
      <c r="V240" s="9"/>
      <c r="W240" s="9"/>
      <c r="X240" s="9"/>
      <c r="Y240" s="9"/>
    </row>
    <row r="241" spans="9:25" ht="15.75" thickBot="1" x14ac:dyDescent="0.3">
      <c r="I241" s="213"/>
      <c r="J241" s="175"/>
      <c r="K241" s="175"/>
      <c r="L241" s="273"/>
      <c r="M241" s="276"/>
      <c r="N241" s="276"/>
      <c r="O241" s="276"/>
      <c r="P241" s="276"/>
      <c r="Q241" s="276"/>
      <c r="R241" s="161">
        <v>1</v>
      </c>
      <c r="S241" s="161">
        <f>P240</f>
        <v>30</v>
      </c>
      <c r="T241" s="97" t="s">
        <v>15</v>
      </c>
      <c r="U241" s="9"/>
      <c r="V241" s="9"/>
      <c r="W241" s="9"/>
      <c r="X241" s="9"/>
      <c r="Y241" s="9"/>
    </row>
    <row r="242" spans="9:25" ht="15.75" thickTop="1" x14ac:dyDescent="0.25">
      <c r="I242" s="211">
        <f>F12</f>
        <v>1</v>
      </c>
      <c r="J242" s="173" t="s">
        <v>86</v>
      </c>
      <c r="K242" s="173" t="s">
        <v>132</v>
      </c>
      <c r="L242" s="214">
        <v>24</v>
      </c>
      <c r="M242" s="210">
        <f>L242*I242</f>
        <v>24</v>
      </c>
      <c r="N242" s="210" t="s">
        <v>63</v>
      </c>
      <c r="O242" s="210">
        <v>1</v>
      </c>
      <c r="P242" s="210">
        <f>M242</f>
        <v>24</v>
      </c>
      <c r="Q242" s="210" t="s">
        <v>62</v>
      </c>
      <c r="R242" s="126">
        <v>2</v>
      </c>
      <c r="S242" s="126">
        <f>R242*P242</f>
        <v>48</v>
      </c>
      <c r="T242" s="13" t="s">
        <v>14</v>
      </c>
      <c r="U242" s="9"/>
      <c r="V242" s="9"/>
      <c r="W242" s="9"/>
      <c r="X242" s="9"/>
      <c r="Y242" s="9"/>
    </row>
    <row r="243" spans="9:25" ht="15.75" thickBot="1" x14ac:dyDescent="0.3">
      <c r="I243" s="212"/>
      <c r="J243" s="174"/>
      <c r="K243" s="174"/>
      <c r="L243" s="177"/>
      <c r="M243" s="169"/>
      <c r="N243" s="169"/>
      <c r="O243" s="169"/>
      <c r="P243" s="169"/>
      <c r="Q243" s="169"/>
      <c r="R243" s="112">
        <v>1</v>
      </c>
      <c r="S243" s="112">
        <f>P242</f>
        <v>24</v>
      </c>
      <c r="T243" s="20" t="s">
        <v>10</v>
      </c>
      <c r="U243" s="9"/>
      <c r="V243" s="9"/>
      <c r="W243" s="9"/>
      <c r="X243" s="9"/>
      <c r="Y243" s="9"/>
    </row>
    <row r="244" spans="9:25" x14ac:dyDescent="0.25">
      <c r="I244" s="212"/>
      <c r="J244" s="174"/>
      <c r="K244" s="174"/>
      <c r="L244" s="176">
        <v>24</v>
      </c>
      <c r="M244" s="168">
        <f>L244*I242</f>
        <v>24</v>
      </c>
      <c r="N244" s="168" t="s">
        <v>36</v>
      </c>
      <c r="O244" s="168"/>
      <c r="P244" s="168"/>
      <c r="Q244" s="168"/>
      <c r="R244" s="111">
        <v>2</v>
      </c>
      <c r="S244" s="111">
        <f>R244*M244</f>
        <v>48</v>
      </c>
      <c r="T244" s="21" t="s">
        <v>4</v>
      </c>
      <c r="U244" s="9"/>
      <c r="V244" s="9"/>
      <c r="W244" s="9"/>
      <c r="X244" s="9"/>
      <c r="Y244" s="9"/>
    </row>
    <row r="245" spans="9:25" ht="15.75" thickBot="1" x14ac:dyDescent="0.3">
      <c r="I245" s="212"/>
      <c r="J245" s="174"/>
      <c r="K245" s="174"/>
      <c r="L245" s="177"/>
      <c r="M245" s="169"/>
      <c r="N245" s="169"/>
      <c r="O245" s="169"/>
      <c r="P245" s="169"/>
      <c r="Q245" s="169"/>
      <c r="R245" s="112">
        <v>1</v>
      </c>
      <c r="S245" s="112">
        <f>M244</f>
        <v>24</v>
      </c>
      <c r="T245" s="20" t="s">
        <v>14</v>
      </c>
      <c r="U245" s="9"/>
      <c r="V245" s="9"/>
      <c r="W245" s="9"/>
      <c r="X245" s="9"/>
      <c r="Y245" s="9"/>
    </row>
    <row r="246" spans="9:25" x14ac:dyDescent="0.25">
      <c r="I246" s="212"/>
      <c r="J246" s="174"/>
      <c r="K246" s="174"/>
      <c r="L246" s="176">
        <v>24</v>
      </c>
      <c r="M246" s="168">
        <f>L246*I242</f>
        <v>24</v>
      </c>
      <c r="N246" s="168" t="s">
        <v>62</v>
      </c>
      <c r="O246" s="168"/>
      <c r="P246" s="168"/>
      <c r="Q246" s="168"/>
      <c r="R246" s="111">
        <v>2</v>
      </c>
      <c r="S246" s="111">
        <f>R246*M246</f>
        <v>48</v>
      </c>
      <c r="T246" s="21" t="s">
        <v>14</v>
      </c>
      <c r="U246" s="9"/>
      <c r="V246" s="9"/>
      <c r="W246" s="9"/>
      <c r="X246" s="9"/>
      <c r="Y246" s="9"/>
    </row>
    <row r="247" spans="9:25" ht="15.75" thickBot="1" x14ac:dyDescent="0.3">
      <c r="I247" s="212"/>
      <c r="J247" s="174"/>
      <c r="K247" s="174"/>
      <c r="L247" s="177"/>
      <c r="M247" s="169"/>
      <c r="N247" s="169"/>
      <c r="O247" s="169"/>
      <c r="P247" s="169"/>
      <c r="Q247" s="169"/>
      <c r="R247" s="112">
        <v>1</v>
      </c>
      <c r="S247" s="112">
        <f>M246</f>
        <v>24</v>
      </c>
      <c r="T247" s="20" t="s">
        <v>10</v>
      </c>
      <c r="U247" s="9"/>
      <c r="V247" s="9"/>
      <c r="W247" s="9"/>
      <c r="X247" s="9"/>
      <c r="Y247" s="9"/>
    </row>
    <row r="248" spans="9:25" x14ac:dyDescent="0.25">
      <c r="I248" s="212"/>
      <c r="J248" s="174"/>
      <c r="K248" s="174"/>
      <c r="L248" s="230">
        <v>9</v>
      </c>
      <c r="M248" s="227">
        <f>L248*I242</f>
        <v>9</v>
      </c>
      <c r="N248" s="227" t="s">
        <v>100</v>
      </c>
      <c r="O248" s="227"/>
      <c r="P248" s="227"/>
      <c r="Q248" s="227"/>
      <c r="R248" s="120">
        <v>3</v>
      </c>
      <c r="S248" s="120">
        <f>R248*M248</f>
        <v>27</v>
      </c>
      <c r="T248" s="25" t="s">
        <v>105</v>
      </c>
      <c r="U248" s="9"/>
      <c r="V248" s="9"/>
      <c r="W248" s="9"/>
      <c r="X248" s="9"/>
      <c r="Y248" s="9"/>
    </row>
    <row r="249" spans="9:25" x14ac:dyDescent="0.25">
      <c r="I249" s="212"/>
      <c r="J249" s="174"/>
      <c r="K249" s="174"/>
      <c r="L249" s="231"/>
      <c r="M249" s="228"/>
      <c r="N249" s="228"/>
      <c r="O249" s="228"/>
      <c r="P249" s="228"/>
      <c r="Q249" s="228"/>
      <c r="R249" s="121">
        <v>9</v>
      </c>
      <c r="S249" s="121">
        <f>R249*M248</f>
        <v>81</v>
      </c>
      <c r="T249" s="6" t="s">
        <v>67</v>
      </c>
      <c r="U249" s="9"/>
      <c r="V249" s="9"/>
      <c r="W249" s="9"/>
      <c r="X249" s="9"/>
      <c r="Y249" s="9"/>
    </row>
    <row r="250" spans="9:25" ht="15.75" thickBot="1" x14ac:dyDescent="0.3">
      <c r="I250" s="212"/>
      <c r="J250" s="174"/>
      <c r="K250" s="174"/>
      <c r="L250" s="232"/>
      <c r="M250" s="229"/>
      <c r="N250" s="229"/>
      <c r="O250" s="229"/>
      <c r="P250" s="229"/>
      <c r="Q250" s="229"/>
      <c r="R250" s="147">
        <v>3</v>
      </c>
      <c r="S250" s="147">
        <f>R250*M248</f>
        <v>27</v>
      </c>
      <c r="T250" s="26" t="s">
        <v>4</v>
      </c>
      <c r="U250" s="9"/>
      <c r="V250" s="9"/>
      <c r="W250" s="9"/>
      <c r="X250" s="9"/>
      <c r="Y250" s="9"/>
    </row>
    <row r="251" spans="9:25" ht="15.75" thickBot="1" x14ac:dyDescent="0.3">
      <c r="I251" s="212"/>
      <c r="J251" s="174"/>
      <c r="K251" s="174"/>
      <c r="L251" s="11">
        <v>30</v>
      </c>
      <c r="M251" s="12">
        <f>L251*I242</f>
        <v>30</v>
      </c>
      <c r="N251" s="12" t="s">
        <v>84</v>
      </c>
      <c r="O251" s="12">
        <v>1</v>
      </c>
      <c r="P251" s="12">
        <f>M251</f>
        <v>30</v>
      </c>
      <c r="Q251" s="12" t="s">
        <v>52</v>
      </c>
      <c r="R251" s="12">
        <v>3</v>
      </c>
      <c r="S251" s="12">
        <f>R251*P251</f>
        <v>90</v>
      </c>
      <c r="T251" s="19" t="s">
        <v>8</v>
      </c>
      <c r="U251" s="9"/>
      <c r="V251" s="9"/>
      <c r="W251" s="9"/>
      <c r="X251" s="9"/>
      <c r="Y251" s="9"/>
    </row>
    <row r="252" spans="9:25" x14ac:dyDescent="0.25">
      <c r="I252" s="212"/>
      <c r="J252" s="174"/>
      <c r="K252" s="174"/>
      <c r="L252" s="267">
        <v>18</v>
      </c>
      <c r="M252" s="270">
        <f>L252*I242</f>
        <v>18</v>
      </c>
      <c r="N252" s="270" t="s">
        <v>133</v>
      </c>
      <c r="O252" s="59"/>
      <c r="P252" s="59"/>
      <c r="Q252" s="59"/>
      <c r="R252" s="117">
        <v>4</v>
      </c>
      <c r="S252" s="117">
        <f>R252*M252</f>
        <v>72</v>
      </c>
      <c r="T252" s="60" t="s">
        <v>28</v>
      </c>
      <c r="U252" s="9"/>
      <c r="V252" s="9"/>
      <c r="W252" s="9"/>
      <c r="X252" s="9"/>
      <c r="Y252" s="9"/>
    </row>
    <row r="253" spans="9:25" x14ac:dyDescent="0.25">
      <c r="I253" s="212"/>
      <c r="J253" s="174"/>
      <c r="K253" s="174"/>
      <c r="L253" s="268"/>
      <c r="M253" s="265"/>
      <c r="N253" s="265"/>
      <c r="O253" s="265">
        <v>1</v>
      </c>
      <c r="P253" s="265">
        <f>O253*M252</f>
        <v>18</v>
      </c>
      <c r="Q253" s="265" t="s">
        <v>30</v>
      </c>
      <c r="R253" s="118">
        <v>5</v>
      </c>
      <c r="S253" s="118">
        <f>R253*P253</f>
        <v>90</v>
      </c>
      <c r="T253" s="61" t="s">
        <v>27</v>
      </c>
      <c r="U253" s="9"/>
      <c r="V253" s="9"/>
      <c r="W253" s="9"/>
      <c r="X253" s="9"/>
      <c r="Y253" s="9"/>
    </row>
    <row r="254" spans="9:25" ht="15.75" thickBot="1" x14ac:dyDescent="0.3">
      <c r="I254" s="212"/>
      <c r="J254" s="174"/>
      <c r="K254" s="174"/>
      <c r="L254" s="269"/>
      <c r="M254" s="266"/>
      <c r="N254" s="266"/>
      <c r="O254" s="266"/>
      <c r="P254" s="266"/>
      <c r="Q254" s="266"/>
      <c r="R254" s="159">
        <v>1</v>
      </c>
      <c r="S254" s="159">
        <f>R254*P253</f>
        <v>18</v>
      </c>
      <c r="T254" s="62" t="s">
        <v>8</v>
      </c>
      <c r="U254" s="9"/>
      <c r="V254" s="9"/>
      <c r="W254" s="9"/>
      <c r="X254" s="9"/>
      <c r="Y254" s="9"/>
    </row>
    <row r="255" spans="9:25" x14ac:dyDescent="0.25">
      <c r="I255" s="212"/>
      <c r="J255" s="174"/>
      <c r="K255" s="174"/>
      <c r="L255" s="176">
        <v>30</v>
      </c>
      <c r="M255" s="168">
        <f>L255*I242</f>
        <v>30</v>
      </c>
      <c r="N255" s="168" t="s">
        <v>82</v>
      </c>
      <c r="O255" s="168">
        <v>1</v>
      </c>
      <c r="P255" s="168">
        <f>M255</f>
        <v>30</v>
      </c>
      <c r="Q255" s="168" t="s">
        <v>36</v>
      </c>
      <c r="R255" s="111">
        <v>2</v>
      </c>
      <c r="S255" s="111">
        <f>R255*P255</f>
        <v>60</v>
      </c>
      <c r="T255" s="21" t="s">
        <v>4</v>
      </c>
      <c r="U255" s="9"/>
      <c r="V255" s="9"/>
      <c r="W255" s="9"/>
      <c r="X255" s="9"/>
      <c r="Y255" s="9"/>
    </row>
    <row r="256" spans="9:25" ht="15.75" thickBot="1" x14ac:dyDescent="0.3">
      <c r="I256" s="212"/>
      <c r="J256" s="174"/>
      <c r="K256" s="174"/>
      <c r="L256" s="177"/>
      <c r="M256" s="169"/>
      <c r="N256" s="169"/>
      <c r="O256" s="169"/>
      <c r="P256" s="169"/>
      <c r="Q256" s="169"/>
      <c r="R256" s="112">
        <v>1</v>
      </c>
      <c r="S256" s="112">
        <f>P255</f>
        <v>30</v>
      </c>
      <c r="T256" s="20" t="s">
        <v>14</v>
      </c>
      <c r="U256" s="9"/>
      <c r="V256" s="9"/>
      <c r="W256" s="9"/>
      <c r="X256" s="9"/>
      <c r="Y256" s="9"/>
    </row>
    <row r="257" spans="9:25" x14ac:dyDescent="0.25">
      <c r="I257" s="212"/>
      <c r="J257" s="174"/>
      <c r="K257" s="174"/>
      <c r="L257" s="243">
        <v>9</v>
      </c>
      <c r="M257" s="245">
        <f>L257*I242</f>
        <v>9</v>
      </c>
      <c r="N257" s="245" t="s">
        <v>64</v>
      </c>
      <c r="O257" s="63">
        <v>2</v>
      </c>
      <c r="P257" s="132">
        <f>O257*M257</f>
        <v>18</v>
      </c>
      <c r="Q257" s="63" t="s">
        <v>53</v>
      </c>
      <c r="R257" s="132">
        <v>3</v>
      </c>
      <c r="S257" s="132">
        <f>R257*P257</f>
        <v>54</v>
      </c>
      <c r="T257" s="64" t="s">
        <v>25</v>
      </c>
      <c r="U257" s="9"/>
      <c r="V257" s="9"/>
      <c r="W257" s="9"/>
      <c r="X257" s="9"/>
      <c r="Y257" s="9"/>
    </row>
    <row r="258" spans="9:25" ht="15.75" thickBot="1" x14ac:dyDescent="0.3">
      <c r="I258" s="212"/>
      <c r="J258" s="174"/>
      <c r="K258" s="174"/>
      <c r="L258" s="244"/>
      <c r="M258" s="246"/>
      <c r="N258" s="246"/>
      <c r="O258" s="65"/>
      <c r="P258" s="65"/>
      <c r="Q258" s="65"/>
      <c r="R258" s="133">
        <v>9</v>
      </c>
      <c r="S258" s="133">
        <f>R258*M257</f>
        <v>81</v>
      </c>
      <c r="T258" s="66" t="s">
        <v>67</v>
      </c>
      <c r="U258" s="9"/>
      <c r="V258" s="9"/>
      <c r="W258" s="9"/>
      <c r="X258" s="9"/>
      <c r="Y258" s="9"/>
    </row>
    <row r="259" spans="9:25" ht="15.75" thickBot="1" x14ac:dyDescent="0.3">
      <c r="I259" s="212"/>
      <c r="J259" s="174"/>
      <c r="K259" s="174"/>
      <c r="L259" s="11">
        <v>30</v>
      </c>
      <c r="M259" s="12">
        <f>L259*I242</f>
        <v>30</v>
      </c>
      <c r="N259" s="12" t="s">
        <v>84</v>
      </c>
      <c r="O259" s="12">
        <v>1</v>
      </c>
      <c r="P259" s="12">
        <f>M259</f>
        <v>30</v>
      </c>
      <c r="Q259" s="12" t="s">
        <v>52</v>
      </c>
      <c r="R259" s="12">
        <v>3</v>
      </c>
      <c r="S259" s="12">
        <f>R259*P259</f>
        <v>90</v>
      </c>
      <c r="T259" s="19" t="s">
        <v>8</v>
      </c>
      <c r="U259" s="9"/>
      <c r="V259" s="9"/>
      <c r="W259" s="9"/>
      <c r="X259" s="9"/>
      <c r="Y259" s="9"/>
    </row>
    <row r="260" spans="9:25" x14ac:dyDescent="0.25">
      <c r="I260" s="212"/>
      <c r="J260" s="174"/>
      <c r="K260" s="174"/>
      <c r="L260" s="277">
        <v>18</v>
      </c>
      <c r="M260" s="279">
        <f>L260*I242</f>
        <v>18</v>
      </c>
      <c r="N260" s="279" t="s">
        <v>117</v>
      </c>
      <c r="O260" s="279"/>
      <c r="P260" s="279"/>
      <c r="Q260" s="279"/>
      <c r="R260" s="163">
        <v>1</v>
      </c>
      <c r="S260" s="163">
        <f>M260</f>
        <v>18</v>
      </c>
      <c r="T260" s="67" t="s">
        <v>118</v>
      </c>
      <c r="U260" s="9"/>
      <c r="V260" s="9"/>
      <c r="W260" s="9"/>
      <c r="X260" s="9"/>
      <c r="Y260" s="9"/>
    </row>
    <row r="261" spans="9:25" x14ac:dyDescent="0.25">
      <c r="I261" s="212"/>
      <c r="J261" s="174"/>
      <c r="K261" s="174"/>
      <c r="L261" s="278"/>
      <c r="M261" s="280"/>
      <c r="N261" s="280"/>
      <c r="O261" s="280"/>
      <c r="P261" s="280"/>
      <c r="Q261" s="280"/>
      <c r="R261" s="164">
        <v>1</v>
      </c>
      <c r="S261" s="164">
        <f>M260</f>
        <v>18</v>
      </c>
      <c r="T261" s="4" t="s">
        <v>26</v>
      </c>
      <c r="U261" s="9"/>
      <c r="V261" s="9"/>
      <c r="W261" s="9"/>
      <c r="X261" s="9"/>
      <c r="Y261" s="9"/>
    </row>
    <row r="262" spans="9:25" ht="15.75" thickBot="1" x14ac:dyDescent="0.3">
      <c r="I262" s="212"/>
      <c r="J262" s="174"/>
      <c r="K262" s="174"/>
      <c r="L262" s="236"/>
      <c r="M262" s="238"/>
      <c r="N262" s="238"/>
      <c r="O262" s="238"/>
      <c r="P262" s="238"/>
      <c r="Q262" s="238"/>
      <c r="R262" s="149">
        <v>1</v>
      </c>
      <c r="S262" s="149">
        <f>M260</f>
        <v>18</v>
      </c>
      <c r="T262" s="68" t="s">
        <v>4</v>
      </c>
      <c r="U262" s="9"/>
      <c r="V262" s="9"/>
      <c r="W262" s="9"/>
      <c r="X262" s="9"/>
      <c r="Y262" s="9"/>
    </row>
    <row r="263" spans="9:25" ht="15.75" thickBot="1" x14ac:dyDescent="0.3">
      <c r="I263" s="212"/>
      <c r="J263" s="174"/>
      <c r="K263" s="174"/>
      <c r="L263" s="11">
        <v>18</v>
      </c>
      <c r="M263" s="12">
        <f>L263*I242</f>
        <v>18</v>
      </c>
      <c r="N263" s="12" t="s">
        <v>42</v>
      </c>
      <c r="O263" s="12">
        <v>2</v>
      </c>
      <c r="P263" s="12">
        <f>O263*M263</f>
        <v>36</v>
      </c>
      <c r="Q263" s="12" t="s">
        <v>53</v>
      </c>
      <c r="R263" s="12">
        <v>3</v>
      </c>
      <c r="S263" s="12">
        <f>R263*P263</f>
        <v>108</v>
      </c>
      <c r="T263" s="19" t="s">
        <v>25</v>
      </c>
      <c r="U263" s="9"/>
      <c r="V263" s="9"/>
      <c r="W263" s="9"/>
      <c r="X263" s="9"/>
      <c r="Y263" s="9"/>
    </row>
    <row r="264" spans="9:25" ht="15.75" thickBot="1" x14ac:dyDescent="0.3">
      <c r="I264" s="212"/>
      <c r="J264" s="174"/>
      <c r="K264" s="174"/>
      <c r="L264" s="11">
        <v>30</v>
      </c>
      <c r="M264" s="12">
        <f>L264*I242</f>
        <v>30</v>
      </c>
      <c r="N264" s="12" t="s">
        <v>52</v>
      </c>
      <c r="O264" s="12"/>
      <c r="P264" s="12"/>
      <c r="Q264" s="12"/>
      <c r="R264" s="12">
        <v>3</v>
      </c>
      <c r="S264" s="12">
        <f>R264*M264</f>
        <v>90</v>
      </c>
      <c r="T264" s="19" t="s">
        <v>8</v>
      </c>
      <c r="U264" s="9"/>
      <c r="V264" s="9"/>
      <c r="W264" s="9"/>
      <c r="X264" s="9"/>
      <c r="Y264" s="9"/>
    </row>
    <row r="265" spans="9:25" x14ac:dyDescent="0.25">
      <c r="I265" s="212"/>
      <c r="J265" s="174"/>
      <c r="K265" s="174"/>
      <c r="L265" s="271">
        <v>30</v>
      </c>
      <c r="M265" s="274">
        <f>L265*I242</f>
        <v>30</v>
      </c>
      <c r="N265" s="274" t="s">
        <v>119</v>
      </c>
      <c r="O265" s="94"/>
      <c r="P265" s="94"/>
      <c r="Q265" s="94"/>
      <c r="R265" s="162">
        <v>1</v>
      </c>
      <c r="S265" s="162">
        <f>M265</f>
        <v>30</v>
      </c>
      <c r="T265" s="95" t="s">
        <v>9</v>
      </c>
      <c r="U265" s="9"/>
      <c r="V265" s="9"/>
      <c r="W265" s="9"/>
      <c r="X265" s="9"/>
      <c r="Y265" s="9"/>
    </row>
    <row r="266" spans="9:25" x14ac:dyDescent="0.25">
      <c r="I266" s="212"/>
      <c r="J266" s="174"/>
      <c r="K266" s="174"/>
      <c r="L266" s="272"/>
      <c r="M266" s="275"/>
      <c r="N266" s="275"/>
      <c r="O266" s="275">
        <v>1</v>
      </c>
      <c r="P266" s="275">
        <f>O266*M265</f>
        <v>30</v>
      </c>
      <c r="Q266" s="275" t="s">
        <v>120</v>
      </c>
      <c r="R266" s="160">
        <v>1</v>
      </c>
      <c r="S266" s="160">
        <f>P266</f>
        <v>30</v>
      </c>
      <c r="T266" s="96" t="s">
        <v>12</v>
      </c>
      <c r="U266" s="9"/>
      <c r="V266" s="9"/>
      <c r="W266" s="9"/>
      <c r="X266" s="9"/>
      <c r="Y266" s="9"/>
    </row>
    <row r="267" spans="9:25" ht="15.75" thickBot="1" x14ac:dyDescent="0.3">
      <c r="I267" s="213"/>
      <c r="J267" s="175"/>
      <c r="K267" s="175"/>
      <c r="L267" s="273"/>
      <c r="M267" s="276"/>
      <c r="N267" s="276"/>
      <c r="O267" s="276"/>
      <c r="P267" s="276"/>
      <c r="Q267" s="276"/>
      <c r="R267" s="161">
        <v>1</v>
      </c>
      <c r="S267" s="161">
        <f>P266</f>
        <v>30</v>
      </c>
      <c r="T267" s="97" t="s">
        <v>15</v>
      </c>
      <c r="U267" s="9"/>
      <c r="V267" s="9"/>
      <c r="W267" s="9"/>
      <c r="X267" s="9"/>
      <c r="Y267" s="9"/>
    </row>
    <row r="268" spans="9:25" ht="15.75" thickTop="1" x14ac:dyDescent="0.25">
      <c r="I268" s="9"/>
      <c r="J268" s="9"/>
      <c r="K268" s="9"/>
      <c r="L268" s="9"/>
      <c r="M268" s="9"/>
      <c r="N268" s="9"/>
      <c r="O268" s="9"/>
      <c r="P268" s="9"/>
      <c r="Q268" s="9"/>
      <c r="R268" s="9"/>
      <c r="S268" s="9"/>
      <c r="T268" s="9"/>
      <c r="U268" s="9"/>
      <c r="V268" s="9"/>
      <c r="W268" s="9"/>
      <c r="X268" s="9"/>
      <c r="Y268" s="9"/>
    </row>
    <row r="269" spans="9:25" x14ac:dyDescent="0.25">
      <c r="I269" s="9"/>
      <c r="J269" s="9"/>
      <c r="K269" s="9"/>
      <c r="L269" s="9"/>
      <c r="M269" s="9"/>
      <c r="N269" s="9"/>
      <c r="O269" s="9"/>
      <c r="P269" s="9"/>
      <c r="Q269" s="9"/>
      <c r="R269" s="9"/>
      <c r="S269" s="9"/>
      <c r="T269" s="9"/>
      <c r="U269" s="9"/>
      <c r="V269" s="9"/>
      <c r="W269" s="9"/>
      <c r="X269" s="9"/>
      <c r="Y269" s="9"/>
    </row>
    <row r="270" spans="9:25" ht="15.75" thickBot="1" x14ac:dyDescent="0.3">
      <c r="I270" s="9"/>
      <c r="J270" s="9"/>
      <c r="K270" s="9"/>
      <c r="L270" s="9"/>
      <c r="M270" s="9"/>
      <c r="N270" s="9"/>
      <c r="O270" s="9"/>
      <c r="P270" s="9"/>
      <c r="Q270" s="9"/>
      <c r="R270" s="9"/>
      <c r="S270" s="9"/>
      <c r="T270" s="9"/>
      <c r="U270" s="9"/>
      <c r="V270" s="9"/>
      <c r="W270" s="9"/>
      <c r="X270" s="9"/>
      <c r="Y270" s="9"/>
    </row>
    <row r="271" spans="9:25" ht="16.5" thickTop="1" thickBot="1" x14ac:dyDescent="0.3">
      <c r="I271" s="211">
        <f>C18</f>
        <v>1</v>
      </c>
      <c r="J271" s="173" t="s">
        <v>32</v>
      </c>
      <c r="K271" s="173" t="s">
        <v>111</v>
      </c>
      <c r="L271" s="85">
        <v>18</v>
      </c>
      <c r="M271" s="86">
        <f>L271*I271</f>
        <v>18</v>
      </c>
      <c r="N271" s="86" t="s">
        <v>99</v>
      </c>
      <c r="O271" s="86"/>
      <c r="P271" s="86"/>
      <c r="Q271" s="86"/>
      <c r="R271" s="86">
        <v>3</v>
      </c>
      <c r="S271" s="86">
        <f>R271*M271</f>
        <v>54</v>
      </c>
      <c r="T271" s="87" t="s">
        <v>22</v>
      </c>
      <c r="U271" s="9"/>
      <c r="V271" s="9"/>
      <c r="W271" s="9"/>
      <c r="X271" s="9"/>
      <c r="Y271" s="9"/>
    </row>
    <row r="272" spans="9:25" ht="15.75" thickBot="1" x14ac:dyDescent="0.3">
      <c r="I272" s="212"/>
      <c r="J272" s="174"/>
      <c r="K272" s="174"/>
      <c r="L272" s="11">
        <v>18</v>
      </c>
      <c r="M272" s="12">
        <f>L272*I271</f>
        <v>18</v>
      </c>
      <c r="N272" s="12" t="s">
        <v>37</v>
      </c>
      <c r="O272" s="12"/>
      <c r="P272" s="12"/>
      <c r="Q272" s="12"/>
      <c r="R272" s="12">
        <v>3</v>
      </c>
      <c r="S272" s="12">
        <f>R272*M272</f>
        <v>54</v>
      </c>
      <c r="T272" s="19" t="s">
        <v>49</v>
      </c>
      <c r="U272" s="9"/>
      <c r="V272" s="9"/>
      <c r="W272" s="9"/>
      <c r="X272" s="9"/>
      <c r="Y272" s="9"/>
    </row>
    <row r="273" spans="9:25" ht="15.75" thickBot="1" x14ac:dyDescent="0.3">
      <c r="I273" s="212"/>
      <c r="J273" s="174"/>
      <c r="K273" s="174"/>
      <c r="L273" s="11">
        <v>18</v>
      </c>
      <c r="M273" s="12">
        <f>L273*I271</f>
        <v>18</v>
      </c>
      <c r="N273" s="12" t="s">
        <v>35</v>
      </c>
      <c r="O273" s="12">
        <v>1</v>
      </c>
      <c r="P273" s="12">
        <f>O273*M273</f>
        <v>18</v>
      </c>
      <c r="Q273" s="12" t="s">
        <v>48</v>
      </c>
      <c r="R273" s="12">
        <v>3</v>
      </c>
      <c r="S273" s="12">
        <f>R273*P273</f>
        <v>54</v>
      </c>
      <c r="T273" s="19" t="s">
        <v>14</v>
      </c>
      <c r="U273" s="9"/>
      <c r="V273" s="9"/>
      <c r="W273" s="9"/>
      <c r="X273" s="9"/>
      <c r="Y273" s="9"/>
    </row>
    <row r="274" spans="9:25" x14ac:dyDescent="0.25">
      <c r="I274" s="212"/>
      <c r="J274" s="174"/>
      <c r="K274" s="174"/>
      <c r="L274" s="176">
        <v>18</v>
      </c>
      <c r="M274" s="168">
        <f>L274*I271</f>
        <v>18</v>
      </c>
      <c r="N274" s="168" t="s">
        <v>36</v>
      </c>
      <c r="O274" s="168"/>
      <c r="P274" s="168"/>
      <c r="Q274" s="168"/>
      <c r="R274" s="111">
        <v>2</v>
      </c>
      <c r="S274" s="111">
        <f>R274*M274</f>
        <v>36</v>
      </c>
      <c r="T274" s="21" t="s">
        <v>4</v>
      </c>
      <c r="U274" s="9"/>
      <c r="V274" s="9"/>
      <c r="W274" s="9"/>
      <c r="X274" s="9"/>
      <c r="Y274" s="9"/>
    </row>
    <row r="275" spans="9:25" ht="15.75" thickBot="1" x14ac:dyDescent="0.3">
      <c r="I275" s="212"/>
      <c r="J275" s="174"/>
      <c r="K275" s="174"/>
      <c r="L275" s="177"/>
      <c r="M275" s="169"/>
      <c r="N275" s="169"/>
      <c r="O275" s="169"/>
      <c r="P275" s="169"/>
      <c r="Q275" s="169"/>
      <c r="R275" s="112">
        <v>1</v>
      </c>
      <c r="S275" s="112">
        <f>R275*M274</f>
        <v>18</v>
      </c>
      <c r="T275" s="20" t="s">
        <v>14</v>
      </c>
      <c r="U275" s="9"/>
      <c r="V275" s="9"/>
      <c r="W275" s="9"/>
      <c r="X275" s="9"/>
      <c r="Y275" s="9"/>
    </row>
    <row r="276" spans="9:25" ht="15.75" thickBot="1" x14ac:dyDescent="0.3">
      <c r="I276" s="212"/>
      <c r="J276" s="174"/>
      <c r="K276" s="174"/>
      <c r="L276" s="79">
        <v>9</v>
      </c>
      <c r="M276" s="44">
        <f>L276*I271</f>
        <v>9</v>
      </c>
      <c r="N276" s="44" t="s">
        <v>31</v>
      </c>
      <c r="O276" s="44"/>
      <c r="P276" s="44"/>
      <c r="Q276" s="44"/>
      <c r="R276" s="44">
        <v>5</v>
      </c>
      <c r="S276" s="44">
        <f>R276*M276</f>
        <v>45</v>
      </c>
      <c r="T276" s="45" t="s">
        <v>17</v>
      </c>
      <c r="U276" s="9"/>
      <c r="V276" s="9"/>
      <c r="W276" s="9"/>
      <c r="X276" s="9"/>
      <c r="Y276" s="9"/>
    </row>
    <row r="277" spans="9:25" ht="15.75" thickBot="1" x14ac:dyDescent="0.3">
      <c r="I277" s="212"/>
      <c r="J277" s="174"/>
      <c r="K277" s="174"/>
      <c r="L277" s="11">
        <v>18</v>
      </c>
      <c r="M277" s="12">
        <f>L277*I271</f>
        <v>18</v>
      </c>
      <c r="N277" s="12" t="s">
        <v>61</v>
      </c>
      <c r="O277" s="12">
        <v>1</v>
      </c>
      <c r="P277" s="12">
        <f>O277*M277</f>
        <v>18</v>
      </c>
      <c r="Q277" s="12" t="s">
        <v>48</v>
      </c>
      <c r="R277" s="12">
        <v>3</v>
      </c>
      <c r="S277" s="12">
        <f>R277*P277</f>
        <v>54</v>
      </c>
      <c r="T277" s="19" t="s">
        <v>14</v>
      </c>
      <c r="U277" s="9"/>
      <c r="V277" s="9"/>
      <c r="W277" s="9"/>
      <c r="X277" s="9"/>
      <c r="Y277" s="9"/>
    </row>
    <row r="278" spans="9:25" ht="15.75" thickBot="1" x14ac:dyDescent="0.3">
      <c r="I278" s="212"/>
      <c r="J278" s="174"/>
      <c r="K278" s="174"/>
      <c r="L278" s="11">
        <v>18</v>
      </c>
      <c r="M278" s="12">
        <f>L278*I271</f>
        <v>18</v>
      </c>
      <c r="N278" s="12" t="s">
        <v>39</v>
      </c>
      <c r="O278" s="12">
        <v>2</v>
      </c>
      <c r="P278" s="12">
        <f>O278*M278</f>
        <v>36</v>
      </c>
      <c r="Q278" s="12" t="s">
        <v>52</v>
      </c>
      <c r="R278" s="12">
        <v>3</v>
      </c>
      <c r="S278" s="12">
        <f>R278*P278</f>
        <v>108</v>
      </c>
      <c r="T278" s="19" t="s">
        <v>8</v>
      </c>
      <c r="U278" s="9"/>
      <c r="V278" s="9"/>
      <c r="W278" s="9"/>
      <c r="X278" s="9"/>
      <c r="Y278" s="9"/>
    </row>
    <row r="279" spans="9:25" ht="15.75" thickBot="1" x14ac:dyDescent="0.3">
      <c r="I279" s="212"/>
      <c r="J279" s="174"/>
      <c r="K279" s="174"/>
      <c r="L279" s="71">
        <v>18</v>
      </c>
      <c r="M279" s="69">
        <f>L279*I271</f>
        <v>18</v>
      </c>
      <c r="N279" s="69" t="s">
        <v>40</v>
      </c>
      <c r="O279" s="69"/>
      <c r="P279" s="69"/>
      <c r="Q279" s="69"/>
      <c r="R279" s="69">
        <v>4</v>
      </c>
      <c r="S279" s="69">
        <f>R279*M279</f>
        <v>72</v>
      </c>
      <c r="T279" s="70" t="s">
        <v>6</v>
      </c>
      <c r="U279" s="9"/>
      <c r="V279" s="9"/>
      <c r="W279" s="9"/>
      <c r="X279" s="9"/>
      <c r="Y279" s="9"/>
    </row>
    <row r="280" spans="9:25" ht="15.75" thickBot="1" x14ac:dyDescent="0.3">
      <c r="I280" s="212"/>
      <c r="J280" s="174"/>
      <c r="K280" s="174"/>
      <c r="L280" s="49">
        <v>18</v>
      </c>
      <c r="M280" s="50">
        <f>L280*I271</f>
        <v>18</v>
      </c>
      <c r="N280" s="50" t="s">
        <v>46</v>
      </c>
      <c r="O280" s="50"/>
      <c r="P280" s="50"/>
      <c r="Q280" s="50"/>
      <c r="R280" s="50">
        <v>2</v>
      </c>
      <c r="S280" s="50">
        <f>R280*M280</f>
        <v>36</v>
      </c>
      <c r="T280" s="51" t="s">
        <v>60</v>
      </c>
      <c r="U280" s="9"/>
      <c r="V280" s="9"/>
      <c r="W280" s="9"/>
      <c r="X280" s="9"/>
      <c r="Y280" s="9"/>
    </row>
    <row r="281" spans="9:25" ht="15.75" thickBot="1" x14ac:dyDescent="0.3">
      <c r="I281" s="212"/>
      <c r="J281" s="174"/>
      <c r="K281" s="174"/>
      <c r="L281" s="11">
        <v>18</v>
      </c>
      <c r="M281" s="12">
        <f>L281*I271</f>
        <v>18</v>
      </c>
      <c r="N281" s="12" t="s">
        <v>84</v>
      </c>
      <c r="O281" s="12">
        <v>1</v>
      </c>
      <c r="P281" s="12">
        <f>O281*M281</f>
        <v>18</v>
      </c>
      <c r="Q281" s="12" t="s">
        <v>52</v>
      </c>
      <c r="R281" s="12">
        <v>3</v>
      </c>
      <c r="S281" s="12">
        <f>R281*P281</f>
        <v>54</v>
      </c>
      <c r="T281" s="19" t="s">
        <v>8</v>
      </c>
      <c r="U281" s="9"/>
      <c r="V281" s="9"/>
      <c r="W281" s="9"/>
      <c r="X281" s="9"/>
      <c r="Y281" s="9"/>
    </row>
    <row r="282" spans="9:25" x14ac:dyDescent="0.25">
      <c r="I282" s="212"/>
      <c r="J282" s="174"/>
      <c r="K282" s="174"/>
      <c r="L282" s="176">
        <v>18</v>
      </c>
      <c r="M282" s="168">
        <f>L282*I271</f>
        <v>18</v>
      </c>
      <c r="N282" s="168" t="s">
        <v>36</v>
      </c>
      <c r="O282" s="168"/>
      <c r="P282" s="168"/>
      <c r="Q282" s="168"/>
      <c r="R282" s="111">
        <v>2</v>
      </c>
      <c r="S282" s="111">
        <f>R282*M282</f>
        <v>36</v>
      </c>
      <c r="T282" s="21" t="s">
        <v>4</v>
      </c>
      <c r="U282" s="9"/>
      <c r="V282" s="9"/>
      <c r="W282" s="9"/>
      <c r="X282" s="9"/>
      <c r="Y282" s="9"/>
    </row>
    <row r="283" spans="9:25" ht="15.75" thickBot="1" x14ac:dyDescent="0.3">
      <c r="I283" s="212"/>
      <c r="J283" s="174"/>
      <c r="K283" s="174"/>
      <c r="L283" s="177"/>
      <c r="M283" s="169"/>
      <c r="N283" s="169"/>
      <c r="O283" s="169"/>
      <c r="P283" s="169"/>
      <c r="Q283" s="169"/>
      <c r="R283" s="112">
        <v>1</v>
      </c>
      <c r="S283" s="112">
        <f>R283*M282</f>
        <v>18</v>
      </c>
      <c r="T283" s="20" t="s">
        <v>14</v>
      </c>
      <c r="U283" s="9"/>
      <c r="V283" s="9"/>
      <c r="W283" s="9"/>
      <c r="X283" s="9"/>
      <c r="Y283" s="9"/>
    </row>
    <row r="284" spans="9:25" x14ac:dyDescent="0.25">
      <c r="I284" s="212"/>
      <c r="J284" s="174"/>
      <c r="K284" s="174"/>
      <c r="L284" s="221">
        <v>21</v>
      </c>
      <c r="M284" s="224">
        <f>L284*I271</f>
        <v>21</v>
      </c>
      <c r="N284" s="224" t="s">
        <v>101</v>
      </c>
      <c r="O284" s="224">
        <v>2</v>
      </c>
      <c r="P284" s="224">
        <f>O284*M284</f>
        <v>42</v>
      </c>
      <c r="Q284" s="224" t="s">
        <v>106</v>
      </c>
      <c r="R284" s="113">
        <v>3</v>
      </c>
      <c r="S284" s="113">
        <f>R284*P284</f>
        <v>126</v>
      </c>
      <c r="T284" s="41" t="s">
        <v>24</v>
      </c>
      <c r="U284" s="9"/>
      <c r="V284" s="9"/>
      <c r="W284" s="9"/>
      <c r="X284" s="9"/>
      <c r="Y284" s="9"/>
    </row>
    <row r="285" spans="9:25" x14ac:dyDescent="0.25">
      <c r="I285" s="212"/>
      <c r="J285" s="174"/>
      <c r="K285" s="174"/>
      <c r="L285" s="222"/>
      <c r="M285" s="225"/>
      <c r="N285" s="225"/>
      <c r="O285" s="225"/>
      <c r="P285" s="225"/>
      <c r="Q285" s="225"/>
      <c r="R285" s="114">
        <v>1</v>
      </c>
      <c r="S285" s="114">
        <f>R285*P284</f>
        <v>42</v>
      </c>
      <c r="T285" s="75" t="s">
        <v>16</v>
      </c>
      <c r="U285" s="9"/>
      <c r="V285" s="9"/>
      <c r="W285" s="9"/>
      <c r="X285" s="9"/>
      <c r="Y285" s="9"/>
    </row>
    <row r="286" spans="9:25" ht="15.75" thickBot="1" x14ac:dyDescent="0.3">
      <c r="I286" s="212"/>
      <c r="J286" s="174"/>
      <c r="K286" s="174"/>
      <c r="L286" s="223"/>
      <c r="M286" s="226"/>
      <c r="N286" s="226"/>
      <c r="O286" s="115"/>
      <c r="P286" s="115"/>
      <c r="Q286" s="115"/>
      <c r="R286" s="115">
        <v>9</v>
      </c>
      <c r="S286" s="115">
        <f>R286*M284</f>
        <v>189</v>
      </c>
      <c r="T286" s="42" t="s">
        <v>107</v>
      </c>
      <c r="U286" s="9"/>
      <c r="V286" s="9"/>
      <c r="W286" s="9"/>
      <c r="X286" s="9"/>
      <c r="Y286" s="9"/>
    </row>
    <row r="287" spans="9:25" x14ac:dyDescent="0.25">
      <c r="I287" s="212"/>
      <c r="J287" s="174"/>
      <c r="K287" s="174"/>
      <c r="L287" s="190">
        <v>18</v>
      </c>
      <c r="M287" s="193">
        <f>L287*I271</f>
        <v>18</v>
      </c>
      <c r="N287" s="193" t="s">
        <v>45</v>
      </c>
      <c r="O287" s="128"/>
      <c r="P287" s="128"/>
      <c r="Q287" s="128"/>
      <c r="R287" s="128">
        <v>2</v>
      </c>
      <c r="S287" s="128">
        <f>R287*M287</f>
        <v>36</v>
      </c>
      <c r="T287" s="98" t="s">
        <v>5</v>
      </c>
      <c r="U287" s="9"/>
      <c r="V287" s="9"/>
      <c r="W287" s="9"/>
      <c r="X287" s="9"/>
      <c r="Y287" s="9"/>
    </row>
    <row r="288" spans="9:25" x14ac:dyDescent="0.25">
      <c r="I288" s="212"/>
      <c r="J288" s="174"/>
      <c r="K288" s="174"/>
      <c r="L288" s="191"/>
      <c r="M288" s="194"/>
      <c r="N288" s="194"/>
      <c r="O288" s="127">
        <v>1</v>
      </c>
      <c r="P288" s="127">
        <f>O288*M287</f>
        <v>18</v>
      </c>
      <c r="Q288" s="127" t="s">
        <v>58</v>
      </c>
      <c r="R288" s="127">
        <v>2</v>
      </c>
      <c r="S288" s="127">
        <f>R288*P288</f>
        <v>36</v>
      </c>
      <c r="T288" s="99" t="s">
        <v>21</v>
      </c>
      <c r="U288" s="9"/>
      <c r="V288" s="9"/>
      <c r="W288" s="9"/>
      <c r="X288" s="9"/>
      <c r="Y288" s="9"/>
    </row>
    <row r="289" spans="9:25" ht="15.75" thickBot="1" x14ac:dyDescent="0.3">
      <c r="I289" s="213"/>
      <c r="J289" s="175"/>
      <c r="K289" s="175"/>
      <c r="L289" s="233"/>
      <c r="M289" s="234"/>
      <c r="N289" s="234"/>
      <c r="O289" s="146"/>
      <c r="P289" s="146"/>
      <c r="Q289" s="146"/>
      <c r="R289" s="146">
        <v>1</v>
      </c>
      <c r="S289" s="146">
        <f>R289*M287</f>
        <v>18</v>
      </c>
      <c r="T289" s="14" t="s">
        <v>59</v>
      </c>
      <c r="U289" s="9"/>
      <c r="V289" s="9"/>
      <c r="W289" s="9"/>
      <c r="X289" s="9"/>
      <c r="Y289" s="9"/>
    </row>
    <row r="290" spans="9:25" ht="15.75" thickTop="1" x14ac:dyDescent="0.25">
      <c r="I290" s="211">
        <f>D18</f>
        <v>1</v>
      </c>
      <c r="J290" s="173" t="s">
        <v>86</v>
      </c>
      <c r="K290" s="173" t="s">
        <v>111</v>
      </c>
      <c r="L290" s="214">
        <v>24</v>
      </c>
      <c r="M290" s="210">
        <f>L290*$I$290</f>
        <v>24</v>
      </c>
      <c r="N290" s="210" t="s">
        <v>63</v>
      </c>
      <c r="O290" s="210">
        <v>1</v>
      </c>
      <c r="P290" s="210">
        <f>O290*M290</f>
        <v>24</v>
      </c>
      <c r="Q290" s="210" t="s">
        <v>62</v>
      </c>
      <c r="R290" s="126">
        <v>2</v>
      </c>
      <c r="S290" s="126">
        <f>R290*P290</f>
        <v>48</v>
      </c>
      <c r="T290" s="13" t="s">
        <v>14</v>
      </c>
      <c r="U290" s="9"/>
      <c r="V290" s="9"/>
      <c r="W290" s="9"/>
      <c r="X290" s="9"/>
      <c r="Y290" s="9"/>
    </row>
    <row r="291" spans="9:25" ht="15.75" thickBot="1" x14ac:dyDescent="0.3">
      <c r="I291" s="212"/>
      <c r="J291" s="174"/>
      <c r="K291" s="174"/>
      <c r="L291" s="177"/>
      <c r="M291" s="169"/>
      <c r="N291" s="169"/>
      <c r="O291" s="169"/>
      <c r="P291" s="169"/>
      <c r="Q291" s="169"/>
      <c r="R291" s="112">
        <v>1</v>
      </c>
      <c r="S291" s="112">
        <f>R291*M290</f>
        <v>24</v>
      </c>
      <c r="T291" s="20" t="s">
        <v>10</v>
      </c>
      <c r="U291" s="9"/>
      <c r="V291" s="9"/>
      <c r="W291" s="9"/>
      <c r="X291" s="9"/>
      <c r="Y291" s="9"/>
    </row>
    <row r="292" spans="9:25" x14ac:dyDescent="0.25">
      <c r="I292" s="212"/>
      <c r="J292" s="174"/>
      <c r="K292" s="174"/>
      <c r="L292" s="176">
        <v>18</v>
      </c>
      <c r="M292" s="241">
        <f>L292*$I$290</f>
        <v>18</v>
      </c>
      <c r="N292" s="168" t="s">
        <v>36</v>
      </c>
      <c r="O292" s="168"/>
      <c r="P292" s="168"/>
      <c r="Q292" s="168"/>
      <c r="R292" s="111">
        <v>2</v>
      </c>
      <c r="S292" s="111">
        <f>R292*M292</f>
        <v>36</v>
      </c>
      <c r="T292" s="21" t="s">
        <v>4</v>
      </c>
      <c r="U292" s="9"/>
      <c r="V292" s="9"/>
      <c r="W292" s="9"/>
      <c r="X292" s="9"/>
      <c r="Y292" s="9"/>
    </row>
    <row r="293" spans="9:25" ht="15.75" thickBot="1" x14ac:dyDescent="0.3">
      <c r="I293" s="212"/>
      <c r="J293" s="174"/>
      <c r="K293" s="174"/>
      <c r="L293" s="177"/>
      <c r="M293" s="242"/>
      <c r="N293" s="169"/>
      <c r="O293" s="169"/>
      <c r="P293" s="169"/>
      <c r="Q293" s="169"/>
      <c r="R293" s="112">
        <v>1</v>
      </c>
      <c r="S293" s="112">
        <f>R293*M292</f>
        <v>18</v>
      </c>
      <c r="T293" s="20" t="s">
        <v>14</v>
      </c>
      <c r="U293" s="9"/>
      <c r="V293" s="9"/>
      <c r="W293" s="9"/>
      <c r="X293" s="9"/>
      <c r="Y293" s="9"/>
    </row>
    <row r="294" spans="9:25" x14ac:dyDescent="0.25">
      <c r="I294" s="212"/>
      <c r="J294" s="174"/>
      <c r="K294" s="174"/>
      <c r="L294" s="176">
        <v>24</v>
      </c>
      <c r="M294" s="241">
        <f t="shared" ref="M294" si="5">L294*$I$290</f>
        <v>24</v>
      </c>
      <c r="N294" s="168" t="s">
        <v>62</v>
      </c>
      <c r="O294" s="168"/>
      <c r="P294" s="168"/>
      <c r="Q294" s="168"/>
      <c r="R294" s="111">
        <v>2</v>
      </c>
      <c r="S294" s="111">
        <f>R294*M294</f>
        <v>48</v>
      </c>
      <c r="T294" s="21" t="s">
        <v>14</v>
      </c>
      <c r="U294" s="9"/>
      <c r="V294" s="9"/>
      <c r="W294" s="9"/>
      <c r="X294" s="9"/>
      <c r="Y294" s="9"/>
    </row>
    <row r="295" spans="9:25" ht="15.75" thickBot="1" x14ac:dyDescent="0.3">
      <c r="I295" s="212"/>
      <c r="J295" s="174"/>
      <c r="K295" s="174"/>
      <c r="L295" s="177"/>
      <c r="M295" s="242"/>
      <c r="N295" s="169"/>
      <c r="O295" s="169"/>
      <c r="P295" s="169"/>
      <c r="Q295" s="169"/>
      <c r="R295" s="112">
        <v>1</v>
      </c>
      <c r="S295" s="112">
        <f>R295*M294</f>
        <v>24</v>
      </c>
      <c r="T295" s="20" t="s">
        <v>10</v>
      </c>
      <c r="U295" s="9"/>
      <c r="V295" s="9"/>
      <c r="W295" s="9"/>
      <c r="X295" s="9"/>
      <c r="Y295" s="9"/>
    </row>
    <row r="296" spans="9:25" x14ac:dyDescent="0.25">
      <c r="I296" s="212"/>
      <c r="J296" s="174"/>
      <c r="K296" s="174"/>
      <c r="L296" s="176">
        <v>24</v>
      </c>
      <c r="M296" s="241">
        <f t="shared" ref="M296" si="6">L296*$I$290</f>
        <v>24</v>
      </c>
      <c r="N296" s="168" t="s">
        <v>82</v>
      </c>
      <c r="O296" s="168">
        <v>1</v>
      </c>
      <c r="P296" s="168">
        <f>O296*M296</f>
        <v>24</v>
      </c>
      <c r="Q296" s="168" t="s">
        <v>36</v>
      </c>
      <c r="R296" s="111">
        <v>2</v>
      </c>
      <c r="S296" s="111">
        <f>R296*P296</f>
        <v>48</v>
      </c>
      <c r="T296" s="21" t="s">
        <v>4</v>
      </c>
      <c r="U296" s="9"/>
      <c r="V296" s="9"/>
      <c r="W296" s="9"/>
      <c r="X296" s="9"/>
      <c r="Y296" s="9"/>
    </row>
    <row r="297" spans="9:25" ht="15.75" thickBot="1" x14ac:dyDescent="0.3">
      <c r="I297" s="212"/>
      <c r="J297" s="174"/>
      <c r="K297" s="174"/>
      <c r="L297" s="177"/>
      <c r="M297" s="242"/>
      <c r="N297" s="169"/>
      <c r="O297" s="169"/>
      <c r="P297" s="169"/>
      <c r="Q297" s="169"/>
      <c r="R297" s="112">
        <v>1</v>
      </c>
      <c r="S297" s="112">
        <f>R297*P296</f>
        <v>24</v>
      </c>
      <c r="T297" s="20" t="s">
        <v>14</v>
      </c>
      <c r="U297" s="9"/>
      <c r="V297" s="9"/>
      <c r="W297" s="9"/>
      <c r="X297" s="9"/>
      <c r="Y297" s="9"/>
    </row>
    <row r="298" spans="9:25" x14ac:dyDescent="0.25">
      <c r="I298" s="212"/>
      <c r="J298" s="174"/>
      <c r="K298" s="174"/>
      <c r="L298" s="176">
        <v>30</v>
      </c>
      <c r="M298" s="241">
        <f t="shared" ref="M298" si="7">L298*$I$290</f>
        <v>30</v>
      </c>
      <c r="N298" s="168" t="s">
        <v>62</v>
      </c>
      <c r="O298" s="168"/>
      <c r="P298" s="168"/>
      <c r="Q298" s="168"/>
      <c r="R298" s="111">
        <v>2</v>
      </c>
      <c r="S298" s="111">
        <f>R298*M298</f>
        <v>60</v>
      </c>
      <c r="T298" s="21" t="s">
        <v>14</v>
      </c>
      <c r="U298" s="9"/>
      <c r="V298" s="9"/>
      <c r="W298" s="9"/>
      <c r="X298" s="9"/>
      <c r="Y298" s="9"/>
    </row>
    <row r="299" spans="9:25" ht="15.75" thickBot="1" x14ac:dyDescent="0.3">
      <c r="I299" s="212"/>
      <c r="J299" s="174"/>
      <c r="K299" s="174"/>
      <c r="L299" s="177"/>
      <c r="M299" s="242"/>
      <c r="N299" s="169"/>
      <c r="O299" s="169"/>
      <c r="P299" s="169"/>
      <c r="Q299" s="169"/>
      <c r="R299" s="112">
        <v>1</v>
      </c>
      <c r="S299" s="112">
        <f>R299*M298</f>
        <v>30</v>
      </c>
      <c r="T299" s="20" t="s">
        <v>10</v>
      </c>
      <c r="U299" s="9"/>
      <c r="V299" s="9"/>
      <c r="W299" s="9"/>
      <c r="X299" s="9"/>
      <c r="Y299" s="9"/>
    </row>
    <row r="300" spans="9:25" x14ac:dyDescent="0.25">
      <c r="I300" s="212"/>
      <c r="J300" s="174"/>
      <c r="K300" s="174"/>
      <c r="L300" s="243">
        <v>9</v>
      </c>
      <c r="M300" s="245">
        <f>L300*I290</f>
        <v>9</v>
      </c>
      <c r="N300" s="245" t="s">
        <v>64</v>
      </c>
      <c r="O300" s="63">
        <v>2</v>
      </c>
      <c r="P300" s="132">
        <f>O300*M300</f>
        <v>18</v>
      </c>
      <c r="Q300" s="63" t="s">
        <v>53</v>
      </c>
      <c r="R300" s="132">
        <v>3</v>
      </c>
      <c r="S300" s="132">
        <f>R300*P300</f>
        <v>54</v>
      </c>
      <c r="T300" s="64" t="s">
        <v>25</v>
      </c>
      <c r="U300" s="9"/>
      <c r="V300" s="9"/>
      <c r="W300" s="9"/>
      <c r="X300" s="9"/>
      <c r="Y300" s="9"/>
    </row>
    <row r="301" spans="9:25" ht="15.75" thickBot="1" x14ac:dyDescent="0.3">
      <c r="I301" s="212"/>
      <c r="J301" s="174"/>
      <c r="K301" s="174"/>
      <c r="L301" s="244"/>
      <c r="M301" s="246"/>
      <c r="N301" s="246"/>
      <c r="O301" s="65"/>
      <c r="P301" s="65"/>
      <c r="Q301" s="65"/>
      <c r="R301" s="133">
        <v>9</v>
      </c>
      <c r="S301" s="133">
        <f>R301*M300</f>
        <v>81</v>
      </c>
      <c r="T301" s="66" t="s">
        <v>67</v>
      </c>
      <c r="U301" s="9"/>
      <c r="V301" s="9"/>
      <c r="W301" s="9"/>
      <c r="X301" s="9"/>
      <c r="Y301" s="9"/>
    </row>
    <row r="302" spans="9:25" x14ac:dyDescent="0.25">
      <c r="I302" s="212"/>
      <c r="J302" s="174"/>
      <c r="K302" s="174"/>
      <c r="L302" s="176">
        <v>30</v>
      </c>
      <c r="M302" s="241">
        <f t="shared" ref="M302" si="8">L302*$I$290</f>
        <v>30</v>
      </c>
      <c r="N302" s="168" t="s">
        <v>83</v>
      </c>
      <c r="O302" s="168">
        <v>1</v>
      </c>
      <c r="P302" s="168">
        <f>O302*M302</f>
        <v>30</v>
      </c>
      <c r="Q302" s="168" t="s">
        <v>62</v>
      </c>
      <c r="R302" s="111">
        <v>2</v>
      </c>
      <c r="S302" s="111">
        <f>R302*P302</f>
        <v>60</v>
      </c>
      <c r="T302" s="21" t="s">
        <v>14</v>
      </c>
      <c r="U302" s="9"/>
      <c r="V302" s="9"/>
      <c r="W302" s="9"/>
      <c r="X302" s="9"/>
      <c r="Y302" s="9"/>
    </row>
    <row r="303" spans="9:25" ht="15.75" thickBot="1" x14ac:dyDescent="0.3">
      <c r="I303" s="212"/>
      <c r="J303" s="174"/>
      <c r="K303" s="174"/>
      <c r="L303" s="177"/>
      <c r="M303" s="242"/>
      <c r="N303" s="169"/>
      <c r="O303" s="169"/>
      <c r="P303" s="169"/>
      <c r="Q303" s="169"/>
      <c r="R303" s="112">
        <v>1</v>
      </c>
      <c r="S303" s="112">
        <f>R303*P302</f>
        <v>30</v>
      </c>
      <c r="T303" s="20" t="s">
        <v>10</v>
      </c>
      <c r="U303" s="9"/>
      <c r="V303" s="9"/>
      <c r="W303" s="9"/>
      <c r="X303" s="9"/>
      <c r="Y303" s="9"/>
    </row>
    <row r="304" spans="9:25" x14ac:dyDescent="0.25">
      <c r="I304" s="212"/>
      <c r="J304" s="174"/>
      <c r="K304" s="174"/>
      <c r="L304" s="176">
        <v>30</v>
      </c>
      <c r="M304" s="241">
        <f t="shared" ref="M304" si="9">L304*$I$290</f>
        <v>30</v>
      </c>
      <c r="N304" s="168" t="s">
        <v>36</v>
      </c>
      <c r="O304" s="168"/>
      <c r="P304" s="168"/>
      <c r="Q304" s="168"/>
      <c r="R304" s="111">
        <v>2</v>
      </c>
      <c r="S304" s="111">
        <f>R304*M304</f>
        <v>60</v>
      </c>
      <c r="T304" s="21" t="s">
        <v>4</v>
      </c>
      <c r="U304" s="9"/>
      <c r="V304" s="9"/>
      <c r="W304" s="9"/>
      <c r="X304" s="9"/>
      <c r="Y304" s="9"/>
    </row>
    <row r="305" spans="9:25" ht="15.75" thickBot="1" x14ac:dyDescent="0.3">
      <c r="I305" s="212"/>
      <c r="J305" s="174"/>
      <c r="K305" s="174"/>
      <c r="L305" s="177"/>
      <c r="M305" s="242"/>
      <c r="N305" s="169"/>
      <c r="O305" s="169"/>
      <c r="P305" s="169"/>
      <c r="Q305" s="169"/>
      <c r="R305" s="112">
        <v>1</v>
      </c>
      <c r="S305" s="112">
        <f>R305*M304</f>
        <v>30</v>
      </c>
      <c r="T305" s="20" t="s">
        <v>14</v>
      </c>
      <c r="U305" s="9"/>
      <c r="V305" s="9"/>
      <c r="W305" s="9"/>
      <c r="X305" s="9"/>
      <c r="Y305" s="9"/>
    </row>
    <row r="306" spans="9:25" x14ac:dyDescent="0.25">
      <c r="I306" s="212"/>
      <c r="J306" s="174"/>
      <c r="K306" s="174"/>
      <c r="L306" s="247">
        <v>9</v>
      </c>
      <c r="M306" s="281">
        <f t="shared" ref="M306" si="10">L306*$I$290</f>
        <v>9</v>
      </c>
      <c r="N306" s="249" t="s">
        <v>104</v>
      </c>
      <c r="O306" s="249"/>
      <c r="P306" s="249"/>
      <c r="Q306" s="249"/>
      <c r="R306" s="124">
        <v>1</v>
      </c>
      <c r="S306" s="124">
        <f>R306*M306</f>
        <v>9</v>
      </c>
      <c r="T306" s="83" t="s">
        <v>109</v>
      </c>
      <c r="U306" s="9"/>
      <c r="V306" s="9"/>
      <c r="W306" s="9"/>
      <c r="X306" s="9"/>
      <c r="Y306" s="9"/>
    </row>
    <row r="307" spans="9:25" ht="15.75" thickBot="1" x14ac:dyDescent="0.3">
      <c r="I307" s="212"/>
      <c r="J307" s="174"/>
      <c r="K307" s="174"/>
      <c r="L307" s="248"/>
      <c r="M307" s="282"/>
      <c r="N307" s="250"/>
      <c r="O307" s="250"/>
      <c r="P307" s="250"/>
      <c r="Q307" s="250"/>
      <c r="R307" s="125">
        <v>1</v>
      </c>
      <c r="S307" s="125">
        <f>R307*M306</f>
        <v>9</v>
      </c>
      <c r="T307" s="84" t="s">
        <v>110</v>
      </c>
      <c r="U307" s="9"/>
      <c r="V307" s="9"/>
      <c r="W307" s="9"/>
      <c r="X307" s="9"/>
      <c r="Y307" s="9"/>
    </row>
    <row r="308" spans="9:25" ht="15.75" thickBot="1" x14ac:dyDescent="0.3">
      <c r="I308" s="212"/>
      <c r="J308" s="174"/>
      <c r="K308" s="174"/>
      <c r="L308" s="11">
        <v>30</v>
      </c>
      <c r="M308" s="12">
        <f>L308*I290</f>
        <v>30</v>
      </c>
      <c r="N308" s="12" t="s">
        <v>84</v>
      </c>
      <c r="O308" s="12">
        <v>1</v>
      </c>
      <c r="P308" s="12">
        <f>O308*M308</f>
        <v>30</v>
      </c>
      <c r="Q308" s="12" t="s">
        <v>52</v>
      </c>
      <c r="R308" s="12">
        <v>3</v>
      </c>
      <c r="S308" s="12">
        <f>R308*P308</f>
        <v>90</v>
      </c>
      <c r="T308" s="19" t="s">
        <v>8</v>
      </c>
      <c r="U308" s="9"/>
      <c r="V308" s="9"/>
      <c r="W308" s="9"/>
      <c r="X308" s="9"/>
      <c r="Y308" s="9"/>
    </row>
    <row r="309" spans="9:25" x14ac:dyDescent="0.25">
      <c r="I309" s="212"/>
      <c r="J309" s="174"/>
      <c r="K309" s="174"/>
      <c r="L309" s="176">
        <v>30</v>
      </c>
      <c r="M309" s="168">
        <f>L309*I290</f>
        <v>30</v>
      </c>
      <c r="N309" s="168" t="s">
        <v>36</v>
      </c>
      <c r="O309" s="168"/>
      <c r="P309" s="168"/>
      <c r="Q309" s="168"/>
      <c r="R309" s="111">
        <v>2</v>
      </c>
      <c r="S309" s="111">
        <f>R309*M309</f>
        <v>60</v>
      </c>
      <c r="T309" s="21" t="s">
        <v>4</v>
      </c>
      <c r="U309" s="9"/>
      <c r="V309" s="9"/>
      <c r="W309" s="9"/>
      <c r="X309" s="9"/>
      <c r="Y309" s="9"/>
    </row>
    <row r="310" spans="9:25" ht="15.75" thickBot="1" x14ac:dyDescent="0.3">
      <c r="I310" s="212"/>
      <c r="J310" s="174"/>
      <c r="K310" s="174"/>
      <c r="L310" s="177"/>
      <c r="M310" s="169"/>
      <c r="N310" s="169"/>
      <c r="O310" s="169"/>
      <c r="P310" s="169"/>
      <c r="Q310" s="169"/>
      <c r="R310" s="112">
        <v>1</v>
      </c>
      <c r="S310" s="112">
        <f>R310*M309</f>
        <v>30</v>
      </c>
      <c r="T310" s="20" t="s">
        <v>14</v>
      </c>
      <c r="U310" s="9"/>
      <c r="V310" s="9"/>
      <c r="W310" s="9"/>
      <c r="X310" s="9"/>
      <c r="Y310" s="9"/>
    </row>
    <row r="311" spans="9:25" ht="15.75" thickBot="1" x14ac:dyDescent="0.3">
      <c r="I311" s="213"/>
      <c r="J311" s="175"/>
      <c r="K311" s="175"/>
      <c r="L311" s="56">
        <v>30</v>
      </c>
      <c r="M311" s="57">
        <f>L311*I290</f>
        <v>30</v>
      </c>
      <c r="N311" s="57" t="s">
        <v>85</v>
      </c>
      <c r="O311" s="57"/>
      <c r="P311" s="57"/>
      <c r="Q311" s="57"/>
      <c r="R311" s="57">
        <v>3</v>
      </c>
      <c r="S311" s="57">
        <f>R311*M311</f>
        <v>90</v>
      </c>
      <c r="T311" s="58" t="s">
        <v>11</v>
      </c>
      <c r="U311" s="9"/>
      <c r="V311" s="9"/>
      <c r="W311" s="9"/>
      <c r="X311" s="9"/>
      <c r="Y311" s="9"/>
    </row>
    <row r="312" spans="9:25" ht="15.75" thickTop="1" x14ac:dyDescent="0.25">
      <c r="I312" s="211">
        <f>E18</f>
        <v>1</v>
      </c>
      <c r="J312" s="173" t="s">
        <v>81</v>
      </c>
      <c r="K312" s="173" t="s">
        <v>111</v>
      </c>
      <c r="L312" s="214">
        <v>30</v>
      </c>
      <c r="M312" s="168">
        <f>L312*$I$312</f>
        <v>30</v>
      </c>
      <c r="N312" s="210" t="s">
        <v>62</v>
      </c>
      <c r="O312" s="210"/>
      <c r="P312" s="210"/>
      <c r="Q312" s="210"/>
      <c r="R312" s="126">
        <v>2</v>
      </c>
      <c r="S312" s="126">
        <f>R312*M312</f>
        <v>60</v>
      </c>
      <c r="T312" s="13" t="s">
        <v>14</v>
      </c>
      <c r="U312" s="9"/>
      <c r="V312" s="9"/>
      <c r="W312" s="9"/>
      <c r="X312" s="9"/>
      <c r="Y312" s="9"/>
    </row>
    <row r="313" spans="9:25" ht="15.75" thickBot="1" x14ac:dyDescent="0.3">
      <c r="I313" s="212"/>
      <c r="J313" s="174"/>
      <c r="K313" s="174"/>
      <c r="L313" s="177"/>
      <c r="M313" s="169"/>
      <c r="N313" s="169"/>
      <c r="O313" s="169"/>
      <c r="P313" s="169"/>
      <c r="Q313" s="169"/>
      <c r="R313" s="112">
        <v>1</v>
      </c>
      <c r="S313" s="112">
        <f>M312</f>
        <v>30</v>
      </c>
      <c r="T313" s="20" t="s">
        <v>10</v>
      </c>
      <c r="U313" s="9"/>
      <c r="V313" s="9"/>
      <c r="W313" s="9"/>
      <c r="X313" s="9"/>
      <c r="Y313" s="9"/>
    </row>
    <row r="314" spans="9:25" x14ac:dyDescent="0.25">
      <c r="I314" s="212"/>
      <c r="J314" s="174"/>
      <c r="K314" s="174"/>
      <c r="L314" s="176">
        <v>30</v>
      </c>
      <c r="M314" s="168">
        <f>L314*$I$312</f>
        <v>30</v>
      </c>
      <c r="N314" s="168" t="s">
        <v>63</v>
      </c>
      <c r="O314" s="168">
        <v>1</v>
      </c>
      <c r="P314" s="168">
        <f>O314*M314</f>
        <v>30</v>
      </c>
      <c r="Q314" s="168" t="s">
        <v>62</v>
      </c>
      <c r="R314" s="111">
        <v>2</v>
      </c>
      <c r="S314" s="111">
        <f>R314*P314</f>
        <v>60</v>
      </c>
      <c r="T314" s="21" t="s">
        <v>14</v>
      </c>
      <c r="U314" s="9"/>
      <c r="V314" s="9"/>
      <c r="W314" s="9"/>
      <c r="X314" s="9"/>
      <c r="Y314" s="9"/>
    </row>
    <row r="315" spans="9:25" ht="15.75" thickBot="1" x14ac:dyDescent="0.3">
      <c r="I315" s="212"/>
      <c r="J315" s="174"/>
      <c r="K315" s="174"/>
      <c r="L315" s="177"/>
      <c r="M315" s="169"/>
      <c r="N315" s="169"/>
      <c r="O315" s="169"/>
      <c r="P315" s="169"/>
      <c r="Q315" s="169"/>
      <c r="R315" s="112">
        <v>1</v>
      </c>
      <c r="S315" s="112">
        <f>P314</f>
        <v>30</v>
      </c>
      <c r="T315" s="20" t="s">
        <v>10</v>
      </c>
      <c r="U315" s="9"/>
      <c r="V315" s="9"/>
      <c r="W315" s="9"/>
      <c r="X315" s="9"/>
      <c r="Y315" s="9"/>
    </row>
    <row r="316" spans="9:25" x14ac:dyDescent="0.25">
      <c r="I316" s="212"/>
      <c r="J316" s="174"/>
      <c r="K316" s="174"/>
      <c r="L316" s="176">
        <v>30</v>
      </c>
      <c r="M316" s="168">
        <f t="shared" ref="M316" si="11">L316*$I$312</f>
        <v>30</v>
      </c>
      <c r="N316" s="168" t="s">
        <v>82</v>
      </c>
      <c r="O316" s="168">
        <v>1</v>
      </c>
      <c r="P316" s="168">
        <f>O316*M316</f>
        <v>30</v>
      </c>
      <c r="Q316" s="168" t="s">
        <v>36</v>
      </c>
      <c r="R316" s="111">
        <v>2</v>
      </c>
      <c r="S316" s="111">
        <f>R316*P316</f>
        <v>60</v>
      </c>
      <c r="T316" s="21" t="s">
        <v>4</v>
      </c>
      <c r="U316" s="9"/>
      <c r="V316" s="9"/>
      <c r="W316" s="9"/>
      <c r="X316" s="9"/>
      <c r="Y316" s="9"/>
    </row>
    <row r="317" spans="9:25" ht="15.75" thickBot="1" x14ac:dyDescent="0.3">
      <c r="I317" s="212"/>
      <c r="J317" s="174"/>
      <c r="K317" s="174"/>
      <c r="L317" s="177"/>
      <c r="M317" s="169"/>
      <c r="N317" s="169"/>
      <c r="O317" s="169"/>
      <c r="P317" s="169"/>
      <c r="Q317" s="169"/>
      <c r="R317" s="112">
        <v>1</v>
      </c>
      <c r="S317" s="112">
        <f>P316</f>
        <v>30</v>
      </c>
      <c r="T317" s="20" t="s">
        <v>14</v>
      </c>
      <c r="U317" s="9"/>
      <c r="V317" s="9"/>
      <c r="W317" s="9"/>
      <c r="X317" s="9"/>
      <c r="Y317" s="9"/>
    </row>
    <row r="318" spans="9:25" x14ac:dyDescent="0.25">
      <c r="I318" s="212"/>
      <c r="J318" s="174"/>
      <c r="K318" s="174"/>
      <c r="L318" s="176">
        <v>18</v>
      </c>
      <c r="M318" s="168">
        <f t="shared" ref="M318" si="12">L318*$I$312</f>
        <v>18</v>
      </c>
      <c r="N318" s="168" t="s">
        <v>36</v>
      </c>
      <c r="O318" s="168"/>
      <c r="P318" s="168"/>
      <c r="Q318" s="168"/>
      <c r="R318" s="111">
        <v>2</v>
      </c>
      <c r="S318" s="111">
        <f>R318*M318</f>
        <v>36</v>
      </c>
      <c r="T318" s="21" t="s">
        <v>4</v>
      </c>
      <c r="U318" s="9"/>
      <c r="V318" s="9"/>
      <c r="W318" s="9"/>
      <c r="X318" s="9"/>
      <c r="Y318" s="9"/>
    </row>
    <row r="319" spans="9:25" ht="15.75" thickBot="1" x14ac:dyDescent="0.3">
      <c r="I319" s="212"/>
      <c r="J319" s="174"/>
      <c r="K319" s="174"/>
      <c r="L319" s="177"/>
      <c r="M319" s="169"/>
      <c r="N319" s="169"/>
      <c r="O319" s="169"/>
      <c r="P319" s="169"/>
      <c r="Q319" s="169"/>
      <c r="R319" s="112">
        <v>1</v>
      </c>
      <c r="S319" s="112">
        <f>M318</f>
        <v>18</v>
      </c>
      <c r="T319" s="20" t="s">
        <v>14</v>
      </c>
      <c r="U319" s="9"/>
      <c r="V319" s="9"/>
      <c r="W319" s="9"/>
      <c r="X319" s="9"/>
      <c r="Y319" s="9"/>
    </row>
    <row r="320" spans="9:25" x14ac:dyDescent="0.25">
      <c r="I320" s="212"/>
      <c r="J320" s="174"/>
      <c r="K320" s="174"/>
      <c r="L320" s="176">
        <v>30</v>
      </c>
      <c r="M320" s="168">
        <f t="shared" ref="M320" si="13">L320*$I$312</f>
        <v>30</v>
      </c>
      <c r="N320" s="168" t="s">
        <v>63</v>
      </c>
      <c r="O320" s="168">
        <v>1</v>
      </c>
      <c r="P320" s="168">
        <f>O320*M320</f>
        <v>30</v>
      </c>
      <c r="Q320" s="168" t="s">
        <v>62</v>
      </c>
      <c r="R320" s="111">
        <v>2</v>
      </c>
      <c r="S320" s="111">
        <f>R320*P320</f>
        <v>60</v>
      </c>
      <c r="T320" s="21" t="s">
        <v>14</v>
      </c>
      <c r="U320" s="9"/>
      <c r="V320" s="9"/>
      <c r="W320" s="9"/>
      <c r="X320" s="9"/>
      <c r="Y320" s="9"/>
    </row>
    <row r="321" spans="9:25" ht="15.75" thickBot="1" x14ac:dyDescent="0.3">
      <c r="I321" s="212"/>
      <c r="J321" s="174"/>
      <c r="K321" s="174"/>
      <c r="L321" s="177"/>
      <c r="M321" s="169"/>
      <c r="N321" s="169"/>
      <c r="O321" s="169"/>
      <c r="P321" s="169"/>
      <c r="Q321" s="169"/>
      <c r="R321" s="112">
        <v>1</v>
      </c>
      <c r="S321" s="112">
        <f>P320</f>
        <v>30</v>
      </c>
      <c r="T321" s="20" t="s">
        <v>10</v>
      </c>
      <c r="U321" s="9"/>
      <c r="V321" s="9"/>
      <c r="W321" s="9"/>
      <c r="X321" s="9"/>
      <c r="Y321" s="9"/>
    </row>
    <row r="322" spans="9:25" x14ac:dyDescent="0.25">
      <c r="I322" s="212"/>
      <c r="J322" s="174"/>
      <c r="K322" s="174"/>
      <c r="L322" s="176">
        <v>30</v>
      </c>
      <c r="M322" s="168">
        <f t="shared" ref="M322" si="14">L322*$I$312</f>
        <v>30</v>
      </c>
      <c r="N322" s="168" t="s">
        <v>83</v>
      </c>
      <c r="O322" s="168">
        <v>1</v>
      </c>
      <c r="P322" s="168">
        <f>O322*M322</f>
        <v>30</v>
      </c>
      <c r="Q322" s="168" t="s">
        <v>62</v>
      </c>
      <c r="R322" s="111">
        <v>2</v>
      </c>
      <c r="S322" s="111">
        <f>R322*P322</f>
        <v>60</v>
      </c>
      <c r="T322" s="21" t="s">
        <v>14</v>
      </c>
      <c r="U322" s="9"/>
      <c r="V322" s="9"/>
      <c r="W322" s="9"/>
      <c r="X322" s="9"/>
      <c r="Y322" s="9"/>
    </row>
    <row r="323" spans="9:25" ht="15.75" thickBot="1" x14ac:dyDescent="0.3">
      <c r="I323" s="212"/>
      <c r="J323" s="174"/>
      <c r="K323" s="174"/>
      <c r="L323" s="177"/>
      <c r="M323" s="169"/>
      <c r="N323" s="169"/>
      <c r="O323" s="169"/>
      <c r="P323" s="169"/>
      <c r="Q323" s="169"/>
      <c r="R323" s="112">
        <v>1</v>
      </c>
      <c r="S323" s="112">
        <f>P322</f>
        <v>30</v>
      </c>
      <c r="T323" s="20" t="s">
        <v>10</v>
      </c>
      <c r="U323" s="9"/>
      <c r="V323" s="9"/>
      <c r="W323" s="9"/>
      <c r="X323" s="9"/>
      <c r="Y323" s="9"/>
    </row>
    <row r="324" spans="9:25" x14ac:dyDescent="0.25">
      <c r="I324" s="212"/>
      <c r="J324" s="174"/>
      <c r="K324" s="174"/>
      <c r="L324" s="243">
        <v>12</v>
      </c>
      <c r="M324" s="245">
        <f>L324*I312</f>
        <v>12</v>
      </c>
      <c r="N324" s="245" t="s">
        <v>64</v>
      </c>
      <c r="O324" s="63">
        <v>2</v>
      </c>
      <c r="P324" s="132">
        <f>O324*M324</f>
        <v>24</v>
      </c>
      <c r="Q324" s="63" t="s">
        <v>53</v>
      </c>
      <c r="R324" s="132">
        <v>3</v>
      </c>
      <c r="S324" s="132">
        <f>R324*P324</f>
        <v>72</v>
      </c>
      <c r="T324" s="64" t="s">
        <v>25</v>
      </c>
      <c r="U324" s="9"/>
      <c r="V324" s="9"/>
      <c r="W324" s="9"/>
      <c r="X324" s="9"/>
      <c r="Y324" s="9"/>
    </row>
    <row r="325" spans="9:25" ht="15.75" thickBot="1" x14ac:dyDescent="0.3">
      <c r="I325" s="212"/>
      <c r="J325" s="174"/>
      <c r="K325" s="174"/>
      <c r="L325" s="244"/>
      <c r="M325" s="246"/>
      <c r="N325" s="246"/>
      <c r="O325" s="65"/>
      <c r="P325" s="65"/>
      <c r="Q325" s="65"/>
      <c r="R325" s="133">
        <v>9</v>
      </c>
      <c r="S325" s="133">
        <f>R325*M324</f>
        <v>108</v>
      </c>
      <c r="T325" s="66" t="s">
        <v>67</v>
      </c>
      <c r="U325" s="9"/>
      <c r="V325" s="9"/>
      <c r="W325" s="9"/>
      <c r="X325" s="9"/>
      <c r="Y325" s="9"/>
    </row>
    <row r="326" spans="9:25" x14ac:dyDescent="0.25">
      <c r="I326" s="212"/>
      <c r="J326" s="174"/>
      <c r="K326" s="174"/>
      <c r="L326" s="247">
        <v>9</v>
      </c>
      <c r="M326" s="249">
        <f t="shared" ref="M326" si="15">L326*$I$312</f>
        <v>9</v>
      </c>
      <c r="N326" s="249" t="s">
        <v>104</v>
      </c>
      <c r="O326" s="249"/>
      <c r="P326" s="249"/>
      <c r="Q326" s="249"/>
      <c r="R326" s="124">
        <v>1</v>
      </c>
      <c r="S326" s="124">
        <f>M326</f>
        <v>9</v>
      </c>
      <c r="T326" s="83" t="s">
        <v>109</v>
      </c>
      <c r="U326" s="9"/>
      <c r="V326" s="9"/>
      <c r="W326" s="9"/>
      <c r="X326" s="9"/>
      <c r="Y326" s="9"/>
    </row>
    <row r="327" spans="9:25" ht="15.75" thickBot="1" x14ac:dyDescent="0.3">
      <c r="I327" s="212"/>
      <c r="J327" s="174"/>
      <c r="K327" s="174"/>
      <c r="L327" s="248"/>
      <c r="M327" s="250"/>
      <c r="N327" s="250"/>
      <c r="O327" s="250"/>
      <c r="P327" s="250"/>
      <c r="Q327" s="250"/>
      <c r="R327" s="125">
        <v>1</v>
      </c>
      <c r="S327" s="125">
        <f>M326</f>
        <v>9</v>
      </c>
      <c r="T327" s="84" t="s">
        <v>110</v>
      </c>
      <c r="U327" s="9"/>
      <c r="V327" s="9"/>
      <c r="W327" s="9"/>
      <c r="X327" s="9"/>
      <c r="Y327" s="9"/>
    </row>
    <row r="328" spans="9:25" ht="15.75" thickBot="1" x14ac:dyDescent="0.3">
      <c r="I328" s="212"/>
      <c r="J328" s="174"/>
      <c r="K328" s="174"/>
      <c r="L328" s="11">
        <v>30</v>
      </c>
      <c r="M328" s="12">
        <f>L328*I312</f>
        <v>30</v>
      </c>
      <c r="N328" s="12" t="s">
        <v>84</v>
      </c>
      <c r="O328" s="12">
        <v>1</v>
      </c>
      <c r="P328" s="12">
        <f>O328*M328</f>
        <v>30</v>
      </c>
      <c r="Q328" s="12" t="s">
        <v>52</v>
      </c>
      <c r="R328" s="12">
        <v>3</v>
      </c>
      <c r="S328" s="12">
        <f>R328*P328</f>
        <v>90</v>
      </c>
      <c r="T328" s="19" t="s">
        <v>8</v>
      </c>
      <c r="U328" s="9"/>
      <c r="V328" s="9"/>
      <c r="W328" s="9"/>
      <c r="X328" s="9"/>
      <c r="Y328" s="9"/>
    </row>
    <row r="329" spans="9:25" ht="15.75" thickBot="1" x14ac:dyDescent="0.3">
      <c r="I329" s="213"/>
      <c r="J329" s="175"/>
      <c r="K329" s="175"/>
      <c r="L329" s="22">
        <v>30</v>
      </c>
      <c r="M329" s="23">
        <f>L329*I312</f>
        <v>30</v>
      </c>
      <c r="N329" s="23" t="s">
        <v>85</v>
      </c>
      <c r="O329" s="23"/>
      <c r="P329" s="23"/>
      <c r="Q329" s="23"/>
      <c r="R329" s="23">
        <v>3</v>
      </c>
      <c r="S329" s="23">
        <f>R329*M329</f>
        <v>90</v>
      </c>
      <c r="T329" s="24" t="s">
        <v>11</v>
      </c>
      <c r="U329" s="9"/>
      <c r="V329" s="9"/>
      <c r="W329" s="9"/>
      <c r="X329" s="9"/>
      <c r="Y329" s="9"/>
    </row>
    <row r="330" spans="9:25" ht="15.75" thickTop="1" x14ac:dyDescent="0.25">
      <c r="I330" s="211">
        <f>F18</f>
        <v>1</v>
      </c>
      <c r="J330" s="173" t="s">
        <v>112</v>
      </c>
      <c r="K330" s="173" t="s">
        <v>111</v>
      </c>
      <c r="L330" s="235">
        <v>12</v>
      </c>
      <c r="M330" s="237">
        <f>L330*I330</f>
        <v>12</v>
      </c>
      <c r="N330" s="237" t="s">
        <v>102</v>
      </c>
      <c r="O330" s="148">
        <v>2</v>
      </c>
      <c r="P330" s="148">
        <f>O330*M330</f>
        <v>24</v>
      </c>
      <c r="Q330" s="148" t="s">
        <v>37</v>
      </c>
      <c r="R330" s="148">
        <v>3</v>
      </c>
      <c r="S330" s="148">
        <f>R330*P330</f>
        <v>72</v>
      </c>
      <c r="T330" s="5" t="s">
        <v>49</v>
      </c>
      <c r="U330" s="9"/>
      <c r="V330" s="9"/>
      <c r="W330" s="9"/>
      <c r="X330" s="9"/>
      <c r="Y330" s="9"/>
    </row>
    <row r="331" spans="9:25" ht="15.75" thickBot="1" x14ac:dyDescent="0.3">
      <c r="I331" s="212"/>
      <c r="J331" s="174"/>
      <c r="K331" s="174"/>
      <c r="L331" s="236"/>
      <c r="M331" s="238"/>
      <c r="N331" s="238"/>
      <c r="O331" s="149"/>
      <c r="P331" s="149"/>
      <c r="Q331" s="149"/>
      <c r="R331" s="149">
        <v>9</v>
      </c>
      <c r="S331" s="149">
        <f>R331*M330</f>
        <v>108</v>
      </c>
      <c r="T331" s="68" t="s">
        <v>108</v>
      </c>
      <c r="U331" s="9"/>
      <c r="V331" s="9"/>
      <c r="W331" s="9"/>
      <c r="X331" s="9"/>
      <c r="Y331" s="9"/>
    </row>
    <row r="332" spans="9:25" ht="15.75" thickBot="1" x14ac:dyDescent="0.3">
      <c r="I332" s="212"/>
      <c r="J332" s="174"/>
      <c r="K332" s="174"/>
      <c r="L332" s="11">
        <v>21</v>
      </c>
      <c r="M332" s="12">
        <f>L332*I330</f>
        <v>21</v>
      </c>
      <c r="N332" s="12" t="s">
        <v>53</v>
      </c>
      <c r="O332" s="12"/>
      <c r="P332" s="12"/>
      <c r="Q332" s="12"/>
      <c r="R332" s="12">
        <v>3</v>
      </c>
      <c r="S332" s="12">
        <f>R332*M332</f>
        <v>63</v>
      </c>
      <c r="T332" s="19" t="s">
        <v>25</v>
      </c>
      <c r="U332" s="9"/>
      <c r="V332" s="9"/>
      <c r="W332" s="9"/>
      <c r="X332" s="9"/>
      <c r="Y332" s="9"/>
    </row>
    <row r="333" spans="9:25" ht="15.75" thickBot="1" x14ac:dyDescent="0.3">
      <c r="I333" s="212"/>
      <c r="J333" s="174"/>
      <c r="K333" s="174"/>
      <c r="L333" s="11">
        <v>21</v>
      </c>
      <c r="M333" s="12">
        <f>L333*I330</f>
        <v>21</v>
      </c>
      <c r="N333" s="12" t="s">
        <v>35</v>
      </c>
      <c r="O333" s="12">
        <v>1</v>
      </c>
      <c r="P333" s="12">
        <f>O333*M333</f>
        <v>21</v>
      </c>
      <c r="Q333" s="12" t="s">
        <v>48</v>
      </c>
      <c r="R333" s="12">
        <v>3</v>
      </c>
      <c r="S333" s="12">
        <f>R333*P333</f>
        <v>63</v>
      </c>
      <c r="T333" s="19" t="s">
        <v>14</v>
      </c>
      <c r="U333" s="9"/>
      <c r="V333" s="9"/>
      <c r="W333" s="9"/>
      <c r="X333" s="9"/>
      <c r="Y333" s="9"/>
    </row>
    <row r="334" spans="9:25" ht="15.75" thickBot="1" x14ac:dyDescent="0.3">
      <c r="I334" s="212"/>
      <c r="J334" s="174"/>
      <c r="K334" s="174"/>
      <c r="L334" s="11">
        <v>21</v>
      </c>
      <c r="M334" s="12">
        <f>L334*I330</f>
        <v>21</v>
      </c>
      <c r="N334" s="12" t="s">
        <v>61</v>
      </c>
      <c r="O334" s="12">
        <v>1</v>
      </c>
      <c r="P334" s="12">
        <f>O334*M334</f>
        <v>21</v>
      </c>
      <c r="Q334" s="12" t="s">
        <v>48</v>
      </c>
      <c r="R334" s="12">
        <v>3</v>
      </c>
      <c r="S334" s="12">
        <f>R334*P334</f>
        <v>63</v>
      </c>
      <c r="T334" s="19" t="s">
        <v>14</v>
      </c>
      <c r="U334" s="9"/>
      <c r="V334" s="9"/>
      <c r="W334" s="9"/>
      <c r="X334" s="9"/>
      <c r="Y334" s="9"/>
    </row>
    <row r="335" spans="9:25" x14ac:dyDescent="0.25">
      <c r="I335" s="212"/>
      <c r="J335" s="174"/>
      <c r="K335" s="174"/>
      <c r="L335" s="176">
        <v>21</v>
      </c>
      <c r="M335" s="168">
        <f>L335*I330</f>
        <v>21</v>
      </c>
      <c r="N335" s="168" t="s">
        <v>62</v>
      </c>
      <c r="O335" s="168"/>
      <c r="P335" s="168"/>
      <c r="Q335" s="168"/>
      <c r="R335" s="111">
        <v>2</v>
      </c>
      <c r="S335" s="111">
        <f>R335*M335</f>
        <v>42</v>
      </c>
      <c r="T335" s="21" t="s">
        <v>14</v>
      </c>
      <c r="U335" s="9"/>
      <c r="V335" s="9"/>
      <c r="W335" s="9"/>
      <c r="X335" s="9"/>
      <c r="Y335" s="9"/>
    </row>
    <row r="336" spans="9:25" ht="15.75" thickBot="1" x14ac:dyDescent="0.3">
      <c r="I336" s="212"/>
      <c r="J336" s="174"/>
      <c r="K336" s="174"/>
      <c r="L336" s="177"/>
      <c r="M336" s="169"/>
      <c r="N336" s="169"/>
      <c r="O336" s="169"/>
      <c r="P336" s="169"/>
      <c r="Q336" s="169"/>
      <c r="R336" s="112">
        <v>1</v>
      </c>
      <c r="S336" s="112">
        <f>M335</f>
        <v>21</v>
      </c>
      <c r="T336" s="20" t="s">
        <v>10</v>
      </c>
      <c r="U336" s="9"/>
      <c r="V336" s="9"/>
      <c r="W336" s="9"/>
      <c r="X336" s="9"/>
      <c r="Y336" s="9"/>
    </row>
    <row r="337" spans="9:25" x14ac:dyDescent="0.25">
      <c r="I337" s="212"/>
      <c r="J337" s="174"/>
      <c r="K337" s="174"/>
      <c r="L337" s="176">
        <v>21</v>
      </c>
      <c r="M337" s="168">
        <f>L337*I330</f>
        <v>21</v>
      </c>
      <c r="N337" s="168" t="s">
        <v>63</v>
      </c>
      <c r="O337" s="168">
        <v>1</v>
      </c>
      <c r="P337" s="168">
        <f>O337*M337</f>
        <v>21</v>
      </c>
      <c r="Q337" s="168" t="s">
        <v>62</v>
      </c>
      <c r="R337" s="111">
        <v>2</v>
      </c>
      <c r="S337" s="111">
        <f>R337*P337</f>
        <v>42</v>
      </c>
      <c r="T337" s="21" t="s">
        <v>14</v>
      </c>
      <c r="U337" s="9"/>
      <c r="V337" s="9"/>
      <c r="W337" s="9"/>
      <c r="X337" s="9"/>
      <c r="Y337" s="9"/>
    </row>
    <row r="338" spans="9:25" ht="15.75" thickBot="1" x14ac:dyDescent="0.3">
      <c r="I338" s="212"/>
      <c r="J338" s="174"/>
      <c r="K338" s="174"/>
      <c r="L338" s="177"/>
      <c r="M338" s="169"/>
      <c r="N338" s="169"/>
      <c r="O338" s="169"/>
      <c r="P338" s="169"/>
      <c r="Q338" s="169"/>
      <c r="R338" s="112">
        <v>1</v>
      </c>
      <c r="S338" s="112">
        <f>P337</f>
        <v>21</v>
      </c>
      <c r="T338" s="20" t="s">
        <v>10</v>
      </c>
      <c r="U338" s="9"/>
      <c r="V338" s="9"/>
      <c r="W338" s="9"/>
      <c r="X338" s="9"/>
      <c r="Y338" s="9"/>
    </row>
    <row r="339" spans="9:25" x14ac:dyDescent="0.25">
      <c r="I339" s="212"/>
      <c r="J339" s="174"/>
      <c r="K339" s="174"/>
      <c r="L339" s="239">
        <v>12</v>
      </c>
      <c r="M339" s="241">
        <f>L339*I330</f>
        <v>12</v>
      </c>
      <c r="N339" s="241" t="s">
        <v>64</v>
      </c>
      <c r="O339" s="16">
        <v>2</v>
      </c>
      <c r="P339" s="111">
        <f>O339*M339</f>
        <v>24</v>
      </c>
      <c r="Q339" s="16" t="s">
        <v>53</v>
      </c>
      <c r="R339" s="111">
        <v>3</v>
      </c>
      <c r="S339" s="111">
        <f>R339*P339</f>
        <v>72</v>
      </c>
      <c r="T339" s="21" t="s">
        <v>25</v>
      </c>
      <c r="U339" s="9"/>
      <c r="V339" s="9"/>
      <c r="W339" s="9"/>
      <c r="X339" s="9"/>
      <c r="Y339" s="9"/>
    </row>
    <row r="340" spans="9:25" ht="15.75" thickBot="1" x14ac:dyDescent="0.3">
      <c r="I340" s="212"/>
      <c r="J340" s="174"/>
      <c r="K340" s="174"/>
      <c r="L340" s="240"/>
      <c r="M340" s="242"/>
      <c r="N340" s="242"/>
      <c r="O340" s="43"/>
      <c r="P340" s="43"/>
      <c r="Q340" s="43"/>
      <c r="R340" s="112">
        <v>9</v>
      </c>
      <c r="S340" s="112">
        <f>R340*M339</f>
        <v>108</v>
      </c>
      <c r="T340" s="20" t="s">
        <v>67</v>
      </c>
      <c r="U340" s="9"/>
      <c r="V340" s="9"/>
      <c r="W340" s="9"/>
      <c r="X340" s="9"/>
      <c r="Y340" s="9"/>
    </row>
    <row r="341" spans="9:25" x14ac:dyDescent="0.25">
      <c r="I341" s="212"/>
      <c r="J341" s="174"/>
      <c r="K341" s="174"/>
      <c r="L341" s="176">
        <v>21</v>
      </c>
      <c r="M341" s="168">
        <f>L341*I330</f>
        <v>21</v>
      </c>
      <c r="N341" s="168" t="s">
        <v>41</v>
      </c>
      <c r="O341" s="168">
        <v>1</v>
      </c>
      <c r="P341" s="168">
        <f>O341*M341</f>
        <v>21</v>
      </c>
      <c r="Q341" s="168" t="s">
        <v>36</v>
      </c>
      <c r="R341" s="111">
        <v>2</v>
      </c>
      <c r="S341" s="111">
        <f>R341*P341</f>
        <v>42</v>
      </c>
      <c r="T341" s="21" t="s">
        <v>4</v>
      </c>
      <c r="U341" s="9"/>
      <c r="V341" s="9"/>
      <c r="W341" s="9"/>
      <c r="X341" s="9"/>
      <c r="Y341" s="9"/>
    </row>
    <row r="342" spans="9:25" ht="15.75" thickBot="1" x14ac:dyDescent="0.3">
      <c r="I342" s="212"/>
      <c r="J342" s="174"/>
      <c r="K342" s="174"/>
      <c r="L342" s="177"/>
      <c r="M342" s="169"/>
      <c r="N342" s="169"/>
      <c r="O342" s="169"/>
      <c r="P342" s="169"/>
      <c r="Q342" s="169"/>
      <c r="R342" s="112">
        <v>1</v>
      </c>
      <c r="S342" s="112">
        <f>P341</f>
        <v>21</v>
      </c>
      <c r="T342" s="20" t="s">
        <v>14</v>
      </c>
      <c r="U342" s="9"/>
      <c r="V342" s="9"/>
      <c r="W342" s="9"/>
      <c r="X342" s="9"/>
      <c r="Y342" s="9"/>
    </row>
    <row r="343" spans="9:25" x14ac:dyDescent="0.25">
      <c r="I343" s="212"/>
      <c r="J343" s="174"/>
      <c r="K343" s="174"/>
      <c r="L343" s="243">
        <v>12</v>
      </c>
      <c r="M343" s="245">
        <f>L343*I330</f>
        <v>12</v>
      </c>
      <c r="N343" s="245" t="s">
        <v>64</v>
      </c>
      <c r="O343" s="63">
        <v>2</v>
      </c>
      <c r="P343" s="132">
        <f>O343*M343</f>
        <v>24</v>
      </c>
      <c r="Q343" s="63" t="s">
        <v>53</v>
      </c>
      <c r="R343" s="132">
        <v>3</v>
      </c>
      <c r="S343" s="132">
        <f>R343*P343</f>
        <v>72</v>
      </c>
      <c r="T343" s="64" t="s">
        <v>25</v>
      </c>
      <c r="U343" s="9"/>
      <c r="V343" s="9"/>
      <c r="W343" s="9"/>
      <c r="X343" s="9"/>
      <c r="Y343" s="9"/>
    </row>
    <row r="344" spans="9:25" ht="15.75" thickBot="1" x14ac:dyDescent="0.3">
      <c r="I344" s="212"/>
      <c r="J344" s="174"/>
      <c r="K344" s="174"/>
      <c r="L344" s="244"/>
      <c r="M344" s="246"/>
      <c r="N344" s="246"/>
      <c r="O344" s="65"/>
      <c r="P344" s="65"/>
      <c r="Q344" s="65"/>
      <c r="R344" s="133">
        <v>9</v>
      </c>
      <c r="S344" s="133">
        <f>R344*M343</f>
        <v>108</v>
      </c>
      <c r="T344" s="66" t="s">
        <v>67</v>
      </c>
      <c r="U344" s="9"/>
      <c r="V344" s="9"/>
      <c r="W344" s="9"/>
      <c r="X344" s="9"/>
      <c r="Y344" s="9"/>
    </row>
    <row r="345" spans="9:25" x14ac:dyDescent="0.25">
      <c r="I345" s="212"/>
      <c r="J345" s="174"/>
      <c r="K345" s="174"/>
      <c r="L345" s="176">
        <v>18</v>
      </c>
      <c r="M345" s="168">
        <f>L345*I330</f>
        <v>18</v>
      </c>
      <c r="N345" s="168" t="s">
        <v>36</v>
      </c>
      <c r="O345" s="168"/>
      <c r="P345" s="168"/>
      <c r="Q345" s="168"/>
      <c r="R345" s="111">
        <v>2</v>
      </c>
      <c r="S345" s="111">
        <f>R345*M345</f>
        <v>36</v>
      </c>
      <c r="T345" s="21" t="s">
        <v>4</v>
      </c>
      <c r="U345" s="9"/>
      <c r="V345" s="9"/>
      <c r="W345" s="9"/>
      <c r="X345" s="9"/>
      <c r="Y345" s="9"/>
    </row>
    <row r="346" spans="9:25" ht="15.75" thickBot="1" x14ac:dyDescent="0.3">
      <c r="I346" s="212"/>
      <c r="J346" s="174"/>
      <c r="K346" s="174"/>
      <c r="L346" s="177"/>
      <c r="M346" s="169"/>
      <c r="N346" s="169"/>
      <c r="O346" s="169"/>
      <c r="P346" s="169"/>
      <c r="Q346" s="169"/>
      <c r="R346" s="112">
        <v>1</v>
      </c>
      <c r="S346" s="112">
        <f>M345</f>
        <v>18</v>
      </c>
      <c r="T346" s="20" t="s">
        <v>14</v>
      </c>
      <c r="U346" s="9"/>
      <c r="V346" s="9"/>
      <c r="W346" s="9"/>
      <c r="X346" s="9"/>
      <c r="Y346" s="9"/>
    </row>
    <row r="347" spans="9:25" x14ac:dyDescent="0.25">
      <c r="I347" s="212"/>
      <c r="J347" s="174"/>
      <c r="K347" s="174"/>
      <c r="L347" s="176">
        <v>21</v>
      </c>
      <c r="M347" s="168">
        <f>L347*I330</f>
        <v>21</v>
      </c>
      <c r="N347" s="168" t="s">
        <v>63</v>
      </c>
      <c r="O347" s="168">
        <v>1</v>
      </c>
      <c r="P347" s="168">
        <f>O347*M347</f>
        <v>21</v>
      </c>
      <c r="Q347" s="168" t="s">
        <v>62</v>
      </c>
      <c r="R347" s="111">
        <v>2</v>
      </c>
      <c r="S347" s="111">
        <f>R347*P347</f>
        <v>42</v>
      </c>
      <c r="T347" s="21" t="s">
        <v>14</v>
      </c>
      <c r="U347" s="9"/>
      <c r="V347" s="9"/>
      <c r="W347" s="9"/>
      <c r="X347" s="9"/>
      <c r="Y347" s="9"/>
    </row>
    <row r="348" spans="9:25" ht="15.75" thickBot="1" x14ac:dyDescent="0.3">
      <c r="I348" s="212"/>
      <c r="J348" s="174"/>
      <c r="K348" s="174"/>
      <c r="L348" s="177"/>
      <c r="M348" s="169"/>
      <c r="N348" s="169"/>
      <c r="O348" s="169"/>
      <c r="P348" s="169"/>
      <c r="Q348" s="169"/>
      <c r="R348" s="112">
        <v>1</v>
      </c>
      <c r="S348" s="112">
        <f>P347</f>
        <v>21</v>
      </c>
      <c r="T348" s="20" t="s">
        <v>10</v>
      </c>
      <c r="U348" s="9"/>
      <c r="V348" s="9"/>
      <c r="W348" s="9"/>
      <c r="X348" s="9"/>
      <c r="Y348" s="9"/>
    </row>
    <row r="349" spans="9:25" ht="15.75" thickBot="1" x14ac:dyDescent="0.3">
      <c r="I349" s="213"/>
      <c r="J349" s="175"/>
      <c r="K349" s="175"/>
      <c r="L349" s="72">
        <v>21</v>
      </c>
      <c r="M349" s="73">
        <f>L349*I330</f>
        <v>21</v>
      </c>
      <c r="N349" s="73" t="s">
        <v>40</v>
      </c>
      <c r="O349" s="73"/>
      <c r="P349" s="73"/>
      <c r="Q349" s="73"/>
      <c r="R349" s="73">
        <v>4</v>
      </c>
      <c r="S349" s="73">
        <f>R349*M349</f>
        <v>84</v>
      </c>
      <c r="T349" s="74" t="s">
        <v>6</v>
      </c>
      <c r="U349" s="9"/>
      <c r="V349" s="9"/>
      <c r="W349" s="9"/>
      <c r="X349" s="9"/>
      <c r="Y349" s="9"/>
    </row>
    <row r="350" spans="9:25" ht="16.5" thickTop="1" thickBot="1" x14ac:dyDescent="0.3">
      <c r="I350" s="211">
        <f>C21</f>
        <v>1</v>
      </c>
      <c r="J350" s="173" t="s">
        <v>32</v>
      </c>
      <c r="K350" s="173" t="s">
        <v>113</v>
      </c>
      <c r="L350" s="80">
        <v>24</v>
      </c>
      <c r="M350" s="81">
        <f>L350*I350</f>
        <v>24</v>
      </c>
      <c r="N350" s="81" t="s">
        <v>114</v>
      </c>
      <c r="O350" s="81"/>
      <c r="P350" s="81"/>
      <c r="Q350" s="81"/>
      <c r="R350" s="81">
        <v>3</v>
      </c>
      <c r="S350" s="81">
        <f>R350*M350</f>
        <v>72</v>
      </c>
      <c r="T350" s="82" t="s">
        <v>20</v>
      </c>
      <c r="U350" s="9"/>
      <c r="V350" s="9"/>
      <c r="W350" s="9"/>
      <c r="X350" s="9"/>
      <c r="Y350" s="9"/>
    </row>
    <row r="351" spans="9:25" ht="15.75" thickBot="1" x14ac:dyDescent="0.3">
      <c r="I351" s="212"/>
      <c r="J351" s="174"/>
      <c r="K351" s="174"/>
      <c r="L351" s="11">
        <v>24</v>
      </c>
      <c r="M351" s="12">
        <f>L351*I350</f>
        <v>24</v>
      </c>
      <c r="N351" s="12" t="s">
        <v>37</v>
      </c>
      <c r="O351" s="12"/>
      <c r="P351" s="12"/>
      <c r="Q351" s="12"/>
      <c r="R351" s="12">
        <v>3</v>
      </c>
      <c r="S351" s="12">
        <f>R351*M351</f>
        <v>72</v>
      </c>
      <c r="T351" s="19" t="s">
        <v>49</v>
      </c>
      <c r="U351" s="9"/>
      <c r="V351" s="9"/>
      <c r="W351" s="9"/>
      <c r="X351" s="9"/>
      <c r="Y351" s="9"/>
    </row>
    <row r="352" spans="9:25" x14ac:dyDescent="0.25">
      <c r="I352" s="212"/>
      <c r="J352" s="174"/>
      <c r="K352" s="174"/>
      <c r="L352" s="176">
        <v>24</v>
      </c>
      <c r="M352" s="168">
        <f>L352*I350</f>
        <v>24</v>
      </c>
      <c r="N352" s="168" t="s">
        <v>115</v>
      </c>
      <c r="O352" s="168">
        <v>1</v>
      </c>
      <c r="P352" s="168">
        <f>O352*M352</f>
        <v>24</v>
      </c>
      <c r="Q352" s="168" t="s">
        <v>62</v>
      </c>
      <c r="R352" s="111">
        <v>2</v>
      </c>
      <c r="S352" s="111">
        <f>R352*P352</f>
        <v>48</v>
      </c>
      <c r="T352" s="21" t="s">
        <v>14</v>
      </c>
      <c r="U352" s="9"/>
      <c r="V352" s="9"/>
      <c r="W352" s="9"/>
      <c r="X352" s="9"/>
      <c r="Y352" s="9"/>
    </row>
    <row r="353" spans="9:25" ht="15.75" thickBot="1" x14ac:dyDescent="0.3">
      <c r="I353" s="212"/>
      <c r="J353" s="174"/>
      <c r="K353" s="174"/>
      <c r="L353" s="177"/>
      <c r="M353" s="169"/>
      <c r="N353" s="169"/>
      <c r="O353" s="169"/>
      <c r="P353" s="169"/>
      <c r="Q353" s="169"/>
      <c r="R353" s="112">
        <v>1</v>
      </c>
      <c r="S353" s="112">
        <f>P352</f>
        <v>24</v>
      </c>
      <c r="T353" s="20" t="s">
        <v>10</v>
      </c>
      <c r="U353" s="9"/>
      <c r="V353" s="9"/>
      <c r="W353" s="9"/>
      <c r="X353" s="9"/>
      <c r="Y353" s="9"/>
    </row>
    <row r="354" spans="9:25" x14ac:dyDescent="0.25">
      <c r="I354" s="212"/>
      <c r="J354" s="174"/>
      <c r="K354" s="174"/>
      <c r="L354" s="230">
        <v>9</v>
      </c>
      <c r="M354" s="227">
        <f>L354*I350</f>
        <v>9</v>
      </c>
      <c r="N354" s="227" t="s">
        <v>100</v>
      </c>
      <c r="O354" s="227"/>
      <c r="P354" s="227"/>
      <c r="Q354" s="227"/>
      <c r="R354" s="120">
        <v>3</v>
      </c>
      <c r="S354" s="120">
        <f>R354*M354</f>
        <v>27</v>
      </c>
      <c r="T354" s="25" t="s">
        <v>105</v>
      </c>
      <c r="U354" s="9"/>
      <c r="V354" s="9"/>
      <c r="W354" s="9"/>
      <c r="X354" s="9"/>
      <c r="Y354" s="9"/>
    </row>
    <row r="355" spans="9:25" x14ac:dyDescent="0.25">
      <c r="I355" s="212"/>
      <c r="J355" s="174"/>
      <c r="K355" s="174"/>
      <c r="L355" s="231"/>
      <c r="M355" s="228"/>
      <c r="N355" s="228"/>
      <c r="O355" s="228"/>
      <c r="P355" s="228"/>
      <c r="Q355" s="228"/>
      <c r="R355" s="121">
        <v>9</v>
      </c>
      <c r="S355" s="121">
        <f>R355*M354</f>
        <v>81</v>
      </c>
      <c r="T355" s="6" t="s">
        <v>67</v>
      </c>
      <c r="U355" s="9"/>
      <c r="V355" s="9"/>
      <c r="W355" s="9"/>
      <c r="X355" s="9"/>
      <c r="Y355" s="9"/>
    </row>
    <row r="356" spans="9:25" ht="15.75" thickBot="1" x14ac:dyDescent="0.3">
      <c r="I356" s="212"/>
      <c r="J356" s="174"/>
      <c r="K356" s="174"/>
      <c r="L356" s="232"/>
      <c r="M356" s="229"/>
      <c r="N356" s="229"/>
      <c r="O356" s="229"/>
      <c r="P356" s="229"/>
      <c r="Q356" s="229"/>
      <c r="R356" s="147">
        <v>3</v>
      </c>
      <c r="S356" s="147">
        <f>R356*M354</f>
        <v>27</v>
      </c>
      <c r="T356" s="26" t="s">
        <v>4</v>
      </c>
      <c r="U356" s="9"/>
      <c r="V356" s="9"/>
      <c r="W356" s="9"/>
      <c r="X356" s="9"/>
      <c r="Y356" s="9"/>
    </row>
    <row r="357" spans="9:25" x14ac:dyDescent="0.25">
      <c r="I357" s="212"/>
      <c r="J357" s="174"/>
      <c r="K357" s="174"/>
      <c r="L357" s="247">
        <v>24</v>
      </c>
      <c r="M357" s="249">
        <f>L357*I350</f>
        <v>24</v>
      </c>
      <c r="N357" s="249" t="s">
        <v>104</v>
      </c>
      <c r="O357" s="249"/>
      <c r="P357" s="249"/>
      <c r="Q357" s="249"/>
      <c r="R357" s="124">
        <v>1</v>
      </c>
      <c r="S357" s="124">
        <f>M357</f>
        <v>24</v>
      </c>
      <c r="T357" s="83" t="s">
        <v>109</v>
      </c>
      <c r="U357" s="9"/>
      <c r="V357" s="9"/>
      <c r="W357" s="9"/>
      <c r="X357" s="9"/>
      <c r="Y357" s="9"/>
    </row>
    <row r="358" spans="9:25" ht="15.75" thickBot="1" x14ac:dyDescent="0.3">
      <c r="I358" s="212"/>
      <c r="J358" s="174"/>
      <c r="K358" s="174"/>
      <c r="L358" s="248"/>
      <c r="M358" s="250"/>
      <c r="N358" s="250"/>
      <c r="O358" s="250"/>
      <c r="P358" s="250"/>
      <c r="Q358" s="250"/>
      <c r="R358" s="125">
        <v>1</v>
      </c>
      <c r="S358" s="125">
        <f>M357</f>
        <v>24</v>
      </c>
      <c r="T358" s="84" t="s">
        <v>110</v>
      </c>
      <c r="U358" s="9"/>
      <c r="V358" s="9"/>
      <c r="W358" s="9"/>
      <c r="X358" s="9"/>
      <c r="Y358" s="9"/>
    </row>
    <row r="359" spans="9:25" ht="15.75" thickBot="1" x14ac:dyDescent="0.3">
      <c r="I359" s="212"/>
      <c r="J359" s="174"/>
      <c r="K359" s="174"/>
      <c r="L359" s="11">
        <v>24</v>
      </c>
      <c r="M359" s="12">
        <f>L359*I350</f>
        <v>24</v>
      </c>
      <c r="N359" s="12" t="s">
        <v>61</v>
      </c>
      <c r="O359" s="12">
        <v>1</v>
      </c>
      <c r="P359" s="12">
        <f>O359*M359</f>
        <v>24</v>
      </c>
      <c r="Q359" s="12" t="s">
        <v>48</v>
      </c>
      <c r="R359" s="12">
        <v>3</v>
      </c>
      <c r="S359" s="12">
        <f>R359*P359</f>
        <v>72</v>
      </c>
      <c r="T359" s="19" t="s">
        <v>14</v>
      </c>
      <c r="U359" s="9"/>
      <c r="V359" s="9"/>
      <c r="W359" s="9"/>
      <c r="X359" s="9"/>
      <c r="Y359" s="9"/>
    </row>
    <row r="360" spans="9:25" x14ac:dyDescent="0.25">
      <c r="I360" s="212"/>
      <c r="J360" s="174"/>
      <c r="K360" s="174"/>
      <c r="L360" s="176">
        <v>24</v>
      </c>
      <c r="M360" s="168">
        <f>L360*I350</f>
        <v>24</v>
      </c>
      <c r="N360" s="168" t="s">
        <v>116</v>
      </c>
      <c r="O360" s="168">
        <v>2</v>
      </c>
      <c r="P360" s="168">
        <f>O360*M360</f>
        <v>48</v>
      </c>
      <c r="Q360" s="168" t="s">
        <v>62</v>
      </c>
      <c r="R360" s="111">
        <v>2</v>
      </c>
      <c r="S360" s="111">
        <f>R360*P360</f>
        <v>96</v>
      </c>
      <c r="T360" s="21" t="s">
        <v>14</v>
      </c>
      <c r="U360" s="9"/>
      <c r="V360" s="9"/>
      <c r="W360" s="9"/>
      <c r="X360" s="9"/>
      <c r="Y360" s="9"/>
    </row>
    <row r="361" spans="9:25" ht="15.75" thickBot="1" x14ac:dyDescent="0.3">
      <c r="I361" s="212"/>
      <c r="J361" s="174"/>
      <c r="K361" s="174"/>
      <c r="L361" s="177"/>
      <c r="M361" s="169"/>
      <c r="N361" s="169"/>
      <c r="O361" s="169"/>
      <c r="P361" s="169"/>
      <c r="Q361" s="169"/>
      <c r="R361" s="112">
        <v>1</v>
      </c>
      <c r="S361" s="112">
        <f>P360</f>
        <v>48</v>
      </c>
      <c r="T361" s="20" t="s">
        <v>10</v>
      </c>
      <c r="U361" s="9"/>
      <c r="V361" s="9"/>
      <c r="W361" s="9"/>
      <c r="X361" s="9"/>
      <c r="Y361" s="9"/>
    </row>
    <row r="362" spans="9:25" ht="15.75" thickBot="1" x14ac:dyDescent="0.3">
      <c r="I362" s="212"/>
      <c r="J362" s="174"/>
      <c r="K362" s="174"/>
      <c r="L362" s="11">
        <v>24</v>
      </c>
      <c r="M362" s="12">
        <f>L362*I350</f>
        <v>24</v>
      </c>
      <c r="N362" s="12" t="s">
        <v>40</v>
      </c>
      <c r="O362" s="12"/>
      <c r="P362" s="12"/>
      <c r="Q362" s="12"/>
      <c r="R362" s="12">
        <v>4</v>
      </c>
      <c r="S362" s="12">
        <f>R362*M362</f>
        <v>96</v>
      </c>
      <c r="T362" s="19" t="s">
        <v>6</v>
      </c>
      <c r="U362" s="9"/>
      <c r="V362" s="9"/>
      <c r="W362" s="9"/>
      <c r="X362" s="9"/>
      <c r="Y362" s="9"/>
    </row>
    <row r="363" spans="9:25" x14ac:dyDescent="0.25">
      <c r="I363" s="212"/>
      <c r="J363" s="174"/>
      <c r="K363" s="174"/>
      <c r="L363" s="176">
        <v>24</v>
      </c>
      <c r="M363" s="168">
        <f>L363*I350</f>
        <v>24</v>
      </c>
      <c r="N363" s="168" t="s">
        <v>41</v>
      </c>
      <c r="O363" s="168">
        <v>1</v>
      </c>
      <c r="P363" s="168">
        <f>O363*M363</f>
        <v>24</v>
      </c>
      <c r="Q363" s="168" t="s">
        <v>36</v>
      </c>
      <c r="R363" s="111">
        <v>2</v>
      </c>
      <c r="S363" s="111">
        <f>R363*P363</f>
        <v>48</v>
      </c>
      <c r="T363" s="21" t="s">
        <v>4</v>
      </c>
      <c r="U363" s="9"/>
      <c r="V363" s="9"/>
      <c r="W363" s="9"/>
      <c r="X363" s="9"/>
      <c r="Y363" s="9"/>
    </row>
    <row r="364" spans="9:25" ht="15.75" thickBot="1" x14ac:dyDescent="0.3">
      <c r="I364" s="212"/>
      <c r="J364" s="174"/>
      <c r="K364" s="174"/>
      <c r="L364" s="177"/>
      <c r="M364" s="169"/>
      <c r="N364" s="169"/>
      <c r="O364" s="169"/>
      <c r="P364" s="169"/>
      <c r="Q364" s="169"/>
      <c r="R364" s="112">
        <v>1</v>
      </c>
      <c r="S364" s="112">
        <f>P363</f>
        <v>24</v>
      </c>
      <c r="T364" s="20" t="s">
        <v>14</v>
      </c>
      <c r="U364" s="9"/>
      <c r="V364" s="9"/>
      <c r="W364" s="9"/>
      <c r="X364" s="9"/>
      <c r="Y364" s="9"/>
    </row>
    <row r="365" spans="9:25" x14ac:dyDescent="0.25">
      <c r="I365" s="212"/>
      <c r="J365" s="174"/>
      <c r="K365" s="174"/>
      <c r="L365" s="176">
        <v>24</v>
      </c>
      <c r="M365" s="168">
        <f>L365*I350</f>
        <v>24</v>
      </c>
      <c r="N365" s="168" t="s">
        <v>36</v>
      </c>
      <c r="O365" s="168"/>
      <c r="P365" s="168"/>
      <c r="Q365" s="168"/>
      <c r="R365" s="111">
        <v>2</v>
      </c>
      <c r="S365" s="111">
        <f>R365*M365</f>
        <v>48</v>
      </c>
      <c r="T365" s="21" t="s">
        <v>4</v>
      </c>
      <c r="U365" s="9"/>
      <c r="V365" s="9"/>
      <c r="W365" s="9"/>
      <c r="X365" s="9"/>
      <c r="Y365" s="9"/>
    </row>
    <row r="366" spans="9:25" ht="15.75" thickBot="1" x14ac:dyDescent="0.3">
      <c r="I366" s="212"/>
      <c r="J366" s="174"/>
      <c r="K366" s="174"/>
      <c r="L366" s="177"/>
      <c r="M366" s="169"/>
      <c r="N366" s="169"/>
      <c r="O366" s="169"/>
      <c r="P366" s="169"/>
      <c r="Q366" s="169"/>
      <c r="R366" s="112">
        <v>1</v>
      </c>
      <c r="S366" s="112">
        <f>M365</f>
        <v>24</v>
      </c>
      <c r="T366" s="20" t="s">
        <v>14</v>
      </c>
      <c r="U366" s="9"/>
      <c r="V366" s="9"/>
      <c r="W366" s="9"/>
      <c r="X366" s="9"/>
      <c r="Y366" s="9"/>
    </row>
    <row r="367" spans="9:25" x14ac:dyDescent="0.25">
      <c r="I367" s="212"/>
      <c r="J367" s="174"/>
      <c r="K367" s="174"/>
      <c r="L367" s="221">
        <v>24</v>
      </c>
      <c r="M367" s="224">
        <f>L367*I350</f>
        <v>24</v>
      </c>
      <c r="N367" s="224" t="s">
        <v>90</v>
      </c>
      <c r="O367" s="224"/>
      <c r="P367" s="224"/>
      <c r="Q367" s="224"/>
      <c r="R367" s="113">
        <v>1</v>
      </c>
      <c r="S367" s="113">
        <f>M367</f>
        <v>24</v>
      </c>
      <c r="T367" s="41" t="s">
        <v>91</v>
      </c>
      <c r="U367" s="9"/>
      <c r="V367" s="9"/>
      <c r="W367" s="9"/>
      <c r="X367" s="9"/>
      <c r="Y367" s="9"/>
    </row>
    <row r="368" spans="9:25" ht="15.75" thickBot="1" x14ac:dyDescent="0.3">
      <c r="I368" s="212"/>
      <c r="J368" s="174"/>
      <c r="K368" s="174"/>
      <c r="L368" s="223"/>
      <c r="M368" s="226"/>
      <c r="N368" s="226"/>
      <c r="O368" s="226"/>
      <c r="P368" s="226"/>
      <c r="Q368" s="226"/>
      <c r="R368" s="115">
        <v>1</v>
      </c>
      <c r="S368" s="115">
        <f>M367</f>
        <v>24</v>
      </c>
      <c r="T368" s="42" t="s">
        <v>7</v>
      </c>
      <c r="U368" s="9"/>
      <c r="V368" s="9"/>
      <c r="W368" s="9"/>
      <c r="X368" s="9"/>
      <c r="Y368" s="9"/>
    </row>
    <row r="369" spans="9:25" x14ac:dyDescent="0.25">
      <c r="I369" s="212"/>
      <c r="J369" s="174"/>
      <c r="K369" s="174"/>
      <c r="L369" s="255">
        <v>9</v>
      </c>
      <c r="M369" s="257">
        <f>L369*I350</f>
        <v>9</v>
      </c>
      <c r="N369" s="257" t="s">
        <v>92</v>
      </c>
      <c r="O369" s="257"/>
      <c r="P369" s="257"/>
      <c r="Q369" s="257"/>
      <c r="R369" s="154">
        <v>3</v>
      </c>
      <c r="S369" s="154">
        <f>R369*M369</f>
        <v>27</v>
      </c>
      <c r="T369" s="27" t="s">
        <v>93</v>
      </c>
      <c r="U369" s="9"/>
      <c r="V369" s="9"/>
      <c r="W369" s="9"/>
      <c r="X369" s="9"/>
      <c r="Y369" s="9"/>
    </row>
    <row r="370" spans="9:25" ht="15.75" thickBot="1" x14ac:dyDescent="0.3">
      <c r="I370" s="212"/>
      <c r="J370" s="174"/>
      <c r="K370" s="174"/>
      <c r="L370" s="256"/>
      <c r="M370" s="258"/>
      <c r="N370" s="258"/>
      <c r="O370" s="258"/>
      <c r="P370" s="258"/>
      <c r="Q370" s="258"/>
      <c r="R370" s="155">
        <v>9</v>
      </c>
      <c r="S370" s="155">
        <f>R370*M369</f>
        <v>81</v>
      </c>
      <c r="T370" s="28" t="s">
        <v>74</v>
      </c>
      <c r="U370" s="9"/>
      <c r="V370" s="9"/>
      <c r="W370" s="9"/>
      <c r="X370" s="9"/>
      <c r="Y370" s="9"/>
    </row>
    <row r="371" spans="9:25" x14ac:dyDescent="0.25">
      <c r="I371" s="212"/>
      <c r="J371" s="174"/>
      <c r="K371" s="174"/>
      <c r="L371" s="190">
        <v>18</v>
      </c>
      <c r="M371" s="193">
        <f>L371*I350</f>
        <v>18</v>
      </c>
      <c r="N371" s="193" t="s">
        <v>45</v>
      </c>
      <c r="O371" s="128"/>
      <c r="P371" s="128"/>
      <c r="Q371" s="128"/>
      <c r="R371" s="128">
        <v>2</v>
      </c>
      <c r="S371" s="128">
        <f>R371*M371</f>
        <v>36</v>
      </c>
      <c r="T371" s="98" t="s">
        <v>5</v>
      </c>
      <c r="U371" s="9"/>
      <c r="V371" s="9"/>
      <c r="W371" s="9"/>
      <c r="X371" s="9"/>
      <c r="Y371" s="9"/>
    </row>
    <row r="372" spans="9:25" x14ac:dyDescent="0.25">
      <c r="I372" s="212"/>
      <c r="J372" s="174"/>
      <c r="K372" s="174"/>
      <c r="L372" s="191"/>
      <c r="M372" s="194"/>
      <c r="N372" s="194"/>
      <c r="O372" s="127">
        <v>1</v>
      </c>
      <c r="P372" s="127">
        <f>O372*M371</f>
        <v>18</v>
      </c>
      <c r="Q372" s="127" t="s">
        <v>58</v>
      </c>
      <c r="R372" s="127">
        <v>2</v>
      </c>
      <c r="S372" s="127">
        <f>R372*P372</f>
        <v>36</v>
      </c>
      <c r="T372" s="99" t="s">
        <v>21</v>
      </c>
      <c r="U372" s="9"/>
      <c r="V372" s="9"/>
      <c r="W372" s="9"/>
      <c r="X372" s="9"/>
      <c r="Y372" s="9"/>
    </row>
    <row r="373" spans="9:25" ht="15.75" thickBot="1" x14ac:dyDescent="0.3">
      <c r="I373" s="212"/>
      <c r="J373" s="174"/>
      <c r="K373" s="174"/>
      <c r="L373" s="192"/>
      <c r="M373" s="195"/>
      <c r="N373" s="195"/>
      <c r="O373" s="129"/>
      <c r="P373" s="129"/>
      <c r="Q373" s="129"/>
      <c r="R373" s="129">
        <v>1</v>
      </c>
      <c r="S373" s="129">
        <f>M371</f>
        <v>18</v>
      </c>
      <c r="T373" s="100" t="s">
        <v>59</v>
      </c>
      <c r="U373" s="9"/>
      <c r="V373" s="9"/>
      <c r="W373" s="9"/>
      <c r="X373" s="9"/>
      <c r="Y373" s="9"/>
    </row>
    <row r="374" spans="9:25" x14ac:dyDescent="0.25">
      <c r="I374" s="212"/>
      <c r="J374" s="174"/>
      <c r="K374" s="174"/>
      <c r="L374" s="251">
        <v>9</v>
      </c>
      <c r="M374" s="253">
        <f>L374*I350</f>
        <v>9</v>
      </c>
      <c r="N374" s="253" t="s">
        <v>94</v>
      </c>
      <c r="O374" s="253"/>
      <c r="P374" s="253"/>
      <c r="Q374" s="253"/>
      <c r="R374" s="130">
        <v>3</v>
      </c>
      <c r="S374" s="130">
        <f>R374*M374</f>
        <v>27</v>
      </c>
      <c r="T374" s="55" t="s">
        <v>2</v>
      </c>
      <c r="U374" s="9"/>
      <c r="V374" s="9"/>
      <c r="W374" s="9"/>
      <c r="X374" s="9"/>
      <c r="Y374" s="9"/>
    </row>
    <row r="375" spans="9:25" ht="15.75" thickBot="1" x14ac:dyDescent="0.3">
      <c r="I375" s="213"/>
      <c r="J375" s="175"/>
      <c r="K375" s="175"/>
      <c r="L375" s="252"/>
      <c r="M375" s="254"/>
      <c r="N375" s="254"/>
      <c r="O375" s="254"/>
      <c r="P375" s="254"/>
      <c r="Q375" s="254"/>
      <c r="R375" s="131">
        <v>2</v>
      </c>
      <c r="S375" s="131">
        <f>R375*M374</f>
        <v>18</v>
      </c>
      <c r="T375" s="15" t="s">
        <v>3</v>
      </c>
      <c r="U375" s="9"/>
      <c r="V375" s="9"/>
      <c r="W375" s="9"/>
      <c r="X375" s="9"/>
      <c r="Y375" s="9"/>
    </row>
    <row r="376" spans="9:25" ht="15.75" thickTop="1" x14ac:dyDescent="0.25">
      <c r="I376" s="211">
        <f>D21</f>
        <v>1</v>
      </c>
      <c r="J376" s="173" t="s">
        <v>121</v>
      </c>
      <c r="K376" s="173" t="s">
        <v>113</v>
      </c>
      <c r="L376" s="214">
        <v>24</v>
      </c>
      <c r="M376" s="168">
        <f>L376*$I$376</f>
        <v>24</v>
      </c>
      <c r="N376" s="210" t="s">
        <v>63</v>
      </c>
      <c r="O376" s="210">
        <v>1</v>
      </c>
      <c r="P376" s="210">
        <f>O376*M376</f>
        <v>24</v>
      </c>
      <c r="Q376" s="210" t="s">
        <v>62</v>
      </c>
      <c r="R376" s="126">
        <v>2</v>
      </c>
      <c r="S376" s="126">
        <f>R376*P376</f>
        <v>48</v>
      </c>
      <c r="T376" s="13" t="s">
        <v>14</v>
      </c>
      <c r="U376" s="9"/>
      <c r="V376" s="9"/>
      <c r="W376" s="9"/>
      <c r="X376" s="9"/>
      <c r="Y376" s="9"/>
    </row>
    <row r="377" spans="9:25" ht="15.75" thickBot="1" x14ac:dyDescent="0.3">
      <c r="I377" s="212"/>
      <c r="J377" s="174"/>
      <c r="K377" s="174"/>
      <c r="L377" s="177"/>
      <c r="M377" s="169"/>
      <c r="N377" s="169"/>
      <c r="O377" s="169"/>
      <c r="P377" s="169"/>
      <c r="Q377" s="169"/>
      <c r="R377" s="112">
        <v>1</v>
      </c>
      <c r="S377" s="112">
        <f>P376</f>
        <v>24</v>
      </c>
      <c r="T377" s="20" t="s">
        <v>10</v>
      </c>
      <c r="U377" s="9"/>
      <c r="V377" s="9"/>
      <c r="W377" s="9"/>
      <c r="X377" s="9"/>
      <c r="Y377" s="9"/>
    </row>
    <row r="378" spans="9:25" x14ac:dyDescent="0.25">
      <c r="I378" s="212"/>
      <c r="J378" s="174"/>
      <c r="K378" s="174"/>
      <c r="L378" s="176">
        <v>24</v>
      </c>
      <c r="M378" s="168">
        <f>L378*$I$376</f>
        <v>24</v>
      </c>
      <c r="N378" s="168" t="s">
        <v>36</v>
      </c>
      <c r="O378" s="168"/>
      <c r="P378" s="168"/>
      <c r="Q378" s="168"/>
      <c r="R378" s="111">
        <v>2</v>
      </c>
      <c r="S378" s="111">
        <f>R378*M378</f>
        <v>48</v>
      </c>
      <c r="T378" s="21" t="s">
        <v>4</v>
      </c>
      <c r="U378" s="9"/>
      <c r="V378" s="9"/>
      <c r="W378" s="9"/>
      <c r="X378" s="9"/>
      <c r="Y378" s="9"/>
    </row>
    <row r="379" spans="9:25" ht="15.75" thickBot="1" x14ac:dyDescent="0.3">
      <c r="I379" s="212"/>
      <c r="J379" s="174"/>
      <c r="K379" s="174"/>
      <c r="L379" s="177"/>
      <c r="M379" s="169"/>
      <c r="N379" s="169"/>
      <c r="O379" s="169"/>
      <c r="P379" s="169"/>
      <c r="Q379" s="169"/>
      <c r="R379" s="112">
        <v>1</v>
      </c>
      <c r="S379" s="112">
        <f>M378</f>
        <v>24</v>
      </c>
      <c r="T379" s="20" t="s">
        <v>14</v>
      </c>
      <c r="U379" s="9"/>
      <c r="V379" s="9"/>
      <c r="W379" s="9"/>
      <c r="X379" s="9"/>
      <c r="Y379" s="9"/>
    </row>
    <row r="380" spans="9:25" x14ac:dyDescent="0.25">
      <c r="I380" s="212"/>
      <c r="J380" s="174"/>
      <c r="K380" s="174"/>
      <c r="L380" s="176">
        <v>24</v>
      </c>
      <c r="M380" s="168">
        <f>L380*$I$376</f>
        <v>24</v>
      </c>
      <c r="N380" s="168" t="s">
        <v>62</v>
      </c>
      <c r="O380" s="168"/>
      <c r="P380" s="168"/>
      <c r="Q380" s="168"/>
      <c r="R380" s="111">
        <v>2</v>
      </c>
      <c r="S380" s="111">
        <f>R380*M380</f>
        <v>48</v>
      </c>
      <c r="T380" s="21" t="s">
        <v>14</v>
      </c>
      <c r="U380" s="9"/>
      <c r="V380" s="9"/>
      <c r="W380" s="9"/>
      <c r="X380" s="9"/>
      <c r="Y380" s="9"/>
    </row>
    <row r="381" spans="9:25" ht="15.75" thickBot="1" x14ac:dyDescent="0.3">
      <c r="I381" s="212"/>
      <c r="J381" s="174"/>
      <c r="K381" s="174"/>
      <c r="L381" s="177"/>
      <c r="M381" s="169"/>
      <c r="N381" s="169"/>
      <c r="O381" s="169"/>
      <c r="P381" s="169"/>
      <c r="Q381" s="169"/>
      <c r="R381" s="112">
        <v>1</v>
      </c>
      <c r="S381" s="112">
        <f>M380</f>
        <v>24</v>
      </c>
      <c r="T381" s="20" t="s">
        <v>10</v>
      </c>
      <c r="U381" s="9"/>
      <c r="V381" s="9"/>
      <c r="W381" s="9"/>
      <c r="X381" s="9"/>
      <c r="Y381" s="9"/>
    </row>
    <row r="382" spans="9:25" x14ac:dyDescent="0.25">
      <c r="I382" s="212"/>
      <c r="J382" s="174"/>
      <c r="K382" s="174"/>
      <c r="L382" s="230">
        <v>9</v>
      </c>
      <c r="M382" s="227">
        <f>L382*I376</f>
        <v>9</v>
      </c>
      <c r="N382" s="227" t="s">
        <v>100</v>
      </c>
      <c r="O382" s="227"/>
      <c r="P382" s="227"/>
      <c r="Q382" s="227"/>
      <c r="R382" s="120">
        <v>3</v>
      </c>
      <c r="S382" s="120">
        <f>R382*M382</f>
        <v>27</v>
      </c>
      <c r="T382" s="25" t="s">
        <v>105</v>
      </c>
      <c r="U382" s="9"/>
      <c r="V382" s="9"/>
      <c r="W382" s="9"/>
      <c r="X382" s="9"/>
      <c r="Y382" s="9"/>
    </row>
    <row r="383" spans="9:25" x14ac:dyDescent="0.25">
      <c r="I383" s="212"/>
      <c r="J383" s="174"/>
      <c r="K383" s="174"/>
      <c r="L383" s="231"/>
      <c r="M383" s="228"/>
      <c r="N383" s="228"/>
      <c r="O383" s="228"/>
      <c r="P383" s="228"/>
      <c r="Q383" s="228"/>
      <c r="R383" s="121">
        <v>9</v>
      </c>
      <c r="S383" s="121">
        <f>R383*M382</f>
        <v>81</v>
      </c>
      <c r="T383" s="6" t="s">
        <v>67</v>
      </c>
      <c r="U383" s="9"/>
      <c r="V383" s="9"/>
      <c r="W383" s="9"/>
      <c r="X383" s="9"/>
      <c r="Y383" s="9"/>
    </row>
    <row r="384" spans="9:25" ht="15.75" thickBot="1" x14ac:dyDescent="0.3">
      <c r="I384" s="212"/>
      <c r="J384" s="174"/>
      <c r="K384" s="174"/>
      <c r="L384" s="232"/>
      <c r="M384" s="229"/>
      <c r="N384" s="229"/>
      <c r="O384" s="229"/>
      <c r="P384" s="229"/>
      <c r="Q384" s="229"/>
      <c r="R384" s="147">
        <v>3</v>
      </c>
      <c r="S384" s="147">
        <f>R384*M382</f>
        <v>27</v>
      </c>
      <c r="T384" s="26" t="s">
        <v>4</v>
      </c>
      <c r="U384" s="9"/>
      <c r="V384" s="9"/>
      <c r="W384" s="9"/>
      <c r="X384" s="9"/>
      <c r="Y384" s="9"/>
    </row>
    <row r="385" spans="9:25" ht="15.75" thickBot="1" x14ac:dyDescent="0.3">
      <c r="I385" s="212"/>
      <c r="J385" s="174"/>
      <c r="K385" s="174"/>
      <c r="L385" s="11">
        <v>30</v>
      </c>
      <c r="M385" s="12">
        <f>L385*I376</f>
        <v>30</v>
      </c>
      <c r="N385" s="12" t="s">
        <v>84</v>
      </c>
      <c r="O385" s="12">
        <v>1</v>
      </c>
      <c r="P385" s="12">
        <f>O385*M385</f>
        <v>30</v>
      </c>
      <c r="Q385" s="12" t="s">
        <v>52</v>
      </c>
      <c r="R385" s="12">
        <v>3</v>
      </c>
      <c r="S385" s="12">
        <f>R385*P385</f>
        <v>90</v>
      </c>
      <c r="T385" s="19" t="s">
        <v>8</v>
      </c>
      <c r="U385" s="9"/>
      <c r="V385" s="9"/>
      <c r="W385" s="9"/>
      <c r="X385" s="9"/>
      <c r="Y385" s="9"/>
    </row>
    <row r="386" spans="9:25" x14ac:dyDescent="0.25">
      <c r="I386" s="212"/>
      <c r="J386" s="174"/>
      <c r="K386" s="174"/>
      <c r="L386" s="267">
        <v>18</v>
      </c>
      <c r="M386" s="270">
        <f>L386*I376</f>
        <v>18</v>
      </c>
      <c r="N386" s="270" t="s">
        <v>133</v>
      </c>
      <c r="O386" s="59"/>
      <c r="P386" s="59"/>
      <c r="Q386" s="59"/>
      <c r="R386" s="117">
        <v>4</v>
      </c>
      <c r="S386" s="117">
        <f>R386*M386</f>
        <v>72</v>
      </c>
      <c r="T386" s="60" t="s">
        <v>28</v>
      </c>
      <c r="U386" s="9"/>
      <c r="V386" s="9"/>
      <c r="W386" s="9"/>
      <c r="X386" s="9"/>
      <c r="Y386" s="9"/>
    </row>
    <row r="387" spans="9:25" x14ac:dyDescent="0.25">
      <c r="I387" s="212"/>
      <c r="J387" s="174"/>
      <c r="K387" s="174"/>
      <c r="L387" s="268"/>
      <c r="M387" s="265"/>
      <c r="N387" s="265"/>
      <c r="O387" s="265">
        <v>1</v>
      </c>
      <c r="P387" s="265">
        <f>O387*M386</f>
        <v>18</v>
      </c>
      <c r="Q387" s="265" t="s">
        <v>30</v>
      </c>
      <c r="R387" s="118">
        <v>5</v>
      </c>
      <c r="S387" s="118">
        <f>R387*P387</f>
        <v>90</v>
      </c>
      <c r="T387" s="61" t="s">
        <v>27</v>
      </c>
      <c r="U387" s="9"/>
      <c r="V387" s="9"/>
      <c r="W387" s="9"/>
      <c r="X387" s="9"/>
      <c r="Y387" s="9"/>
    </row>
    <row r="388" spans="9:25" ht="15.75" thickBot="1" x14ac:dyDescent="0.3">
      <c r="I388" s="212"/>
      <c r="J388" s="174"/>
      <c r="K388" s="174"/>
      <c r="L388" s="269"/>
      <c r="M388" s="266"/>
      <c r="N388" s="266"/>
      <c r="O388" s="266"/>
      <c r="P388" s="266"/>
      <c r="Q388" s="266"/>
      <c r="R388" s="159">
        <v>1</v>
      </c>
      <c r="S388" s="159">
        <f>R388*P387</f>
        <v>18</v>
      </c>
      <c r="T388" s="62" t="s">
        <v>8</v>
      </c>
      <c r="U388" s="9"/>
      <c r="V388" s="9"/>
      <c r="W388" s="9"/>
      <c r="X388" s="9"/>
      <c r="Y388" s="9"/>
    </row>
    <row r="389" spans="9:25" x14ac:dyDescent="0.25">
      <c r="I389" s="212"/>
      <c r="J389" s="174"/>
      <c r="K389" s="174"/>
      <c r="L389" s="176">
        <v>30</v>
      </c>
      <c r="M389" s="168">
        <f>L389*I376</f>
        <v>30</v>
      </c>
      <c r="N389" s="168" t="s">
        <v>82</v>
      </c>
      <c r="O389" s="168">
        <v>1</v>
      </c>
      <c r="P389" s="168">
        <f>O389*M389</f>
        <v>30</v>
      </c>
      <c r="Q389" s="168" t="s">
        <v>36</v>
      </c>
      <c r="R389" s="111">
        <v>2</v>
      </c>
      <c r="S389" s="111">
        <f>R389*P389</f>
        <v>60</v>
      </c>
      <c r="T389" s="21" t="s">
        <v>4</v>
      </c>
      <c r="U389" s="9"/>
      <c r="V389" s="9"/>
      <c r="W389" s="9"/>
      <c r="X389" s="9"/>
      <c r="Y389" s="9"/>
    </row>
    <row r="390" spans="9:25" ht="15.75" thickBot="1" x14ac:dyDescent="0.3">
      <c r="I390" s="212"/>
      <c r="J390" s="174"/>
      <c r="K390" s="174"/>
      <c r="L390" s="177"/>
      <c r="M390" s="169"/>
      <c r="N390" s="169"/>
      <c r="O390" s="169"/>
      <c r="P390" s="169"/>
      <c r="Q390" s="169"/>
      <c r="R390" s="112">
        <v>1</v>
      </c>
      <c r="S390" s="112">
        <f>P389</f>
        <v>30</v>
      </c>
      <c r="T390" s="20" t="s">
        <v>14</v>
      </c>
      <c r="U390" s="9"/>
      <c r="V390" s="9"/>
      <c r="W390" s="9"/>
      <c r="X390" s="9"/>
      <c r="Y390" s="9"/>
    </row>
    <row r="391" spans="9:25" x14ac:dyDescent="0.25">
      <c r="I391" s="212"/>
      <c r="J391" s="174"/>
      <c r="K391" s="174"/>
      <c r="L391" s="243">
        <v>9</v>
      </c>
      <c r="M391" s="245">
        <f>L391*I376</f>
        <v>9</v>
      </c>
      <c r="N391" s="245" t="s">
        <v>64</v>
      </c>
      <c r="O391" s="63">
        <v>2</v>
      </c>
      <c r="P391" s="132">
        <f>O391*M391</f>
        <v>18</v>
      </c>
      <c r="Q391" s="63" t="s">
        <v>53</v>
      </c>
      <c r="R391" s="132">
        <v>3</v>
      </c>
      <c r="S391" s="132">
        <f>R391*P391</f>
        <v>54</v>
      </c>
      <c r="T391" s="64" t="s">
        <v>25</v>
      </c>
      <c r="U391" s="9"/>
      <c r="V391" s="9"/>
      <c r="W391" s="9"/>
      <c r="X391" s="9"/>
      <c r="Y391" s="9"/>
    </row>
    <row r="392" spans="9:25" ht="15.75" thickBot="1" x14ac:dyDescent="0.3">
      <c r="I392" s="212"/>
      <c r="J392" s="174"/>
      <c r="K392" s="174"/>
      <c r="L392" s="244"/>
      <c r="M392" s="246"/>
      <c r="N392" s="246"/>
      <c r="O392" s="65"/>
      <c r="P392" s="65"/>
      <c r="Q392" s="65"/>
      <c r="R392" s="133">
        <v>9</v>
      </c>
      <c r="S392" s="133">
        <f>R392*M391</f>
        <v>81</v>
      </c>
      <c r="T392" s="66" t="s">
        <v>67</v>
      </c>
      <c r="U392" s="9"/>
      <c r="V392" s="9"/>
      <c r="W392" s="9"/>
      <c r="X392" s="9"/>
      <c r="Y392" s="9"/>
    </row>
    <row r="393" spans="9:25" ht="15.75" thickBot="1" x14ac:dyDescent="0.3">
      <c r="I393" s="212"/>
      <c r="J393" s="174"/>
      <c r="K393" s="174"/>
      <c r="L393" s="11">
        <v>30</v>
      </c>
      <c r="M393" s="12">
        <f>L393*I376</f>
        <v>30</v>
      </c>
      <c r="N393" s="12" t="s">
        <v>84</v>
      </c>
      <c r="O393" s="12">
        <v>1</v>
      </c>
      <c r="P393" s="12">
        <f>O393*M393</f>
        <v>30</v>
      </c>
      <c r="Q393" s="12" t="s">
        <v>52</v>
      </c>
      <c r="R393" s="12">
        <v>3</v>
      </c>
      <c r="S393" s="12">
        <f>R393*P393</f>
        <v>90</v>
      </c>
      <c r="T393" s="19" t="s">
        <v>8</v>
      </c>
      <c r="U393" s="9"/>
      <c r="V393" s="9"/>
      <c r="W393" s="9"/>
      <c r="X393" s="9"/>
      <c r="Y393" s="9"/>
    </row>
    <row r="394" spans="9:25" x14ac:dyDescent="0.25">
      <c r="I394" s="212"/>
      <c r="J394" s="174"/>
      <c r="K394" s="174"/>
      <c r="L394" s="277">
        <v>18</v>
      </c>
      <c r="M394" s="279">
        <f>L394*I376</f>
        <v>18</v>
      </c>
      <c r="N394" s="279" t="s">
        <v>117</v>
      </c>
      <c r="O394" s="279"/>
      <c r="P394" s="279"/>
      <c r="Q394" s="279"/>
      <c r="R394" s="163">
        <v>1</v>
      </c>
      <c r="S394" s="163">
        <f>M394</f>
        <v>18</v>
      </c>
      <c r="T394" s="67" t="s">
        <v>118</v>
      </c>
      <c r="U394" s="9"/>
      <c r="V394" s="9"/>
      <c r="W394" s="9"/>
      <c r="X394" s="9"/>
      <c r="Y394" s="9"/>
    </row>
    <row r="395" spans="9:25" x14ac:dyDescent="0.25">
      <c r="I395" s="212"/>
      <c r="J395" s="174"/>
      <c r="K395" s="174"/>
      <c r="L395" s="278"/>
      <c r="M395" s="280"/>
      <c r="N395" s="280"/>
      <c r="O395" s="280"/>
      <c r="P395" s="280"/>
      <c r="Q395" s="280"/>
      <c r="R395" s="164">
        <v>1</v>
      </c>
      <c r="S395" s="164">
        <f>M394</f>
        <v>18</v>
      </c>
      <c r="T395" s="4" t="s">
        <v>26</v>
      </c>
      <c r="U395" s="9"/>
      <c r="V395" s="9"/>
      <c r="W395" s="9"/>
      <c r="X395" s="9"/>
      <c r="Y395" s="9"/>
    </row>
    <row r="396" spans="9:25" ht="15.75" thickBot="1" x14ac:dyDescent="0.3">
      <c r="I396" s="212"/>
      <c r="J396" s="174"/>
      <c r="K396" s="174"/>
      <c r="L396" s="236"/>
      <c r="M396" s="238"/>
      <c r="N396" s="238"/>
      <c r="O396" s="238"/>
      <c r="P396" s="238"/>
      <c r="Q396" s="238"/>
      <c r="R396" s="149">
        <v>1</v>
      </c>
      <c r="S396" s="149">
        <f>M394</f>
        <v>18</v>
      </c>
      <c r="T396" s="68" t="s">
        <v>4</v>
      </c>
      <c r="U396" s="9"/>
      <c r="V396" s="9"/>
      <c r="W396" s="9"/>
      <c r="X396" s="9"/>
      <c r="Y396" s="9"/>
    </row>
    <row r="397" spans="9:25" ht="15.75" thickBot="1" x14ac:dyDescent="0.3">
      <c r="I397" s="212"/>
      <c r="J397" s="174"/>
      <c r="K397" s="174"/>
      <c r="L397" s="11">
        <v>18</v>
      </c>
      <c r="M397" s="12">
        <f>L397*I376</f>
        <v>18</v>
      </c>
      <c r="N397" s="12" t="s">
        <v>42</v>
      </c>
      <c r="O397" s="12">
        <v>2</v>
      </c>
      <c r="P397" s="12">
        <f>O397*M397</f>
        <v>36</v>
      </c>
      <c r="Q397" s="12" t="s">
        <v>53</v>
      </c>
      <c r="R397" s="12">
        <v>3</v>
      </c>
      <c r="S397" s="12">
        <f>R397*P397</f>
        <v>108</v>
      </c>
      <c r="T397" s="19" t="s">
        <v>25</v>
      </c>
      <c r="U397" s="9"/>
      <c r="V397" s="9"/>
      <c r="W397" s="9"/>
      <c r="X397" s="9"/>
      <c r="Y397" s="9"/>
    </row>
    <row r="398" spans="9:25" ht="15.75" thickBot="1" x14ac:dyDescent="0.3">
      <c r="I398" s="212"/>
      <c r="J398" s="174"/>
      <c r="K398" s="174"/>
      <c r="L398" s="11">
        <v>30</v>
      </c>
      <c r="M398" s="12">
        <f>L398*I376</f>
        <v>30</v>
      </c>
      <c r="N398" s="12" t="s">
        <v>52</v>
      </c>
      <c r="O398" s="12"/>
      <c r="P398" s="12"/>
      <c r="Q398" s="12"/>
      <c r="R398" s="12">
        <v>3</v>
      </c>
      <c r="S398" s="12">
        <f>R398*M398</f>
        <v>90</v>
      </c>
      <c r="T398" s="19" t="s">
        <v>8</v>
      </c>
      <c r="U398" s="9"/>
      <c r="V398" s="9"/>
      <c r="W398" s="9"/>
      <c r="X398" s="9"/>
      <c r="Y398" s="9"/>
    </row>
    <row r="399" spans="9:25" x14ac:dyDescent="0.25">
      <c r="I399" s="212"/>
      <c r="J399" s="174"/>
      <c r="K399" s="174"/>
      <c r="L399" s="271">
        <v>30</v>
      </c>
      <c r="M399" s="274">
        <f>L399*I376</f>
        <v>30</v>
      </c>
      <c r="N399" s="274" t="s">
        <v>119</v>
      </c>
      <c r="O399" s="94"/>
      <c r="P399" s="94"/>
      <c r="Q399" s="94"/>
      <c r="R399" s="162">
        <v>1</v>
      </c>
      <c r="S399" s="162">
        <f>M399</f>
        <v>30</v>
      </c>
      <c r="T399" s="95" t="s">
        <v>9</v>
      </c>
      <c r="U399" s="9"/>
      <c r="V399" s="9"/>
      <c r="W399" s="9"/>
      <c r="X399" s="9"/>
      <c r="Y399" s="9"/>
    </row>
    <row r="400" spans="9:25" x14ac:dyDescent="0.25">
      <c r="I400" s="212"/>
      <c r="J400" s="174"/>
      <c r="K400" s="174"/>
      <c r="L400" s="272"/>
      <c r="M400" s="275"/>
      <c r="N400" s="275"/>
      <c r="O400" s="275">
        <v>1</v>
      </c>
      <c r="P400" s="275">
        <f>O400*M399</f>
        <v>30</v>
      </c>
      <c r="Q400" s="275" t="s">
        <v>120</v>
      </c>
      <c r="R400" s="160">
        <v>1</v>
      </c>
      <c r="S400" s="160">
        <f>P400</f>
        <v>30</v>
      </c>
      <c r="T400" s="96" t="s">
        <v>12</v>
      </c>
      <c r="U400" s="9"/>
      <c r="V400" s="9"/>
      <c r="W400" s="9"/>
      <c r="X400" s="9"/>
      <c r="Y400" s="9"/>
    </row>
    <row r="401" spans="9:25" ht="15.75" thickBot="1" x14ac:dyDescent="0.3">
      <c r="I401" s="213"/>
      <c r="J401" s="175"/>
      <c r="K401" s="175"/>
      <c r="L401" s="273"/>
      <c r="M401" s="276"/>
      <c r="N401" s="276"/>
      <c r="O401" s="276"/>
      <c r="P401" s="276"/>
      <c r="Q401" s="276"/>
      <c r="R401" s="161">
        <v>1</v>
      </c>
      <c r="S401" s="161">
        <f>P400</f>
        <v>30</v>
      </c>
      <c r="T401" s="97" t="s">
        <v>15</v>
      </c>
      <c r="U401" s="9"/>
      <c r="V401" s="9"/>
      <c r="W401" s="9"/>
      <c r="X401" s="9"/>
      <c r="Y401" s="9"/>
    </row>
    <row r="402" spans="9:25" ht="15.75" thickTop="1" x14ac:dyDescent="0.25">
      <c r="I402" s="211">
        <f>E21</f>
        <v>1</v>
      </c>
      <c r="J402" s="173"/>
      <c r="K402" s="173" t="s">
        <v>113</v>
      </c>
      <c r="L402" s="214">
        <v>30</v>
      </c>
      <c r="M402" s="210">
        <f>L402*I402</f>
        <v>30</v>
      </c>
      <c r="N402" s="210" t="s">
        <v>62</v>
      </c>
      <c r="O402" s="210"/>
      <c r="P402" s="210"/>
      <c r="Q402" s="210"/>
      <c r="R402" s="126">
        <v>2</v>
      </c>
      <c r="S402" s="126">
        <f>R402*M402</f>
        <v>60</v>
      </c>
      <c r="T402" s="13" t="s">
        <v>14</v>
      </c>
      <c r="U402" s="9"/>
      <c r="V402" s="9"/>
      <c r="W402" s="9"/>
      <c r="X402" s="9"/>
      <c r="Y402" s="9"/>
    </row>
    <row r="403" spans="9:25" ht="15.75" thickBot="1" x14ac:dyDescent="0.3">
      <c r="I403" s="212"/>
      <c r="J403" s="174"/>
      <c r="K403" s="174"/>
      <c r="L403" s="177"/>
      <c r="M403" s="169"/>
      <c r="N403" s="169"/>
      <c r="O403" s="169"/>
      <c r="P403" s="169"/>
      <c r="Q403" s="169"/>
      <c r="R403" s="112">
        <v>1</v>
      </c>
      <c r="S403" s="112">
        <f>M402</f>
        <v>30</v>
      </c>
      <c r="T403" s="20" t="s">
        <v>10</v>
      </c>
      <c r="U403" s="9"/>
      <c r="V403" s="9"/>
      <c r="W403" s="9"/>
      <c r="X403" s="9"/>
      <c r="Y403" s="9"/>
    </row>
    <row r="404" spans="9:25" x14ac:dyDescent="0.25">
      <c r="I404" s="212"/>
      <c r="J404" s="174"/>
      <c r="K404" s="174"/>
      <c r="L404" s="176">
        <v>30</v>
      </c>
      <c r="M404" s="168">
        <f>L404*I402</f>
        <v>30</v>
      </c>
      <c r="N404" s="168" t="s">
        <v>41</v>
      </c>
      <c r="O404" s="168">
        <v>1</v>
      </c>
      <c r="P404" s="168">
        <f>O404*M404</f>
        <v>30</v>
      </c>
      <c r="Q404" s="168" t="s">
        <v>36</v>
      </c>
      <c r="R404" s="111">
        <v>2</v>
      </c>
      <c r="S404" s="111">
        <f>R404*P404</f>
        <v>60</v>
      </c>
      <c r="T404" s="21" t="s">
        <v>4</v>
      </c>
      <c r="U404" s="9"/>
      <c r="V404" s="9"/>
      <c r="W404" s="9"/>
      <c r="X404" s="9"/>
      <c r="Y404" s="9"/>
    </row>
    <row r="405" spans="9:25" ht="15.75" thickBot="1" x14ac:dyDescent="0.3">
      <c r="I405" s="212"/>
      <c r="J405" s="174"/>
      <c r="K405" s="174"/>
      <c r="L405" s="177"/>
      <c r="M405" s="169"/>
      <c r="N405" s="169"/>
      <c r="O405" s="169"/>
      <c r="P405" s="169"/>
      <c r="Q405" s="169"/>
      <c r="R405" s="112">
        <v>1</v>
      </c>
      <c r="S405" s="112">
        <f>P404</f>
        <v>30</v>
      </c>
      <c r="T405" s="20" t="s">
        <v>14</v>
      </c>
      <c r="U405" s="9"/>
      <c r="V405" s="9"/>
      <c r="W405" s="9"/>
      <c r="X405" s="9"/>
      <c r="Y405" s="9"/>
    </row>
    <row r="406" spans="9:25" x14ac:dyDescent="0.25">
      <c r="I406" s="212"/>
      <c r="J406" s="174"/>
      <c r="K406" s="174"/>
      <c r="L406" s="176">
        <v>30</v>
      </c>
      <c r="M406" s="168">
        <f>L406*I402</f>
        <v>30</v>
      </c>
      <c r="N406" s="168" t="s">
        <v>82</v>
      </c>
      <c r="O406" s="168">
        <v>1</v>
      </c>
      <c r="P406" s="168">
        <f>O406*M406</f>
        <v>30</v>
      </c>
      <c r="Q406" s="168" t="s">
        <v>36</v>
      </c>
      <c r="R406" s="111">
        <v>2</v>
      </c>
      <c r="S406" s="111">
        <f>R406*P406</f>
        <v>60</v>
      </c>
      <c r="T406" s="21" t="s">
        <v>4</v>
      </c>
      <c r="U406" s="9"/>
      <c r="V406" s="9"/>
      <c r="W406" s="9"/>
      <c r="X406" s="9"/>
      <c r="Y406" s="9"/>
    </row>
    <row r="407" spans="9:25" ht="15.75" thickBot="1" x14ac:dyDescent="0.3">
      <c r="I407" s="212"/>
      <c r="J407" s="174"/>
      <c r="K407" s="174"/>
      <c r="L407" s="177"/>
      <c r="M407" s="169"/>
      <c r="N407" s="169"/>
      <c r="O407" s="169"/>
      <c r="P407" s="169"/>
      <c r="Q407" s="169"/>
      <c r="R407" s="112">
        <v>1</v>
      </c>
      <c r="S407" s="112">
        <f>P406</f>
        <v>30</v>
      </c>
      <c r="T407" s="20" t="s">
        <v>14</v>
      </c>
      <c r="U407" s="9"/>
      <c r="V407" s="9"/>
      <c r="W407" s="9"/>
      <c r="X407" s="9"/>
      <c r="Y407" s="9"/>
    </row>
    <row r="408" spans="9:25" x14ac:dyDescent="0.25">
      <c r="I408" s="212"/>
      <c r="J408" s="174"/>
      <c r="K408" s="174"/>
      <c r="L408" s="230">
        <v>9</v>
      </c>
      <c r="M408" s="227">
        <f>L408*I402</f>
        <v>9</v>
      </c>
      <c r="N408" s="227" t="s">
        <v>100</v>
      </c>
      <c r="O408" s="227"/>
      <c r="P408" s="227"/>
      <c r="Q408" s="227"/>
      <c r="R408" s="120">
        <v>3</v>
      </c>
      <c r="S408" s="120">
        <f>R408*M408</f>
        <v>27</v>
      </c>
      <c r="T408" s="25" t="s">
        <v>105</v>
      </c>
      <c r="U408" s="9"/>
      <c r="V408" s="9"/>
      <c r="W408" s="9"/>
      <c r="X408" s="9"/>
      <c r="Y408" s="9"/>
    </row>
    <row r="409" spans="9:25" x14ac:dyDescent="0.25">
      <c r="I409" s="212"/>
      <c r="J409" s="174"/>
      <c r="K409" s="174"/>
      <c r="L409" s="231"/>
      <c r="M409" s="228"/>
      <c r="N409" s="228"/>
      <c r="O409" s="228"/>
      <c r="P409" s="228"/>
      <c r="Q409" s="228"/>
      <c r="R409" s="121">
        <v>9</v>
      </c>
      <c r="S409" s="121">
        <f>R409*M408</f>
        <v>81</v>
      </c>
      <c r="T409" s="6" t="s">
        <v>67</v>
      </c>
      <c r="U409" s="9"/>
      <c r="V409" s="9"/>
      <c r="W409" s="9"/>
      <c r="X409" s="9"/>
      <c r="Y409" s="9"/>
    </row>
    <row r="410" spans="9:25" ht="15.75" thickBot="1" x14ac:dyDescent="0.3">
      <c r="I410" s="212"/>
      <c r="J410" s="174"/>
      <c r="K410" s="174"/>
      <c r="L410" s="232"/>
      <c r="M410" s="229"/>
      <c r="N410" s="229"/>
      <c r="O410" s="229"/>
      <c r="P410" s="229"/>
      <c r="Q410" s="229"/>
      <c r="R410" s="147">
        <v>3</v>
      </c>
      <c r="S410" s="147">
        <f>R410*M408</f>
        <v>27</v>
      </c>
      <c r="T410" s="26" t="s">
        <v>4</v>
      </c>
      <c r="U410" s="9"/>
      <c r="V410" s="9"/>
      <c r="W410" s="9"/>
      <c r="X410" s="9"/>
      <c r="Y410" s="9"/>
    </row>
    <row r="411" spans="9:25" x14ac:dyDescent="0.25">
      <c r="I411" s="212"/>
      <c r="J411" s="174"/>
      <c r="K411" s="174"/>
      <c r="L411" s="176">
        <v>30</v>
      </c>
      <c r="M411" s="168">
        <f>L411*I402</f>
        <v>30</v>
      </c>
      <c r="N411" s="168" t="s">
        <v>63</v>
      </c>
      <c r="O411" s="168">
        <v>1</v>
      </c>
      <c r="P411" s="168">
        <f>O411*M411</f>
        <v>30</v>
      </c>
      <c r="Q411" s="168" t="s">
        <v>62</v>
      </c>
      <c r="R411" s="111">
        <v>2</v>
      </c>
      <c r="S411" s="111">
        <f>R411*P411</f>
        <v>60</v>
      </c>
      <c r="T411" s="21" t="s">
        <v>14</v>
      </c>
      <c r="U411" s="9"/>
      <c r="V411" s="9"/>
      <c r="W411" s="9"/>
      <c r="X411" s="9"/>
      <c r="Y411" s="9"/>
    </row>
    <row r="412" spans="9:25" ht="15.75" thickBot="1" x14ac:dyDescent="0.3">
      <c r="I412" s="212"/>
      <c r="J412" s="174"/>
      <c r="K412" s="174"/>
      <c r="L412" s="177"/>
      <c r="M412" s="169"/>
      <c r="N412" s="169"/>
      <c r="O412" s="169"/>
      <c r="P412" s="169"/>
      <c r="Q412" s="169"/>
      <c r="R412" s="112">
        <v>1</v>
      </c>
      <c r="S412" s="112">
        <f>P411</f>
        <v>30</v>
      </c>
      <c r="T412" s="20" t="s">
        <v>10</v>
      </c>
      <c r="U412" s="9"/>
      <c r="V412" s="9"/>
      <c r="W412" s="9"/>
      <c r="X412" s="9"/>
      <c r="Y412" s="9"/>
    </row>
    <row r="413" spans="9:25" x14ac:dyDescent="0.25">
      <c r="I413" s="212"/>
      <c r="J413" s="174"/>
      <c r="K413" s="174"/>
      <c r="L413" s="267">
        <v>18</v>
      </c>
      <c r="M413" s="270">
        <f>L413*I402</f>
        <v>18</v>
      </c>
      <c r="N413" s="270" t="s">
        <v>133</v>
      </c>
      <c r="O413" s="59"/>
      <c r="P413" s="59"/>
      <c r="Q413" s="59"/>
      <c r="R413" s="117">
        <v>4</v>
      </c>
      <c r="S413" s="117">
        <f>R413*M413</f>
        <v>72</v>
      </c>
      <c r="T413" s="60" t="s">
        <v>28</v>
      </c>
      <c r="U413" s="9"/>
      <c r="V413" s="9"/>
      <c r="W413" s="9"/>
      <c r="X413" s="9"/>
      <c r="Y413" s="9"/>
    </row>
    <row r="414" spans="9:25" x14ac:dyDescent="0.25">
      <c r="I414" s="212"/>
      <c r="J414" s="174"/>
      <c r="K414" s="174"/>
      <c r="L414" s="268"/>
      <c r="M414" s="265"/>
      <c r="N414" s="265"/>
      <c r="O414" s="265">
        <v>1</v>
      </c>
      <c r="P414" s="265">
        <f>O414*M413</f>
        <v>18</v>
      </c>
      <c r="Q414" s="265" t="s">
        <v>30</v>
      </c>
      <c r="R414" s="118">
        <v>5</v>
      </c>
      <c r="S414" s="118">
        <f>R414*P414</f>
        <v>90</v>
      </c>
      <c r="T414" s="61" t="s">
        <v>27</v>
      </c>
      <c r="U414" s="9"/>
      <c r="V414" s="9"/>
      <c r="W414" s="9"/>
      <c r="X414" s="9"/>
      <c r="Y414" s="9"/>
    </row>
    <row r="415" spans="9:25" ht="15.75" thickBot="1" x14ac:dyDescent="0.3">
      <c r="I415" s="212"/>
      <c r="J415" s="174"/>
      <c r="K415" s="174"/>
      <c r="L415" s="269"/>
      <c r="M415" s="266"/>
      <c r="N415" s="266"/>
      <c r="O415" s="266"/>
      <c r="P415" s="266"/>
      <c r="Q415" s="266"/>
      <c r="R415" s="159">
        <v>1</v>
      </c>
      <c r="S415" s="159">
        <f>R415*P414</f>
        <v>18</v>
      </c>
      <c r="T415" s="62" t="s">
        <v>8</v>
      </c>
      <c r="U415" s="9"/>
      <c r="V415" s="9"/>
      <c r="W415" s="9"/>
      <c r="X415" s="9"/>
      <c r="Y415" s="9"/>
    </row>
    <row r="416" spans="9:25" x14ac:dyDescent="0.25">
      <c r="I416" s="212"/>
      <c r="J416" s="174"/>
      <c r="K416" s="174"/>
      <c r="L416" s="176">
        <v>30</v>
      </c>
      <c r="M416" s="168">
        <f>L416*I402</f>
        <v>30</v>
      </c>
      <c r="N416" s="168" t="s">
        <v>83</v>
      </c>
      <c r="O416" s="168">
        <v>1</v>
      </c>
      <c r="P416" s="168">
        <f>O416*M416</f>
        <v>30</v>
      </c>
      <c r="Q416" s="168" t="s">
        <v>62</v>
      </c>
      <c r="R416" s="111">
        <v>2</v>
      </c>
      <c r="S416" s="111">
        <f>R416*P416</f>
        <v>60</v>
      </c>
      <c r="T416" s="21" t="s">
        <v>14</v>
      </c>
      <c r="U416" s="9"/>
      <c r="V416" s="9"/>
      <c r="W416" s="9"/>
      <c r="X416" s="9"/>
      <c r="Y416" s="9"/>
    </row>
    <row r="417" spans="9:25" ht="15.75" thickBot="1" x14ac:dyDescent="0.3">
      <c r="I417" s="212"/>
      <c r="J417" s="174"/>
      <c r="K417" s="174"/>
      <c r="L417" s="177"/>
      <c r="M417" s="169"/>
      <c r="N417" s="169"/>
      <c r="O417" s="169"/>
      <c r="P417" s="169"/>
      <c r="Q417" s="169"/>
      <c r="R417" s="112">
        <v>1</v>
      </c>
      <c r="S417" s="112">
        <f>P416</f>
        <v>30</v>
      </c>
      <c r="T417" s="20" t="s">
        <v>10</v>
      </c>
      <c r="U417" s="9"/>
      <c r="V417" s="9"/>
      <c r="W417" s="9"/>
      <c r="X417" s="9"/>
      <c r="Y417" s="9"/>
    </row>
    <row r="418" spans="9:25" x14ac:dyDescent="0.25">
      <c r="I418" s="212"/>
      <c r="J418" s="174"/>
      <c r="K418" s="174"/>
      <c r="L418" s="243">
        <v>9</v>
      </c>
      <c r="M418" s="245">
        <f>L418*I402</f>
        <v>9</v>
      </c>
      <c r="N418" s="245" t="s">
        <v>64</v>
      </c>
      <c r="O418" s="63">
        <v>2</v>
      </c>
      <c r="P418" s="132">
        <f>O418*M418</f>
        <v>18</v>
      </c>
      <c r="Q418" s="63" t="s">
        <v>53</v>
      </c>
      <c r="R418" s="132">
        <v>3</v>
      </c>
      <c r="S418" s="132">
        <f>R418*P418</f>
        <v>54</v>
      </c>
      <c r="T418" s="64" t="s">
        <v>25</v>
      </c>
      <c r="U418" s="9"/>
      <c r="V418" s="9"/>
      <c r="W418" s="9"/>
      <c r="X418" s="9"/>
      <c r="Y418" s="9"/>
    </row>
    <row r="419" spans="9:25" ht="15.75" thickBot="1" x14ac:dyDescent="0.3">
      <c r="I419" s="212"/>
      <c r="J419" s="174"/>
      <c r="K419" s="174"/>
      <c r="L419" s="244"/>
      <c r="M419" s="246"/>
      <c r="N419" s="246"/>
      <c r="O419" s="65"/>
      <c r="P419" s="65"/>
      <c r="Q419" s="65"/>
      <c r="R419" s="133">
        <v>9</v>
      </c>
      <c r="S419" s="133">
        <f>R419*M418</f>
        <v>81</v>
      </c>
      <c r="T419" s="66" t="s">
        <v>67</v>
      </c>
      <c r="U419" s="9"/>
      <c r="V419" s="9"/>
      <c r="W419" s="9"/>
      <c r="X419" s="9"/>
      <c r="Y419" s="9"/>
    </row>
    <row r="420" spans="9:25" ht="15.75" thickBot="1" x14ac:dyDescent="0.3">
      <c r="I420" s="212"/>
      <c r="J420" s="174"/>
      <c r="K420" s="174"/>
      <c r="L420" s="11">
        <v>30</v>
      </c>
      <c r="M420" s="12">
        <f>L420*I402</f>
        <v>30</v>
      </c>
      <c r="N420" s="12" t="s">
        <v>84</v>
      </c>
      <c r="O420" s="12">
        <v>1</v>
      </c>
      <c r="P420" s="12">
        <f>O420*M420</f>
        <v>30</v>
      </c>
      <c r="Q420" s="12" t="s">
        <v>52</v>
      </c>
      <c r="R420" s="12">
        <v>3</v>
      </c>
      <c r="S420" s="12">
        <f>R420*P420</f>
        <v>90</v>
      </c>
      <c r="T420" s="19" t="s">
        <v>8</v>
      </c>
      <c r="U420" s="9"/>
      <c r="V420" s="9"/>
      <c r="W420" s="9"/>
      <c r="X420" s="9"/>
      <c r="Y420" s="9"/>
    </row>
    <row r="421" spans="9:25" ht="15.75" thickBot="1" x14ac:dyDescent="0.3">
      <c r="I421" s="212"/>
      <c r="J421" s="174"/>
      <c r="K421" s="174"/>
      <c r="L421" s="11">
        <v>9</v>
      </c>
      <c r="M421" s="12">
        <f>L421*I402</f>
        <v>9</v>
      </c>
      <c r="N421" s="12" t="s">
        <v>42</v>
      </c>
      <c r="O421" s="12">
        <v>2</v>
      </c>
      <c r="P421" s="12">
        <f>O421*M421</f>
        <v>18</v>
      </c>
      <c r="Q421" s="12" t="s">
        <v>53</v>
      </c>
      <c r="R421" s="12">
        <v>3</v>
      </c>
      <c r="S421" s="12">
        <f>R421*P421</f>
        <v>54</v>
      </c>
      <c r="T421" s="19" t="s">
        <v>25</v>
      </c>
      <c r="U421" s="9"/>
      <c r="V421" s="9"/>
      <c r="W421" s="9"/>
      <c r="X421" s="9"/>
      <c r="Y421" s="9"/>
    </row>
    <row r="422" spans="9:25" ht="15.75" thickBot="1" x14ac:dyDescent="0.3">
      <c r="I422" s="212"/>
      <c r="J422" s="174"/>
      <c r="K422" s="174"/>
      <c r="L422" s="11">
        <v>30</v>
      </c>
      <c r="M422" s="12">
        <f>L422*I402</f>
        <v>30</v>
      </c>
      <c r="N422" s="12" t="s">
        <v>52</v>
      </c>
      <c r="O422" s="12"/>
      <c r="P422" s="12"/>
      <c r="Q422" s="12"/>
      <c r="R422" s="12">
        <v>3</v>
      </c>
      <c r="S422" s="12">
        <f>R422*M422</f>
        <v>90</v>
      </c>
      <c r="T422" s="19" t="s">
        <v>8</v>
      </c>
      <c r="U422" s="9"/>
      <c r="V422" s="9"/>
      <c r="W422" s="9"/>
      <c r="X422" s="9"/>
      <c r="Y422" s="9"/>
    </row>
    <row r="423" spans="9:25" x14ac:dyDescent="0.25">
      <c r="I423" s="212"/>
      <c r="J423" s="174"/>
      <c r="K423" s="174"/>
      <c r="L423" s="221">
        <v>18</v>
      </c>
      <c r="M423" s="224">
        <f>L423*I402</f>
        <v>18</v>
      </c>
      <c r="N423" s="224" t="s">
        <v>101</v>
      </c>
      <c r="O423" s="224">
        <v>2</v>
      </c>
      <c r="P423" s="224">
        <f>O423*M423</f>
        <v>36</v>
      </c>
      <c r="Q423" s="224" t="s">
        <v>106</v>
      </c>
      <c r="R423" s="113">
        <v>3</v>
      </c>
      <c r="S423" s="113">
        <f>R423*P423</f>
        <v>108</v>
      </c>
      <c r="T423" s="41" t="s">
        <v>24</v>
      </c>
      <c r="U423" s="9"/>
      <c r="V423" s="9"/>
      <c r="W423" s="9"/>
      <c r="X423" s="9"/>
      <c r="Y423" s="9"/>
    </row>
    <row r="424" spans="9:25" x14ac:dyDescent="0.25">
      <c r="I424" s="212"/>
      <c r="J424" s="174"/>
      <c r="K424" s="174"/>
      <c r="L424" s="222"/>
      <c r="M424" s="225"/>
      <c r="N424" s="225"/>
      <c r="O424" s="225"/>
      <c r="P424" s="225"/>
      <c r="Q424" s="225"/>
      <c r="R424" s="114">
        <v>1</v>
      </c>
      <c r="S424" s="114">
        <f>P423</f>
        <v>36</v>
      </c>
      <c r="T424" s="75" t="s">
        <v>16</v>
      </c>
      <c r="U424" s="9"/>
      <c r="V424" s="9"/>
      <c r="W424" s="9"/>
      <c r="X424" s="9"/>
      <c r="Y424" s="9"/>
    </row>
    <row r="425" spans="9:25" ht="15.75" thickBot="1" x14ac:dyDescent="0.3">
      <c r="I425" s="212"/>
      <c r="J425" s="174"/>
      <c r="K425" s="174"/>
      <c r="L425" s="223"/>
      <c r="M425" s="226"/>
      <c r="N425" s="226"/>
      <c r="O425" s="115"/>
      <c r="P425" s="115"/>
      <c r="Q425" s="115"/>
      <c r="R425" s="115">
        <v>9</v>
      </c>
      <c r="S425" s="115">
        <f>R425*M423</f>
        <v>162</v>
      </c>
      <c r="T425" s="42" t="s">
        <v>107</v>
      </c>
      <c r="U425" s="9"/>
      <c r="V425" s="9"/>
      <c r="W425" s="9"/>
      <c r="X425" s="9"/>
      <c r="Y425" s="9"/>
    </row>
    <row r="426" spans="9:25" x14ac:dyDescent="0.25">
      <c r="I426" s="212"/>
      <c r="J426" s="174"/>
      <c r="K426" s="174"/>
      <c r="L426" s="271">
        <v>30</v>
      </c>
      <c r="M426" s="274">
        <f>L426*I402</f>
        <v>30</v>
      </c>
      <c r="N426" s="274" t="s">
        <v>119</v>
      </c>
      <c r="O426" s="94"/>
      <c r="P426" s="94"/>
      <c r="Q426" s="94"/>
      <c r="R426" s="162">
        <v>1</v>
      </c>
      <c r="S426" s="162">
        <f>M426</f>
        <v>30</v>
      </c>
      <c r="T426" s="95" t="s">
        <v>9</v>
      </c>
      <c r="U426" s="9"/>
      <c r="V426" s="9"/>
      <c r="W426" s="9"/>
      <c r="X426" s="9"/>
      <c r="Y426" s="9"/>
    </row>
    <row r="427" spans="9:25" x14ac:dyDescent="0.25">
      <c r="I427" s="212"/>
      <c r="J427" s="174"/>
      <c r="K427" s="174"/>
      <c r="L427" s="272"/>
      <c r="M427" s="275"/>
      <c r="N427" s="275"/>
      <c r="O427" s="275">
        <v>1</v>
      </c>
      <c r="P427" s="275">
        <f>O427*M426</f>
        <v>30</v>
      </c>
      <c r="Q427" s="275" t="s">
        <v>120</v>
      </c>
      <c r="R427" s="160">
        <v>1</v>
      </c>
      <c r="S427" s="160">
        <f>P427</f>
        <v>30</v>
      </c>
      <c r="T427" s="96" t="s">
        <v>12</v>
      </c>
      <c r="U427" s="9"/>
      <c r="V427" s="9"/>
      <c r="W427" s="9"/>
      <c r="X427" s="9"/>
      <c r="Y427" s="9"/>
    </row>
    <row r="428" spans="9:25" ht="15.75" thickBot="1" x14ac:dyDescent="0.3">
      <c r="I428" s="213"/>
      <c r="J428" s="175"/>
      <c r="K428" s="175"/>
      <c r="L428" s="273"/>
      <c r="M428" s="276"/>
      <c r="N428" s="276"/>
      <c r="O428" s="276"/>
      <c r="P428" s="276"/>
      <c r="Q428" s="276"/>
      <c r="R428" s="161">
        <v>1</v>
      </c>
      <c r="S428" s="161">
        <f>P427</f>
        <v>30</v>
      </c>
      <c r="T428" s="97" t="s">
        <v>15</v>
      </c>
      <c r="U428" s="9"/>
      <c r="V428" s="9"/>
      <c r="W428" s="9"/>
      <c r="X428" s="9"/>
      <c r="Y428" s="9"/>
    </row>
    <row r="429" spans="9:25" ht="15.75" thickTop="1" x14ac:dyDescent="0.25">
      <c r="I429" s="211">
        <f>F21</f>
        <v>1</v>
      </c>
      <c r="J429" s="173" t="s">
        <v>112</v>
      </c>
      <c r="K429" s="173" t="s">
        <v>113</v>
      </c>
      <c r="L429" s="235">
        <v>12</v>
      </c>
      <c r="M429" s="237">
        <f>L429*I429</f>
        <v>12</v>
      </c>
      <c r="N429" s="237" t="s">
        <v>102</v>
      </c>
      <c r="O429" s="148">
        <v>2</v>
      </c>
      <c r="P429" s="148">
        <f>O429*M429</f>
        <v>24</v>
      </c>
      <c r="Q429" s="148" t="s">
        <v>37</v>
      </c>
      <c r="R429" s="148">
        <v>3</v>
      </c>
      <c r="S429" s="148">
        <f>R429*P429</f>
        <v>72</v>
      </c>
      <c r="T429" s="5" t="s">
        <v>49</v>
      </c>
      <c r="U429" s="9"/>
      <c r="V429" s="9"/>
      <c r="W429" s="9"/>
      <c r="X429" s="9"/>
      <c r="Y429" s="9"/>
    </row>
    <row r="430" spans="9:25" ht="15.75" thickBot="1" x14ac:dyDescent="0.3">
      <c r="I430" s="212"/>
      <c r="J430" s="174"/>
      <c r="K430" s="174"/>
      <c r="L430" s="236"/>
      <c r="M430" s="238"/>
      <c r="N430" s="238"/>
      <c r="O430" s="149"/>
      <c r="P430" s="149"/>
      <c r="Q430" s="149"/>
      <c r="R430" s="149">
        <v>9</v>
      </c>
      <c r="S430" s="149">
        <f>R430*M429</f>
        <v>108</v>
      </c>
      <c r="T430" s="68" t="s">
        <v>108</v>
      </c>
      <c r="U430" s="9"/>
      <c r="V430" s="9"/>
      <c r="W430" s="9"/>
      <c r="X430" s="9"/>
      <c r="Y430" s="9"/>
    </row>
    <row r="431" spans="9:25" x14ac:dyDescent="0.25">
      <c r="I431" s="212"/>
      <c r="J431" s="174"/>
      <c r="K431" s="174"/>
      <c r="L431" s="230">
        <v>9</v>
      </c>
      <c r="M431" s="227">
        <f>L431*I429</f>
        <v>9</v>
      </c>
      <c r="N431" s="227" t="s">
        <v>100</v>
      </c>
      <c r="O431" s="227"/>
      <c r="P431" s="227"/>
      <c r="Q431" s="227"/>
      <c r="R431" s="120">
        <v>3</v>
      </c>
      <c r="S431" s="120">
        <f>R431*M431</f>
        <v>27</v>
      </c>
      <c r="T431" s="25" t="s">
        <v>105</v>
      </c>
      <c r="U431" s="9"/>
      <c r="V431" s="9"/>
      <c r="W431" s="9"/>
      <c r="X431" s="9"/>
      <c r="Y431" s="9"/>
    </row>
    <row r="432" spans="9:25" x14ac:dyDescent="0.25">
      <c r="I432" s="212"/>
      <c r="J432" s="174"/>
      <c r="K432" s="174"/>
      <c r="L432" s="231"/>
      <c r="M432" s="228"/>
      <c r="N432" s="228"/>
      <c r="O432" s="228"/>
      <c r="P432" s="228"/>
      <c r="Q432" s="228"/>
      <c r="R432" s="121">
        <v>9</v>
      </c>
      <c r="S432" s="121">
        <f>R432*M431</f>
        <v>81</v>
      </c>
      <c r="T432" s="6" t="s">
        <v>67</v>
      </c>
      <c r="U432" s="9"/>
      <c r="V432" s="9"/>
      <c r="W432" s="9"/>
      <c r="X432" s="9"/>
      <c r="Y432" s="9"/>
    </row>
    <row r="433" spans="9:25" ht="15.75" thickBot="1" x14ac:dyDescent="0.3">
      <c r="I433" s="212"/>
      <c r="J433" s="174"/>
      <c r="K433" s="174"/>
      <c r="L433" s="232"/>
      <c r="M433" s="229"/>
      <c r="N433" s="229"/>
      <c r="O433" s="229"/>
      <c r="P433" s="229"/>
      <c r="Q433" s="229"/>
      <c r="R433" s="147">
        <v>3</v>
      </c>
      <c r="S433" s="147">
        <f>R433*M431</f>
        <v>27</v>
      </c>
      <c r="T433" s="26" t="s">
        <v>4</v>
      </c>
      <c r="U433" s="9"/>
      <c r="V433" s="9"/>
      <c r="W433" s="9"/>
      <c r="X433" s="9"/>
      <c r="Y433" s="9"/>
    </row>
    <row r="434" spans="9:25" x14ac:dyDescent="0.25">
      <c r="I434" s="212"/>
      <c r="J434" s="174"/>
      <c r="K434" s="174"/>
      <c r="L434" s="176">
        <v>21</v>
      </c>
      <c r="M434" s="168">
        <f>L434*I429</f>
        <v>21</v>
      </c>
      <c r="N434" s="168" t="s">
        <v>115</v>
      </c>
      <c r="O434" s="168">
        <v>1</v>
      </c>
      <c r="P434" s="168">
        <f>O434*M434</f>
        <v>21</v>
      </c>
      <c r="Q434" s="168" t="s">
        <v>62</v>
      </c>
      <c r="R434" s="111">
        <v>2</v>
      </c>
      <c r="S434" s="111">
        <f>R434*P434</f>
        <v>42</v>
      </c>
      <c r="T434" s="21" t="s">
        <v>14</v>
      </c>
      <c r="U434" s="9"/>
      <c r="V434" s="9"/>
      <c r="W434" s="9"/>
      <c r="X434" s="9"/>
      <c r="Y434" s="9"/>
    </row>
    <row r="435" spans="9:25" ht="15.75" thickBot="1" x14ac:dyDescent="0.3">
      <c r="I435" s="212"/>
      <c r="J435" s="174"/>
      <c r="K435" s="174"/>
      <c r="L435" s="177"/>
      <c r="M435" s="169"/>
      <c r="N435" s="169"/>
      <c r="O435" s="169"/>
      <c r="P435" s="169"/>
      <c r="Q435" s="169"/>
      <c r="R435" s="112">
        <v>1</v>
      </c>
      <c r="S435" s="112">
        <f>P434</f>
        <v>21</v>
      </c>
      <c r="T435" s="20" t="s">
        <v>10</v>
      </c>
      <c r="U435" s="9"/>
      <c r="V435" s="9"/>
      <c r="W435" s="9"/>
      <c r="X435" s="9"/>
      <c r="Y435" s="9"/>
    </row>
    <row r="436" spans="9:25" x14ac:dyDescent="0.25">
      <c r="I436" s="212"/>
      <c r="J436" s="174"/>
      <c r="K436" s="174"/>
      <c r="L436" s="176">
        <v>21</v>
      </c>
      <c r="M436" s="168">
        <f>L436*I429</f>
        <v>21</v>
      </c>
      <c r="N436" s="168" t="s">
        <v>63</v>
      </c>
      <c r="O436" s="168">
        <v>1</v>
      </c>
      <c r="P436" s="168">
        <f>O436*M436</f>
        <v>21</v>
      </c>
      <c r="Q436" s="168" t="s">
        <v>62</v>
      </c>
      <c r="R436" s="111">
        <v>2</v>
      </c>
      <c r="S436" s="111">
        <f>R436*P436</f>
        <v>42</v>
      </c>
      <c r="T436" s="21" t="s">
        <v>14</v>
      </c>
      <c r="U436" s="9"/>
      <c r="V436" s="9"/>
      <c r="W436" s="9"/>
      <c r="X436" s="9"/>
      <c r="Y436" s="9"/>
    </row>
    <row r="437" spans="9:25" ht="15.75" thickBot="1" x14ac:dyDescent="0.3">
      <c r="I437" s="212"/>
      <c r="J437" s="174"/>
      <c r="K437" s="174"/>
      <c r="L437" s="177"/>
      <c r="M437" s="169"/>
      <c r="N437" s="169"/>
      <c r="O437" s="169"/>
      <c r="P437" s="169"/>
      <c r="Q437" s="169"/>
      <c r="R437" s="112">
        <v>1</v>
      </c>
      <c r="S437" s="112">
        <f>P436</f>
        <v>21</v>
      </c>
      <c r="T437" s="20" t="s">
        <v>10</v>
      </c>
      <c r="U437" s="9"/>
      <c r="V437" s="9"/>
      <c r="W437" s="9"/>
      <c r="X437" s="9"/>
      <c r="Y437" s="9"/>
    </row>
    <row r="438" spans="9:25" x14ac:dyDescent="0.25">
      <c r="I438" s="212"/>
      <c r="J438" s="174"/>
      <c r="K438" s="174"/>
      <c r="L438" s="176">
        <v>21</v>
      </c>
      <c r="M438" s="168">
        <f>L438*I429</f>
        <v>21</v>
      </c>
      <c r="N438" s="168" t="s">
        <v>62</v>
      </c>
      <c r="O438" s="168"/>
      <c r="P438" s="168"/>
      <c r="Q438" s="168"/>
      <c r="R438" s="111">
        <v>2</v>
      </c>
      <c r="S438" s="111">
        <f>R438*M438</f>
        <v>42</v>
      </c>
      <c r="T438" s="21" t="s">
        <v>14</v>
      </c>
      <c r="U438" s="9"/>
      <c r="V438" s="9"/>
      <c r="W438" s="9"/>
      <c r="X438" s="9"/>
      <c r="Y438" s="9"/>
    </row>
    <row r="439" spans="9:25" ht="15.75" thickBot="1" x14ac:dyDescent="0.3">
      <c r="I439" s="212"/>
      <c r="J439" s="174"/>
      <c r="K439" s="174"/>
      <c r="L439" s="177"/>
      <c r="M439" s="169"/>
      <c r="N439" s="169"/>
      <c r="O439" s="169"/>
      <c r="P439" s="169"/>
      <c r="Q439" s="169"/>
      <c r="R439" s="112">
        <v>1</v>
      </c>
      <c r="S439" s="112">
        <f>M438</f>
        <v>21</v>
      </c>
      <c r="T439" s="20" t="s">
        <v>10</v>
      </c>
      <c r="U439" s="9"/>
      <c r="V439" s="9"/>
      <c r="W439" s="9"/>
      <c r="X439" s="9"/>
      <c r="Y439" s="9"/>
    </row>
    <row r="440" spans="9:25" x14ac:dyDescent="0.25">
      <c r="I440" s="212"/>
      <c r="J440" s="174"/>
      <c r="K440" s="174"/>
      <c r="L440" s="176">
        <v>21</v>
      </c>
      <c r="M440" s="168">
        <f>L440*I429</f>
        <v>21</v>
      </c>
      <c r="N440" s="168" t="s">
        <v>63</v>
      </c>
      <c r="O440" s="168">
        <v>1</v>
      </c>
      <c r="P440" s="168">
        <f>O440*M440</f>
        <v>21</v>
      </c>
      <c r="Q440" s="168" t="s">
        <v>62</v>
      </c>
      <c r="R440" s="111">
        <v>2</v>
      </c>
      <c r="S440" s="111">
        <f>R440*P440</f>
        <v>42</v>
      </c>
      <c r="T440" s="21" t="s">
        <v>14</v>
      </c>
      <c r="U440" s="9"/>
      <c r="V440" s="9"/>
      <c r="W440" s="9"/>
      <c r="X440" s="9"/>
      <c r="Y440" s="9"/>
    </row>
    <row r="441" spans="9:25" ht="15.75" thickBot="1" x14ac:dyDescent="0.3">
      <c r="I441" s="212"/>
      <c r="J441" s="174"/>
      <c r="K441" s="174"/>
      <c r="L441" s="177"/>
      <c r="M441" s="169"/>
      <c r="N441" s="169"/>
      <c r="O441" s="169"/>
      <c r="P441" s="169"/>
      <c r="Q441" s="169"/>
      <c r="R441" s="112">
        <v>1</v>
      </c>
      <c r="S441" s="112">
        <f>P440</f>
        <v>21</v>
      </c>
      <c r="T441" s="20" t="s">
        <v>10</v>
      </c>
      <c r="U441" s="9"/>
      <c r="V441" s="9"/>
      <c r="W441" s="9"/>
      <c r="X441" s="9"/>
      <c r="Y441" s="9"/>
    </row>
    <row r="442" spans="9:25" x14ac:dyDescent="0.25">
      <c r="I442" s="212"/>
      <c r="J442" s="174"/>
      <c r="K442" s="174"/>
      <c r="L442" s="176">
        <v>21</v>
      </c>
      <c r="M442" s="168">
        <f>L442*I429</f>
        <v>21</v>
      </c>
      <c r="N442" s="168" t="s">
        <v>36</v>
      </c>
      <c r="O442" s="168"/>
      <c r="P442" s="168"/>
      <c r="Q442" s="168"/>
      <c r="R442" s="111">
        <v>2</v>
      </c>
      <c r="S442" s="111">
        <f>R442*M442</f>
        <v>42</v>
      </c>
      <c r="T442" s="21" t="s">
        <v>4</v>
      </c>
      <c r="U442" s="9"/>
      <c r="V442" s="9"/>
      <c r="W442" s="9"/>
      <c r="X442" s="9"/>
      <c r="Y442" s="9"/>
    </row>
    <row r="443" spans="9:25" ht="15.75" thickBot="1" x14ac:dyDescent="0.3">
      <c r="I443" s="212"/>
      <c r="J443" s="174"/>
      <c r="K443" s="174"/>
      <c r="L443" s="177"/>
      <c r="M443" s="169"/>
      <c r="N443" s="169"/>
      <c r="O443" s="169"/>
      <c r="P443" s="169"/>
      <c r="Q443" s="169"/>
      <c r="R443" s="112">
        <v>1</v>
      </c>
      <c r="S443" s="112">
        <f>M442</f>
        <v>21</v>
      </c>
      <c r="T443" s="20" t="s">
        <v>14</v>
      </c>
      <c r="U443" s="9"/>
      <c r="V443" s="9"/>
      <c r="W443" s="9"/>
      <c r="X443" s="9"/>
      <c r="Y443" s="9"/>
    </row>
    <row r="444" spans="9:25" ht="15.75" thickBot="1" x14ac:dyDescent="0.3">
      <c r="I444" s="212"/>
      <c r="J444" s="174"/>
      <c r="K444" s="174"/>
      <c r="L444" s="11">
        <v>21</v>
      </c>
      <c r="M444" s="12">
        <f>L444*I429</f>
        <v>21</v>
      </c>
      <c r="N444" s="12" t="s">
        <v>122</v>
      </c>
      <c r="O444" s="12">
        <v>1</v>
      </c>
      <c r="P444" s="12">
        <f>O444*M444</f>
        <v>21</v>
      </c>
      <c r="Q444" s="12" t="s">
        <v>53</v>
      </c>
      <c r="R444" s="12">
        <v>3</v>
      </c>
      <c r="S444" s="12">
        <f>R444*P444</f>
        <v>63</v>
      </c>
      <c r="T444" s="19" t="s">
        <v>25</v>
      </c>
      <c r="U444" s="9"/>
      <c r="V444" s="9"/>
      <c r="W444" s="9"/>
      <c r="X444" s="9"/>
      <c r="Y444" s="9"/>
    </row>
    <row r="445" spans="9:25" x14ac:dyDescent="0.25">
      <c r="I445" s="212"/>
      <c r="J445" s="174"/>
      <c r="K445" s="174"/>
      <c r="L445" s="243">
        <v>18</v>
      </c>
      <c r="M445" s="245">
        <f>L445*I429</f>
        <v>18</v>
      </c>
      <c r="N445" s="245" t="s">
        <v>64</v>
      </c>
      <c r="O445" s="63">
        <v>2</v>
      </c>
      <c r="P445" s="132">
        <f>O445*M445</f>
        <v>36</v>
      </c>
      <c r="Q445" s="63" t="s">
        <v>53</v>
      </c>
      <c r="R445" s="132">
        <v>3</v>
      </c>
      <c r="S445" s="132">
        <f>R445*P445</f>
        <v>108</v>
      </c>
      <c r="T445" s="64" t="s">
        <v>25</v>
      </c>
      <c r="U445" s="9"/>
      <c r="V445" s="9"/>
      <c r="W445" s="9"/>
      <c r="X445" s="9"/>
      <c r="Y445" s="9"/>
    </row>
    <row r="446" spans="9:25" ht="15.75" thickBot="1" x14ac:dyDescent="0.3">
      <c r="I446" s="212"/>
      <c r="J446" s="174"/>
      <c r="K446" s="174"/>
      <c r="L446" s="244"/>
      <c r="M446" s="246"/>
      <c r="N446" s="246"/>
      <c r="O446" s="65"/>
      <c r="P446" s="65"/>
      <c r="Q446" s="65"/>
      <c r="R446" s="133">
        <v>9</v>
      </c>
      <c r="S446" s="133">
        <f>R446*M445</f>
        <v>162</v>
      </c>
      <c r="T446" s="66" t="s">
        <v>67</v>
      </c>
      <c r="U446" s="9"/>
      <c r="V446" s="9"/>
      <c r="W446" s="9"/>
      <c r="X446" s="9"/>
      <c r="Y446" s="9"/>
    </row>
    <row r="447" spans="9:25" ht="15.75" thickBot="1" x14ac:dyDescent="0.3">
      <c r="I447" s="212"/>
      <c r="J447" s="174"/>
      <c r="K447" s="174"/>
      <c r="L447" s="11">
        <v>18</v>
      </c>
      <c r="M447" s="12">
        <f>L447*I429</f>
        <v>18</v>
      </c>
      <c r="N447" s="12" t="s">
        <v>84</v>
      </c>
      <c r="O447" s="12">
        <v>1</v>
      </c>
      <c r="P447" s="12">
        <f>O447*M447</f>
        <v>18</v>
      </c>
      <c r="Q447" s="12" t="s">
        <v>52</v>
      </c>
      <c r="R447" s="12">
        <v>3</v>
      </c>
      <c r="S447" s="12">
        <f>R447*P447</f>
        <v>54</v>
      </c>
      <c r="T447" s="19" t="s">
        <v>8</v>
      </c>
      <c r="U447" s="9"/>
      <c r="V447" s="9"/>
      <c r="W447" s="9"/>
      <c r="X447" s="9"/>
      <c r="Y447" s="9"/>
    </row>
    <row r="448" spans="9:25" x14ac:dyDescent="0.25">
      <c r="I448" s="212"/>
      <c r="J448" s="174"/>
      <c r="K448" s="174"/>
      <c r="L448" s="263">
        <v>18</v>
      </c>
      <c r="M448" s="259">
        <f>L448*I429</f>
        <v>18</v>
      </c>
      <c r="N448" s="259" t="s">
        <v>123</v>
      </c>
      <c r="O448" s="259"/>
      <c r="P448" s="259"/>
      <c r="Q448" s="259"/>
      <c r="R448" s="156">
        <v>3</v>
      </c>
      <c r="S448" s="156">
        <f>R448*M448</f>
        <v>54</v>
      </c>
      <c r="T448" s="36" t="s">
        <v>1</v>
      </c>
      <c r="U448" s="9"/>
      <c r="V448" s="9"/>
      <c r="W448" s="9"/>
      <c r="X448" s="9"/>
      <c r="Y448" s="9"/>
    </row>
    <row r="449" spans="9:25" ht="15.75" thickBot="1" x14ac:dyDescent="0.3">
      <c r="I449" s="212"/>
      <c r="J449" s="174"/>
      <c r="K449" s="174"/>
      <c r="L449" s="264"/>
      <c r="M449" s="260"/>
      <c r="N449" s="260"/>
      <c r="O449" s="260"/>
      <c r="P449" s="260"/>
      <c r="Q449" s="260"/>
      <c r="R449" s="157">
        <v>1</v>
      </c>
      <c r="S449" s="157">
        <f>R449*M448</f>
        <v>18</v>
      </c>
      <c r="T449" s="37" t="s">
        <v>124</v>
      </c>
      <c r="U449" s="9"/>
      <c r="V449" s="9"/>
      <c r="W449" s="9"/>
      <c r="X449" s="9"/>
      <c r="Y449" s="9"/>
    </row>
    <row r="450" spans="9:25" x14ac:dyDescent="0.25">
      <c r="I450" s="212"/>
      <c r="J450" s="174"/>
      <c r="K450" s="174"/>
      <c r="L450" s="255">
        <v>9</v>
      </c>
      <c r="M450" s="257">
        <f>L450*I429</f>
        <v>9</v>
      </c>
      <c r="N450" s="257" t="s">
        <v>92</v>
      </c>
      <c r="O450" s="257"/>
      <c r="P450" s="257"/>
      <c r="Q450" s="257"/>
      <c r="R450" s="154">
        <v>3</v>
      </c>
      <c r="S450" s="154">
        <f>R450*M450</f>
        <v>27</v>
      </c>
      <c r="T450" s="27" t="s">
        <v>93</v>
      </c>
      <c r="U450" s="9"/>
      <c r="V450" s="9"/>
      <c r="W450" s="9"/>
      <c r="X450" s="9"/>
      <c r="Y450" s="9"/>
    </row>
    <row r="451" spans="9:25" ht="15.75" thickBot="1" x14ac:dyDescent="0.3">
      <c r="I451" s="213"/>
      <c r="J451" s="175"/>
      <c r="K451" s="175"/>
      <c r="L451" s="261"/>
      <c r="M451" s="262"/>
      <c r="N451" s="262"/>
      <c r="O451" s="262"/>
      <c r="P451" s="262"/>
      <c r="Q451" s="262"/>
      <c r="R451" s="158">
        <v>9</v>
      </c>
      <c r="S451" s="158">
        <f>R451*M450</f>
        <v>81</v>
      </c>
      <c r="T451" s="29" t="s">
        <v>74</v>
      </c>
      <c r="U451" s="9"/>
      <c r="V451" s="9"/>
      <c r="W451" s="9"/>
      <c r="X451" s="9"/>
      <c r="Y451" s="9"/>
    </row>
    <row r="452" spans="9:25" ht="16.5" thickTop="1" thickBot="1" x14ac:dyDescent="0.3"/>
    <row r="453" spans="9:25" ht="16.5" thickTop="1" thickBot="1" x14ac:dyDescent="0.3">
      <c r="I453" s="188">
        <f>C24</f>
        <v>1</v>
      </c>
      <c r="J453" s="286" t="s">
        <v>32</v>
      </c>
      <c r="K453" s="286" t="s">
        <v>135</v>
      </c>
      <c r="L453" s="103">
        <v>24</v>
      </c>
      <c r="M453" s="86">
        <f>L453*I453</f>
        <v>24</v>
      </c>
      <c r="N453" s="86" t="s">
        <v>99</v>
      </c>
      <c r="O453" s="86"/>
      <c r="P453" s="86"/>
      <c r="Q453" s="86"/>
      <c r="R453" s="86">
        <v>3</v>
      </c>
      <c r="S453" s="86">
        <f>R453*M453</f>
        <v>72</v>
      </c>
      <c r="T453" s="87" t="s">
        <v>22</v>
      </c>
      <c r="U453" s="9"/>
      <c r="V453" s="9"/>
      <c r="W453" s="9"/>
      <c r="X453" s="9"/>
      <c r="Y453" s="9"/>
    </row>
    <row r="454" spans="9:25" ht="15.75" thickBot="1" x14ac:dyDescent="0.3">
      <c r="I454" s="188"/>
      <c r="J454" s="286"/>
      <c r="K454" s="286"/>
      <c r="L454" s="108">
        <v>24</v>
      </c>
      <c r="M454" s="12">
        <f>L454*I453</f>
        <v>24</v>
      </c>
      <c r="N454" s="12" t="s">
        <v>37</v>
      </c>
      <c r="O454" s="12"/>
      <c r="P454" s="12"/>
      <c r="Q454" s="12"/>
      <c r="R454" s="12">
        <v>3</v>
      </c>
      <c r="S454" s="12">
        <f>R454*M454</f>
        <v>72</v>
      </c>
      <c r="T454" s="19" t="s">
        <v>49</v>
      </c>
      <c r="U454" s="9"/>
      <c r="V454" s="9"/>
      <c r="W454" s="9"/>
      <c r="X454" s="9"/>
      <c r="Y454" s="9"/>
    </row>
    <row r="455" spans="9:25" ht="15.75" thickBot="1" x14ac:dyDescent="0.3">
      <c r="I455" s="188"/>
      <c r="J455" s="286"/>
      <c r="K455" s="286"/>
      <c r="L455" s="108">
        <v>24</v>
      </c>
      <c r="M455" s="12">
        <f>L455*I453</f>
        <v>24</v>
      </c>
      <c r="N455" s="12" t="s">
        <v>35</v>
      </c>
      <c r="O455" s="12">
        <v>1</v>
      </c>
      <c r="P455" s="12">
        <f t="shared" ref="P455" si="16">O455*M455</f>
        <v>24</v>
      </c>
      <c r="Q455" s="12" t="s">
        <v>48</v>
      </c>
      <c r="R455" s="12">
        <v>3</v>
      </c>
      <c r="S455" s="12">
        <f t="shared" ref="S455" si="17">R455*P455</f>
        <v>72</v>
      </c>
      <c r="T455" s="19" t="s">
        <v>14</v>
      </c>
      <c r="U455" s="9"/>
      <c r="V455" s="9"/>
      <c r="W455" s="9"/>
      <c r="X455" s="9"/>
      <c r="Y455" s="9"/>
    </row>
    <row r="456" spans="9:25" x14ac:dyDescent="0.25">
      <c r="I456" s="188"/>
      <c r="J456" s="286"/>
      <c r="K456" s="286"/>
      <c r="L456" s="228">
        <v>9</v>
      </c>
      <c r="M456" s="227">
        <f>L456*I453</f>
        <v>9</v>
      </c>
      <c r="N456" s="227" t="s">
        <v>100</v>
      </c>
      <c r="O456" s="227"/>
      <c r="P456" s="227"/>
      <c r="Q456" s="227"/>
      <c r="R456" s="120">
        <v>3</v>
      </c>
      <c r="S456" s="120">
        <f>R456*M456</f>
        <v>27</v>
      </c>
      <c r="T456" s="25" t="s">
        <v>105</v>
      </c>
      <c r="U456" s="9"/>
      <c r="V456" s="9"/>
      <c r="W456" s="9"/>
      <c r="X456" s="9"/>
      <c r="Y456" s="9"/>
    </row>
    <row r="457" spans="9:25" x14ac:dyDescent="0.25">
      <c r="I457" s="188"/>
      <c r="J457" s="286"/>
      <c r="K457" s="286"/>
      <c r="L457" s="228"/>
      <c r="M457" s="228"/>
      <c r="N457" s="228"/>
      <c r="O457" s="228"/>
      <c r="P457" s="228"/>
      <c r="Q457" s="228"/>
      <c r="R457" s="121">
        <v>9</v>
      </c>
      <c r="S457" s="121">
        <f>R457*M456</f>
        <v>81</v>
      </c>
      <c r="T457" s="6" t="s">
        <v>67</v>
      </c>
      <c r="U457" s="9"/>
      <c r="V457" s="9"/>
      <c r="W457" s="9"/>
      <c r="X457" s="9"/>
      <c r="Y457" s="9"/>
    </row>
    <row r="458" spans="9:25" x14ac:dyDescent="0.25">
      <c r="I458" s="188"/>
      <c r="J458" s="286"/>
      <c r="K458" s="286"/>
      <c r="L458" s="228"/>
      <c r="M458" s="283"/>
      <c r="N458" s="283"/>
      <c r="O458" s="283"/>
      <c r="P458" s="283"/>
      <c r="Q458" s="283"/>
      <c r="R458" s="122">
        <v>3</v>
      </c>
      <c r="S458" s="122">
        <f>R458*M456</f>
        <v>27</v>
      </c>
      <c r="T458" s="101" t="s">
        <v>4</v>
      </c>
      <c r="U458" s="9"/>
      <c r="V458" s="9"/>
      <c r="W458" s="9"/>
      <c r="X458" s="9"/>
      <c r="Y458" s="9"/>
    </row>
    <row r="459" spans="9:25" x14ac:dyDescent="0.25">
      <c r="I459" s="188"/>
      <c r="J459" s="286"/>
      <c r="K459" s="286"/>
      <c r="L459" s="284">
        <v>12</v>
      </c>
      <c r="M459" s="284">
        <f>L459*I453</f>
        <v>12</v>
      </c>
      <c r="N459" s="284" t="s">
        <v>136</v>
      </c>
      <c r="O459" s="116">
        <v>1</v>
      </c>
      <c r="P459" s="116">
        <f>O459*M459</f>
        <v>12</v>
      </c>
      <c r="Q459" s="116" t="s">
        <v>31</v>
      </c>
      <c r="R459" s="116">
        <v>5</v>
      </c>
      <c r="S459" s="116">
        <f>R459*P459</f>
        <v>60</v>
      </c>
      <c r="T459" s="116" t="s">
        <v>17</v>
      </c>
      <c r="U459" s="9"/>
      <c r="V459" s="9"/>
      <c r="W459" s="9"/>
      <c r="X459" s="9"/>
      <c r="Y459" s="9"/>
    </row>
    <row r="460" spans="9:25" x14ac:dyDescent="0.25">
      <c r="I460" s="188"/>
      <c r="J460" s="286"/>
      <c r="K460" s="286"/>
      <c r="L460" s="284"/>
      <c r="M460" s="284"/>
      <c r="N460" s="284"/>
      <c r="O460" s="284">
        <v>2</v>
      </c>
      <c r="P460" s="284">
        <f>O460*M459</f>
        <v>24</v>
      </c>
      <c r="Q460" s="284" t="s">
        <v>79</v>
      </c>
      <c r="R460" s="116">
        <v>2</v>
      </c>
      <c r="S460" s="116">
        <f>R460*M459</f>
        <v>24</v>
      </c>
      <c r="T460" s="116" t="s">
        <v>29</v>
      </c>
      <c r="U460" s="9"/>
      <c r="V460" s="9"/>
      <c r="W460" s="9"/>
      <c r="X460" s="9"/>
      <c r="Y460" s="9"/>
    </row>
    <row r="461" spans="9:25" ht="15.75" thickBot="1" x14ac:dyDescent="0.3">
      <c r="I461" s="188"/>
      <c r="J461" s="286"/>
      <c r="K461" s="286"/>
      <c r="L461" s="284"/>
      <c r="M461" s="284"/>
      <c r="N461" s="284"/>
      <c r="O461" s="284"/>
      <c r="P461" s="284"/>
      <c r="Q461" s="284"/>
      <c r="R461" s="116">
        <v>2</v>
      </c>
      <c r="S461" s="116">
        <f>R461*O460</f>
        <v>4</v>
      </c>
      <c r="T461" s="116" t="s">
        <v>80</v>
      </c>
      <c r="U461" s="9"/>
      <c r="V461" s="9"/>
      <c r="W461" s="9"/>
      <c r="X461" s="9"/>
      <c r="Y461" s="9"/>
    </row>
    <row r="462" spans="9:25" x14ac:dyDescent="0.25">
      <c r="I462" s="188"/>
      <c r="J462" s="286"/>
      <c r="K462" s="286"/>
      <c r="L462" s="286">
        <v>24</v>
      </c>
      <c r="M462" s="168">
        <f>L462*I453</f>
        <v>24</v>
      </c>
      <c r="N462" s="168" t="s">
        <v>41</v>
      </c>
      <c r="O462" s="168">
        <v>1</v>
      </c>
      <c r="P462" s="168">
        <f>O462*M462</f>
        <v>24</v>
      </c>
      <c r="Q462" s="168" t="s">
        <v>36</v>
      </c>
      <c r="R462" s="111">
        <v>2</v>
      </c>
      <c r="S462" s="111">
        <f>R462*P462</f>
        <v>48</v>
      </c>
      <c r="T462" s="21" t="s">
        <v>4</v>
      </c>
      <c r="U462" s="9"/>
      <c r="V462" s="9"/>
      <c r="W462" s="9"/>
      <c r="X462" s="9"/>
      <c r="Y462" s="9"/>
    </row>
    <row r="463" spans="9:25" ht="15.75" thickBot="1" x14ac:dyDescent="0.3">
      <c r="I463" s="188"/>
      <c r="J463" s="286"/>
      <c r="K463" s="286"/>
      <c r="L463" s="286"/>
      <c r="M463" s="169"/>
      <c r="N463" s="169"/>
      <c r="O463" s="169"/>
      <c r="P463" s="169"/>
      <c r="Q463" s="169"/>
      <c r="R463" s="112">
        <v>1</v>
      </c>
      <c r="S463" s="112">
        <f>P462</f>
        <v>24</v>
      </c>
      <c r="T463" s="20" t="s">
        <v>14</v>
      </c>
      <c r="U463" s="9"/>
      <c r="V463" s="9"/>
      <c r="W463" s="9"/>
      <c r="X463" s="9"/>
      <c r="Y463" s="9"/>
    </row>
    <row r="464" spans="9:25" x14ac:dyDescent="0.25">
      <c r="I464" s="188"/>
      <c r="J464" s="286"/>
      <c r="K464" s="286"/>
      <c r="L464" s="286">
        <v>24</v>
      </c>
      <c r="M464" s="168">
        <f>L464*I453</f>
        <v>24</v>
      </c>
      <c r="N464" s="168" t="s">
        <v>82</v>
      </c>
      <c r="O464" s="168">
        <v>1</v>
      </c>
      <c r="P464" s="168">
        <f>O464*M464</f>
        <v>24</v>
      </c>
      <c r="Q464" s="168" t="s">
        <v>36</v>
      </c>
      <c r="R464" s="111">
        <v>2</v>
      </c>
      <c r="S464" s="111">
        <f>R464*P464</f>
        <v>48</v>
      </c>
      <c r="T464" s="21" t="s">
        <v>4</v>
      </c>
      <c r="U464" s="9"/>
      <c r="V464" s="9"/>
      <c r="W464" s="9"/>
      <c r="X464" s="9"/>
      <c r="Y464" s="9"/>
    </row>
    <row r="465" spans="9:25" ht="15.75" thickBot="1" x14ac:dyDescent="0.3">
      <c r="I465" s="188"/>
      <c r="J465" s="286"/>
      <c r="K465" s="286"/>
      <c r="L465" s="286"/>
      <c r="M465" s="169"/>
      <c r="N465" s="169"/>
      <c r="O465" s="169"/>
      <c r="P465" s="169"/>
      <c r="Q465" s="169"/>
      <c r="R465" s="112">
        <v>1</v>
      </c>
      <c r="S465" s="112">
        <f>P464</f>
        <v>24</v>
      </c>
      <c r="T465" s="20" t="s">
        <v>14</v>
      </c>
      <c r="U465" s="9"/>
      <c r="V465" s="9"/>
      <c r="W465" s="9"/>
      <c r="X465" s="9"/>
      <c r="Y465" s="9"/>
    </row>
    <row r="466" spans="9:25" x14ac:dyDescent="0.25">
      <c r="I466" s="188"/>
      <c r="J466" s="286"/>
      <c r="K466" s="286"/>
      <c r="L466" s="225">
        <v>24</v>
      </c>
      <c r="M466" s="224">
        <f>L466*I453</f>
        <v>24</v>
      </c>
      <c r="N466" s="224" t="s">
        <v>101</v>
      </c>
      <c r="O466" s="224">
        <v>2</v>
      </c>
      <c r="P466" s="224">
        <f>O466*M466</f>
        <v>48</v>
      </c>
      <c r="Q466" s="224" t="s">
        <v>106</v>
      </c>
      <c r="R466" s="113">
        <v>3</v>
      </c>
      <c r="S466" s="113">
        <f>R466*P466</f>
        <v>144</v>
      </c>
      <c r="T466" s="41" t="s">
        <v>24</v>
      </c>
      <c r="U466" s="9"/>
      <c r="V466" s="9"/>
      <c r="W466" s="9"/>
      <c r="X466" s="9"/>
      <c r="Y466" s="9"/>
    </row>
    <row r="467" spans="9:25" x14ac:dyDescent="0.25">
      <c r="I467" s="188"/>
      <c r="J467" s="286"/>
      <c r="K467" s="286"/>
      <c r="L467" s="225"/>
      <c r="M467" s="225"/>
      <c r="N467" s="225"/>
      <c r="O467" s="225"/>
      <c r="P467" s="225"/>
      <c r="Q467" s="225"/>
      <c r="R467" s="114">
        <v>1</v>
      </c>
      <c r="S467" s="114">
        <f>R467*P466</f>
        <v>48</v>
      </c>
      <c r="T467" s="75" t="s">
        <v>16</v>
      </c>
      <c r="U467" s="9"/>
      <c r="V467" s="9"/>
      <c r="W467" s="9"/>
      <c r="X467" s="9"/>
      <c r="Y467" s="9"/>
    </row>
    <row r="468" spans="9:25" ht="15.75" thickBot="1" x14ac:dyDescent="0.3">
      <c r="I468" s="188"/>
      <c r="J468" s="286"/>
      <c r="K468" s="286"/>
      <c r="L468" s="225"/>
      <c r="M468" s="226"/>
      <c r="N468" s="226"/>
      <c r="O468" s="115"/>
      <c r="P468" s="115"/>
      <c r="Q468" s="115"/>
      <c r="R468" s="115">
        <v>9</v>
      </c>
      <c r="S468" s="115">
        <f>R468*M466</f>
        <v>216</v>
      </c>
      <c r="T468" s="42" t="s">
        <v>107</v>
      </c>
      <c r="U468" s="9"/>
      <c r="V468" s="9"/>
      <c r="W468" s="9"/>
      <c r="X468" s="9"/>
      <c r="Y468" s="9"/>
    </row>
    <row r="469" spans="9:25" x14ac:dyDescent="0.25">
      <c r="I469" s="188"/>
      <c r="J469" s="286"/>
      <c r="K469" s="286"/>
      <c r="L469" s="288">
        <v>12</v>
      </c>
      <c r="M469" s="253">
        <f>L469*I453</f>
        <v>12</v>
      </c>
      <c r="N469" s="253" t="s">
        <v>94</v>
      </c>
      <c r="O469" s="253"/>
      <c r="P469" s="253"/>
      <c r="Q469" s="253"/>
      <c r="R469" s="130">
        <v>3</v>
      </c>
      <c r="S469" s="130">
        <f>R469*M469</f>
        <v>36</v>
      </c>
      <c r="T469" s="55" t="s">
        <v>2</v>
      </c>
      <c r="U469" s="9"/>
      <c r="V469" s="9"/>
      <c r="W469" s="9"/>
      <c r="X469" s="9"/>
      <c r="Y469" s="9"/>
    </row>
    <row r="470" spans="9:25" ht="15.75" thickBot="1" x14ac:dyDescent="0.3">
      <c r="I470" s="188"/>
      <c r="J470" s="286"/>
      <c r="K470" s="286"/>
      <c r="L470" s="288"/>
      <c r="M470" s="254"/>
      <c r="N470" s="254"/>
      <c r="O470" s="254"/>
      <c r="P470" s="254"/>
      <c r="Q470" s="254"/>
      <c r="R470" s="131">
        <v>2</v>
      </c>
      <c r="S470" s="131">
        <f>R470*M469</f>
        <v>24</v>
      </c>
      <c r="T470" s="15" t="s">
        <v>3</v>
      </c>
      <c r="U470" s="9"/>
      <c r="V470" s="9"/>
      <c r="W470" s="9"/>
      <c r="X470" s="9"/>
      <c r="Y470" s="9"/>
    </row>
    <row r="471" spans="9:25" ht="15.75" thickTop="1" x14ac:dyDescent="0.25">
      <c r="I471" s="188"/>
      <c r="J471" s="286"/>
      <c r="K471" s="286"/>
      <c r="L471" s="286">
        <v>30</v>
      </c>
      <c r="M471" s="168">
        <f>L471*I453</f>
        <v>30</v>
      </c>
      <c r="N471" s="168" t="s">
        <v>41</v>
      </c>
      <c r="O471" s="168">
        <v>1</v>
      </c>
      <c r="P471" s="168">
        <f>O471*M471</f>
        <v>30</v>
      </c>
      <c r="Q471" s="168" t="s">
        <v>36</v>
      </c>
      <c r="R471" s="111">
        <v>2</v>
      </c>
      <c r="S471" s="111">
        <f>R471*P471</f>
        <v>60</v>
      </c>
      <c r="T471" s="21" t="s">
        <v>4</v>
      </c>
      <c r="U471" s="9"/>
      <c r="V471" s="9"/>
      <c r="W471" s="9"/>
      <c r="X471" s="9"/>
      <c r="Y471" s="9"/>
    </row>
    <row r="472" spans="9:25" ht="15.75" thickBot="1" x14ac:dyDescent="0.3">
      <c r="I472" s="188"/>
      <c r="J472" s="286"/>
      <c r="K472" s="286"/>
      <c r="L472" s="286"/>
      <c r="M472" s="169"/>
      <c r="N472" s="169"/>
      <c r="O472" s="169"/>
      <c r="P472" s="169"/>
      <c r="Q472" s="169"/>
      <c r="R472" s="112">
        <v>1</v>
      </c>
      <c r="S472" s="112">
        <f>P471</f>
        <v>30</v>
      </c>
      <c r="T472" s="20" t="s">
        <v>14</v>
      </c>
      <c r="U472" s="9"/>
      <c r="V472" s="9"/>
      <c r="W472" s="9"/>
      <c r="X472" s="9"/>
      <c r="Y472" s="9"/>
    </row>
    <row r="473" spans="9:25" x14ac:dyDescent="0.25">
      <c r="I473" s="188"/>
      <c r="J473" s="286"/>
      <c r="K473" s="286"/>
      <c r="L473" s="265">
        <v>18</v>
      </c>
      <c r="M473" s="270">
        <f>L473*I453</f>
        <v>18</v>
      </c>
      <c r="N473" s="270" t="s">
        <v>133</v>
      </c>
      <c r="O473" s="59"/>
      <c r="P473" s="59"/>
      <c r="Q473" s="59"/>
      <c r="R473" s="117">
        <v>4</v>
      </c>
      <c r="S473" s="117">
        <f>R473*M473</f>
        <v>72</v>
      </c>
      <c r="T473" s="60" t="s">
        <v>28</v>
      </c>
      <c r="U473" s="9"/>
      <c r="V473" s="9"/>
      <c r="W473" s="9"/>
      <c r="X473" s="9"/>
      <c r="Y473" s="9"/>
    </row>
    <row r="474" spans="9:25" x14ac:dyDescent="0.25">
      <c r="I474" s="188"/>
      <c r="J474" s="286"/>
      <c r="K474" s="286"/>
      <c r="L474" s="265"/>
      <c r="M474" s="265"/>
      <c r="N474" s="265"/>
      <c r="O474" s="265">
        <v>1</v>
      </c>
      <c r="P474" s="265">
        <f>O474*M473</f>
        <v>18</v>
      </c>
      <c r="Q474" s="265" t="s">
        <v>30</v>
      </c>
      <c r="R474" s="118">
        <v>5</v>
      </c>
      <c r="S474" s="118">
        <f>R474*P474</f>
        <v>90</v>
      </c>
      <c r="T474" s="61" t="s">
        <v>27</v>
      </c>
      <c r="U474" s="9"/>
      <c r="V474" s="9"/>
      <c r="W474" s="9"/>
      <c r="X474" s="9"/>
      <c r="Y474" s="9"/>
    </row>
    <row r="475" spans="9:25" x14ac:dyDescent="0.25">
      <c r="I475" s="188"/>
      <c r="J475" s="286"/>
      <c r="K475" s="286"/>
      <c r="L475" s="265"/>
      <c r="M475" s="292"/>
      <c r="N475" s="292"/>
      <c r="O475" s="292"/>
      <c r="P475" s="292"/>
      <c r="Q475" s="292"/>
      <c r="R475" s="119">
        <v>1</v>
      </c>
      <c r="S475" s="119">
        <f>R475*P474</f>
        <v>18</v>
      </c>
      <c r="T475" s="102" t="s">
        <v>8</v>
      </c>
      <c r="U475" s="9"/>
      <c r="V475" s="9"/>
      <c r="W475" s="9"/>
      <c r="X475" s="9"/>
      <c r="Y475" s="9"/>
    </row>
    <row r="476" spans="9:25" x14ac:dyDescent="0.25">
      <c r="I476" s="188"/>
      <c r="J476" s="286"/>
      <c r="K476" s="286"/>
      <c r="L476" s="289">
        <v>9</v>
      </c>
      <c r="M476" s="290">
        <f>L476*I453</f>
        <v>9</v>
      </c>
      <c r="N476" s="290" t="s">
        <v>137</v>
      </c>
      <c r="O476" s="290"/>
      <c r="P476" s="290"/>
      <c r="Q476" s="290"/>
      <c r="R476" s="123">
        <v>3</v>
      </c>
      <c r="S476" s="123">
        <f>R476*M476</f>
        <v>27</v>
      </c>
      <c r="T476" s="123" t="s">
        <v>138</v>
      </c>
      <c r="U476" s="9"/>
      <c r="V476" s="9"/>
      <c r="W476" s="9"/>
      <c r="X476" s="9"/>
      <c r="Y476" s="9"/>
    </row>
    <row r="477" spans="9:25" ht="15.75" thickBot="1" x14ac:dyDescent="0.3">
      <c r="I477" s="188"/>
      <c r="J477" s="286"/>
      <c r="K477" s="286"/>
      <c r="L477" s="289"/>
      <c r="M477" s="291"/>
      <c r="N477" s="291"/>
      <c r="O477" s="291"/>
      <c r="P477" s="291"/>
      <c r="Q477" s="291"/>
      <c r="R477" s="123">
        <v>9</v>
      </c>
      <c r="S477" s="123">
        <f>R477*M476</f>
        <v>81</v>
      </c>
      <c r="T477" s="123" t="s">
        <v>139</v>
      </c>
      <c r="U477" s="9"/>
      <c r="V477" s="9"/>
      <c r="W477" s="9"/>
      <c r="X477" s="9"/>
      <c r="Y477" s="9"/>
    </row>
    <row r="478" spans="9:25" x14ac:dyDescent="0.25">
      <c r="I478" s="188"/>
      <c r="J478" s="286"/>
      <c r="K478" s="286"/>
      <c r="L478" s="194">
        <v>18</v>
      </c>
      <c r="M478" s="193">
        <f>L478*I453</f>
        <v>18</v>
      </c>
      <c r="N478" s="193" t="s">
        <v>45</v>
      </c>
      <c r="O478" s="128"/>
      <c r="P478" s="128"/>
      <c r="Q478" s="128"/>
      <c r="R478" s="128">
        <v>2</v>
      </c>
      <c r="S478" s="128">
        <f>R478*M478</f>
        <v>36</v>
      </c>
      <c r="T478" s="98" t="s">
        <v>5</v>
      </c>
      <c r="U478" s="9"/>
      <c r="V478" s="9"/>
      <c r="W478" s="9"/>
      <c r="X478" s="9"/>
      <c r="Y478" s="9"/>
    </row>
    <row r="479" spans="9:25" x14ac:dyDescent="0.25">
      <c r="I479" s="188"/>
      <c r="J479" s="286"/>
      <c r="K479" s="286"/>
      <c r="L479" s="194"/>
      <c r="M479" s="194"/>
      <c r="N479" s="194"/>
      <c r="O479" s="127">
        <v>1</v>
      </c>
      <c r="P479" s="127">
        <f>O479*M478</f>
        <v>18</v>
      </c>
      <c r="Q479" s="127" t="s">
        <v>58</v>
      </c>
      <c r="R479" s="127">
        <v>2</v>
      </c>
      <c r="S479" s="127">
        <f>R479*P479</f>
        <v>36</v>
      </c>
      <c r="T479" s="99" t="s">
        <v>21</v>
      </c>
      <c r="U479" s="9"/>
      <c r="V479" s="9"/>
      <c r="W479" s="9"/>
      <c r="X479" s="9"/>
      <c r="Y479" s="9"/>
    </row>
    <row r="480" spans="9:25" ht="15.75" thickBot="1" x14ac:dyDescent="0.3">
      <c r="I480" s="285"/>
      <c r="J480" s="287"/>
      <c r="K480" s="287"/>
      <c r="L480" s="293"/>
      <c r="M480" s="195"/>
      <c r="N480" s="195"/>
      <c r="O480" s="129"/>
      <c r="P480" s="129"/>
      <c r="Q480" s="129"/>
      <c r="R480" s="129">
        <v>1</v>
      </c>
      <c r="S480" s="129">
        <f>M478</f>
        <v>18</v>
      </c>
      <c r="T480" s="100" t="s">
        <v>59</v>
      </c>
      <c r="U480" s="9"/>
      <c r="V480" s="9"/>
      <c r="W480" s="9"/>
      <c r="X480" s="9"/>
      <c r="Y480" s="9"/>
    </row>
    <row r="481" spans="9:25" x14ac:dyDescent="0.25">
      <c r="I481" s="188">
        <f>D24</f>
        <v>1</v>
      </c>
      <c r="J481" s="286" t="s">
        <v>121</v>
      </c>
      <c r="K481" s="286" t="s">
        <v>135</v>
      </c>
      <c r="L481" s="294">
        <v>12</v>
      </c>
      <c r="M481" s="249">
        <f>L481*I481</f>
        <v>12</v>
      </c>
      <c r="N481" s="249" t="s">
        <v>104</v>
      </c>
      <c r="O481" s="249"/>
      <c r="P481" s="249"/>
      <c r="Q481" s="249"/>
      <c r="R481" s="124">
        <v>1</v>
      </c>
      <c r="S481" s="124">
        <f>M481</f>
        <v>12</v>
      </c>
      <c r="T481" s="83" t="s">
        <v>109</v>
      </c>
      <c r="U481" s="9"/>
      <c r="V481" s="9"/>
      <c r="W481" s="9"/>
      <c r="X481" s="9"/>
      <c r="Y481" s="9"/>
    </row>
    <row r="482" spans="9:25" ht="15.75" thickBot="1" x14ac:dyDescent="0.3">
      <c r="I482" s="188"/>
      <c r="J482" s="286"/>
      <c r="K482" s="286"/>
      <c r="L482" s="294"/>
      <c r="M482" s="250"/>
      <c r="N482" s="250"/>
      <c r="O482" s="250"/>
      <c r="P482" s="250"/>
      <c r="Q482" s="250"/>
      <c r="R482" s="125">
        <v>1</v>
      </c>
      <c r="S482" s="125">
        <f>M481</f>
        <v>12</v>
      </c>
      <c r="T482" s="84" t="s">
        <v>110</v>
      </c>
      <c r="U482" s="9"/>
      <c r="V482" s="9"/>
      <c r="W482" s="9"/>
      <c r="X482" s="9"/>
      <c r="Y482" s="9"/>
    </row>
    <row r="483" spans="9:25" x14ac:dyDescent="0.25">
      <c r="I483" s="188"/>
      <c r="J483" s="286"/>
      <c r="K483" s="286"/>
      <c r="L483" s="286">
        <v>30</v>
      </c>
      <c r="M483" s="168">
        <f>L483*I481</f>
        <v>30</v>
      </c>
      <c r="N483" s="168" t="s">
        <v>115</v>
      </c>
      <c r="O483" s="168">
        <v>1</v>
      </c>
      <c r="P483" s="168">
        <f>O483*M483</f>
        <v>30</v>
      </c>
      <c r="Q483" s="168" t="s">
        <v>62</v>
      </c>
      <c r="R483" s="111">
        <v>2</v>
      </c>
      <c r="S483" s="111">
        <f>R483*P483</f>
        <v>60</v>
      </c>
      <c r="T483" s="21" t="s">
        <v>14</v>
      </c>
      <c r="U483" s="9"/>
      <c r="V483" s="9"/>
      <c r="W483" s="9"/>
      <c r="X483" s="9"/>
      <c r="Y483" s="9"/>
    </row>
    <row r="484" spans="9:25" ht="15.75" thickBot="1" x14ac:dyDescent="0.3">
      <c r="I484" s="188"/>
      <c r="J484" s="286"/>
      <c r="K484" s="286"/>
      <c r="L484" s="286"/>
      <c r="M484" s="169"/>
      <c r="N484" s="169"/>
      <c r="O484" s="169"/>
      <c r="P484" s="169"/>
      <c r="Q484" s="169"/>
      <c r="R484" s="112">
        <v>1</v>
      </c>
      <c r="S484" s="112">
        <f>P483</f>
        <v>30</v>
      </c>
      <c r="T484" s="20" t="s">
        <v>10</v>
      </c>
      <c r="U484" s="9"/>
      <c r="V484" s="9"/>
      <c r="W484" s="9"/>
      <c r="X484" s="9"/>
      <c r="Y484" s="9"/>
    </row>
    <row r="485" spans="9:25" ht="15.75" thickBot="1" x14ac:dyDescent="0.3">
      <c r="I485" s="188"/>
      <c r="J485" s="286"/>
      <c r="K485" s="286"/>
      <c r="L485" s="108">
        <v>30</v>
      </c>
      <c r="M485" s="12">
        <f>L485*I481</f>
        <v>30</v>
      </c>
      <c r="N485" s="12" t="s">
        <v>53</v>
      </c>
      <c r="O485" s="12"/>
      <c r="P485" s="12"/>
      <c r="Q485" s="12"/>
      <c r="R485" s="12">
        <v>3</v>
      </c>
      <c r="S485" s="12">
        <f>R485*M485</f>
        <v>90</v>
      </c>
      <c r="T485" s="19" t="s">
        <v>25</v>
      </c>
      <c r="U485" s="9"/>
      <c r="V485" s="9"/>
      <c r="W485" s="9"/>
      <c r="X485" s="9"/>
      <c r="Y485" s="9"/>
    </row>
    <row r="486" spans="9:25" ht="15.75" thickBot="1" x14ac:dyDescent="0.3">
      <c r="I486" s="188"/>
      <c r="J486" s="286"/>
      <c r="K486" s="286"/>
      <c r="L486" s="108">
        <v>30</v>
      </c>
      <c r="M486" s="12">
        <f>L486*I481</f>
        <v>30</v>
      </c>
      <c r="N486" s="12" t="s">
        <v>84</v>
      </c>
      <c r="O486" s="12">
        <v>1</v>
      </c>
      <c r="P486" s="12">
        <f>O486*M486</f>
        <v>30</v>
      </c>
      <c r="Q486" s="12" t="s">
        <v>52</v>
      </c>
      <c r="R486" s="12">
        <v>3</v>
      </c>
      <c r="S486" s="12">
        <f>R486*P486</f>
        <v>90</v>
      </c>
      <c r="T486" s="19" t="s">
        <v>8</v>
      </c>
      <c r="U486" s="9"/>
      <c r="V486" s="9"/>
      <c r="W486" s="9"/>
      <c r="X486" s="9"/>
      <c r="Y486" s="9"/>
    </row>
    <row r="487" spans="9:25" ht="15.75" thickTop="1" x14ac:dyDescent="0.25">
      <c r="I487" s="188"/>
      <c r="J487" s="286"/>
      <c r="K487" s="286"/>
      <c r="L487" s="286">
        <v>30</v>
      </c>
      <c r="M487" s="210">
        <f>L487*I481</f>
        <v>30</v>
      </c>
      <c r="N487" s="210" t="s">
        <v>62</v>
      </c>
      <c r="O487" s="210"/>
      <c r="P487" s="210"/>
      <c r="Q487" s="210"/>
      <c r="R487" s="126">
        <v>2</v>
      </c>
      <c r="S487" s="126">
        <f>R487*M487</f>
        <v>60</v>
      </c>
      <c r="T487" s="13" t="s">
        <v>14</v>
      </c>
      <c r="U487" s="9"/>
      <c r="V487" s="9"/>
      <c r="W487" s="9"/>
      <c r="X487" s="9"/>
      <c r="Y487" s="9"/>
    </row>
    <row r="488" spans="9:25" ht="15.75" thickBot="1" x14ac:dyDescent="0.3">
      <c r="I488" s="188"/>
      <c r="J488" s="286"/>
      <c r="K488" s="286"/>
      <c r="L488" s="286"/>
      <c r="M488" s="169"/>
      <c r="N488" s="169"/>
      <c r="O488" s="169"/>
      <c r="P488" s="169"/>
      <c r="Q488" s="169"/>
      <c r="R488" s="112">
        <v>1</v>
      </c>
      <c r="S488" s="112">
        <f>M487</f>
        <v>30</v>
      </c>
      <c r="T488" s="20" t="s">
        <v>10</v>
      </c>
      <c r="U488" s="9"/>
      <c r="V488" s="9"/>
      <c r="W488" s="9"/>
      <c r="X488" s="9"/>
      <c r="Y488" s="9"/>
    </row>
    <row r="489" spans="9:25" x14ac:dyDescent="0.25">
      <c r="I489" s="188"/>
      <c r="J489" s="286"/>
      <c r="K489" s="286"/>
      <c r="L489" s="286">
        <v>30</v>
      </c>
      <c r="M489" s="168">
        <f>L489*I481</f>
        <v>30</v>
      </c>
      <c r="N489" s="168" t="s">
        <v>63</v>
      </c>
      <c r="O489" s="168">
        <v>1</v>
      </c>
      <c r="P489" s="168">
        <f>O489*M489</f>
        <v>30</v>
      </c>
      <c r="Q489" s="168" t="s">
        <v>62</v>
      </c>
      <c r="R489" s="111">
        <v>2</v>
      </c>
      <c r="S489" s="111">
        <f>R489*P489</f>
        <v>60</v>
      </c>
      <c r="T489" s="21" t="s">
        <v>14</v>
      </c>
      <c r="U489" s="9"/>
      <c r="V489" s="9"/>
      <c r="W489" s="9"/>
      <c r="X489" s="9"/>
      <c r="Y489" s="9"/>
    </row>
    <row r="490" spans="9:25" ht="15.75" thickBot="1" x14ac:dyDescent="0.3">
      <c r="I490" s="188"/>
      <c r="J490" s="286"/>
      <c r="K490" s="286"/>
      <c r="L490" s="286"/>
      <c r="M490" s="169"/>
      <c r="N490" s="169"/>
      <c r="O490" s="169"/>
      <c r="P490" s="169"/>
      <c r="Q490" s="169"/>
      <c r="R490" s="112">
        <v>1</v>
      </c>
      <c r="S490" s="112">
        <f>P489</f>
        <v>30</v>
      </c>
      <c r="T490" s="20" t="s">
        <v>10</v>
      </c>
      <c r="U490" s="9"/>
      <c r="V490" s="9"/>
      <c r="W490" s="9"/>
      <c r="X490" s="9"/>
      <c r="Y490" s="9"/>
    </row>
    <row r="491" spans="9:25" x14ac:dyDescent="0.25">
      <c r="I491" s="188"/>
      <c r="J491" s="286"/>
      <c r="K491" s="286"/>
      <c r="L491" s="286">
        <v>30</v>
      </c>
      <c r="M491" s="168">
        <f>L491*I481</f>
        <v>30</v>
      </c>
      <c r="N491" s="168" t="s">
        <v>41</v>
      </c>
      <c r="O491" s="168">
        <v>1</v>
      </c>
      <c r="P491" s="168">
        <f>O491*M491</f>
        <v>30</v>
      </c>
      <c r="Q491" s="168" t="s">
        <v>36</v>
      </c>
      <c r="R491" s="111">
        <v>2</v>
      </c>
      <c r="S491" s="111">
        <f>R491*P491</f>
        <v>60</v>
      </c>
      <c r="T491" s="21" t="s">
        <v>4</v>
      </c>
      <c r="U491" s="9"/>
      <c r="V491" s="9"/>
      <c r="W491" s="9"/>
      <c r="X491" s="9"/>
      <c r="Y491" s="9"/>
    </row>
    <row r="492" spans="9:25" ht="15.75" thickBot="1" x14ac:dyDescent="0.3">
      <c r="I492" s="188"/>
      <c r="J492" s="286"/>
      <c r="K492" s="286"/>
      <c r="L492" s="286"/>
      <c r="M492" s="169"/>
      <c r="N492" s="169"/>
      <c r="O492" s="169"/>
      <c r="P492" s="169"/>
      <c r="Q492" s="169"/>
      <c r="R492" s="112">
        <v>1</v>
      </c>
      <c r="S492" s="112">
        <f>P491</f>
        <v>30</v>
      </c>
      <c r="T492" s="20" t="s">
        <v>14</v>
      </c>
      <c r="U492" s="9"/>
      <c r="V492" s="9"/>
      <c r="W492" s="9"/>
      <c r="X492" s="9"/>
      <c r="Y492" s="9"/>
    </row>
    <row r="493" spans="9:25" x14ac:dyDescent="0.25">
      <c r="I493" s="188"/>
      <c r="J493" s="286"/>
      <c r="K493" s="286"/>
      <c r="L493" s="295">
        <v>30</v>
      </c>
      <c r="M493" s="245">
        <f>L493*I481</f>
        <v>30</v>
      </c>
      <c r="N493" s="245" t="s">
        <v>64</v>
      </c>
      <c r="O493" s="63">
        <v>2</v>
      </c>
      <c r="P493" s="132">
        <f>O493*M493</f>
        <v>60</v>
      </c>
      <c r="Q493" s="63" t="s">
        <v>53</v>
      </c>
      <c r="R493" s="132">
        <v>3</v>
      </c>
      <c r="S493" s="132">
        <f>R493*P493</f>
        <v>180</v>
      </c>
      <c r="T493" s="64" t="s">
        <v>25</v>
      </c>
      <c r="U493" s="9"/>
      <c r="V493" s="9"/>
      <c r="W493" s="9"/>
      <c r="X493" s="9"/>
      <c r="Y493" s="9"/>
    </row>
    <row r="494" spans="9:25" ht="15.75" thickBot="1" x14ac:dyDescent="0.3">
      <c r="I494" s="188"/>
      <c r="J494" s="286"/>
      <c r="K494" s="286"/>
      <c r="L494" s="295"/>
      <c r="M494" s="246"/>
      <c r="N494" s="246"/>
      <c r="O494" s="65"/>
      <c r="P494" s="65"/>
      <c r="Q494" s="65"/>
      <c r="R494" s="133">
        <v>9</v>
      </c>
      <c r="S494" s="133">
        <f>R494*M493</f>
        <v>270</v>
      </c>
      <c r="T494" s="66" t="s">
        <v>67</v>
      </c>
      <c r="U494" s="9"/>
      <c r="V494" s="9"/>
      <c r="W494" s="9"/>
      <c r="X494" s="9"/>
      <c r="Y494" s="9"/>
    </row>
    <row r="495" spans="9:25" x14ac:dyDescent="0.25">
      <c r="I495" s="188"/>
      <c r="J495" s="286"/>
      <c r="K495" s="286"/>
      <c r="L495" s="228">
        <v>9</v>
      </c>
      <c r="M495" s="227">
        <f>L495*I481</f>
        <v>9</v>
      </c>
      <c r="N495" s="227" t="s">
        <v>100</v>
      </c>
      <c r="O495" s="227"/>
      <c r="P495" s="227"/>
      <c r="Q495" s="227"/>
      <c r="R495" s="120">
        <v>3</v>
      </c>
      <c r="S495" s="120">
        <f>R495*M495</f>
        <v>27</v>
      </c>
      <c r="T495" s="25" t="s">
        <v>105</v>
      </c>
      <c r="U495" s="9"/>
      <c r="V495" s="9"/>
      <c r="W495" s="9"/>
      <c r="X495" s="9"/>
      <c r="Y495" s="9"/>
    </row>
    <row r="496" spans="9:25" x14ac:dyDescent="0.25">
      <c r="I496" s="188"/>
      <c r="J496" s="286"/>
      <c r="K496" s="286"/>
      <c r="L496" s="228"/>
      <c r="M496" s="228"/>
      <c r="N496" s="228"/>
      <c r="O496" s="228"/>
      <c r="P496" s="228"/>
      <c r="Q496" s="228"/>
      <c r="R496" s="121">
        <v>9</v>
      </c>
      <c r="S496" s="121">
        <f>R496*M495</f>
        <v>81</v>
      </c>
      <c r="T496" s="6" t="s">
        <v>67</v>
      </c>
      <c r="U496" s="9"/>
      <c r="V496" s="9"/>
      <c r="W496" s="9"/>
      <c r="X496" s="9"/>
      <c r="Y496" s="9"/>
    </row>
    <row r="497" spans="9:25" ht="15.75" thickBot="1" x14ac:dyDescent="0.3">
      <c r="I497" s="188"/>
      <c r="J497" s="286"/>
      <c r="K497" s="286"/>
      <c r="L497" s="228"/>
      <c r="M497" s="283"/>
      <c r="N497" s="283"/>
      <c r="O497" s="283"/>
      <c r="P497" s="283"/>
      <c r="Q497" s="283"/>
      <c r="R497" s="122">
        <v>3</v>
      </c>
      <c r="S497" s="122">
        <f>R497*M495</f>
        <v>27</v>
      </c>
      <c r="T497" s="101" t="s">
        <v>4</v>
      </c>
      <c r="U497" s="9"/>
      <c r="V497" s="9"/>
      <c r="W497" s="9"/>
      <c r="X497" s="9"/>
      <c r="Y497" s="9"/>
    </row>
    <row r="498" spans="9:25" x14ac:dyDescent="0.25">
      <c r="I498" s="188"/>
      <c r="J498" s="286"/>
      <c r="K498" s="286"/>
      <c r="L498" s="265">
        <v>12</v>
      </c>
      <c r="M498" s="270">
        <f>L498*I481</f>
        <v>12</v>
      </c>
      <c r="N498" s="270" t="s">
        <v>133</v>
      </c>
      <c r="O498" s="59"/>
      <c r="P498" s="59"/>
      <c r="Q498" s="59"/>
      <c r="R498" s="117">
        <v>4</v>
      </c>
      <c r="S498" s="117">
        <f>R498*M498</f>
        <v>48</v>
      </c>
      <c r="T498" s="60" t="s">
        <v>28</v>
      </c>
      <c r="U498" s="9"/>
      <c r="V498" s="9"/>
      <c r="W498" s="9"/>
      <c r="X498" s="9"/>
      <c r="Y498" s="9"/>
    </row>
    <row r="499" spans="9:25" x14ac:dyDescent="0.25">
      <c r="I499" s="188"/>
      <c r="J499" s="286"/>
      <c r="K499" s="286"/>
      <c r="L499" s="265"/>
      <c r="M499" s="265"/>
      <c r="N499" s="265"/>
      <c r="O499" s="265">
        <v>1</v>
      </c>
      <c r="P499" s="265">
        <f>O499*M498</f>
        <v>12</v>
      </c>
      <c r="Q499" s="265" t="s">
        <v>30</v>
      </c>
      <c r="R499" s="118">
        <v>5</v>
      </c>
      <c r="S499" s="118">
        <f>R499*P499</f>
        <v>60</v>
      </c>
      <c r="T499" s="61" t="s">
        <v>27</v>
      </c>
      <c r="U499" s="9"/>
      <c r="V499" s="9"/>
      <c r="W499" s="9"/>
      <c r="X499" s="9"/>
      <c r="Y499" s="9"/>
    </row>
    <row r="500" spans="9:25" ht="15.75" thickBot="1" x14ac:dyDescent="0.3">
      <c r="I500" s="188"/>
      <c r="J500" s="286"/>
      <c r="K500" s="286"/>
      <c r="L500" s="265"/>
      <c r="M500" s="292"/>
      <c r="N500" s="292"/>
      <c r="O500" s="292"/>
      <c r="P500" s="292"/>
      <c r="Q500" s="292"/>
      <c r="R500" s="119">
        <v>1</v>
      </c>
      <c r="S500" s="119">
        <f>R500*P499</f>
        <v>12</v>
      </c>
      <c r="T500" s="102" t="s">
        <v>8</v>
      </c>
      <c r="U500" s="9"/>
      <c r="V500" s="9"/>
      <c r="W500" s="9"/>
      <c r="X500" s="9"/>
      <c r="Y500" s="9"/>
    </row>
    <row r="501" spans="9:25" ht="15.75" thickBot="1" x14ac:dyDescent="0.3">
      <c r="I501" s="188"/>
      <c r="J501" s="286"/>
      <c r="K501" s="286"/>
      <c r="L501" s="108">
        <v>12</v>
      </c>
      <c r="M501" s="12">
        <f>L501*I481</f>
        <v>12</v>
      </c>
      <c r="N501" s="12" t="s">
        <v>122</v>
      </c>
      <c r="O501" s="12">
        <v>1</v>
      </c>
      <c r="P501" s="12">
        <f>O501*M501</f>
        <v>12</v>
      </c>
      <c r="Q501" s="12" t="s">
        <v>53</v>
      </c>
      <c r="R501" s="12">
        <v>3</v>
      </c>
      <c r="S501" s="12">
        <f>R501*P501</f>
        <v>36</v>
      </c>
      <c r="T501" s="19" t="s">
        <v>25</v>
      </c>
      <c r="U501" s="9"/>
      <c r="V501" s="9"/>
      <c r="W501" s="9"/>
      <c r="X501" s="9"/>
      <c r="Y501" s="9"/>
    </row>
    <row r="502" spans="9:25" x14ac:dyDescent="0.25">
      <c r="I502" s="188"/>
      <c r="J502" s="286"/>
      <c r="K502" s="286"/>
      <c r="L502" s="289">
        <v>9</v>
      </c>
      <c r="M502" s="290">
        <f>L502*I481</f>
        <v>9</v>
      </c>
      <c r="N502" s="290" t="s">
        <v>137</v>
      </c>
      <c r="O502" s="290"/>
      <c r="P502" s="290"/>
      <c r="Q502" s="290"/>
      <c r="R502" s="123">
        <v>3</v>
      </c>
      <c r="S502" s="123">
        <f>R502*M502</f>
        <v>27</v>
      </c>
      <c r="T502" s="123" t="s">
        <v>138</v>
      </c>
      <c r="U502" s="9"/>
      <c r="V502" s="9"/>
      <c r="W502" s="9"/>
      <c r="X502" s="9"/>
      <c r="Y502" s="9"/>
    </row>
    <row r="503" spans="9:25" ht="15.75" thickBot="1" x14ac:dyDescent="0.3">
      <c r="I503" s="188"/>
      <c r="J503" s="286"/>
      <c r="K503" s="286"/>
      <c r="L503" s="289"/>
      <c r="M503" s="291"/>
      <c r="N503" s="291"/>
      <c r="O503" s="291"/>
      <c r="P503" s="291"/>
      <c r="Q503" s="291"/>
      <c r="R503" s="123">
        <v>9</v>
      </c>
      <c r="S503" s="123">
        <f>R503*M502</f>
        <v>81</v>
      </c>
      <c r="T503" s="123" t="s">
        <v>139</v>
      </c>
      <c r="U503" s="9"/>
      <c r="V503" s="9"/>
      <c r="W503" s="9"/>
      <c r="X503" s="9"/>
      <c r="Y503" s="9"/>
    </row>
    <row r="504" spans="9:25" x14ac:dyDescent="0.25">
      <c r="I504" s="188">
        <f>E24</f>
        <v>1</v>
      </c>
      <c r="J504" s="286" t="s">
        <v>140</v>
      </c>
      <c r="K504" s="286" t="s">
        <v>135</v>
      </c>
      <c r="L504" s="297">
        <v>30</v>
      </c>
      <c r="M504" s="168">
        <f>L504*I504</f>
        <v>30</v>
      </c>
      <c r="N504" s="168" t="s">
        <v>63</v>
      </c>
      <c r="O504" s="168">
        <v>1</v>
      </c>
      <c r="P504" s="168">
        <f>O504*M504</f>
        <v>30</v>
      </c>
      <c r="Q504" s="168" t="s">
        <v>62</v>
      </c>
      <c r="R504" s="111">
        <v>2</v>
      </c>
      <c r="S504" s="111">
        <f>R504*P504</f>
        <v>60</v>
      </c>
      <c r="T504" s="21" t="s">
        <v>14</v>
      </c>
      <c r="U504" s="9"/>
      <c r="V504" s="9"/>
      <c r="W504" s="9"/>
      <c r="X504" s="9"/>
      <c r="Y504" s="9"/>
    </row>
    <row r="505" spans="9:25" ht="15.75" thickBot="1" x14ac:dyDescent="0.3">
      <c r="I505" s="188"/>
      <c r="J505" s="286"/>
      <c r="K505" s="286"/>
      <c r="L505" s="298"/>
      <c r="M505" s="169"/>
      <c r="N505" s="169"/>
      <c r="O505" s="169"/>
      <c r="P505" s="169"/>
      <c r="Q505" s="169"/>
      <c r="R505" s="112">
        <v>1</v>
      </c>
      <c r="S505" s="112">
        <f>P504</f>
        <v>30</v>
      </c>
      <c r="T505" s="20" t="s">
        <v>10</v>
      </c>
      <c r="U505" s="9"/>
      <c r="V505" s="9"/>
      <c r="W505" s="9"/>
      <c r="X505" s="9"/>
      <c r="Y505" s="9"/>
    </row>
    <row r="506" spans="9:25" x14ac:dyDescent="0.25">
      <c r="I506" s="188"/>
      <c r="J506" s="286"/>
      <c r="K506" s="286"/>
      <c r="L506" s="297">
        <v>30</v>
      </c>
      <c r="M506" s="168">
        <f>L506*I504</f>
        <v>30</v>
      </c>
      <c r="N506" s="168" t="s">
        <v>62</v>
      </c>
      <c r="O506" s="168"/>
      <c r="P506" s="168"/>
      <c r="Q506" s="168"/>
      <c r="R506" s="111">
        <v>2</v>
      </c>
      <c r="S506" s="111">
        <f>R506*M506</f>
        <v>60</v>
      </c>
      <c r="T506" s="21" t="s">
        <v>14</v>
      </c>
      <c r="U506" s="9"/>
      <c r="V506" s="9"/>
      <c r="W506" s="9"/>
      <c r="X506" s="9"/>
      <c r="Y506" s="9"/>
    </row>
    <row r="507" spans="9:25" ht="15.75" thickBot="1" x14ac:dyDescent="0.3">
      <c r="I507" s="188"/>
      <c r="J507" s="286"/>
      <c r="K507" s="286"/>
      <c r="L507" s="298"/>
      <c r="M507" s="169"/>
      <c r="N507" s="169"/>
      <c r="O507" s="169"/>
      <c r="P507" s="169"/>
      <c r="Q507" s="169"/>
      <c r="R507" s="112">
        <v>1</v>
      </c>
      <c r="S507" s="112">
        <f>M506</f>
        <v>30</v>
      </c>
      <c r="T507" s="20" t="s">
        <v>10</v>
      </c>
      <c r="U507" s="9"/>
      <c r="V507" s="9"/>
      <c r="W507" s="9"/>
      <c r="X507" s="9"/>
      <c r="Y507" s="9"/>
    </row>
    <row r="508" spans="9:25" x14ac:dyDescent="0.25">
      <c r="I508" s="188"/>
      <c r="J508" s="286"/>
      <c r="K508" s="286"/>
      <c r="L508" s="299">
        <v>30</v>
      </c>
      <c r="M508" s="168">
        <f>L508*I504</f>
        <v>30</v>
      </c>
      <c r="N508" s="168" t="s">
        <v>82</v>
      </c>
      <c r="O508" s="168">
        <v>1</v>
      </c>
      <c r="P508" s="168">
        <f>O508*M508</f>
        <v>30</v>
      </c>
      <c r="Q508" s="168" t="s">
        <v>36</v>
      </c>
      <c r="R508" s="111">
        <v>2</v>
      </c>
      <c r="S508" s="111">
        <f>R508*P508</f>
        <v>60</v>
      </c>
      <c r="T508" s="21" t="s">
        <v>4</v>
      </c>
      <c r="U508" s="9"/>
      <c r="V508" s="9"/>
      <c r="W508" s="9"/>
      <c r="X508" s="9"/>
      <c r="Y508" s="9"/>
    </row>
    <row r="509" spans="9:25" ht="15.75" thickBot="1" x14ac:dyDescent="0.3">
      <c r="I509" s="188"/>
      <c r="J509" s="286"/>
      <c r="K509" s="286"/>
      <c r="L509" s="299"/>
      <c r="M509" s="169"/>
      <c r="N509" s="169"/>
      <c r="O509" s="169"/>
      <c r="P509" s="169"/>
      <c r="Q509" s="169"/>
      <c r="R509" s="112">
        <v>1</v>
      </c>
      <c r="S509" s="112">
        <f>P508</f>
        <v>30</v>
      </c>
      <c r="T509" s="20" t="s">
        <v>14</v>
      </c>
      <c r="U509" s="9"/>
      <c r="V509" s="9"/>
      <c r="W509" s="9"/>
      <c r="X509" s="9"/>
      <c r="Y509" s="9"/>
    </row>
    <row r="510" spans="9:25" x14ac:dyDescent="0.25">
      <c r="I510" s="188"/>
      <c r="J510" s="286"/>
      <c r="K510" s="286"/>
      <c r="L510" s="296">
        <v>9</v>
      </c>
      <c r="M510" s="227">
        <f>L510*I504</f>
        <v>9</v>
      </c>
      <c r="N510" s="227" t="s">
        <v>100</v>
      </c>
      <c r="O510" s="227"/>
      <c r="P510" s="227"/>
      <c r="Q510" s="227"/>
      <c r="R510" s="120">
        <v>3</v>
      </c>
      <c r="S510" s="120">
        <f>R510*M510</f>
        <v>27</v>
      </c>
      <c r="T510" s="25" t="s">
        <v>105</v>
      </c>
      <c r="U510" s="9"/>
      <c r="V510" s="9"/>
      <c r="W510" s="9"/>
      <c r="X510" s="9"/>
      <c r="Y510" s="9"/>
    </row>
    <row r="511" spans="9:25" x14ac:dyDescent="0.25">
      <c r="I511" s="188"/>
      <c r="J511" s="286"/>
      <c r="K511" s="286"/>
      <c r="L511" s="296"/>
      <c r="M511" s="228"/>
      <c r="N511" s="228"/>
      <c r="O511" s="228"/>
      <c r="P511" s="228"/>
      <c r="Q511" s="228"/>
      <c r="R511" s="121">
        <v>9</v>
      </c>
      <c r="S511" s="121">
        <f>R511*M510</f>
        <v>81</v>
      </c>
      <c r="T511" s="6" t="s">
        <v>67</v>
      </c>
      <c r="U511" s="9"/>
      <c r="V511" s="9"/>
      <c r="W511" s="9"/>
      <c r="X511" s="9"/>
      <c r="Y511" s="9"/>
    </row>
    <row r="512" spans="9:25" ht="15.75" thickBot="1" x14ac:dyDescent="0.3">
      <c r="I512" s="188"/>
      <c r="J512" s="286"/>
      <c r="K512" s="286"/>
      <c r="L512" s="296"/>
      <c r="M512" s="283"/>
      <c r="N512" s="283"/>
      <c r="O512" s="283"/>
      <c r="P512" s="283"/>
      <c r="Q512" s="283"/>
      <c r="R512" s="122">
        <v>3</v>
      </c>
      <c r="S512" s="122">
        <f>R512*M510</f>
        <v>27</v>
      </c>
      <c r="T512" s="101" t="s">
        <v>4</v>
      </c>
      <c r="U512" s="9"/>
      <c r="V512" s="9"/>
      <c r="W512" s="9"/>
      <c r="X512" s="9"/>
      <c r="Y512" s="9"/>
    </row>
    <row r="513" spans="9:25" x14ac:dyDescent="0.25">
      <c r="I513" s="188"/>
      <c r="J513" s="286"/>
      <c r="K513" s="286"/>
      <c r="L513" s="297">
        <v>30</v>
      </c>
      <c r="M513" s="168">
        <f>L513*I504</f>
        <v>30</v>
      </c>
      <c r="N513" s="168" t="s">
        <v>63</v>
      </c>
      <c r="O513" s="168">
        <v>1</v>
      </c>
      <c r="P513" s="168">
        <f>O513*M513</f>
        <v>30</v>
      </c>
      <c r="Q513" s="168" t="s">
        <v>62</v>
      </c>
      <c r="R513" s="111">
        <v>2</v>
      </c>
      <c r="S513" s="111">
        <f>R513*P513</f>
        <v>60</v>
      </c>
      <c r="T513" s="21" t="s">
        <v>14</v>
      </c>
      <c r="U513" s="9"/>
      <c r="V513" s="9"/>
      <c r="W513" s="9"/>
      <c r="X513" s="9"/>
      <c r="Y513" s="9"/>
    </row>
    <row r="514" spans="9:25" ht="15.75" thickBot="1" x14ac:dyDescent="0.3">
      <c r="I514" s="188"/>
      <c r="J514" s="286"/>
      <c r="K514" s="286"/>
      <c r="L514" s="298"/>
      <c r="M514" s="169"/>
      <c r="N514" s="169"/>
      <c r="O514" s="169"/>
      <c r="P514" s="169"/>
      <c r="Q514" s="169"/>
      <c r="R514" s="112">
        <v>1</v>
      </c>
      <c r="S514" s="112">
        <f>P513</f>
        <v>30</v>
      </c>
      <c r="T514" s="20" t="s">
        <v>10</v>
      </c>
      <c r="U514" s="9"/>
      <c r="V514" s="9"/>
      <c r="W514" s="9"/>
      <c r="X514" s="9"/>
      <c r="Y514" s="9"/>
    </row>
    <row r="515" spans="9:25" x14ac:dyDescent="0.25">
      <c r="I515" s="188"/>
      <c r="J515" s="286"/>
      <c r="K515" s="286"/>
      <c r="L515" s="303">
        <v>18</v>
      </c>
      <c r="M515" s="270">
        <f>L515*I504</f>
        <v>18</v>
      </c>
      <c r="N515" s="270" t="s">
        <v>133</v>
      </c>
      <c r="O515" s="59"/>
      <c r="P515" s="59"/>
      <c r="Q515" s="59"/>
      <c r="R515" s="117">
        <v>4</v>
      </c>
      <c r="S515" s="117">
        <f>R515*M515</f>
        <v>72</v>
      </c>
      <c r="T515" s="60" t="s">
        <v>28</v>
      </c>
      <c r="U515" s="9"/>
      <c r="V515" s="9"/>
      <c r="W515" s="9"/>
      <c r="X515" s="9"/>
      <c r="Y515" s="9"/>
    </row>
    <row r="516" spans="9:25" x14ac:dyDescent="0.25">
      <c r="I516" s="188"/>
      <c r="J516" s="286"/>
      <c r="K516" s="286"/>
      <c r="L516" s="303"/>
      <c r="M516" s="265"/>
      <c r="N516" s="265"/>
      <c r="O516" s="265">
        <v>1</v>
      </c>
      <c r="P516" s="265">
        <f>O516*M515</f>
        <v>18</v>
      </c>
      <c r="Q516" s="265" t="s">
        <v>30</v>
      </c>
      <c r="R516" s="118">
        <v>5</v>
      </c>
      <c r="S516" s="118">
        <f>R516*P516</f>
        <v>90</v>
      </c>
      <c r="T516" s="61" t="s">
        <v>27</v>
      </c>
      <c r="U516" s="9"/>
      <c r="V516" s="9"/>
      <c r="W516" s="9"/>
      <c r="X516" s="9"/>
      <c r="Y516" s="9"/>
    </row>
    <row r="517" spans="9:25" ht="15.75" thickBot="1" x14ac:dyDescent="0.3">
      <c r="I517" s="188"/>
      <c r="J517" s="286"/>
      <c r="K517" s="286"/>
      <c r="L517" s="303"/>
      <c r="M517" s="292"/>
      <c r="N517" s="292"/>
      <c r="O517" s="292"/>
      <c r="P517" s="292"/>
      <c r="Q517" s="292"/>
      <c r="R517" s="119">
        <v>1</v>
      </c>
      <c r="S517" s="119">
        <f>R517*P516</f>
        <v>18</v>
      </c>
      <c r="T517" s="102" t="s">
        <v>8</v>
      </c>
      <c r="U517" s="9"/>
      <c r="V517" s="9"/>
      <c r="W517" s="9"/>
      <c r="X517" s="9"/>
      <c r="Y517" s="9"/>
    </row>
    <row r="518" spans="9:25" x14ac:dyDescent="0.25">
      <c r="I518" s="188"/>
      <c r="J518" s="286"/>
      <c r="K518" s="286"/>
      <c r="L518" s="299">
        <v>30</v>
      </c>
      <c r="M518" s="168">
        <f>L518*I504</f>
        <v>30</v>
      </c>
      <c r="N518" s="168" t="s">
        <v>82</v>
      </c>
      <c r="O518" s="168">
        <v>1</v>
      </c>
      <c r="P518" s="168">
        <f>O518*M518</f>
        <v>30</v>
      </c>
      <c r="Q518" s="168" t="s">
        <v>36</v>
      </c>
      <c r="R518" s="111">
        <v>2</v>
      </c>
      <c r="S518" s="111">
        <f>R518*P518</f>
        <v>60</v>
      </c>
      <c r="T518" s="21" t="s">
        <v>4</v>
      </c>
      <c r="U518" s="9"/>
      <c r="V518" s="9"/>
      <c r="W518" s="9"/>
      <c r="X518" s="9"/>
      <c r="Y518" s="9"/>
    </row>
    <row r="519" spans="9:25" ht="15.75" thickBot="1" x14ac:dyDescent="0.3">
      <c r="I519" s="188"/>
      <c r="J519" s="286"/>
      <c r="K519" s="286"/>
      <c r="L519" s="299"/>
      <c r="M519" s="169"/>
      <c r="N519" s="169"/>
      <c r="O519" s="169"/>
      <c r="P519" s="169"/>
      <c r="Q519" s="169"/>
      <c r="R519" s="112">
        <v>1</v>
      </c>
      <c r="S519" s="112">
        <f>P518</f>
        <v>30</v>
      </c>
      <c r="T519" s="20" t="s">
        <v>14</v>
      </c>
      <c r="U519" s="9"/>
      <c r="V519" s="9"/>
      <c r="W519" s="9"/>
      <c r="X519" s="9"/>
      <c r="Y519" s="9"/>
    </row>
    <row r="520" spans="9:25" x14ac:dyDescent="0.25">
      <c r="I520" s="188"/>
      <c r="J520" s="286"/>
      <c r="K520" s="286"/>
      <c r="L520" s="300">
        <v>12</v>
      </c>
      <c r="M520" s="245">
        <f>L520*I504</f>
        <v>12</v>
      </c>
      <c r="N520" s="245" t="s">
        <v>64</v>
      </c>
      <c r="O520" s="63">
        <v>2</v>
      </c>
      <c r="P520" s="132">
        <f>O520*M520</f>
        <v>24</v>
      </c>
      <c r="Q520" s="63" t="s">
        <v>53</v>
      </c>
      <c r="R520" s="132">
        <v>3</v>
      </c>
      <c r="S520" s="132">
        <f>R520*P520</f>
        <v>72</v>
      </c>
      <c r="T520" s="64" t="s">
        <v>25</v>
      </c>
      <c r="U520" s="9"/>
      <c r="V520" s="9"/>
      <c r="W520" s="9"/>
      <c r="X520" s="9"/>
      <c r="Y520" s="9"/>
    </row>
    <row r="521" spans="9:25" ht="15.75" thickBot="1" x14ac:dyDescent="0.3">
      <c r="I521" s="188"/>
      <c r="J521" s="286"/>
      <c r="K521" s="286"/>
      <c r="L521" s="301"/>
      <c r="M521" s="246"/>
      <c r="N521" s="246"/>
      <c r="O521" s="65"/>
      <c r="P521" s="65"/>
      <c r="Q521" s="65"/>
      <c r="R521" s="133">
        <v>9</v>
      </c>
      <c r="S521" s="133">
        <f>R521*M520</f>
        <v>108</v>
      </c>
      <c r="T521" s="66" t="s">
        <v>67</v>
      </c>
      <c r="U521" s="9"/>
      <c r="V521" s="9"/>
      <c r="W521" s="9"/>
      <c r="X521" s="9"/>
      <c r="Y521" s="9"/>
    </row>
    <row r="522" spans="9:25" x14ac:dyDescent="0.25">
      <c r="I522" s="188"/>
      <c r="J522" s="286"/>
      <c r="K522" s="286"/>
      <c r="L522" s="302">
        <v>12</v>
      </c>
      <c r="M522" s="284">
        <f>L522*I504</f>
        <v>12</v>
      </c>
      <c r="N522" s="284" t="s">
        <v>136</v>
      </c>
      <c r="O522" s="116">
        <v>1</v>
      </c>
      <c r="P522" s="116">
        <f>O522*M522</f>
        <v>12</v>
      </c>
      <c r="Q522" s="116" t="s">
        <v>31</v>
      </c>
      <c r="R522" s="116">
        <v>5</v>
      </c>
      <c r="S522" s="116">
        <f>R522*P522</f>
        <v>60</v>
      </c>
      <c r="T522" s="116" t="s">
        <v>17</v>
      </c>
      <c r="U522" s="9"/>
      <c r="V522" s="9"/>
      <c r="W522" s="9"/>
      <c r="X522" s="9"/>
      <c r="Y522" s="9"/>
    </row>
    <row r="523" spans="9:25" x14ac:dyDescent="0.25">
      <c r="I523" s="188"/>
      <c r="J523" s="286"/>
      <c r="K523" s="286"/>
      <c r="L523" s="302"/>
      <c r="M523" s="284"/>
      <c r="N523" s="284"/>
      <c r="O523" s="284">
        <v>2</v>
      </c>
      <c r="P523" s="284">
        <f>O523*M522</f>
        <v>24</v>
      </c>
      <c r="Q523" s="284" t="s">
        <v>79</v>
      </c>
      <c r="R523" s="116">
        <v>2</v>
      </c>
      <c r="S523" s="116">
        <f>R523*M522</f>
        <v>24</v>
      </c>
      <c r="T523" s="116" t="s">
        <v>29</v>
      </c>
      <c r="U523" s="9"/>
      <c r="V523" s="9"/>
      <c r="W523" s="9"/>
      <c r="X523" s="9"/>
      <c r="Y523" s="9"/>
    </row>
    <row r="524" spans="9:25" ht="15.75" thickBot="1" x14ac:dyDescent="0.3">
      <c r="I524" s="188"/>
      <c r="J524" s="286"/>
      <c r="K524" s="286"/>
      <c r="L524" s="302"/>
      <c r="M524" s="284"/>
      <c r="N524" s="284"/>
      <c r="O524" s="284"/>
      <c r="P524" s="284"/>
      <c r="Q524" s="284"/>
      <c r="R524" s="116">
        <v>2</v>
      </c>
      <c r="S524" s="116">
        <f>R524*O523</f>
        <v>4</v>
      </c>
      <c r="T524" s="116" t="s">
        <v>80</v>
      </c>
      <c r="U524" s="9"/>
      <c r="V524" s="9"/>
      <c r="W524" s="9"/>
      <c r="X524" s="9"/>
      <c r="Y524" s="9"/>
    </row>
    <row r="525" spans="9:25" ht="15.75" thickBot="1" x14ac:dyDescent="0.3">
      <c r="I525" s="188"/>
      <c r="J525" s="286"/>
      <c r="K525" s="286"/>
      <c r="L525" s="110">
        <v>30</v>
      </c>
      <c r="M525" s="12">
        <f>L525*I504</f>
        <v>30</v>
      </c>
      <c r="N525" s="12" t="s">
        <v>122</v>
      </c>
      <c r="O525" s="12">
        <v>1</v>
      </c>
      <c r="P525" s="12">
        <f>O525*M525</f>
        <v>30</v>
      </c>
      <c r="Q525" s="12" t="s">
        <v>53</v>
      </c>
      <c r="R525" s="12">
        <v>3</v>
      </c>
      <c r="S525" s="12">
        <f>R525*P525</f>
        <v>90</v>
      </c>
      <c r="T525" s="19" t="s">
        <v>25</v>
      </c>
      <c r="U525" s="9"/>
      <c r="V525" s="9"/>
      <c r="W525" s="9"/>
      <c r="X525" s="9"/>
      <c r="Y525" s="9"/>
    </row>
    <row r="526" spans="9:25" x14ac:dyDescent="0.25">
      <c r="I526" s="188"/>
      <c r="J526" s="286"/>
      <c r="K526" s="286"/>
      <c r="L526" s="305">
        <v>9</v>
      </c>
      <c r="M526" s="290">
        <f>L526*I504</f>
        <v>9</v>
      </c>
      <c r="N526" s="290" t="s">
        <v>137</v>
      </c>
      <c r="O526" s="290"/>
      <c r="P526" s="290"/>
      <c r="Q526" s="290"/>
      <c r="R526" s="123">
        <v>3</v>
      </c>
      <c r="S526" s="123">
        <f>R526*M526</f>
        <v>27</v>
      </c>
      <c r="T526" s="123" t="s">
        <v>138</v>
      </c>
      <c r="U526" s="9"/>
      <c r="V526" s="9"/>
      <c r="W526" s="9"/>
      <c r="X526" s="9"/>
      <c r="Y526" s="9"/>
    </row>
    <row r="527" spans="9:25" ht="15.75" thickBot="1" x14ac:dyDescent="0.3">
      <c r="I527" s="188"/>
      <c r="J527" s="286"/>
      <c r="K527" s="286"/>
      <c r="L527" s="305"/>
      <c r="M527" s="291"/>
      <c r="N527" s="291"/>
      <c r="O527" s="291"/>
      <c r="P527" s="291"/>
      <c r="Q527" s="291"/>
      <c r="R527" s="123">
        <v>9</v>
      </c>
      <c r="S527" s="123">
        <f>R527*M526</f>
        <v>81</v>
      </c>
      <c r="T527" s="123" t="s">
        <v>139</v>
      </c>
      <c r="U527" s="9"/>
      <c r="V527" s="9"/>
      <c r="W527" s="9"/>
      <c r="X527" s="9"/>
      <c r="Y527" s="9"/>
    </row>
    <row r="528" spans="9:25" x14ac:dyDescent="0.25">
      <c r="I528" s="188"/>
      <c r="J528" s="286"/>
      <c r="K528" s="286"/>
      <c r="L528" s="304">
        <v>12</v>
      </c>
      <c r="M528" s="224">
        <f>L528*I504</f>
        <v>12</v>
      </c>
      <c r="N528" s="224" t="s">
        <v>101</v>
      </c>
      <c r="O528" s="224">
        <v>2</v>
      </c>
      <c r="P528" s="224">
        <f>O528*M528</f>
        <v>24</v>
      </c>
      <c r="Q528" s="224" t="s">
        <v>106</v>
      </c>
      <c r="R528" s="113">
        <v>3</v>
      </c>
      <c r="S528" s="113">
        <f>R528*P528</f>
        <v>72</v>
      </c>
      <c r="T528" s="41" t="s">
        <v>24</v>
      </c>
      <c r="U528" s="9"/>
      <c r="V528" s="9"/>
      <c r="W528" s="9"/>
      <c r="X528" s="9"/>
      <c r="Y528" s="9"/>
    </row>
    <row r="529" spans="9:25" x14ac:dyDescent="0.25">
      <c r="I529" s="188"/>
      <c r="J529" s="286"/>
      <c r="K529" s="286"/>
      <c r="L529" s="304"/>
      <c r="M529" s="225"/>
      <c r="N529" s="225"/>
      <c r="O529" s="225"/>
      <c r="P529" s="225"/>
      <c r="Q529" s="225"/>
      <c r="R529" s="114">
        <v>1</v>
      </c>
      <c r="S529" s="114">
        <f>R529*P528</f>
        <v>24</v>
      </c>
      <c r="T529" s="75" t="s">
        <v>16</v>
      </c>
      <c r="U529" s="9"/>
      <c r="V529" s="9"/>
      <c r="W529" s="9"/>
      <c r="X529" s="9"/>
      <c r="Y529" s="9"/>
    </row>
    <row r="530" spans="9:25" ht="15.75" thickBot="1" x14ac:dyDescent="0.3">
      <c r="I530" s="188"/>
      <c r="J530" s="286"/>
      <c r="K530" s="286"/>
      <c r="L530" s="304"/>
      <c r="M530" s="226"/>
      <c r="N530" s="226"/>
      <c r="O530" s="115"/>
      <c r="P530" s="115"/>
      <c r="Q530" s="115"/>
      <c r="R530" s="115">
        <v>9</v>
      </c>
      <c r="S530" s="115">
        <f>R530*M528</f>
        <v>108</v>
      </c>
      <c r="T530" s="42" t="s">
        <v>107</v>
      </c>
      <c r="U530" s="9"/>
      <c r="V530" s="9"/>
      <c r="W530" s="9"/>
      <c r="X530" s="9"/>
      <c r="Y530" s="9"/>
    </row>
    <row r="531" spans="9:25" x14ac:dyDescent="0.25">
      <c r="I531" s="188">
        <f>F24</f>
        <v>1</v>
      </c>
      <c r="J531" s="286" t="s">
        <v>112</v>
      </c>
      <c r="K531" s="286" t="s">
        <v>135</v>
      </c>
      <c r="L531" s="297">
        <v>30</v>
      </c>
      <c r="M531" s="168">
        <f>L531*I531</f>
        <v>30</v>
      </c>
      <c r="N531" s="168" t="s">
        <v>63</v>
      </c>
      <c r="O531" s="168">
        <v>1</v>
      </c>
      <c r="P531" s="168">
        <f>O531*M531</f>
        <v>30</v>
      </c>
      <c r="Q531" s="168" t="s">
        <v>62</v>
      </c>
      <c r="R531" s="111">
        <v>2</v>
      </c>
      <c r="S531" s="111">
        <f>R531*P531</f>
        <v>60</v>
      </c>
      <c r="T531" s="21" t="s">
        <v>14</v>
      </c>
      <c r="U531" s="9"/>
      <c r="V531" s="9"/>
      <c r="W531" s="9"/>
      <c r="X531" s="9"/>
      <c r="Y531" s="9"/>
    </row>
    <row r="532" spans="9:25" ht="15.75" thickBot="1" x14ac:dyDescent="0.3">
      <c r="I532" s="188"/>
      <c r="J532" s="286"/>
      <c r="K532" s="286"/>
      <c r="L532" s="298"/>
      <c r="M532" s="169"/>
      <c r="N532" s="169"/>
      <c r="O532" s="169"/>
      <c r="P532" s="169"/>
      <c r="Q532" s="169"/>
      <c r="R532" s="112">
        <v>1</v>
      </c>
      <c r="S532" s="112">
        <f>P531</f>
        <v>30</v>
      </c>
      <c r="T532" s="20" t="s">
        <v>10</v>
      </c>
      <c r="U532" s="9"/>
      <c r="V532" s="9"/>
      <c r="W532" s="9"/>
      <c r="X532" s="9"/>
      <c r="Y532" s="9"/>
    </row>
    <row r="533" spans="9:25" x14ac:dyDescent="0.25">
      <c r="I533" s="188"/>
      <c r="J533" s="286"/>
      <c r="K533" s="286"/>
      <c r="L533" s="297">
        <v>30</v>
      </c>
      <c r="M533" s="168">
        <f>L533*I531</f>
        <v>30</v>
      </c>
      <c r="N533" s="168" t="s">
        <v>62</v>
      </c>
      <c r="O533" s="168"/>
      <c r="P533" s="168"/>
      <c r="Q533" s="168"/>
      <c r="R533" s="111">
        <v>2</v>
      </c>
      <c r="S533" s="111">
        <f>R533*M533</f>
        <v>60</v>
      </c>
      <c r="T533" s="21" t="s">
        <v>14</v>
      </c>
      <c r="U533" s="9"/>
      <c r="V533" s="9"/>
      <c r="W533" s="9"/>
      <c r="X533" s="9"/>
      <c r="Y533" s="9"/>
    </row>
    <row r="534" spans="9:25" ht="15.75" thickBot="1" x14ac:dyDescent="0.3">
      <c r="I534" s="188"/>
      <c r="J534" s="286"/>
      <c r="K534" s="286"/>
      <c r="L534" s="298"/>
      <c r="M534" s="169"/>
      <c r="N534" s="169"/>
      <c r="O534" s="169"/>
      <c r="P534" s="169"/>
      <c r="Q534" s="169"/>
      <c r="R534" s="112">
        <v>1</v>
      </c>
      <c r="S534" s="112">
        <f>M533</f>
        <v>30</v>
      </c>
      <c r="T534" s="20" t="s">
        <v>10</v>
      </c>
      <c r="U534" s="9"/>
      <c r="V534" s="9"/>
      <c r="W534" s="9"/>
      <c r="X534" s="9"/>
      <c r="Y534" s="9"/>
    </row>
    <row r="535" spans="9:25" x14ac:dyDescent="0.25">
      <c r="I535" s="188"/>
      <c r="J535" s="286"/>
      <c r="K535" s="286"/>
      <c r="L535" s="299">
        <v>30</v>
      </c>
      <c r="M535" s="168">
        <f>L535*I531</f>
        <v>30</v>
      </c>
      <c r="N535" s="168" t="s">
        <v>82</v>
      </c>
      <c r="O535" s="168">
        <v>1</v>
      </c>
      <c r="P535" s="168">
        <f>O535*M535</f>
        <v>30</v>
      </c>
      <c r="Q535" s="168" t="s">
        <v>36</v>
      </c>
      <c r="R535" s="111">
        <v>2</v>
      </c>
      <c r="S535" s="111">
        <f>R535*P535</f>
        <v>60</v>
      </c>
      <c r="T535" s="21" t="s">
        <v>4</v>
      </c>
      <c r="U535" s="9"/>
      <c r="V535" s="9"/>
      <c r="W535" s="9"/>
      <c r="X535" s="9"/>
      <c r="Y535" s="9"/>
    </row>
    <row r="536" spans="9:25" ht="15.75" thickBot="1" x14ac:dyDescent="0.3">
      <c r="I536" s="188"/>
      <c r="J536" s="286"/>
      <c r="K536" s="286"/>
      <c r="L536" s="299"/>
      <c r="M536" s="169"/>
      <c r="N536" s="169"/>
      <c r="O536" s="169"/>
      <c r="P536" s="169"/>
      <c r="Q536" s="169"/>
      <c r="R536" s="112">
        <v>1</v>
      </c>
      <c r="S536" s="112">
        <f>P535</f>
        <v>30</v>
      </c>
      <c r="T536" s="20" t="s">
        <v>14</v>
      </c>
      <c r="U536" s="9"/>
      <c r="V536" s="9"/>
      <c r="W536" s="9"/>
      <c r="X536" s="9"/>
      <c r="Y536" s="9"/>
    </row>
    <row r="537" spans="9:25" x14ac:dyDescent="0.25">
      <c r="I537" s="188"/>
      <c r="J537" s="286"/>
      <c r="K537" s="286"/>
      <c r="L537" s="296">
        <v>9</v>
      </c>
      <c r="M537" s="227">
        <f>L537*I531</f>
        <v>9</v>
      </c>
      <c r="N537" s="227" t="s">
        <v>100</v>
      </c>
      <c r="O537" s="227"/>
      <c r="P537" s="227"/>
      <c r="Q537" s="227"/>
      <c r="R537" s="120">
        <v>3</v>
      </c>
      <c r="S537" s="120">
        <f>R537*M537</f>
        <v>27</v>
      </c>
      <c r="T537" s="25" t="s">
        <v>105</v>
      </c>
      <c r="U537" s="9"/>
      <c r="V537" s="9"/>
      <c r="W537" s="9"/>
      <c r="X537" s="9"/>
      <c r="Y537" s="9"/>
    </row>
    <row r="538" spans="9:25" x14ac:dyDescent="0.25">
      <c r="I538" s="188"/>
      <c r="J538" s="286"/>
      <c r="K538" s="286"/>
      <c r="L538" s="296"/>
      <c r="M538" s="228"/>
      <c r="N538" s="228"/>
      <c r="O538" s="228"/>
      <c r="P538" s="228"/>
      <c r="Q538" s="228"/>
      <c r="R538" s="121">
        <v>9</v>
      </c>
      <c r="S538" s="121">
        <f>R538*M537</f>
        <v>81</v>
      </c>
      <c r="T538" s="6" t="s">
        <v>67</v>
      </c>
      <c r="U538" s="9"/>
      <c r="V538" s="9"/>
      <c r="W538" s="9"/>
      <c r="X538" s="9"/>
      <c r="Y538" s="9"/>
    </row>
    <row r="539" spans="9:25" ht="15.75" thickBot="1" x14ac:dyDescent="0.3">
      <c r="I539" s="188"/>
      <c r="J539" s="286"/>
      <c r="K539" s="286"/>
      <c r="L539" s="296"/>
      <c r="M539" s="283"/>
      <c r="N539" s="283"/>
      <c r="O539" s="283"/>
      <c r="P539" s="283"/>
      <c r="Q539" s="283"/>
      <c r="R539" s="122">
        <v>3</v>
      </c>
      <c r="S539" s="122">
        <f>R539*M537</f>
        <v>27</v>
      </c>
      <c r="T539" s="101" t="s">
        <v>4</v>
      </c>
      <c r="U539" s="9"/>
      <c r="V539" s="9"/>
      <c r="W539" s="9"/>
      <c r="X539" s="9"/>
      <c r="Y539" s="9"/>
    </row>
    <row r="540" spans="9:25" x14ac:dyDescent="0.25">
      <c r="I540" s="188"/>
      <c r="J540" s="286"/>
      <c r="K540" s="286"/>
      <c r="L540" s="297">
        <v>30</v>
      </c>
      <c r="M540" s="168">
        <f>L540*I531</f>
        <v>30</v>
      </c>
      <c r="N540" s="168" t="s">
        <v>63</v>
      </c>
      <c r="O540" s="168">
        <v>1</v>
      </c>
      <c r="P540" s="168">
        <f>O540*M540</f>
        <v>30</v>
      </c>
      <c r="Q540" s="168" t="s">
        <v>62</v>
      </c>
      <c r="R540" s="111">
        <v>2</v>
      </c>
      <c r="S540" s="111">
        <f>R540*P540</f>
        <v>60</v>
      </c>
      <c r="T540" s="21" t="s">
        <v>14</v>
      </c>
      <c r="U540" s="9"/>
      <c r="V540" s="9"/>
      <c r="W540" s="9"/>
      <c r="X540" s="9"/>
      <c r="Y540" s="9"/>
    </row>
    <row r="541" spans="9:25" ht="15.75" thickBot="1" x14ac:dyDescent="0.3">
      <c r="I541" s="188"/>
      <c r="J541" s="286"/>
      <c r="K541" s="286"/>
      <c r="L541" s="298"/>
      <c r="M541" s="169"/>
      <c r="N541" s="169"/>
      <c r="O541" s="169"/>
      <c r="P541" s="169"/>
      <c r="Q541" s="169"/>
      <c r="R541" s="112">
        <v>1</v>
      </c>
      <c r="S541" s="112">
        <f>P540</f>
        <v>30</v>
      </c>
      <c r="T541" s="20" t="s">
        <v>10</v>
      </c>
      <c r="U541" s="9"/>
      <c r="V541" s="9"/>
      <c r="W541" s="9"/>
      <c r="X541" s="9"/>
      <c r="Y541" s="9"/>
    </row>
    <row r="542" spans="9:25" x14ac:dyDescent="0.25">
      <c r="I542" s="188"/>
      <c r="J542" s="286"/>
      <c r="K542" s="286"/>
      <c r="L542" s="303">
        <v>18</v>
      </c>
      <c r="M542" s="270">
        <f>L542*I531</f>
        <v>18</v>
      </c>
      <c r="N542" s="270" t="s">
        <v>133</v>
      </c>
      <c r="O542" s="59"/>
      <c r="P542" s="59"/>
      <c r="Q542" s="59"/>
      <c r="R542" s="117">
        <v>4</v>
      </c>
      <c r="S542" s="117">
        <f>R542*M542</f>
        <v>72</v>
      </c>
      <c r="T542" s="60" t="s">
        <v>28</v>
      </c>
      <c r="U542" s="9"/>
      <c r="V542" s="9"/>
      <c r="W542" s="9"/>
      <c r="X542" s="9"/>
      <c r="Y542" s="9"/>
    </row>
    <row r="543" spans="9:25" x14ac:dyDescent="0.25">
      <c r="I543" s="188"/>
      <c r="J543" s="286"/>
      <c r="K543" s="286"/>
      <c r="L543" s="303"/>
      <c r="M543" s="265"/>
      <c r="N543" s="265"/>
      <c r="O543" s="265">
        <v>1</v>
      </c>
      <c r="P543" s="265">
        <f>O543*M542</f>
        <v>18</v>
      </c>
      <c r="Q543" s="265" t="s">
        <v>30</v>
      </c>
      <c r="R543" s="118">
        <v>5</v>
      </c>
      <c r="S543" s="118">
        <f>R543*P543</f>
        <v>90</v>
      </c>
      <c r="T543" s="61" t="s">
        <v>27</v>
      </c>
      <c r="U543" s="9"/>
      <c r="V543" s="9"/>
      <c r="W543" s="9"/>
      <c r="X543" s="9"/>
      <c r="Y543" s="9"/>
    </row>
    <row r="544" spans="9:25" ht="15.75" thickBot="1" x14ac:dyDescent="0.3">
      <c r="I544" s="188"/>
      <c r="J544" s="286"/>
      <c r="K544" s="286"/>
      <c r="L544" s="303"/>
      <c r="M544" s="292"/>
      <c r="N544" s="292"/>
      <c r="O544" s="292"/>
      <c r="P544" s="292"/>
      <c r="Q544" s="292"/>
      <c r="R544" s="119">
        <v>1</v>
      </c>
      <c r="S544" s="119">
        <f>R544*P543</f>
        <v>18</v>
      </c>
      <c r="T544" s="102" t="s">
        <v>8</v>
      </c>
      <c r="U544" s="9"/>
      <c r="V544" s="9"/>
      <c r="W544" s="9"/>
      <c r="X544" s="9"/>
      <c r="Y544" s="9"/>
    </row>
    <row r="545" spans="9:25" x14ac:dyDescent="0.25">
      <c r="I545" s="188"/>
      <c r="J545" s="286"/>
      <c r="K545" s="286"/>
      <c r="L545" s="299">
        <v>30</v>
      </c>
      <c r="M545" s="168">
        <f>L545*I531</f>
        <v>30</v>
      </c>
      <c r="N545" s="168" t="s">
        <v>82</v>
      </c>
      <c r="O545" s="168">
        <v>1</v>
      </c>
      <c r="P545" s="168">
        <f>O545*M545</f>
        <v>30</v>
      </c>
      <c r="Q545" s="168" t="s">
        <v>36</v>
      </c>
      <c r="R545" s="111">
        <v>2</v>
      </c>
      <c r="S545" s="111">
        <f>R545*P545</f>
        <v>60</v>
      </c>
      <c r="T545" s="21" t="s">
        <v>4</v>
      </c>
      <c r="U545" s="9"/>
      <c r="V545" s="9"/>
      <c r="W545" s="9"/>
      <c r="X545" s="9"/>
      <c r="Y545" s="9"/>
    </row>
    <row r="546" spans="9:25" ht="15.75" thickBot="1" x14ac:dyDescent="0.3">
      <c r="I546" s="188"/>
      <c r="J546" s="286"/>
      <c r="K546" s="286"/>
      <c r="L546" s="299"/>
      <c r="M546" s="169"/>
      <c r="N546" s="169"/>
      <c r="O546" s="169"/>
      <c r="P546" s="169"/>
      <c r="Q546" s="169"/>
      <c r="R546" s="112">
        <v>1</v>
      </c>
      <c r="S546" s="112">
        <f>P545</f>
        <v>30</v>
      </c>
      <c r="T546" s="20" t="s">
        <v>14</v>
      </c>
      <c r="U546" s="9"/>
      <c r="V546" s="9"/>
      <c r="W546" s="9"/>
      <c r="X546" s="9"/>
      <c r="Y546" s="9"/>
    </row>
    <row r="547" spans="9:25" x14ac:dyDescent="0.25">
      <c r="I547" s="188"/>
      <c r="J547" s="286"/>
      <c r="K547" s="286"/>
      <c r="L547" s="300">
        <v>12</v>
      </c>
      <c r="M547" s="245">
        <f>L547*I531</f>
        <v>12</v>
      </c>
      <c r="N547" s="245" t="s">
        <v>64</v>
      </c>
      <c r="O547" s="63">
        <v>2</v>
      </c>
      <c r="P547" s="132">
        <f>O547*M547</f>
        <v>24</v>
      </c>
      <c r="Q547" s="63" t="s">
        <v>53</v>
      </c>
      <c r="R547" s="132">
        <v>3</v>
      </c>
      <c r="S547" s="132">
        <f>R547*P547</f>
        <v>72</v>
      </c>
      <c r="T547" s="64" t="s">
        <v>25</v>
      </c>
      <c r="U547" s="9"/>
      <c r="V547" s="9"/>
      <c r="W547" s="9"/>
      <c r="X547" s="9"/>
      <c r="Y547" s="9"/>
    </row>
    <row r="548" spans="9:25" ht="15.75" thickBot="1" x14ac:dyDescent="0.3">
      <c r="I548" s="188"/>
      <c r="J548" s="286"/>
      <c r="K548" s="286"/>
      <c r="L548" s="301"/>
      <c r="M548" s="246"/>
      <c r="N548" s="246"/>
      <c r="O548" s="65"/>
      <c r="P548" s="65"/>
      <c r="Q548" s="65"/>
      <c r="R548" s="133">
        <v>9</v>
      </c>
      <c r="S548" s="133">
        <f>R548*M547</f>
        <v>108</v>
      </c>
      <c r="T548" s="66" t="s">
        <v>67</v>
      </c>
      <c r="U548" s="9"/>
      <c r="V548" s="9"/>
      <c r="W548" s="9"/>
      <c r="X548" s="9"/>
      <c r="Y548" s="9"/>
    </row>
    <row r="549" spans="9:25" x14ac:dyDescent="0.25">
      <c r="I549" s="188"/>
      <c r="J549" s="286"/>
      <c r="K549" s="286"/>
      <c r="L549" s="302">
        <v>12</v>
      </c>
      <c r="M549" s="284">
        <f>L549*I531</f>
        <v>12</v>
      </c>
      <c r="N549" s="284" t="s">
        <v>136</v>
      </c>
      <c r="O549" s="116">
        <v>1</v>
      </c>
      <c r="P549" s="116">
        <f>O549*M549</f>
        <v>12</v>
      </c>
      <c r="Q549" s="116" t="s">
        <v>31</v>
      </c>
      <c r="R549" s="116">
        <v>5</v>
      </c>
      <c r="S549" s="116">
        <f>R549*P549</f>
        <v>60</v>
      </c>
      <c r="T549" s="116" t="s">
        <v>17</v>
      </c>
      <c r="U549" s="9"/>
      <c r="V549" s="9"/>
      <c r="W549" s="9"/>
      <c r="X549" s="9"/>
      <c r="Y549" s="9"/>
    </row>
    <row r="550" spans="9:25" x14ac:dyDescent="0.25">
      <c r="I550" s="188"/>
      <c r="J550" s="286"/>
      <c r="K550" s="286"/>
      <c r="L550" s="302"/>
      <c r="M550" s="284"/>
      <c r="N550" s="284"/>
      <c r="O550" s="284">
        <v>2</v>
      </c>
      <c r="P550" s="284">
        <f>O550*M549</f>
        <v>24</v>
      </c>
      <c r="Q550" s="284" t="s">
        <v>79</v>
      </c>
      <c r="R550" s="116">
        <v>2</v>
      </c>
      <c r="S550" s="116">
        <f>R550*M549</f>
        <v>24</v>
      </c>
      <c r="T550" s="116" t="s">
        <v>29</v>
      </c>
      <c r="U550" s="9"/>
      <c r="V550" s="9"/>
      <c r="W550" s="9"/>
      <c r="X550" s="9"/>
      <c r="Y550" s="9"/>
    </row>
    <row r="551" spans="9:25" ht="15.75" thickBot="1" x14ac:dyDescent="0.3">
      <c r="I551" s="188"/>
      <c r="J551" s="286"/>
      <c r="K551" s="286"/>
      <c r="L551" s="302"/>
      <c r="M551" s="284"/>
      <c r="N551" s="284"/>
      <c r="O551" s="284"/>
      <c r="P551" s="284"/>
      <c r="Q551" s="284"/>
      <c r="R551" s="116">
        <v>2</v>
      </c>
      <c r="S551" s="116">
        <f>R551*O550</f>
        <v>4</v>
      </c>
      <c r="T551" s="116" t="s">
        <v>80</v>
      </c>
      <c r="U551" s="9"/>
      <c r="V551" s="9"/>
      <c r="W551" s="9"/>
      <c r="X551" s="9"/>
      <c r="Y551" s="9"/>
    </row>
    <row r="552" spans="9:25" x14ac:dyDescent="0.25">
      <c r="I552" s="188"/>
      <c r="J552" s="286"/>
      <c r="K552" s="286"/>
      <c r="L552" s="299">
        <v>18</v>
      </c>
      <c r="M552" s="168">
        <f>L552*I531</f>
        <v>18</v>
      </c>
      <c r="N552" s="168" t="s">
        <v>41</v>
      </c>
      <c r="O552" s="168">
        <v>1</v>
      </c>
      <c r="P552" s="168">
        <f>O552*M552</f>
        <v>18</v>
      </c>
      <c r="Q552" s="168" t="s">
        <v>36</v>
      </c>
      <c r="R552" s="111">
        <v>2</v>
      </c>
      <c r="S552" s="111">
        <f>R552*P552</f>
        <v>36</v>
      </c>
      <c r="T552" s="21" t="s">
        <v>4</v>
      </c>
      <c r="U552" s="9"/>
      <c r="V552" s="9"/>
      <c r="W552" s="9"/>
      <c r="X552" s="9"/>
      <c r="Y552" s="9"/>
    </row>
    <row r="553" spans="9:25" ht="15.75" thickBot="1" x14ac:dyDescent="0.3">
      <c r="I553" s="188"/>
      <c r="J553" s="286"/>
      <c r="K553" s="286"/>
      <c r="L553" s="299"/>
      <c r="M553" s="169"/>
      <c r="N553" s="169"/>
      <c r="O553" s="169"/>
      <c r="P553" s="169"/>
      <c r="Q553" s="169"/>
      <c r="R553" s="112">
        <v>1</v>
      </c>
      <c r="S553" s="112">
        <f>P552</f>
        <v>18</v>
      </c>
      <c r="T553" s="20" t="s">
        <v>14</v>
      </c>
      <c r="U553" s="9"/>
      <c r="V553" s="9"/>
      <c r="W553" s="9"/>
      <c r="X553" s="9"/>
      <c r="Y553" s="9"/>
    </row>
    <row r="554" spans="9:25" x14ac:dyDescent="0.25">
      <c r="I554" s="188"/>
      <c r="J554" s="286"/>
      <c r="K554" s="286"/>
      <c r="L554" s="306">
        <v>18</v>
      </c>
      <c r="M554" s="245">
        <f>L554*I531</f>
        <v>18</v>
      </c>
      <c r="N554" s="245" t="s">
        <v>64</v>
      </c>
      <c r="O554" s="63">
        <v>2</v>
      </c>
      <c r="P554" s="132">
        <f>O554*M554</f>
        <v>36</v>
      </c>
      <c r="Q554" s="63" t="s">
        <v>53</v>
      </c>
      <c r="R554" s="132">
        <v>3</v>
      </c>
      <c r="S554" s="132">
        <f>R554*P554</f>
        <v>108</v>
      </c>
      <c r="T554" s="64" t="s">
        <v>25</v>
      </c>
      <c r="U554" s="9"/>
      <c r="V554" s="9"/>
      <c r="W554" s="9"/>
      <c r="X554" s="9"/>
      <c r="Y554" s="9"/>
    </row>
    <row r="555" spans="9:25" ht="15.75" thickBot="1" x14ac:dyDescent="0.3">
      <c r="I555" s="188"/>
      <c r="J555" s="286"/>
      <c r="K555" s="286"/>
      <c r="L555" s="306"/>
      <c r="M555" s="246"/>
      <c r="N555" s="246"/>
      <c r="O555" s="65"/>
      <c r="P555" s="65"/>
      <c r="Q555" s="65"/>
      <c r="R555" s="133">
        <v>9</v>
      </c>
      <c r="S555" s="133">
        <f>R555*M554</f>
        <v>162</v>
      </c>
      <c r="T555" s="66" t="s">
        <v>67</v>
      </c>
      <c r="U555" s="9"/>
      <c r="V555" s="9"/>
      <c r="W555" s="9"/>
      <c r="X555" s="9"/>
      <c r="Y555" s="9"/>
    </row>
    <row r="556" spans="9:25" x14ac:dyDescent="0.25">
      <c r="I556" s="188"/>
      <c r="J556" s="286"/>
      <c r="K556" s="286"/>
      <c r="L556" s="305">
        <v>9</v>
      </c>
      <c r="M556" s="290">
        <f>L556*I531</f>
        <v>9</v>
      </c>
      <c r="N556" s="290" t="s">
        <v>137</v>
      </c>
      <c r="O556" s="290"/>
      <c r="P556" s="290"/>
      <c r="Q556" s="290"/>
      <c r="R556" s="123">
        <v>3</v>
      </c>
      <c r="S556" s="123">
        <f>R556*M556</f>
        <v>27</v>
      </c>
      <c r="T556" s="123" t="s">
        <v>138</v>
      </c>
      <c r="U556" s="9"/>
      <c r="V556" s="9"/>
      <c r="W556" s="9"/>
      <c r="X556" s="9"/>
      <c r="Y556" s="9"/>
    </row>
    <row r="557" spans="9:25" ht="15.75" thickBot="1" x14ac:dyDescent="0.3">
      <c r="I557" s="188"/>
      <c r="J557" s="286"/>
      <c r="K557" s="286"/>
      <c r="L557" s="305"/>
      <c r="M557" s="291"/>
      <c r="N557" s="291"/>
      <c r="O557" s="291"/>
      <c r="P557" s="291"/>
      <c r="Q557" s="291"/>
      <c r="R557" s="123">
        <v>9</v>
      </c>
      <c r="S557" s="123">
        <f>R557*M556</f>
        <v>81</v>
      </c>
      <c r="T557" s="123" t="s">
        <v>139</v>
      </c>
      <c r="U557" s="9"/>
      <c r="V557" s="9"/>
      <c r="W557" s="9"/>
      <c r="X557" s="9"/>
      <c r="Y557" s="9"/>
    </row>
    <row r="558" spans="9:25" x14ac:dyDescent="0.25">
      <c r="I558" s="188"/>
      <c r="J558" s="286"/>
      <c r="K558" s="286"/>
      <c r="L558" s="304">
        <v>12</v>
      </c>
      <c r="M558" s="224">
        <f>L558*I531</f>
        <v>12</v>
      </c>
      <c r="N558" s="224" t="s">
        <v>101</v>
      </c>
      <c r="O558" s="224">
        <v>2</v>
      </c>
      <c r="P558" s="224">
        <f>O558*M558</f>
        <v>24</v>
      </c>
      <c r="Q558" s="224" t="s">
        <v>106</v>
      </c>
      <c r="R558" s="113">
        <v>3</v>
      </c>
      <c r="S558" s="113">
        <f>R558*P558</f>
        <v>72</v>
      </c>
      <c r="T558" s="41" t="s">
        <v>24</v>
      </c>
      <c r="U558" s="9"/>
      <c r="V558" s="9"/>
      <c r="W558" s="9"/>
      <c r="X558" s="9"/>
      <c r="Y558" s="9"/>
    </row>
    <row r="559" spans="9:25" x14ac:dyDescent="0.25">
      <c r="I559" s="188"/>
      <c r="J559" s="286"/>
      <c r="K559" s="286"/>
      <c r="L559" s="304"/>
      <c r="M559" s="225"/>
      <c r="N559" s="225"/>
      <c r="O559" s="225"/>
      <c r="P559" s="225"/>
      <c r="Q559" s="225"/>
      <c r="R559" s="114">
        <v>1</v>
      </c>
      <c r="S559" s="114">
        <f>R559*P558</f>
        <v>24</v>
      </c>
      <c r="T559" s="75" t="s">
        <v>16</v>
      </c>
      <c r="U559" s="9"/>
      <c r="V559" s="9"/>
      <c r="W559" s="9"/>
      <c r="X559" s="9"/>
      <c r="Y559" s="9"/>
    </row>
    <row r="560" spans="9:25" ht="15.75" thickBot="1" x14ac:dyDescent="0.3">
      <c r="I560" s="188"/>
      <c r="J560" s="286"/>
      <c r="K560" s="286"/>
      <c r="L560" s="304"/>
      <c r="M560" s="226"/>
      <c r="N560" s="226"/>
      <c r="O560" s="115"/>
      <c r="P560" s="115"/>
      <c r="Q560" s="115"/>
      <c r="R560" s="115">
        <v>9</v>
      </c>
      <c r="S560" s="115">
        <f>R560*M558</f>
        <v>108</v>
      </c>
      <c r="T560" s="42" t="s">
        <v>107</v>
      </c>
      <c r="U560" s="9"/>
      <c r="V560" s="9"/>
      <c r="W560" s="9"/>
      <c r="X560" s="9"/>
      <c r="Y560" s="9"/>
    </row>
  </sheetData>
  <sortState xmlns:xlrd2="http://schemas.microsoft.com/office/spreadsheetml/2017/richdata2" ref="AL2:AP19">
    <sortCondition ref="AL2"/>
  </sortState>
  <mergeCells count="1212">
    <mergeCell ref="O543:O544"/>
    <mergeCell ref="P543:P544"/>
    <mergeCell ref="O556:O557"/>
    <mergeCell ref="P556:P557"/>
    <mergeCell ref="Q556:Q557"/>
    <mergeCell ref="L558:L560"/>
    <mergeCell ref="M558:M560"/>
    <mergeCell ref="N558:N560"/>
    <mergeCell ref="O558:O559"/>
    <mergeCell ref="P558:P559"/>
    <mergeCell ref="Q558:Q559"/>
    <mergeCell ref="L554:L555"/>
    <mergeCell ref="M554:M555"/>
    <mergeCell ref="N554:N555"/>
    <mergeCell ref="L556:L557"/>
    <mergeCell ref="M556:M557"/>
    <mergeCell ref="N556:N557"/>
    <mergeCell ref="O550:O551"/>
    <mergeCell ref="P550:P551"/>
    <mergeCell ref="Q550:Q551"/>
    <mergeCell ref="L552:L553"/>
    <mergeCell ref="M552:M553"/>
    <mergeCell ref="N552:N553"/>
    <mergeCell ref="O552:O553"/>
    <mergeCell ref="P552:P553"/>
    <mergeCell ref="Q552:Q553"/>
    <mergeCell ref="L549:L551"/>
    <mergeCell ref="M549:M551"/>
    <mergeCell ref="N549:N551"/>
    <mergeCell ref="M537:M539"/>
    <mergeCell ref="N537:N539"/>
    <mergeCell ref="O537:O539"/>
    <mergeCell ref="P537:P539"/>
    <mergeCell ref="Q537:Q539"/>
    <mergeCell ref="O531:O532"/>
    <mergeCell ref="P531:P532"/>
    <mergeCell ref="Q531:Q532"/>
    <mergeCell ref="L533:L534"/>
    <mergeCell ref="M533:M534"/>
    <mergeCell ref="N533:N534"/>
    <mergeCell ref="O533:O534"/>
    <mergeCell ref="P533:P534"/>
    <mergeCell ref="Q533:Q534"/>
    <mergeCell ref="L547:L548"/>
    <mergeCell ref="M547:M548"/>
    <mergeCell ref="N547:N548"/>
    <mergeCell ref="Q543:Q544"/>
    <mergeCell ref="L545:L546"/>
    <mergeCell ref="M545:M546"/>
    <mergeCell ref="N545:N546"/>
    <mergeCell ref="O545:O546"/>
    <mergeCell ref="P545:P546"/>
    <mergeCell ref="Q545:Q546"/>
    <mergeCell ref="M540:M541"/>
    <mergeCell ref="N540:N541"/>
    <mergeCell ref="O540:O541"/>
    <mergeCell ref="P540:P541"/>
    <mergeCell ref="Q540:Q541"/>
    <mergeCell ref="L542:L544"/>
    <mergeCell ref="M542:M544"/>
    <mergeCell ref="N542:N544"/>
    <mergeCell ref="I531:I560"/>
    <mergeCell ref="J531:J560"/>
    <mergeCell ref="K531:K560"/>
    <mergeCell ref="L531:L532"/>
    <mergeCell ref="M531:M532"/>
    <mergeCell ref="N531:N532"/>
    <mergeCell ref="L535:L536"/>
    <mergeCell ref="M535:M536"/>
    <mergeCell ref="N535:N536"/>
    <mergeCell ref="L540:L541"/>
    <mergeCell ref="L528:L530"/>
    <mergeCell ref="M528:M530"/>
    <mergeCell ref="N528:N530"/>
    <mergeCell ref="O528:O529"/>
    <mergeCell ref="P528:P529"/>
    <mergeCell ref="Q528:Q529"/>
    <mergeCell ref="O523:O524"/>
    <mergeCell ref="P523:P524"/>
    <mergeCell ref="Q523:Q524"/>
    <mergeCell ref="L526:L527"/>
    <mergeCell ref="M526:M527"/>
    <mergeCell ref="N526:N527"/>
    <mergeCell ref="O526:O527"/>
    <mergeCell ref="P526:P527"/>
    <mergeCell ref="Q526:Q527"/>
    <mergeCell ref="I504:I530"/>
    <mergeCell ref="J504:J530"/>
    <mergeCell ref="K504:K530"/>
    <mergeCell ref="O535:O536"/>
    <mergeCell ref="P535:P536"/>
    <mergeCell ref="Q535:Q536"/>
    <mergeCell ref="L537:L539"/>
    <mergeCell ref="L520:L521"/>
    <mergeCell ref="M520:M521"/>
    <mergeCell ref="N520:N521"/>
    <mergeCell ref="L522:L524"/>
    <mergeCell ref="M522:M524"/>
    <mergeCell ref="N522:N524"/>
    <mergeCell ref="Q516:Q517"/>
    <mergeCell ref="L518:L519"/>
    <mergeCell ref="M518:M519"/>
    <mergeCell ref="N518:N519"/>
    <mergeCell ref="O518:O519"/>
    <mergeCell ref="P518:P519"/>
    <mergeCell ref="Q518:Q519"/>
    <mergeCell ref="M513:M514"/>
    <mergeCell ref="N513:N514"/>
    <mergeCell ref="O513:O514"/>
    <mergeCell ref="P513:P514"/>
    <mergeCell ref="Q513:Q514"/>
    <mergeCell ref="L515:L517"/>
    <mergeCell ref="M515:M517"/>
    <mergeCell ref="N515:N517"/>
    <mergeCell ref="O516:O517"/>
    <mergeCell ref="P516:P517"/>
    <mergeCell ref="L513:L514"/>
    <mergeCell ref="O508:O509"/>
    <mergeCell ref="P508:P509"/>
    <mergeCell ref="Q508:Q509"/>
    <mergeCell ref="L510:L512"/>
    <mergeCell ref="M510:M512"/>
    <mergeCell ref="N510:N512"/>
    <mergeCell ref="O510:O512"/>
    <mergeCell ref="P510:P512"/>
    <mergeCell ref="Q510:Q512"/>
    <mergeCell ref="O504:O505"/>
    <mergeCell ref="P504:P505"/>
    <mergeCell ref="Q504:Q505"/>
    <mergeCell ref="L506:L507"/>
    <mergeCell ref="M506:M507"/>
    <mergeCell ref="N506:N507"/>
    <mergeCell ref="O506:O507"/>
    <mergeCell ref="P506:P507"/>
    <mergeCell ref="Q506:Q507"/>
    <mergeCell ref="L504:L505"/>
    <mergeCell ref="M504:M505"/>
    <mergeCell ref="N504:N505"/>
    <mergeCell ref="L508:L509"/>
    <mergeCell ref="M508:M509"/>
    <mergeCell ref="N508:N509"/>
    <mergeCell ref="M489:M490"/>
    <mergeCell ref="N489:N490"/>
    <mergeCell ref="O489:O490"/>
    <mergeCell ref="P489:P490"/>
    <mergeCell ref="L502:L503"/>
    <mergeCell ref="M502:M503"/>
    <mergeCell ref="N502:N503"/>
    <mergeCell ref="O502:O503"/>
    <mergeCell ref="P502:P503"/>
    <mergeCell ref="Q502:Q503"/>
    <mergeCell ref="O495:O497"/>
    <mergeCell ref="P495:P497"/>
    <mergeCell ref="Q495:Q497"/>
    <mergeCell ref="L498:L500"/>
    <mergeCell ref="M498:M500"/>
    <mergeCell ref="N498:N500"/>
    <mergeCell ref="O499:O500"/>
    <mergeCell ref="P499:P500"/>
    <mergeCell ref="Q499:Q500"/>
    <mergeCell ref="L493:L494"/>
    <mergeCell ref="M493:M494"/>
    <mergeCell ref="N493:N494"/>
    <mergeCell ref="L495:L497"/>
    <mergeCell ref="M495:M497"/>
    <mergeCell ref="N495:N497"/>
    <mergeCell ref="O481:O482"/>
    <mergeCell ref="P481:P482"/>
    <mergeCell ref="Q481:Q482"/>
    <mergeCell ref="L483:L484"/>
    <mergeCell ref="M483:M484"/>
    <mergeCell ref="N483:N484"/>
    <mergeCell ref="O483:O484"/>
    <mergeCell ref="P483:P484"/>
    <mergeCell ref="Q483:Q484"/>
    <mergeCell ref="L478:L480"/>
    <mergeCell ref="M478:M480"/>
    <mergeCell ref="N478:N480"/>
    <mergeCell ref="I481:I503"/>
    <mergeCell ref="J481:J503"/>
    <mergeCell ref="K481:K503"/>
    <mergeCell ref="L481:L482"/>
    <mergeCell ref="M481:M482"/>
    <mergeCell ref="N481:N482"/>
    <mergeCell ref="L487:L488"/>
    <mergeCell ref="Q489:Q490"/>
    <mergeCell ref="L491:L492"/>
    <mergeCell ref="M491:M492"/>
    <mergeCell ref="N491:N492"/>
    <mergeCell ref="O491:O492"/>
    <mergeCell ref="P491:P492"/>
    <mergeCell ref="Q491:Q492"/>
    <mergeCell ref="M487:M488"/>
    <mergeCell ref="N487:N488"/>
    <mergeCell ref="O487:O488"/>
    <mergeCell ref="P487:P488"/>
    <mergeCell ref="Q487:Q488"/>
    <mergeCell ref="L489:L490"/>
    <mergeCell ref="L464:L465"/>
    <mergeCell ref="M464:M465"/>
    <mergeCell ref="N464:N465"/>
    <mergeCell ref="O464:O465"/>
    <mergeCell ref="P464:P465"/>
    <mergeCell ref="Q464:Q465"/>
    <mergeCell ref="L476:L477"/>
    <mergeCell ref="M476:M477"/>
    <mergeCell ref="N476:N477"/>
    <mergeCell ref="O476:O477"/>
    <mergeCell ref="P476:P477"/>
    <mergeCell ref="Q476:Q477"/>
    <mergeCell ref="L473:L475"/>
    <mergeCell ref="M473:M475"/>
    <mergeCell ref="N473:N475"/>
    <mergeCell ref="O474:O475"/>
    <mergeCell ref="P474:P475"/>
    <mergeCell ref="Q474:Q475"/>
    <mergeCell ref="Q469:Q470"/>
    <mergeCell ref="L471:L472"/>
    <mergeCell ref="M471:M472"/>
    <mergeCell ref="N471:N472"/>
    <mergeCell ref="O471:O472"/>
    <mergeCell ref="P471:P472"/>
    <mergeCell ref="Q471:Q472"/>
    <mergeCell ref="O456:O458"/>
    <mergeCell ref="P456:P458"/>
    <mergeCell ref="Q456:Q458"/>
    <mergeCell ref="L459:L461"/>
    <mergeCell ref="M459:M461"/>
    <mergeCell ref="N459:N461"/>
    <mergeCell ref="O460:O461"/>
    <mergeCell ref="P460:P461"/>
    <mergeCell ref="Q460:Q461"/>
    <mergeCell ref="I453:I480"/>
    <mergeCell ref="J453:J480"/>
    <mergeCell ref="K453:K480"/>
    <mergeCell ref="L456:L458"/>
    <mergeCell ref="M456:M458"/>
    <mergeCell ref="N456:N458"/>
    <mergeCell ref="L462:L463"/>
    <mergeCell ref="M462:M463"/>
    <mergeCell ref="N462:N463"/>
    <mergeCell ref="L466:L468"/>
    <mergeCell ref="M466:M468"/>
    <mergeCell ref="N466:N468"/>
    <mergeCell ref="O466:O467"/>
    <mergeCell ref="P466:P467"/>
    <mergeCell ref="Q466:Q467"/>
    <mergeCell ref="L469:L470"/>
    <mergeCell ref="M469:M470"/>
    <mergeCell ref="N469:N470"/>
    <mergeCell ref="O469:O470"/>
    <mergeCell ref="P469:P470"/>
    <mergeCell ref="O462:O463"/>
    <mergeCell ref="P462:P463"/>
    <mergeCell ref="Q462:Q463"/>
    <mergeCell ref="M438:M439"/>
    <mergeCell ref="N438:N439"/>
    <mergeCell ref="O438:O439"/>
    <mergeCell ref="P438:P439"/>
    <mergeCell ref="O448:O449"/>
    <mergeCell ref="P448:P449"/>
    <mergeCell ref="Q448:Q449"/>
    <mergeCell ref="L450:L451"/>
    <mergeCell ref="M450:M451"/>
    <mergeCell ref="N450:N451"/>
    <mergeCell ref="O450:O451"/>
    <mergeCell ref="P450:P451"/>
    <mergeCell ref="Q450:Q451"/>
    <mergeCell ref="L445:L446"/>
    <mergeCell ref="M445:M446"/>
    <mergeCell ref="N445:N446"/>
    <mergeCell ref="L448:L449"/>
    <mergeCell ref="M448:M449"/>
    <mergeCell ref="N448:N449"/>
    <mergeCell ref="L442:L443"/>
    <mergeCell ref="M442:M443"/>
    <mergeCell ref="N442:N443"/>
    <mergeCell ref="O442:O443"/>
    <mergeCell ref="P442:P443"/>
    <mergeCell ref="Q442:Q443"/>
    <mergeCell ref="O431:O433"/>
    <mergeCell ref="P431:P433"/>
    <mergeCell ref="Q431:Q433"/>
    <mergeCell ref="L434:L435"/>
    <mergeCell ref="M434:M435"/>
    <mergeCell ref="N434:N435"/>
    <mergeCell ref="O434:O435"/>
    <mergeCell ref="P434:P435"/>
    <mergeCell ref="Q434:Q435"/>
    <mergeCell ref="I429:I451"/>
    <mergeCell ref="J429:J451"/>
    <mergeCell ref="K429:K451"/>
    <mergeCell ref="L429:L430"/>
    <mergeCell ref="M429:M430"/>
    <mergeCell ref="N429:N430"/>
    <mergeCell ref="L431:L433"/>
    <mergeCell ref="M431:M433"/>
    <mergeCell ref="N431:N433"/>
    <mergeCell ref="L436:L437"/>
    <mergeCell ref="Q438:Q439"/>
    <mergeCell ref="L440:L441"/>
    <mergeCell ref="M440:M441"/>
    <mergeCell ref="N440:N441"/>
    <mergeCell ref="O440:O441"/>
    <mergeCell ref="P440:P441"/>
    <mergeCell ref="Q440:Q441"/>
    <mergeCell ref="M436:M437"/>
    <mergeCell ref="N436:N437"/>
    <mergeCell ref="O436:O437"/>
    <mergeCell ref="P436:P437"/>
    <mergeCell ref="Q436:Q437"/>
    <mergeCell ref="L438:L439"/>
    <mergeCell ref="L408:L410"/>
    <mergeCell ref="M408:M410"/>
    <mergeCell ref="N408:N410"/>
    <mergeCell ref="O408:O410"/>
    <mergeCell ref="P408:P410"/>
    <mergeCell ref="Q408:Q410"/>
    <mergeCell ref="O423:O424"/>
    <mergeCell ref="P423:P424"/>
    <mergeCell ref="Q423:Q424"/>
    <mergeCell ref="L426:L428"/>
    <mergeCell ref="M426:M428"/>
    <mergeCell ref="N426:N428"/>
    <mergeCell ref="O427:O428"/>
    <mergeCell ref="P427:P428"/>
    <mergeCell ref="Q427:Q428"/>
    <mergeCell ref="L418:L419"/>
    <mergeCell ref="M418:M419"/>
    <mergeCell ref="N418:N419"/>
    <mergeCell ref="L423:L425"/>
    <mergeCell ref="M423:M425"/>
    <mergeCell ref="N423:N425"/>
    <mergeCell ref="Q414:Q415"/>
    <mergeCell ref="L416:L417"/>
    <mergeCell ref="M416:M417"/>
    <mergeCell ref="N416:N417"/>
    <mergeCell ref="O416:O417"/>
    <mergeCell ref="P416:P417"/>
    <mergeCell ref="Q416:Q417"/>
    <mergeCell ref="O402:O403"/>
    <mergeCell ref="P402:P403"/>
    <mergeCell ref="Q402:Q403"/>
    <mergeCell ref="L404:L405"/>
    <mergeCell ref="M404:M405"/>
    <mergeCell ref="N404:N405"/>
    <mergeCell ref="O404:O405"/>
    <mergeCell ref="P404:P405"/>
    <mergeCell ref="Q404:Q405"/>
    <mergeCell ref="I402:I428"/>
    <mergeCell ref="J402:J428"/>
    <mergeCell ref="K402:K428"/>
    <mergeCell ref="L402:L403"/>
    <mergeCell ref="M402:M403"/>
    <mergeCell ref="N402:N403"/>
    <mergeCell ref="L406:L407"/>
    <mergeCell ref="M406:M407"/>
    <mergeCell ref="N406:N407"/>
    <mergeCell ref="L411:L412"/>
    <mergeCell ref="M411:M412"/>
    <mergeCell ref="N411:N412"/>
    <mergeCell ref="O411:O412"/>
    <mergeCell ref="P411:P412"/>
    <mergeCell ref="Q411:Q412"/>
    <mergeCell ref="L413:L415"/>
    <mergeCell ref="M413:M415"/>
    <mergeCell ref="N413:N415"/>
    <mergeCell ref="O414:O415"/>
    <mergeCell ref="P414:P415"/>
    <mergeCell ref="O406:O407"/>
    <mergeCell ref="P406:P407"/>
    <mergeCell ref="Q406:Q407"/>
    <mergeCell ref="P380:P381"/>
    <mergeCell ref="Q380:Q381"/>
    <mergeCell ref="O394:O396"/>
    <mergeCell ref="P394:P396"/>
    <mergeCell ref="Q394:Q396"/>
    <mergeCell ref="L399:L401"/>
    <mergeCell ref="M399:M401"/>
    <mergeCell ref="N399:N401"/>
    <mergeCell ref="O400:O401"/>
    <mergeCell ref="P400:P401"/>
    <mergeCell ref="Q400:Q401"/>
    <mergeCell ref="L391:L392"/>
    <mergeCell ref="M391:M392"/>
    <mergeCell ref="N391:N392"/>
    <mergeCell ref="L394:L396"/>
    <mergeCell ref="M394:M396"/>
    <mergeCell ref="N394:N396"/>
    <mergeCell ref="L389:L390"/>
    <mergeCell ref="M389:M390"/>
    <mergeCell ref="N389:N390"/>
    <mergeCell ref="O389:O390"/>
    <mergeCell ref="P389:P390"/>
    <mergeCell ref="Q389:Q390"/>
    <mergeCell ref="L378:L379"/>
    <mergeCell ref="M378:M379"/>
    <mergeCell ref="N378:N379"/>
    <mergeCell ref="O378:O379"/>
    <mergeCell ref="P378:P379"/>
    <mergeCell ref="Q378:Q379"/>
    <mergeCell ref="O374:O375"/>
    <mergeCell ref="P374:P375"/>
    <mergeCell ref="Q374:Q375"/>
    <mergeCell ref="I376:I401"/>
    <mergeCell ref="J376:J401"/>
    <mergeCell ref="K376:K401"/>
    <mergeCell ref="L376:L377"/>
    <mergeCell ref="M376:M377"/>
    <mergeCell ref="N376:N377"/>
    <mergeCell ref="O376:O377"/>
    <mergeCell ref="L386:L388"/>
    <mergeCell ref="M386:M388"/>
    <mergeCell ref="N386:N388"/>
    <mergeCell ref="O387:O388"/>
    <mergeCell ref="P387:P388"/>
    <mergeCell ref="Q387:Q388"/>
    <mergeCell ref="L382:L384"/>
    <mergeCell ref="M382:M384"/>
    <mergeCell ref="N382:N384"/>
    <mergeCell ref="O382:O384"/>
    <mergeCell ref="P382:P384"/>
    <mergeCell ref="Q382:Q384"/>
    <mergeCell ref="L380:L381"/>
    <mergeCell ref="M380:M381"/>
    <mergeCell ref="N380:N381"/>
    <mergeCell ref="O380:O381"/>
    <mergeCell ref="L374:L375"/>
    <mergeCell ref="M374:M375"/>
    <mergeCell ref="N374:N375"/>
    <mergeCell ref="L369:L370"/>
    <mergeCell ref="M369:M370"/>
    <mergeCell ref="N369:N370"/>
    <mergeCell ref="O369:O370"/>
    <mergeCell ref="P369:P370"/>
    <mergeCell ref="Q369:Q370"/>
    <mergeCell ref="Q365:Q366"/>
    <mergeCell ref="L367:L368"/>
    <mergeCell ref="M367:M368"/>
    <mergeCell ref="N367:N368"/>
    <mergeCell ref="O367:O368"/>
    <mergeCell ref="P367:P368"/>
    <mergeCell ref="Q367:Q368"/>
    <mergeCell ref="P376:P377"/>
    <mergeCell ref="Q376:Q377"/>
    <mergeCell ref="I350:I375"/>
    <mergeCell ref="J350:J375"/>
    <mergeCell ref="K350:K375"/>
    <mergeCell ref="L352:L353"/>
    <mergeCell ref="M352:M353"/>
    <mergeCell ref="N352:N353"/>
    <mergeCell ref="L357:L358"/>
    <mergeCell ref="M357:M358"/>
    <mergeCell ref="N357:N358"/>
    <mergeCell ref="L363:L364"/>
    <mergeCell ref="M363:M364"/>
    <mergeCell ref="N363:N364"/>
    <mergeCell ref="O363:O364"/>
    <mergeCell ref="P363:P364"/>
    <mergeCell ref="Q363:Q364"/>
    <mergeCell ref="L365:L366"/>
    <mergeCell ref="M365:M366"/>
    <mergeCell ref="N365:N366"/>
    <mergeCell ref="O365:O366"/>
    <mergeCell ref="P365:P366"/>
    <mergeCell ref="O357:O358"/>
    <mergeCell ref="P357:P358"/>
    <mergeCell ref="Q357:Q358"/>
    <mergeCell ref="L360:L361"/>
    <mergeCell ref="M360:M361"/>
    <mergeCell ref="N360:N361"/>
    <mergeCell ref="O360:O361"/>
    <mergeCell ref="P360:P361"/>
    <mergeCell ref="Q360:Q361"/>
    <mergeCell ref="L371:L373"/>
    <mergeCell ref="M371:M373"/>
    <mergeCell ref="N371:N373"/>
    <mergeCell ref="P341:P342"/>
    <mergeCell ref="Q341:Q342"/>
    <mergeCell ref="L343:L344"/>
    <mergeCell ref="M343:M344"/>
    <mergeCell ref="N343:N344"/>
    <mergeCell ref="L345:L346"/>
    <mergeCell ref="M345:M346"/>
    <mergeCell ref="N345:N346"/>
    <mergeCell ref="O345:O346"/>
    <mergeCell ref="P345:P346"/>
    <mergeCell ref="O352:O353"/>
    <mergeCell ref="P352:P353"/>
    <mergeCell ref="Q352:Q353"/>
    <mergeCell ref="L354:L356"/>
    <mergeCell ref="M354:M356"/>
    <mergeCell ref="N354:N356"/>
    <mergeCell ref="O354:O356"/>
    <mergeCell ref="P354:P356"/>
    <mergeCell ref="Q354:Q356"/>
    <mergeCell ref="M339:M340"/>
    <mergeCell ref="N339:N340"/>
    <mergeCell ref="L341:L342"/>
    <mergeCell ref="M341:M342"/>
    <mergeCell ref="N341:N342"/>
    <mergeCell ref="O341:O342"/>
    <mergeCell ref="O335:O336"/>
    <mergeCell ref="P335:P336"/>
    <mergeCell ref="Q335:Q336"/>
    <mergeCell ref="L337:L338"/>
    <mergeCell ref="M337:M338"/>
    <mergeCell ref="N337:N338"/>
    <mergeCell ref="O337:O338"/>
    <mergeCell ref="P337:P338"/>
    <mergeCell ref="Q337:Q338"/>
    <mergeCell ref="I330:I349"/>
    <mergeCell ref="J330:J349"/>
    <mergeCell ref="K330:K349"/>
    <mergeCell ref="L330:L331"/>
    <mergeCell ref="M330:M331"/>
    <mergeCell ref="N330:N331"/>
    <mergeCell ref="L335:L336"/>
    <mergeCell ref="M335:M336"/>
    <mergeCell ref="N335:N336"/>
    <mergeCell ref="L339:L340"/>
    <mergeCell ref="Q345:Q346"/>
    <mergeCell ref="L347:L348"/>
    <mergeCell ref="M347:M348"/>
    <mergeCell ref="N347:N348"/>
    <mergeCell ref="O347:O348"/>
    <mergeCell ref="P347:P348"/>
    <mergeCell ref="Q347:Q348"/>
    <mergeCell ref="P318:P319"/>
    <mergeCell ref="Q318:Q319"/>
    <mergeCell ref="O312:O313"/>
    <mergeCell ref="P312:P313"/>
    <mergeCell ref="Q312:Q313"/>
    <mergeCell ref="L314:L315"/>
    <mergeCell ref="M314:M315"/>
    <mergeCell ref="N314:N315"/>
    <mergeCell ref="O314:O315"/>
    <mergeCell ref="P314:P315"/>
    <mergeCell ref="Q314:Q315"/>
    <mergeCell ref="Q322:Q323"/>
    <mergeCell ref="L324:L325"/>
    <mergeCell ref="M324:M325"/>
    <mergeCell ref="N324:N325"/>
    <mergeCell ref="L326:L327"/>
    <mergeCell ref="M326:M327"/>
    <mergeCell ref="N326:N327"/>
    <mergeCell ref="O326:O327"/>
    <mergeCell ref="P326:P327"/>
    <mergeCell ref="Q326:Q327"/>
    <mergeCell ref="M320:M321"/>
    <mergeCell ref="N320:N321"/>
    <mergeCell ref="O320:O321"/>
    <mergeCell ref="P320:P321"/>
    <mergeCell ref="Q320:Q321"/>
    <mergeCell ref="L322:L323"/>
    <mergeCell ref="M322:M323"/>
    <mergeCell ref="N322:N323"/>
    <mergeCell ref="O322:O323"/>
    <mergeCell ref="P322:P323"/>
    <mergeCell ref="I312:I329"/>
    <mergeCell ref="J312:J329"/>
    <mergeCell ref="K312:K329"/>
    <mergeCell ref="L312:L313"/>
    <mergeCell ref="M312:M313"/>
    <mergeCell ref="N312:N313"/>
    <mergeCell ref="L316:L317"/>
    <mergeCell ref="M316:M317"/>
    <mergeCell ref="N316:N317"/>
    <mergeCell ref="L320:L321"/>
    <mergeCell ref="L309:L310"/>
    <mergeCell ref="M309:M310"/>
    <mergeCell ref="N309:N310"/>
    <mergeCell ref="O309:O310"/>
    <mergeCell ref="P309:P310"/>
    <mergeCell ref="Q309:Q310"/>
    <mergeCell ref="L306:L307"/>
    <mergeCell ref="M306:M307"/>
    <mergeCell ref="N306:N307"/>
    <mergeCell ref="O306:O307"/>
    <mergeCell ref="P306:P307"/>
    <mergeCell ref="Q306:Q307"/>
    <mergeCell ref="I290:I311"/>
    <mergeCell ref="J290:J311"/>
    <mergeCell ref="K290:K311"/>
    <mergeCell ref="O316:O317"/>
    <mergeCell ref="P316:P317"/>
    <mergeCell ref="Q316:Q317"/>
    <mergeCell ref="L318:L319"/>
    <mergeCell ref="M318:M319"/>
    <mergeCell ref="N318:N319"/>
    <mergeCell ref="O318:O319"/>
    <mergeCell ref="N294:N295"/>
    <mergeCell ref="L304:L305"/>
    <mergeCell ref="M304:M305"/>
    <mergeCell ref="N304:N305"/>
    <mergeCell ref="O304:O305"/>
    <mergeCell ref="P304:P305"/>
    <mergeCell ref="Q304:Q305"/>
    <mergeCell ref="L302:L303"/>
    <mergeCell ref="M302:M303"/>
    <mergeCell ref="N302:N303"/>
    <mergeCell ref="O302:O303"/>
    <mergeCell ref="P302:P303"/>
    <mergeCell ref="Q302:Q303"/>
    <mergeCell ref="M298:M299"/>
    <mergeCell ref="N298:N299"/>
    <mergeCell ref="O298:O299"/>
    <mergeCell ref="P298:P299"/>
    <mergeCell ref="Q298:Q299"/>
    <mergeCell ref="L300:L301"/>
    <mergeCell ref="M300:M301"/>
    <mergeCell ref="N300:N301"/>
    <mergeCell ref="L298:L299"/>
    <mergeCell ref="I271:I289"/>
    <mergeCell ref="J271:J289"/>
    <mergeCell ref="K271:K289"/>
    <mergeCell ref="L274:L275"/>
    <mergeCell ref="M274:M275"/>
    <mergeCell ref="N274:N275"/>
    <mergeCell ref="L284:L286"/>
    <mergeCell ref="M284:M286"/>
    <mergeCell ref="N284:N286"/>
    <mergeCell ref="O294:O295"/>
    <mergeCell ref="P294:P295"/>
    <mergeCell ref="Q294:Q295"/>
    <mergeCell ref="L296:L297"/>
    <mergeCell ref="M296:M297"/>
    <mergeCell ref="N296:N297"/>
    <mergeCell ref="O296:O297"/>
    <mergeCell ref="P296:P297"/>
    <mergeCell ref="Q296:Q297"/>
    <mergeCell ref="O290:O291"/>
    <mergeCell ref="P290:P291"/>
    <mergeCell ref="Q290:Q291"/>
    <mergeCell ref="L292:L293"/>
    <mergeCell ref="M292:M293"/>
    <mergeCell ref="N292:N293"/>
    <mergeCell ref="O292:O293"/>
    <mergeCell ref="P292:P293"/>
    <mergeCell ref="Q292:Q293"/>
    <mergeCell ref="L290:L291"/>
    <mergeCell ref="M290:M291"/>
    <mergeCell ref="N290:N291"/>
    <mergeCell ref="L294:L295"/>
    <mergeCell ref="M294:M295"/>
    <mergeCell ref="O255:O256"/>
    <mergeCell ref="P255:P256"/>
    <mergeCell ref="O284:O285"/>
    <mergeCell ref="P284:P285"/>
    <mergeCell ref="Q284:Q285"/>
    <mergeCell ref="L287:L289"/>
    <mergeCell ref="M287:M289"/>
    <mergeCell ref="N287:N289"/>
    <mergeCell ref="O274:O275"/>
    <mergeCell ref="P274:P275"/>
    <mergeCell ref="Q274:Q275"/>
    <mergeCell ref="L282:L283"/>
    <mergeCell ref="M282:M283"/>
    <mergeCell ref="N282:N283"/>
    <mergeCell ref="O282:O283"/>
    <mergeCell ref="P282:P283"/>
    <mergeCell ref="Q282:Q283"/>
    <mergeCell ref="P242:P243"/>
    <mergeCell ref="Q242:Q243"/>
    <mergeCell ref="L244:L245"/>
    <mergeCell ref="M244:M245"/>
    <mergeCell ref="N244:N245"/>
    <mergeCell ref="O244:O245"/>
    <mergeCell ref="P244:P245"/>
    <mergeCell ref="Q244:Q245"/>
    <mergeCell ref="L265:L267"/>
    <mergeCell ref="M265:M267"/>
    <mergeCell ref="N265:N267"/>
    <mergeCell ref="O266:O267"/>
    <mergeCell ref="P266:P267"/>
    <mergeCell ref="Q266:Q267"/>
    <mergeCell ref="Q255:Q256"/>
    <mergeCell ref="L257:L258"/>
    <mergeCell ref="M257:M258"/>
    <mergeCell ref="N257:N258"/>
    <mergeCell ref="L260:L262"/>
    <mergeCell ref="M260:M262"/>
    <mergeCell ref="N260:N262"/>
    <mergeCell ref="O260:O262"/>
    <mergeCell ref="P260:P262"/>
    <mergeCell ref="Q260:Q262"/>
    <mergeCell ref="M252:M254"/>
    <mergeCell ref="N252:N254"/>
    <mergeCell ref="O253:O254"/>
    <mergeCell ref="P253:P254"/>
    <mergeCell ref="Q253:Q254"/>
    <mergeCell ref="L255:L256"/>
    <mergeCell ref="M255:M256"/>
    <mergeCell ref="N255:N256"/>
    <mergeCell ref="I242:I267"/>
    <mergeCell ref="J242:J267"/>
    <mergeCell ref="K242:K267"/>
    <mergeCell ref="L242:L243"/>
    <mergeCell ref="M242:M243"/>
    <mergeCell ref="N242:N243"/>
    <mergeCell ref="L246:L247"/>
    <mergeCell ref="M246:M247"/>
    <mergeCell ref="N246:N247"/>
    <mergeCell ref="L252:L254"/>
    <mergeCell ref="O236:O237"/>
    <mergeCell ref="P236:P237"/>
    <mergeCell ref="Q236:Q237"/>
    <mergeCell ref="L239:L241"/>
    <mergeCell ref="M239:M241"/>
    <mergeCell ref="N239:N241"/>
    <mergeCell ref="O240:O241"/>
    <mergeCell ref="P240:P241"/>
    <mergeCell ref="Q240:Q241"/>
    <mergeCell ref="I215:I241"/>
    <mergeCell ref="J215:J241"/>
    <mergeCell ref="K215:K241"/>
    <mergeCell ref="O246:O247"/>
    <mergeCell ref="P246:P247"/>
    <mergeCell ref="Q246:Q247"/>
    <mergeCell ref="L248:L250"/>
    <mergeCell ref="M248:M250"/>
    <mergeCell ref="N248:N250"/>
    <mergeCell ref="O248:O250"/>
    <mergeCell ref="P248:P250"/>
    <mergeCell ref="Q248:Q250"/>
    <mergeCell ref="O242:O243"/>
    <mergeCell ref="L231:L232"/>
    <mergeCell ref="M231:M232"/>
    <mergeCell ref="N231:N232"/>
    <mergeCell ref="L236:L238"/>
    <mergeCell ref="M236:M238"/>
    <mergeCell ref="N236:N238"/>
    <mergeCell ref="Q227:Q228"/>
    <mergeCell ref="L229:L230"/>
    <mergeCell ref="M229:M230"/>
    <mergeCell ref="N229:N230"/>
    <mergeCell ref="O229:O230"/>
    <mergeCell ref="P229:P230"/>
    <mergeCell ref="Q229:Q230"/>
    <mergeCell ref="M224:M225"/>
    <mergeCell ref="N224:N225"/>
    <mergeCell ref="O224:O225"/>
    <mergeCell ref="P224:P225"/>
    <mergeCell ref="Q224:Q225"/>
    <mergeCell ref="L226:L228"/>
    <mergeCell ref="M226:M228"/>
    <mergeCell ref="N226:N228"/>
    <mergeCell ref="O227:O228"/>
    <mergeCell ref="P227:P228"/>
    <mergeCell ref="L224:L225"/>
    <mergeCell ref="O219:O220"/>
    <mergeCell ref="P219:P220"/>
    <mergeCell ref="Q219:Q220"/>
    <mergeCell ref="L221:L223"/>
    <mergeCell ref="M221:M223"/>
    <mergeCell ref="N221:N223"/>
    <mergeCell ref="O221:O223"/>
    <mergeCell ref="P221:P223"/>
    <mergeCell ref="Q221:Q223"/>
    <mergeCell ref="O215:O216"/>
    <mergeCell ref="P215:P216"/>
    <mergeCell ref="Q215:Q216"/>
    <mergeCell ref="L217:L218"/>
    <mergeCell ref="M217:M218"/>
    <mergeCell ref="N217:N218"/>
    <mergeCell ref="O217:O218"/>
    <mergeCell ref="P217:P218"/>
    <mergeCell ref="Q217:Q218"/>
    <mergeCell ref="L215:L216"/>
    <mergeCell ref="M215:M216"/>
    <mergeCell ref="N215:N216"/>
    <mergeCell ref="L219:L220"/>
    <mergeCell ref="M219:M220"/>
    <mergeCell ref="N219:N220"/>
    <mergeCell ref="O201:O202"/>
    <mergeCell ref="P201:P202"/>
    <mergeCell ref="Q201:Q202"/>
    <mergeCell ref="Q197:Q198"/>
    <mergeCell ref="L199:L200"/>
    <mergeCell ref="M199:M200"/>
    <mergeCell ref="N199:N200"/>
    <mergeCell ref="O199:O200"/>
    <mergeCell ref="P199:P200"/>
    <mergeCell ref="Q199:Q200"/>
    <mergeCell ref="O211:O212"/>
    <mergeCell ref="P211:P212"/>
    <mergeCell ref="Q211:Q212"/>
    <mergeCell ref="L213:L214"/>
    <mergeCell ref="M213:M214"/>
    <mergeCell ref="N213:N214"/>
    <mergeCell ref="O213:O214"/>
    <mergeCell ref="P213:P214"/>
    <mergeCell ref="Q213:Q214"/>
    <mergeCell ref="L208:L209"/>
    <mergeCell ref="M208:M209"/>
    <mergeCell ref="N208:N209"/>
    <mergeCell ref="L211:L212"/>
    <mergeCell ref="M211:M212"/>
    <mergeCell ref="N211:N212"/>
    <mergeCell ref="L205:L206"/>
    <mergeCell ref="M205:M206"/>
    <mergeCell ref="N205:N206"/>
    <mergeCell ref="O205:O206"/>
    <mergeCell ref="P205:P206"/>
    <mergeCell ref="Q205:Q206"/>
    <mergeCell ref="M194:M196"/>
    <mergeCell ref="N194:N196"/>
    <mergeCell ref="O194:O196"/>
    <mergeCell ref="P194:P196"/>
    <mergeCell ref="Q194:Q196"/>
    <mergeCell ref="L197:L198"/>
    <mergeCell ref="M197:M198"/>
    <mergeCell ref="N197:N198"/>
    <mergeCell ref="O197:O198"/>
    <mergeCell ref="P197:P198"/>
    <mergeCell ref="O190:O191"/>
    <mergeCell ref="P190:P191"/>
    <mergeCell ref="Q190:Q191"/>
    <mergeCell ref="I192:I214"/>
    <mergeCell ref="J192:J214"/>
    <mergeCell ref="K192:K214"/>
    <mergeCell ref="L192:L193"/>
    <mergeCell ref="M192:M193"/>
    <mergeCell ref="N192:N193"/>
    <mergeCell ref="L194:L196"/>
    <mergeCell ref="I164:I191"/>
    <mergeCell ref="J164:J191"/>
    <mergeCell ref="K164:K191"/>
    <mergeCell ref="L203:L204"/>
    <mergeCell ref="M203:M204"/>
    <mergeCell ref="N203:N204"/>
    <mergeCell ref="O203:O204"/>
    <mergeCell ref="P203:P204"/>
    <mergeCell ref="Q203:Q204"/>
    <mergeCell ref="L201:L202"/>
    <mergeCell ref="M201:M202"/>
    <mergeCell ref="N201:N202"/>
    <mergeCell ref="L187:L189"/>
    <mergeCell ref="M187:M189"/>
    <mergeCell ref="N187:N189"/>
    <mergeCell ref="L190:L191"/>
    <mergeCell ref="M190:M191"/>
    <mergeCell ref="N190:N191"/>
    <mergeCell ref="L185:L186"/>
    <mergeCell ref="M185:M186"/>
    <mergeCell ref="N185:N186"/>
    <mergeCell ref="O185:O186"/>
    <mergeCell ref="P185:P186"/>
    <mergeCell ref="Q185:Q186"/>
    <mergeCell ref="L183:L184"/>
    <mergeCell ref="M183:M184"/>
    <mergeCell ref="N183:N184"/>
    <mergeCell ref="O183:O184"/>
    <mergeCell ref="P183:P184"/>
    <mergeCell ref="Q183:Q184"/>
    <mergeCell ref="Q179:Q180"/>
    <mergeCell ref="L181:L182"/>
    <mergeCell ref="M181:M182"/>
    <mergeCell ref="N181:N182"/>
    <mergeCell ref="O181:O182"/>
    <mergeCell ref="P181:P182"/>
    <mergeCell ref="Q181:Q182"/>
    <mergeCell ref="M176:M177"/>
    <mergeCell ref="N176:N177"/>
    <mergeCell ref="O176:O177"/>
    <mergeCell ref="P176:P177"/>
    <mergeCell ref="Q176:Q177"/>
    <mergeCell ref="L179:L180"/>
    <mergeCell ref="M179:M180"/>
    <mergeCell ref="N179:N180"/>
    <mergeCell ref="O179:O180"/>
    <mergeCell ref="P179:P180"/>
    <mergeCell ref="L176:L177"/>
    <mergeCell ref="O171:O172"/>
    <mergeCell ref="P171:P172"/>
    <mergeCell ref="Q171:Q172"/>
    <mergeCell ref="L174:L175"/>
    <mergeCell ref="M174:M175"/>
    <mergeCell ref="N174:N175"/>
    <mergeCell ref="O174:O175"/>
    <mergeCell ref="P174:P175"/>
    <mergeCell ref="Q174:Q175"/>
    <mergeCell ref="O166:O167"/>
    <mergeCell ref="P166:P167"/>
    <mergeCell ref="Q166:Q167"/>
    <mergeCell ref="L168:L170"/>
    <mergeCell ref="M168:M170"/>
    <mergeCell ref="N168:N170"/>
    <mergeCell ref="O168:O170"/>
    <mergeCell ref="P168:P170"/>
    <mergeCell ref="Q168:Q170"/>
    <mergeCell ref="L166:L167"/>
    <mergeCell ref="M166:M167"/>
    <mergeCell ref="N166:N167"/>
    <mergeCell ref="L171:L172"/>
    <mergeCell ref="M171:M172"/>
    <mergeCell ref="N171:N172"/>
    <mergeCell ref="L160:L161"/>
    <mergeCell ref="M160:M161"/>
    <mergeCell ref="N160:N161"/>
    <mergeCell ref="O160:O161"/>
    <mergeCell ref="P160:P161"/>
    <mergeCell ref="Q160:Q161"/>
    <mergeCell ref="L157:L158"/>
    <mergeCell ref="M157:M158"/>
    <mergeCell ref="N157:N158"/>
    <mergeCell ref="O157:O158"/>
    <mergeCell ref="P157:P158"/>
    <mergeCell ref="Q157:Q158"/>
    <mergeCell ref="O153:O154"/>
    <mergeCell ref="P153:P154"/>
    <mergeCell ref="Q153:Q154"/>
    <mergeCell ref="L155:L156"/>
    <mergeCell ref="M155:M156"/>
    <mergeCell ref="N155:N156"/>
    <mergeCell ref="O155:O156"/>
    <mergeCell ref="P155:P156"/>
    <mergeCell ref="Q155:Q156"/>
    <mergeCell ref="P140:P141"/>
    <mergeCell ref="Q140:Q141"/>
    <mergeCell ref="L142:L144"/>
    <mergeCell ref="M142:M144"/>
    <mergeCell ref="N142:N144"/>
    <mergeCell ref="O142:O144"/>
    <mergeCell ref="P142:P144"/>
    <mergeCell ref="Q142:Q144"/>
    <mergeCell ref="O136:O137"/>
    <mergeCell ref="P136:P137"/>
    <mergeCell ref="Q136:Q137"/>
    <mergeCell ref="L151:L152"/>
    <mergeCell ref="M151:M152"/>
    <mergeCell ref="N151:N152"/>
    <mergeCell ref="L153:L154"/>
    <mergeCell ref="M153:M154"/>
    <mergeCell ref="N153:N154"/>
    <mergeCell ref="L149:L150"/>
    <mergeCell ref="M149:M150"/>
    <mergeCell ref="N149:N150"/>
    <mergeCell ref="O149:O150"/>
    <mergeCell ref="P149:P150"/>
    <mergeCell ref="Q149:Q150"/>
    <mergeCell ref="L147:L148"/>
    <mergeCell ref="M147:M148"/>
    <mergeCell ref="N147:N148"/>
    <mergeCell ref="O147:O148"/>
    <mergeCell ref="P147:P148"/>
    <mergeCell ref="Q147:Q148"/>
    <mergeCell ref="I140:I162"/>
    <mergeCell ref="J140:J162"/>
    <mergeCell ref="K140:K162"/>
    <mergeCell ref="L140:L141"/>
    <mergeCell ref="M140:M141"/>
    <mergeCell ref="N140:N141"/>
    <mergeCell ref="O140:O141"/>
    <mergeCell ref="L134:L135"/>
    <mergeCell ref="M134:M135"/>
    <mergeCell ref="N134:N135"/>
    <mergeCell ref="L136:L137"/>
    <mergeCell ref="M136:M137"/>
    <mergeCell ref="N136:N137"/>
    <mergeCell ref="Q130:Q131"/>
    <mergeCell ref="L132:L133"/>
    <mergeCell ref="M132:M133"/>
    <mergeCell ref="N132:N133"/>
    <mergeCell ref="O132:O133"/>
    <mergeCell ref="P132:P133"/>
    <mergeCell ref="Q132:Q133"/>
    <mergeCell ref="I121:I139"/>
    <mergeCell ref="J121:J139"/>
    <mergeCell ref="K121:K139"/>
    <mergeCell ref="L121:L122"/>
    <mergeCell ref="M121:M122"/>
    <mergeCell ref="N121:N122"/>
    <mergeCell ref="L145:L146"/>
    <mergeCell ref="M145:M146"/>
    <mergeCell ref="N145:N146"/>
    <mergeCell ref="O145:O146"/>
    <mergeCell ref="P145:P146"/>
    <mergeCell ref="Q145:Q146"/>
    <mergeCell ref="L130:L131"/>
    <mergeCell ref="M130:M131"/>
    <mergeCell ref="N130:N131"/>
    <mergeCell ref="O130:O131"/>
    <mergeCell ref="P130:P131"/>
    <mergeCell ref="O123:O124"/>
    <mergeCell ref="P123:P124"/>
    <mergeCell ref="Q123:Q124"/>
    <mergeCell ref="L125:L126"/>
    <mergeCell ref="M125:M126"/>
    <mergeCell ref="N125:N126"/>
    <mergeCell ref="O125:O126"/>
    <mergeCell ref="P125:P126"/>
    <mergeCell ref="Q125:Q126"/>
    <mergeCell ref="L123:L124"/>
    <mergeCell ref="M123:M124"/>
    <mergeCell ref="N123:N124"/>
    <mergeCell ref="L127:L129"/>
    <mergeCell ref="L113:L114"/>
    <mergeCell ref="M113:M114"/>
    <mergeCell ref="N113:N114"/>
    <mergeCell ref="L115:L117"/>
    <mergeCell ref="M115:M117"/>
    <mergeCell ref="N115:N117"/>
    <mergeCell ref="Q107:Q108"/>
    <mergeCell ref="L109:L110"/>
    <mergeCell ref="M109:M110"/>
    <mergeCell ref="N109:N110"/>
    <mergeCell ref="L111:L112"/>
    <mergeCell ref="M111:M112"/>
    <mergeCell ref="N111:N112"/>
    <mergeCell ref="O111:O112"/>
    <mergeCell ref="P111:P112"/>
    <mergeCell ref="Q111:Q112"/>
    <mergeCell ref="M127:M129"/>
    <mergeCell ref="N127:N129"/>
    <mergeCell ref="O127:O129"/>
    <mergeCell ref="P127:P129"/>
    <mergeCell ref="Q127:Q129"/>
    <mergeCell ref="M105:M106"/>
    <mergeCell ref="N105:N106"/>
    <mergeCell ref="O105:O106"/>
    <mergeCell ref="P105:P106"/>
    <mergeCell ref="Q105:Q106"/>
    <mergeCell ref="L107:L108"/>
    <mergeCell ref="M107:M108"/>
    <mergeCell ref="N107:N108"/>
    <mergeCell ref="O107:O108"/>
    <mergeCell ref="P107:P108"/>
    <mergeCell ref="L97:L99"/>
    <mergeCell ref="M97:M99"/>
    <mergeCell ref="N97:N99"/>
    <mergeCell ref="I100:I120"/>
    <mergeCell ref="J100:J120"/>
    <mergeCell ref="K100:K120"/>
    <mergeCell ref="L100:L101"/>
    <mergeCell ref="M100:M101"/>
    <mergeCell ref="N100:N101"/>
    <mergeCell ref="L105:L106"/>
    <mergeCell ref="I80:I99"/>
    <mergeCell ref="J80:J99"/>
    <mergeCell ref="K80:K99"/>
    <mergeCell ref="O115:O117"/>
    <mergeCell ref="P115:P117"/>
    <mergeCell ref="Q115:Q117"/>
    <mergeCell ref="L118:L119"/>
    <mergeCell ref="M118:M119"/>
    <mergeCell ref="N118:N119"/>
    <mergeCell ref="O118:O119"/>
    <mergeCell ref="P118:P119"/>
    <mergeCell ref="Q118:Q119"/>
    <mergeCell ref="Q66:Q67"/>
    <mergeCell ref="L94:L96"/>
    <mergeCell ref="M94:M96"/>
    <mergeCell ref="N94:N96"/>
    <mergeCell ref="O94:O95"/>
    <mergeCell ref="P94:P95"/>
    <mergeCell ref="Q94:Q95"/>
    <mergeCell ref="P83:P85"/>
    <mergeCell ref="Q83:Q85"/>
    <mergeCell ref="L92:L93"/>
    <mergeCell ref="M92:M93"/>
    <mergeCell ref="N92:N93"/>
    <mergeCell ref="O92:O93"/>
    <mergeCell ref="P92:P93"/>
    <mergeCell ref="Q92:Q93"/>
    <mergeCell ref="O73:O74"/>
    <mergeCell ref="P73:P74"/>
    <mergeCell ref="Q73:Q74"/>
    <mergeCell ref="L83:L85"/>
    <mergeCell ref="M83:M85"/>
    <mergeCell ref="N83:N85"/>
    <mergeCell ref="O83:O85"/>
    <mergeCell ref="L64:L65"/>
    <mergeCell ref="M64:M65"/>
    <mergeCell ref="N64:N65"/>
    <mergeCell ref="O64:O65"/>
    <mergeCell ref="P64:P65"/>
    <mergeCell ref="Q64:Q65"/>
    <mergeCell ref="I62:I77"/>
    <mergeCell ref="J62:J77"/>
    <mergeCell ref="K62:K77"/>
    <mergeCell ref="L62:L63"/>
    <mergeCell ref="M62:M63"/>
    <mergeCell ref="N62:N63"/>
    <mergeCell ref="L57:L58"/>
    <mergeCell ref="M57:M58"/>
    <mergeCell ref="N57:N58"/>
    <mergeCell ref="L70:L71"/>
    <mergeCell ref="M70:M71"/>
    <mergeCell ref="N70:N71"/>
    <mergeCell ref="L73:L74"/>
    <mergeCell ref="M73:M74"/>
    <mergeCell ref="N73:N74"/>
    <mergeCell ref="L68:L69"/>
    <mergeCell ref="M68:M69"/>
    <mergeCell ref="N68:N69"/>
    <mergeCell ref="O68:O69"/>
    <mergeCell ref="P68:P69"/>
    <mergeCell ref="Q68:Q69"/>
    <mergeCell ref="L66:L67"/>
    <mergeCell ref="M66:M67"/>
    <mergeCell ref="N66:N67"/>
    <mergeCell ref="O66:O67"/>
    <mergeCell ref="P66:P67"/>
    <mergeCell ref="P55:P56"/>
    <mergeCell ref="Q55:Q56"/>
    <mergeCell ref="L52:L53"/>
    <mergeCell ref="M52:M53"/>
    <mergeCell ref="N52:N53"/>
    <mergeCell ref="O52:O53"/>
    <mergeCell ref="P52:P53"/>
    <mergeCell ref="Q52:Q53"/>
    <mergeCell ref="L50:L51"/>
    <mergeCell ref="M50:M51"/>
    <mergeCell ref="N50:N51"/>
    <mergeCell ref="O50:O51"/>
    <mergeCell ref="P50:P51"/>
    <mergeCell ref="Q50:Q51"/>
    <mergeCell ref="O62:O63"/>
    <mergeCell ref="P62:P63"/>
    <mergeCell ref="Q62:Q63"/>
    <mergeCell ref="N35:N36"/>
    <mergeCell ref="O35:O36"/>
    <mergeCell ref="P35:P36"/>
    <mergeCell ref="Q35:Q36"/>
    <mergeCell ref="L33:L34"/>
    <mergeCell ref="M33:M34"/>
    <mergeCell ref="N33:N34"/>
    <mergeCell ref="L48:L49"/>
    <mergeCell ref="M48:M49"/>
    <mergeCell ref="N48:N49"/>
    <mergeCell ref="O48:O49"/>
    <mergeCell ref="P48:P49"/>
    <mergeCell ref="Q48:Q49"/>
    <mergeCell ref="O46:O47"/>
    <mergeCell ref="P46:P47"/>
    <mergeCell ref="Q46:Q47"/>
    <mergeCell ref="I46:I61"/>
    <mergeCell ref="J46:J61"/>
    <mergeCell ref="K46:K61"/>
    <mergeCell ref="L46:L47"/>
    <mergeCell ref="M46:M47"/>
    <mergeCell ref="N46:N47"/>
    <mergeCell ref="L43:L45"/>
    <mergeCell ref="M43:M45"/>
    <mergeCell ref="N43:N45"/>
    <mergeCell ref="O43:O44"/>
    <mergeCell ref="P43:P44"/>
    <mergeCell ref="Q43:Q44"/>
    <mergeCell ref="L55:L56"/>
    <mergeCell ref="M55:M56"/>
    <mergeCell ref="N55:N56"/>
    <mergeCell ref="O55:O56"/>
    <mergeCell ref="L31:L32"/>
    <mergeCell ref="M31:M32"/>
    <mergeCell ref="N31:N32"/>
    <mergeCell ref="O31:O32"/>
    <mergeCell ref="P31:P32"/>
    <mergeCell ref="Q31:Q32"/>
    <mergeCell ref="L29:L30"/>
    <mergeCell ref="M29:M30"/>
    <mergeCell ref="N29:N30"/>
    <mergeCell ref="O29:O30"/>
    <mergeCell ref="P29:P30"/>
    <mergeCell ref="Q29:Q30"/>
    <mergeCell ref="I24:I45"/>
    <mergeCell ref="J24:J45"/>
    <mergeCell ref="K24:K45"/>
    <mergeCell ref="L17:L19"/>
    <mergeCell ref="M17:M19"/>
    <mergeCell ref="N17:N19"/>
    <mergeCell ref="L20:L22"/>
    <mergeCell ref="M20:M22"/>
    <mergeCell ref="N20:N22"/>
    <mergeCell ref="L40:L42"/>
    <mergeCell ref="M40:M42"/>
    <mergeCell ref="N40:N42"/>
    <mergeCell ref="L37:L39"/>
    <mergeCell ref="M37:M39"/>
    <mergeCell ref="N37:N39"/>
    <mergeCell ref="O37:O38"/>
    <mergeCell ref="P37:P38"/>
    <mergeCell ref="Q37:Q38"/>
    <mergeCell ref="L35:L36"/>
    <mergeCell ref="M35:M36"/>
    <mergeCell ref="P5:P6"/>
    <mergeCell ref="Q5:Q6"/>
    <mergeCell ref="I2:I23"/>
    <mergeCell ref="J2:J23"/>
    <mergeCell ref="K2:K23"/>
    <mergeCell ref="L5:L6"/>
    <mergeCell ref="M5:M6"/>
    <mergeCell ref="N5:N6"/>
    <mergeCell ref="O5:O6"/>
    <mergeCell ref="L15:L16"/>
    <mergeCell ref="M15:M16"/>
    <mergeCell ref="N15:N16"/>
    <mergeCell ref="O15:O16"/>
    <mergeCell ref="P15:P16"/>
    <mergeCell ref="Q15:Q16"/>
    <mergeCell ref="L12:L13"/>
    <mergeCell ref="M12:M13"/>
    <mergeCell ref="N12:N13"/>
    <mergeCell ref="O12:O13"/>
    <mergeCell ref="P12:P13"/>
    <mergeCell ref="Q12:Q13"/>
    <mergeCell ref="L8:L9"/>
    <mergeCell ref="M8:M9"/>
    <mergeCell ref="N8:N9"/>
    <mergeCell ref="O8:O9"/>
    <mergeCell ref="P8:P9"/>
    <mergeCell ref="Q8:Q9"/>
  </mergeCells>
  <pageMargins left="0.7" right="0.7" top="0.75" bottom="0.75" header="0.3" footer="0.3"/>
  <pageSetup paperSize="9" orientation="portrait" horizontalDpi="4294967293" verticalDpi="4294967293" r:id="rId4"/>
  <drawing r:id="rId5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315A00-BA99-4D73-B5D6-C96B39BD86E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Crafts Atelier 2.0</vt:lpstr>
      <vt:lpstr>'Crafts Atelier 2.0'!Criteres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2024-06-09T21:52:10Z</dcterms:modified>
</cp:coreProperties>
</file>