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0A59969F-2B27-4567-A832-E9D60B4CE3F3}" xr6:coauthVersionLast="45" xr6:coauthVersionMax="47" xr10:uidLastSave="{00000000-0000-0000-0000-000000000000}"/>
  <bookViews>
    <workbookView xWindow="3435" yWindow="3060" windowWidth="24060" windowHeight="15555" xr2:uid="{00000000-000D-0000-FFFF-FFFF00000000}"/>
  </bookViews>
  <sheets>
    <sheet name="Planning_vierge" sheetId="4" r:id="rId1"/>
  </sheets>
  <definedNames>
    <definedName name="Employés" localSheetId="0">Tableau15[Employés]</definedName>
    <definedName name="Employés">#REF!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R5" i="4" l="1"/>
  <c r="P5" i="4"/>
  <c r="N5" i="4"/>
  <c r="L5" i="4"/>
  <c r="J5" i="4"/>
  <c r="H5" i="4"/>
  <c r="F5" i="4"/>
  <c r="F4" i="4" l="1"/>
  <c r="F3" i="4"/>
  <c r="T19" i="4"/>
  <c r="T9" i="4" l="1"/>
  <c r="U9" i="4" s="1"/>
  <c r="V9" i="4" s="1"/>
  <c r="T10" i="4"/>
  <c r="T11" i="4"/>
  <c r="U11" i="4" s="1"/>
  <c r="V11" i="4" s="1"/>
  <c r="T12" i="4"/>
  <c r="U12" i="4" s="1"/>
  <c r="V12" i="4" s="1"/>
  <c r="T14" i="4"/>
  <c r="T13" i="4"/>
  <c r="U13" i="4" s="1"/>
  <c r="V13" i="4" s="1"/>
  <c r="T15" i="4"/>
  <c r="U15" i="4" s="1"/>
  <c r="V15" i="4" s="1"/>
  <c r="T16" i="4"/>
  <c r="U16" i="4" s="1"/>
  <c r="V16" i="4" s="1"/>
  <c r="T17" i="4"/>
  <c r="T18" i="4"/>
  <c r="U19" i="4"/>
  <c r="V19" i="4" s="1"/>
  <c r="T20" i="4"/>
  <c r="U20" i="4" s="1"/>
  <c r="V20" i="4" s="1"/>
  <c r="T21" i="4"/>
  <c r="U21" i="4" s="1"/>
  <c r="V21" i="4" s="1"/>
  <c r="U10" i="4"/>
  <c r="V10" i="4" s="1"/>
  <c r="U14" i="4"/>
  <c r="V14" i="4" s="1"/>
  <c r="U17" i="4"/>
  <c r="V17" i="4" s="1"/>
  <c r="U18" i="4"/>
  <c r="V18" i="4" s="1"/>
  <c r="R4" i="4"/>
  <c r="P4" i="4"/>
  <c r="N4" i="4"/>
  <c r="L4" i="4"/>
  <c r="J4" i="4"/>
  <c r="H4" i="4"/>
  <c r="R3" i="4"/>
  <c r="P3" i="4"/>
  <c r="N3" i="4"/>
  <c r="L3" i="4"/>
  <c r="J3" i="4"/>
  <c r="H3" i="4"/>
</calcChain>
</file>

<file path=xl/sharedStrings.xml><?xml version="1.0" encoding="utf-8"?>
<sst xmlns="http://schemas.openxmlformats.org/spreadsheetml/2006/main" count="59" uniqueCount="45">
  <si>
    <t>Matteo</t>
  </si>
  <si>
    <t>Marie</t>
  </si>
  <si>
    <t>Lola</t>
  </si>
  <si>
    <t>Alicia</t>
  </si>
  <si>
    <t>Delphine</t>
  </si>
  <si>
    <t>Keny</t>
  </si>
  <si>
    <t>Manon</t>
  </si>
  <si>
    <t>Nael</t>
  </si>
  <si>
    <t>Nathan</t>
  </si>
  <si>
    <t>Zakaria</t>
  </si>
  <si>
    <t>Matin</t>
  </si>
  <si>
    <t>Soir</t>
  </si>
  <si>
    <t>Employés</t>
  </si>
  <si>
    <t>Heures dues</t>
  </si>
  <si>
    <t>Lun-D</t>
  </si>
  <si>
    <t>Lun-F</t>
  </si>
  <si>
    <t>Mar-D</t>
  </si>
  <si>
    <t>Mar-F</t>
  </si>
  <si>
    <t>Mer-D</t>
  </si>
  <si>
    <t>Mer-F</t>
  </si>
  <si>
    <t>Jeu-D</t>
  </si>
  <si>
    <t>Jeu-F</t>
  </si>
  <si>
    <t>Ven-D</t>
  </si>
  <si>
    <t>Ven-F</t>
  </si>
  <si>
    <t>Sam-D</t>
  </si>
  <si>
    <t>Sam-F</t>
  </si>
  <si>
    <t>Dim-D</t>
  </si>
  <si>
    <t>Dim-F</t>
  </si>
  <si>
    <t>GESTION</t>
  </si>
  <si>
    <t>Après-midi</t>
  </si>
  <si>
    <t>Heures travaillées</t>
  </si>
  <si>
    <t>Écart heures dues</t>
  </si>
  <si>
    <t>Aurélien</t>
  </si>
  <si>
    <t>Clément</t>
  </si>
  <si>
    <t>Raphaël</t>
  </si>
  <si>
    <t>Temps de pause</t>
  </si>
  <si>
    <t>LUNDI</t>
  </si>
  <si>
    <t>MARDI</t>
  </si>
  <si>
    <t>MERCREDI</t>
  </si>
  <si>
    <t>JEUDI</t>
  </si>
  <si>
    <t>VENDREDI</t>
  </si>
  <si>
    <t>SAMEDI</t>
  </si>
  <si>
    <t>DIMANCHE</t>
  </si>
  <si>
    <t>PÉRIODE</t>
  </si>
  <si>
    <t>21/11/2022 - 27/11/2022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</si>
</sst>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h:mm;@"/>
    <numFmt numFmtId="165" formatCode="#0&quot; heures&quot;"/>
    <numFmt numFmtId="166" formatCode="hh:mm;@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rgb="FF000000"/>
      <name val="Calibri"/>
      <family val="2"/>
    </font>
    <font>
      <b/>
      <sz val="16"/>
      <color rgb="FF000000"/>
      <name val="Calibri"/>
      <family val="2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thin">
        <color indexed="64"/>
      </right>
      <top style="medium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medium">
        <color auto="1"/>
      </top>
      <bottom style="hair">
        <color auto="1"/>
      </bottom>
      <diagonal/>
    </border>
    <border>
      <left style="thin">
        <color indexed="64"/>
      </left>
      <right style="medium">
        <color indexed="64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medium">
        <color indexed="64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indexed="64"/>
      </right>
      <top style="hair">
        <color auto="1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auto="1"/>
      </top>
      <bottom style="medium">
        <color indexed="64"/>
      </bottom>
      <diagonal/>
    </border>
    <border>
      <left style="thin">
        <color indexed="64"/>
      </left>
      <right/>
      <top style="hair">
        <color auto="1"/>
      </top>
      <bottom style="medium">
        <color auto="1"/>
      </bottom>
      <diagonal/>
    </border>
    <border>
      <left/>
      <right style="thin">
        <color indexed="64"/>
      </right>
      <top style="hair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0" borderId="0" xfId="0" applyFont="1" applyAlignment="1" applyProtection="1">
      <alignment horizontal="center" vertical="center"/>
      <protection locked="0"/>
    </xf>
    <xf numFmtId="0" fontId="1" fillId="0" borderId="4" xfId="0" applyFon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165" fontId="0" fillId="0" borderId="0" xfId="0" applyNumberFormat="1" applyAlignment="1" applyProtection="1">
      <alignment horizontal="center" vertical="center"/>
      <protection locked="0"/>
    </xf>
    <xf numFmtId="2" fontId="1" fillId="0" borderId="0" xfId="0" applyNumberFormat="1" applyFont="1" applyAlignment="1">
      <alignment horizontal="center" vertical="center"/>
    </xf>
    <xf numFmtId="0" fontId="0" fillId="4" borderId="0" xfId="0" applyFill="1" applyAlignment="1">
      <alignment vertical="center"/>
    </xf>
    <xf numFmtId="0" fontId="1" fillId="4" borderId="0" xfId="0" applyFont="1" applyFill="1" applyAlignment="1">
      <alignment vertical="center"/>
    </xf>
    <xf numFmtId="0" fontId="0" fillId="4" borderId="0" xfId="0" applyFill="1" applyAlignment="1" applyProtection="1">
      <alignment vertical="center"/>
      <protection locked="0"/>
    </xf>
    <xf numFmtId="164" fontId="0" fillId="4" borderId="0" xfId="0" applyNumberFormat="1" applyFill="1" applyAlignment="1" applyProtection="1">
      <alignment vertical="center"/>
      <protection locked="0"/>
    </xf>
    <xf numFmtId="20" fontId="0" fillId="4" borderId="0" xfId="0" applyNumberFormat="1" applyFill="1" applyAlignment="1" applyProtection="1">
      <alignment vertical="center"/>
      <protection locked="0"/>
    </xf>
    <xf numFmtId="2" fontId="0" fillId="0" borderId="0" xfId="0" applyNumberFormat="1" applyAlignment="1" applyProtection="1">
      <alignment horizontal="center" vertical="center"/>
      <protection locked="0"/>
    </xf>
    <xf numFmtId="166" fontId="0" fillId="0" borderId="0" xfId="0" applyNumberFormat="1" applyAlignment="1" applyProtection="1">
      <alignment horizontal="center" vertical="center"/>
      <protection locked="0"/>
    </xf>
    <xf numFmtId="166" fontId="0" fillId="0" borderId="0" xfId="0" applyNumberFormat="1" applyAlignment="1" applyProtection="1">
      <alignment horizontal="center" vertical="center" wrapText="1"/>
      <protection locked="0"/>
    </xf>
    <xf numFmtId="0" fontId="4" fillId="6" borderId="7" xfId="0" applyFont="1" applyFill="1" applyBorder="1" applyAlignment="1">
      <alignment horizontal="center" vertical="center"/>
    </xf>
    <xf numFmtId="0" fontId="2" fillId="5" borderId="7" xfId="0" applyFont="1" applyFill="1" applyBorder="1" applyAlignment="1">
      <alignment vertical="center"/>
    </xf>
    <xf numFmtId="0" fontId="2" fillId="5" borderId="10" xfId="0" applyFont="1" applyFill="1" applyBorder="1" applyAlignment="1">
      <alignment vertical="center"/>
    </xf>
    <xf numFmtId="0" fontId="2" fillId="5" borderId="12" xfId="0" applyFont="1" applyFill="1" applyBorder="1" applyAlignment="1">
      <alignment vertical="center"/>
    </xf>
    <xf numFmtId="166" fontId="7" fillId="0" borderId="0" xfId="0" applyNumberFormat="1" applyFont="1" applyAlignment="1" applyProtection="1">
      <alignment horizontal="center" vertical="center"/>
      <protection locked="0"/>
    </xf>
    <xf numFmtId="0" fontId="0" fillId="4" borderId="0" xfId="0" applyFill="1" applyAlignment="1" applyProtection="1">
      <alignment horizontal="center" vertical="center"/>
      <protection locked="0"/>
    </xf>
    <xf numFmtId="20" fontId="0" fillId="4" borderId="0" xfId="0" applyNumberFormat="1" applyFill="1" applyAlignment="1" applyProtection="1">
      <alignment horizontal="center" vertical="center"/>
      <protection locked="0"/>
    </xf>
    <xf numFmtId="166" fontId="0" fillId="4" borderId="0" xfId="0" applyNumberFormat="1" applyFill="1" applyAlignment="1" applyProtection="1">
      <alignment horizontal="center" vertical="center"/>
      <protection locked="0"/>
    </xf>
    <xf numFmtId="1" fontId="2" fillId="7" borderId="6" xfId="0" applyNumberFormat="1" applyFont="1" applyFill="1" applyBorder="1" applyAlignment="1">
      <alignment horizontal="center" vertical="center"/>
    </xf>
    <xf numFmtId="1" fontId="2" fillId="3" borderId="8" xfId="0" applyNumberFormat="1" applyFont="1" applyFill="1" applyBorder="1" applyAlignment="1">
      <alignment horizontal="center" vertical="center"/>
    </xf>
    <xf numFmtId="1" fontId="2" fillId="0" borderId="8" xfId="0" applyNumberFormat="1" applyFont="1" applyBorder="1" applyAlignment="1">
      <alignment horizontal="center" vertical="center"/>
    </xf>
    <xf numFmtId="1" fontId="2" fillId="0" borderId="9" xfId="0" applyNumberFormat="1" applyFont="1" applyBorder="1" applyAlignment="1">
      <alignment horizontal="center" vertical="center"/>
    </xf>
    <xf numFmtId="1" fontId="2" fillId="0" borderId="5" xfId="0" applyNumberFormat="1" applyFont="1" applyBorder="1" applyAlignment="1">
      <alignment horizontal="center" vertical="center"/>
    </xf>
    <xf numFmtId="1" fontId="2" fillId="3" borderId="5" xfId="0" applyNumberFormat="1" applyFont="1" applyFill="1" applyBorder="1" applyAlignment="1">
      <alignment horizontal="center" vertical="center"/>
    </xf>
    <xf numFmtId="1" fontId="2" fillId="0" borderId="11" xfId="0" applyNumberFormat="1" applyFont="1" applyBorder="1" applyAlignment="1">
      <alignment horizontal="center" vertical="center"/>
    </xf>
    <xf numFmtId="0" fontId="0" fillId="4" borderId="0" xfId="0" applyFill="1" applyAlignment="1" applyProtection="1">
      <alignment horizontal="center" vertical="center"/>
      <protection locked="0"/>
    </xf>
    <xf numFmtId="1" fontId="4" fillId="6" borderId="8" xfId="0" applyNumberFormat="1" applyFont="1" applyFill="1" applyBorder="1" applyAlignment="1">
      <alignment horizontal="center" vertical="center"/>
    </xf>
    <xf numFmtId="1" fontId="4" fillId="6" borderId="9" xfId="0" applyNumberFormat="1" applyFont="1" applyFill="1" applyBorder="1" applyAlignment="1">
      <alignment horizontal="center" vertical="center"/>
    </xf>
    <xf numFmtId="1" fontId="2" fillId="7" borderId="13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1" fontId="2" fillId="7" borderId="14" xfId="0" applyNumberFormat="1" applyFont="1" applyFill="1" applyBorder="1" applyAlignment="1">
      <alignment horizontal="center" vertical="center"/>
    </xf>
    <xf numFmtId="1" fontId="2" fillId="7" borderId="15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9">
    <dxf>
      <numFmt numFmtId="165" formatCode="#0&quot; heures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</font>
      <numFmt numFmtId="166" formatCode="h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</font>
      <numFmt numFmtId="166" formatCode="h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</font>
      <numFmt numFmtId="166" formatCode="h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</font>
      <numFmt numFmtId="166" formatCode="h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</font>
      <numFmt numFmtId="166" formatCode="h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</font>
      <numFmt numFmtId="166" formatCode="h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</font>
      <numFmt numFmtId="166" formatCode="h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h:mm;@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h:mm;@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h:mm;@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h:mm;@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h:mm;@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h:mm;@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hh:mm;@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ill>
        <patternFill>
          <bgColor theme="0" tint="-0.34998626667073579"/>
        </patternFill>
      </fill>
    </dxf>
    <dxf>
      <fill>
        <patternFill>
          <bgColor theme="5" tint="0.79998168889431442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5" tint="0.39994506668294322"/>
        </patternFill>
      </fill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thin">
          <color auto="1"/>
        </vertical>
        <horizontal style="hair">
          <color auto="1"/>
        </horizontal>
      </border>
    </dxf>
  </dxfs>
  <tableStyles count="1" defaultTableStyle="TableStyleMedium2" defaultPivotStyle="PivotStyleLight16">
    <tableStyle name="Style de tableau 1" pivot="0" count="4" xr9:uid="{00000000-0011-0000-FFFF-FFFF00000000}">
      <tableStyleElement type="wholeTable" dxfId="28"/>
      <tableStyleElement type="headerRow" dxfId="27"/>
      <tableStyleElement type="firstRowStripe" dxfId="26"/>
      <tableStyleElement type="secondRowStripe" dxfId="2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2</xdr:row>
          <xdr:rowOff>0</xdr:rowOff>
        </xdr:from>
        <xdr:to>
          <xdr:col>2</xdr:col>
          <xdr:colOff>9525</xdr:colOff>
          <xdr:row>5</xdr:row>
          <xdr:rowOff>9525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0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GESTION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Insérer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171450</xdr:colOff>
          <xdr:row>2</xdr:row>
          <xdr:rowOff>0</xdr:rowOff>
        </xdr:from>
        <xdr:to>
          <xdr:col>2</xdr:col>
          <xdr:colOff>1143000</xdr:colOff>
          <xdr:row>5</xdr:row>
          <xdr:rowOff>9525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0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GESTION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Tri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600075</xdr:colOff>
          <xdr:row>2</xdr:row>
          <xdr:rowOff>0</xdr:rowOff>
        </xdr:from>
        <xdr:to>
          <xdr:col>21</xdr:col>
          <xdr:colOff>114300</xdr:colOff>
          <xdr:row>5</xdr:row>
          <xdr:rowOff>9525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00000000-0008-0000-00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PLANNING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Insérer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276225</xdr:colOff>
          <xdr:row>2</xdr:row>
          <xdr:rowOff>0</xdr:rowOff>
        </xdr:from>
        <xdr:to>
          <xdr:col>21</xdr:col>
          <xdr:colOff>1238250</xdr:colOff>
          <xdr:row>5</xdr:row>
          <xdr:rowOff>9525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  <a:ext uri="{FF2B5EF4-FFF2-40B4-BE49-F238E27FC236}">
                  <a16:creationId xmlns:a16="http://schemas.microsoft.com/office/drawing/2014/main" id="{00000000-0008-0000-0000-00000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PLANNING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Tri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0</xdr:row>
          <xdr:rowOff>142875</xdr:rowOff>
        </xdr:from>
        <xdr:to>
          <xdr:col>3</xdr:col>
          <xdr:colOff>9525</xdr:colOff>
          <xdr:row>0</xdr:row>
          <xdr:rowOff>752475</xdr:rowOff>
        </xdr:to>
        <xdr:sp macro="" textlink="">
          <xdr:nvSpPr>
            <xdr:cNvPr id="4101" name="Button 5" hidden="1">
              <a:extLst>
                <a:ext uri="{63B3BB69-23CF-44E3-9099-C40C66FF867C}">
                  <a14:compatExt spid="_x0000_s4101"/>
                </a:ext>
                <a:ext uri="{FF2B5EF4-FFF2-40B4-BE49-F238E27FC236}">
                  <a16:creationId xmlns:a16="http://schemas.microsoft.com/office/drawing/2014/main" id="{00000000-0008-0000-0000-00000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</a:rPr>
                <a:t>NOUVEAU PLANNING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6E9E0D9-4A6A-48E4-9D19-02E376B21092}" name="Tableau33" displayName="Tableau33" ref="E8:V21" totalsRowShown="0" headerRowDxfId="23" dataDxfId="22">
  <autoFilter ref="E8:V21" xr:uid="{00000000-0009-0000-0100-000003000000}"/>
  <sortState xmlns:xlrd2="http://schemas.microsoft.com/office/spreadsheetml/2017/richdata2" ref="E9:V21">
    <sortCondition ref="E8:E21"/>
  </sortState>
  <tableColumns count="18">
    <tableColumn id="1" xr3:uid="{146604E5-14E7-4F76-A583-8C48C896B093}" name="Employés" dataDxfId="21"/>
    <tableColumn id="2" xr3:uid="{EFDE5674-DF6E-4148-B327-CBC29A60F714}" name="Lun-D" dataDxfId="20"/>
    <tableColumn id="3" xr3:uid="{3D097EA3-4DB0-413A-B4B9-A59272B47ACD}" name="Lun-F" dataDxfId="19"/>
    <tableColumn id="4" xr3:uid="{4C260F08-73D4-4BC1-A1E0-EF4C56949EB7}" name="Mar-D" dataDxfId="18"/>
    <tableColumn id="5" xr3:uid="{6608AFD0-BD22-4DC3-8BCF-E5E39A5E38D6}" name="Mar-F" dataDxfId="17"/>
    <tableColumn id="6" xr3:uid="{5BEA3AF3-F2F6-4254-8A8A-C1D7F011259A}" name="Mer-D" dataDxfId="16"/>
    <tableColumn id="7" xr3:uid="{E952EF7B-0FF3-460A-A1F4-7EC65B0314EC}" name="Mer-F" dataDxfId="15"/>
    <tableColumn id="8" xr3:uid="{F23064A4-3F8A-4674-9D4D-359DB43F85F6}" name="Jeu-D" dataDxfId="14"/>
    <tableColumn id="9" xr3:uid="{F85F1616-308E-454B-A878-7C9619FA09A9}" name="Jeu-F" dataDxfId="13"/>
    <tableColumn id="10" xr3:uid="{9B75C10A-C995-409E-A3D7-74101F7F9D8D}" name="Ven-D" dataDxfId="12"/>
    <tableColumn id="11" xr3:uid="{ADF317D5-B713-4BF0-A2CD-CB5578D38547}" name="Ven-F" dataDxfId="11"/>
    <tableColumn id="12" xr3:uid="{3CD07DC5-3873-45DB-AD36-96C452C29930}" name="Sam-D" dataDxfId="10"/>
    <tableColumn id="13" xr3:uid="{9AF02B0D-64E9-4B23-8B67-EFCD3621D932}" name="Sam-F" dataDxfId="9"/>
    <tableColumn id="14" xr3:uid="{8CFB07CB-5353-482F-A360-2471ED35A180}" name="Dim-D" dataDxfId="8"/>
    <tableColumn id="15" xr3:uid="{105311CB-6C8C-49CC-B922-ACB4467D45C9}" name="Dim-F" dataDxfId="7"/>
    <tableColumn id="22" xr3:uid="{8E46A401-D40C-4E06-A883-70104988230A}" name="Temps de pause" dataDxfId="6">
      <calculatedColumnFormula>(SUM(IF(MOD(G9-F9,1)&gt;=(7/24),0.5,0),IF(MOD(I9-H9,1)&gt;=(7/24),0.5,0),IF(MOD(K9-J9,1)&gt;=(7/24),0.5,0),IF(MOD(M9-L9,1)&gt;=(7/24),0.5,0),IF(MOD(O9-N9,1)&gt;=(7/24),0.5,0),IF(MOD(Q9-P9,1)&gt;=(7/24),0.5,0),IF(MOD(S9-R9,1)&gt;=(7/24),0.5,0)))</calculatedColumnFormula>
    </tableColumn>
    <tableColumn id="17" xr3:uid="{33C08192-4A2D-40C8-8450-6070997586FF}" name="Heures travaillées" dataDxfId="5">
      <calculatedColumnFormula>(SUM(MOD(Tableau33[[#This Row],[Lun-F]]-Tableau33[[#This Row],[Lun-D]],1),MOD(Tableau33[[#This Row],[Mar-F]]-Tableau33[[#This Row],[Mar-D]],1),MOD(Tableau33[[#This Row],[Mer-F]]-Tableau33[[#This Row],[Mer-D]],1),MOD(Tableau33[[#This Row],[Jeu-F]]-Tableau33[[#This Row],[Jeu-D]],1),MOD(Tableau33[[#This Row],[Ven-F]]-Tableau33[[#This Row],[Ven-D]],1),MOD(Tableau33[[#This Row],[Sam-F]]-Tableau33[[#This Row],[Sam-D]],1),MOD(Tableau33[[#This Row],[Dim-F]]-Tableau33[[#This Row],[Dim-D]],1))*24)-Tableau33[[#This Row],[Temps de pause]]</calculatedColumnFormula>
    </tableColumn>
    <tableColumn id="18" xr3:uid="{46171F0B-B3B2-4EA5-AE79-D1157FDF62E2}" name="Écart heures dues" dataDxfId="4">
      <calculatedColumnFormula>IFERROR(Tableau33[[#This Row],[Heures travaillées]]-VLOOKUP(Tableau33[[#This Row],[Employés]],Tableau15[],2,FALSE),"ERREUR")</calculatedColumnFormula>
    </tableColumn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C87394D-8560-4BAF-A052-3A4F833CD966}" name="Tableau15" displayName="Tableau15" ref="B8:C21" totalsRowShown="0" headerRowDxfId="3" dataDxfId="2">
  <autoFilter ref="B8:C21" xr:uid="{419072BD-85FF-4DF9-A397-11D20D7057E0}"/>
  <sortState xmlns:xlrd2="http://schemas.microsoft.com/office/spreadsheetml/2017/richdata2" ref="B9:C21">
    <sortCondition ref="B8:B21"/>
  </sortState>
  <tableColumns count="2">
    <tableColumn id="1" xr3:uid="{B16AEF9F-0C51-45B3-9A10-07FD1D580D9A}" name="Employés" dataDxfId="1"/>
    <tableColumn id="2" xr3:uid="{78CE2955-D9AA-410B-BAA3-782F46AF752B}" name="Heures dues" dataDxfId="0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table" Target="../tables/table2.xml"/><Relationship Id="rId4" Type="http://schemas.openxmlformats.org/officeDocument/2006/relationships/ctrlProp" Target="../ctrlProps/ctrlProp1.xml"/><Relationship Id="rId9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AD1160-468D-4920-9610-4AD4D312DCFF}">
  <sheetPr codeName="Feuil3"/>
  <dimension ref="B1:V49"/>
  <sheetViews>
    <sheetView showGridLines="0" tabSelected="1" zoomScale="85" zoomScaleNormal="85" workbookViewId="0">
      <selection activeCell="F5" sqref="F5:G5"/>
    </sheetView>
  </sheetViews>
  <sheetFormatPr baseColWidth="10" defaultRowHeight="15" x14ac:dyDescent="0.25"/>
  <cols>
    <col min="1" max="1" width="3.28515625" style="8" customWidth="1"/>
    <col min="2" max="2" width="14.5703125" style="8" bestFit="1" customWidth="1"/>
    <col min="3" max="3" width="17.140625" style="8" bestFit="1" customWidth="1"/>
    <col min="4" max="4" width="5.42578125" style="8" customWidth="1"/>
    <col min="5" max="5" width="17.140625" style="8" customWidth="1"/>
    <col min="6" max="19" width="11.7109375" style="8" customWidth="1"/>
    <col min="20" max="20" width="18.85546875" style="8" customWidth="1"/>
    <col min="21" max="21" width="21.85546875" style="8" bestFit="1" customWidth="1"/>
    <col min="22" max="22" width="18.85546875" style="8" bestFit="1" customWidth="1"/>
    <col min="23" max="23" width="3.7109375" style="8" customWidth="1"/>
    <col min="24" max="24" width="13.85546875" style="8" bestFit="1" customWidth="1"/>
    <col min="25" max="25" width="3.28515625" style="8" bestFit="1" customWidth="1"/>
    <col min="26" max="26" width="2.28515625" style="8" bestFit="1" customWidth="1"/>
    <col min="27" max="27" width="3.28515625" style="8" bestFit="1" customWidth="1"/>
    <col min="28" max="28" width="2.28515625" style="8" bestFit="1" customWidth="1"/>
    <col min="29" max="29" width="3.28515625" style="8" bestFit="1" customWidth="1"/>
    <col min="30" max="31" width="2.28515625" style="8" bestFit="1" customWidth="1"/>
    <col min="32" max="32" width="3.28515625" style="8" bestFit="1" customWidth="1"/>
    <col min="33" max="16384" width="11.42578125" style="8"/>
  </cols>
  <sheetData>
    <row r="1" spans="2:22" s="6" customFormat="1" ht="63" customHeight="1" thickBot="1" x14ac:dyDescent="0.3"/>
    <row r="2" spans="2:22" s="6" customFormat="1" ht="19.5" thickBot="1" x14ac:dyDescent="0.3">
      <c r="E2" s="14" t="s">
        <v>43</v>
      </c>
      <c r="F2" s="30" t="s">
        <v>36</v>
      </c>
      <c r="G2" s="30"/>
      <c r="H2" s="30" t="s">
        <v>37</v>
      </c>
      <c r="I2" s="30"/>
      <c r="J2" s="30" t="s">
        <v>38</v>
      </c>
      <c r="K2" s="30"/>
      <c r="L2" s="30" t="s">
        <v>39</v>
      </c>
      <c r="M2" s="30"/>
      <c r="N2" s="30" t="s">
        <v>40</v>
      </c>
      <c r="O2" s="30"/>
      <c r="P2" s="30" t="s">
        <v>41</v>
      </c>
      <c r="Q2" s="30"/>
      <c r="R2" s="30" t="s">
        <v>42</v>
      </c>
      <c r="S2" s="31"/>
    </row>
    <row r="3" spans="2:22" s="6" customFormat="1" ht="18.75" x14ac:dyDescent="0.25">
      <c r="B3" s="36"/>
      <c r="C3" s="36"/>
      <c r="E3" s="15" t="s">
        <v>10</v>
      </c>
      <c r="F3" s="24">
        <f>COUNTIF(Tableau33[Lun-D],"&lt;12:00")</f>
        <v>1</v>
      </c>
      <c r="G3" s="24"/>
      <c r="H3" s="23">
        <f>COUNTIF(Tableau33[Mar-D],"&lt;12:00")</f>
        <v>1</v>
      </c>
      <c r="I3" s="23"/>
      <c r="J3" s="24">
        <f>COUNTIF(Tableau33[Mer-D],"&lt;12:00")</f>
        <v>4</v>
      </c>
      <c r="K3" s="24"/>
      <c r="L3" s="23">
        <f>COUNTIF(Tableau33[Jeu-D],"&lt;12:00")</f>
        <v>2</v>
      </c>
      <c r="M3" s="23"/>
      <c r="N3" s="24">
        <f>COUNTIF(Tableau33[Ven-D],"&lt;12:00")</f>
        <v>1</v>
      </c>
      <c r="O3" s="24"/>
      <c r="P3" s="23">
        <f>COUNTIF(Tableau33[Sam-D],"&lt;12:00")</f>
        <v>4</v>
      </c>
      <c r="Q3" s="23"/>
      <c r="R3" s="24">
        <f>COUNTIF(Tableau33[Dim-D],"&lt;12:00")</f>
        <v>3</v>
      </c>
      <c r="S3" s="25"/>
    </row>
    <row r="4" spans="2:22" s="6" customFormat="1" ht="18.75" x14ac:dyDescent="0.25">
      <c r="B4" s="36"/>
      <c r="C4" s="36"/>
      <c r="E4" s="16" t="s">
        <v>29</v>
      </c>
      <c r="F4" s="26">
        <f>COUNTIFS(Tableau33[Lun-D],"&gt;=12:00",Tableau33[Lun-D],"&lt;18:00")</f>
        <v>2</v>
      </c>
      <c r="G4" s="26"/>
      <c r="H4" s="27">
        <f>COUNTIFS(Tableau33[Mar-D],"&gt;=12:00",Tableau33[Mar-D],"&lt;18:00")</f>
        <v>2</v>
      </c>
      <c r="I4" s="27"/>
      <c r="J4" s="26">
        <f>COUNTIFS(Tableau33[Mer-D],"&gt;=12:00",Tableau33[Mer-D],"&lt;18:00")</f>
        <v>2</v>
      </c>
      <c r="K4" s="26"/>
      <c r="L4" s="27">
        <f>COUNTIFS(Tableau33[Jeu-D],"&gt;=12:00",Tableau33[Jeu-D],"&lt;18:00")</f>
        <v>2</v>
      </c>
      <c r="M4" s="27"/>
      <c r="N4" s="26">
        <f>COUNTIFS(Tableau33[Ven-D],"&gt;=12:00",Tableau33[Lun-D],"&lt;18:00")</f>
        <v>2</v>
      </c>
      <c r="O4" s="26"/>
      <c r="P4" s="27">
        <f>COUNTIFS(Tableau33[Sam-D],"&gt;=12:00",Tableau33[Sam-D],"&lt;18:00")</f>
        <v>3</v>
      </c>
      <c r="Q4" s="27"/>
      <c r="R4" s="26">
        <f>COUNTIFS(Tableau33[Dim-D],"&gt;=12:00",Tableau33[Dim-D],"&lt;18:00")</f>
        <v>4</v>
      </c>
      <c r="S4" s="28"/>
    </row>
    <row r="5" spans="2:22" s="6" customFormat="1" ht="19.5" thickBot="1" x14ac:dyDescent="0.3">
      <c r="B5" s="36"/>
      <c r="C5" s="36"/>
      <c r="E5" s="17" t="s">
        <v>11</v>
      </c>
      <c r="F5" s="37">
        <f>SUM(COUNTIF(Tableau33[Lun-F],"&gt;19:00"),COUNTIF(Tableau33[Lun-F],"&lt;=2:00"))</f>
        <v>3</v>
      </c>
      <c r="G5" s="38"/>
      <c r="H5" s="37">
        <f>SUM(COUNTIF(Tableau33[Mar-F],"&gt;19:00"),COUNTIF(Tableau33[Mar-F],"&lt;=2:00"))</f>
        <v>2</v>
      </c>
      <c r="I5" s="38"/>
      <c r="J5" s="37">
        <f>SUM(COUNTIF(Tableau33[Mer-F],"&gt;19:00"),COUNTIF(Tableau33[Mer-F],"&lt;=2:00"))</f>
        <v>3</v>
      </c>
      <c r="K5" s="38"/>
      <c r="L5" s="37">
        <f>SUM(COUNTIF(Tableau33[Jeu-F],"&gt;19:00"),COUNTIF(Tableau33[Jeu-F],"&lt;=2:00"))</f>
        <v>3</v>
      </c>
      <c r="M5" s="38"/>
      <c r="N5" s="37">
        <f>SUM(COUNTIF(Tableau33[Ven-F],"&gt;19:00"),COUNTIF(Tableau33[Ven-F],"&lt;=2:00"))</f>
        <v>5</v>
      </c>
      <c r="O5" s="38"/>
      <c r="P5" s="37">
        <f>SUM(COUNTIF(Tableau33[Sam-F],"&gt;19:00"),COUNTIF(Tableau33[Sam-F],"&lt;=2:00"))</f>
        <v>5</v>
      </c>
      <c r="Q5" s="38"/>
      <c r="R5" s="22">
        <f>SUM(COUNTIF(Tableau33[Dim-F],"&gt;19:00"),COUNTIF(Tableau33[Dim-F],"&lt;=2:00"))</f>
        <v>1</v>
      </c>
      <c r="S5" s="32"/>
    </row>
    <row r="6" spans="2:22" s="6" customFormat="1" ht="15.75" thickBot="1" x14ac:dyDescent="0.3"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2:22" s="6" customFormat="1" ht="24" thickBot="1" x14ac:dyDescent="0.3">
      <c r="B7" s="33" t="s">
        <v>28</v>
      </c>
      <c r="C7" s="34"/>
      <c r="E7" s="33" t="s">
        <v>44</v>
      </c>
      <c r="F7" s="35"/>
      <c r="G7" s="35"/>
      <c r="H7" s="35"/>
      <c r="I7" s="35"/>
      <c r="J7" s="35"/>
      <c r="K7" s="35"/>
      <c r="L7" s="35"/>
      <c r="M7" s="35"/>
      <c r="N7" s="35"/>
      <c r="O7" s="35"/>
      <c r="P7" s="35"/>
      <c r="Q7" s="35"/>
      <c r="R7" s="35"/>
      <c r="S7" s="35"/>
      <c r="T7" s="35"/>
      <c r="U7" s="35"/>
      <c r="V7" s="34"/>
    </row>
    <row r="8" spans="2:22" s="6" customFormat="1" ht="21.95" customHeight="1" x14ac:dyDescent="0.25">
      <c r="B8" s="3" t="s">
        <v>12</v>
      </c>
      <c r="C8" s="3" t="s">
        <v>13</v>
      </c>
      <c r="E8" s="1" t="s">
        <v>12</v>
      </c>
      <c r="F8" s="1" t="s">
        <v>14</v>
      </c>
      <c r="G8" s="1" t="s">
        <v>15</v>
      </c>
      <c r="H8" s="1" t="s">
        <v>16</v>
      </c>
      <c r="I8" s="1" t="s">
        <v>17</v>
      </c>
      <c r="J8" s="1" t="s">
        <v>18</v>
      </c>
      <c r="K8" s="1" t="s">
        <v>19</v>
      </c>
      <c r="L8" s="1" t="s">
        <v>20</v>
      </c>
      <c r="M8" s="1" t="s">
        <v>21</v>
      </c>
      <c r="N8" s="1" t="s">
        <v>22</v>
      </c>
      <c r="O8" s="1" t="s">
        <v>23</v>
      </c>
      <c r="P8" s="1" t="s">
        <v>24</v>
      </c>
      <c r="Q8" s="1" t="s">
        <v>25</v>
      </c>
      <c r="R8" s="1" t="s">
        <v>26</v>
      </c>
      <c r="S8" s="1" t="s">
        <v>27</v>
      </c>
      <c r="T8" s="1" t="s">
        <v>35</v>
      </c>
      <c r="U8" s="1" t="s">
        <v>30</v>
      </c>
      <c r="V8" s="2" t="s">
        <v>31</v>
      </c>
    </row>
    <row r="9" spans="2:22" s="6" customFormat="1" ht="18" customHeight="1" x14ac:dyDescent="0.25">
      <c r="B9" s="3" t="s">
        <v>3</v>
      </c>
      <c r="C9" s="4">
        <v>15</v>
      </c>
      <c r="E9" s="1" t="s">
        <v>3</v>
      </c>
      <c r="F9" s="12"/>
      <c r="G9" s="12"/>
      <c r="H9" s="12"/>
      <c r="I9" s="12"/>
      <c r="J9" s="12"/>
      <c r="K9" s="12"/>
      <c r="L9" s="12"/>
      <c r="M9" s="12"/>
      <c r="N9" s="12">
        <v>0.79166666666666663</v>
      </c>
      <c r="O9" s="12">
        <v>4.1666666666666664E-2</v>
      </c>
      <c r="P9" s="12">
        <v>0.79166666666666663</v>
      </c>
      <c r="Q9" s="12">
        <v>4.1666666666666664E-2</v>
      </c>
      <c r="R9" s="12"/>
      <c r="S9" s="12"/>
      <c r="T9" s="11">
        <f t="shared" ref="T9:T21" si="0">(SUM(IF(MOD(G9-F9,1)&gt;=(7/24),0.5,0),IF(MOD(I9-H9,1)&gt;=(7/24),0.5,0),IF(MOD(K9-J9,1)&gt;=(7/24),0.5,0),IF(MOD(M9-L9,1)&gt;=(7/24),0.5,0),IF(MOD(O9-N9,1)&gt;=(7/24),0.5,0),IF(MOD(Q9-P9,1)&gt;=(7/24),0.5,0),IF(MOD(S9-R9,1)&gt;=(7/24),0.5,0)))</f>
        <v>0</v>
      </c>
      <c r="U9" s="5">
        <f>(SUM(MOD(Tableau33[[#This Row],[Lun-F]]-Tableau33[[#This Row],[Lun-D]],1),MOD(Tableau33[[#This Row],[Mar-F]]-Tableau33[[#This Row],[Mar-D]],1),MOD(Tableau33[[#This Row],[Mer-F]]-Tableau33[[#This Row],[Mer-D]],1),MOD(Tableau33[[#This Row],[Jeu-F]]-Tableau33[[#This Row],[Jeu-D]],1),MOD(Tableau33[[#This Row],[Ven-F]]-Tableau33[[#This Row],[Ven-D]],1),MOD(Tableau33[[#This Row],[Sam-F]]-Tableau33[[#This Row],[Sam-D]],1),MOD(Tableau33[[#This Row],[Dim-F]]-Tableau33[[#This Row],[Dim-D]],1))*24)-Tableau33[[#This Row],[Temps de pause]]</f>
        <v>12</v>
      </c>
      <c r="V9" s="5">
        <f>IFERROR(Tableau33[[#This Row],[Heures travaillées]]-VLOOKUP(Tableau33[[#This Row],[Employés]],Tableau15[],2,FALSE),"ERREUR")</f>
        <v>-3</v>
      </c>
    </row>
    <row r="10" spans="2:22" s="6" customFormat="1" ht="18" customHeight="1" x14ac:dyDescent="0.25">
      <c r="B10" s="3" t="s">
        <v>32</v>
      </c>
      <c r="C10" s="4">
        <v>15</v>
      </c>
      <c r="E10" s="1" t="s">
        <v>32</v>
      </c>
      <c r="F10" s="12"/>
      <c r="G10" s="12"/>
      <c r="H10" s="12"/>
      <c r="I10" s="12"/>
      <c r="J10" s="12"/>
      <c r="K10" s="12"/>
      <c r="L10" s="12"/>
      <c r="M10" s="12"/>
      <c r="N10" s="12">
        <v>0.79166666666666663</v>
      </c>
      <c r="O10" s="12">
        <v>4.1666666666666664E-2</v>
      </c>
      <c r="P10" s="12"/>
      <c r="Q10" s="12"/>
      <c r="R10" s="12"/>
      <c r="S10" s="12"/>
      <c r="T10" s="11">
        <f t="shared" si="0"/>
        <v>0</v>
      </c>
      <c r="U10" s="5">
        <f>(SUM(MOD(Tableau33[[#This Row],[Lun-F]]-Tableau33[[#This Row],[Lun-D]],1),MOD(Tableau33[[#This Row],[Mar-F]]-Tableau33[[#This Row],[Mar-D]],1),MOD(Tableau33[[#This Row],[Mer-F]]-Tableau33[[#This Row],[Mer-D]],1),MOD(Tableau33[[#This Row],[Jeu-F]]-Tableau33[[#This Row],[Jeu-D]],1),MOD(Tableau33[[#This Row],[Ven-F]]-Tableau33[[#This Row],[Ven-D]],1),MOD(Tableau33[[#This Row],[Sam-F]]-Tableau33[[#This Row],[Sam-D]],1),MOD(Tableau33[[#This Row],[Dim-F]]-Tableau33[[#This Row],[Dim-D]],1))*24)-Tableau33[[#This Row],[Temps de pause]]</f>
        <v>6</v>
      </c>
      <c r="V10" s="5">
        <f>IFERROR(Tableau33[[#This Row],[Heures travaillées]]-VLOOKUP(Tableau33[[#This Row],[Employés]],Tableau15[],2,FALSE),"ERREUR")</f>
        <v>-9</v>
      </c>
    </row>
    <row r="11" spans="2:22" s="6" customFormat="1" ht="18" customHeight="1" x14ac:dyDescent="0.25">
      <c r="B11" s="3" t="s">
        <v>33</v>
      </c>
      <c r="C11" s="4">
        <v>42</v>
      </c>
      <c r="E11" s="1" t="s">
        <v>33</v>
      </c>
      <c r="F11" s="12">
        <v>0.79166666666666663</v>
      </c>
      <c r="G11" s="12">
        <v>0</v>
      </c>
      <c r="H11" s="12"/>
      <c r="I11" s="12"/>
      <c r="J11" s="12">
        <v>0.40625</v>
      </c>
      <c r="K11" s="12">
        <v>0.79166666666666663</v>
      </c>
      <c r="L11" s="12"/>
      <c r="M11" s="12"/>
      <c r="N11" s="12">
        <v>0.75</v>
      </c>
      <c r="O11" s="12">
        <v>4.1666666666666664E-2</v>
      </c>
      <c r="P11" s="12">
        <v>0.58333333333333337</v>
      </c>
      <c r="Q11" s="12">
        <v>4.1666666666666664E-2</v>
      </c>
      <c r="R11" s="12">
        <v>0.58333333333333337</v>
      </c>
      <c r="S11" s="12">
        <v>0</v>
      </c>
      <c r="T11" s="11">
        <f t="shared" si="0"/>
        <v>2</v>
      </c>
      <c r="U11" s="5">
        <f>(SUM(MOD(Tableau33[[#This Row],[Lun-F]]-Tableau33[[#This Row],[Lun-D]],1),MOD(Tableau33[[#This Row],[Mar-F]]-Tableau33[[#This Row],[Mar-D]],1),MOD(Tableau33[[#This Row],[Mer-F]]-Tableau33[[#This Row],[Mer-D]],1),MOD(Tableau33[[#This Row],[Jeu-F]]-Tableau33[[#This Row],[Jeu-D]],1),MOD(Tableau33[[#This Row],[Ven-F]]-Tableau33[[#This Row],[Ven-D]],1),MOD(Tableau33[[#This Row],[Sam-F]]-Tableau33[[#This Row],[Sam-D]],1),MOD(Tableau33[[#This Row],[Dim-F]]-Tableau33[[#This Row],[Dim-D]],1))*24)-Tableau33[[#This Row],[Temps de pause]]</f>
        <v>40.25</v>
      </c>
      <c r="V11" s="5">
        <f>IFERROR(Tableau33[[#This Row],[Heures travaillées]]-VLOOKUP(Tableau33[[#This Row],[Employés]],Tableau15[],2,FALSE),"ERREUR")</f>
        <v>-1.75</v>
      </c>
    </row>
    <row r="12" spans="2:22" s="6" customFormat="1" ht="18" customHeight="1" x14ac:dyDescent="0.25">
      <c r="B12" s="3" t="s">
        <v>4</v>
      </c>
      <c r="C12" s="4">
        <v>35</v>
      </c>
      <c r="E12" s="1" t="s">
        <v>4</v>
      </c>
      <c r="F12" s="12">
        <v>0.40625</v>
      </c>
      <c r="G12" s="12">
        <v>0.79166666666666663</v>
      </c>
      <c r="H12" s="12">
        <v>0.58333333333333337</v>
      </c>
      <c r="I12" s="12">
        <v>0.79166666666666663</v>
      </c>
      <c r="J12" s="12"/>
      <c r="K12" s="12"/>
      <c r="L12" s="12"/>
      <c r="M12" s="12"/>
      <c r="N12" s="12">
        <v>0.58333333333333337</v>
      </c>
      <c r="O12" s="12">
        <v>0.79166666666666663</v>
      </c>
      <c r="P12" s="12">
        <v>0.40625</v>
      </c>
      <c r="Q12" s="12">
        <v>0.79166666666666663</v>
      </c>
      <c r="R12" s="12">
        <v>0.40625</v>
      </c>
      <c r="S12" s="12">
        <v>0.79166666666666663</v>
      </c>
      <c r="T12" s="11">
        <f t="shared" si="0"/>
        <v>1.5</v>
      </c>
      <c r="U12" s="5">
        <f>(SUM(MOD(Tableau33[[#This Row],[Lun-F]]-Tableau33[[#This Row],[Lun-D]],1),MOD(Tableau33[[#This Row],[Mar-F]]-Tableau33[[#This Row],[Mar-D]],1),MOD(Tableau33[[#This Row],[Mer-F]]-Tableau33[[#This Row],[Mer-D]],1),MOD(Tableau33[[#This Row],[Jeu-F]]-Tableau33[[#This Row],[Jeu-D]],1),MOD(Tableau33[[#This Row],[Ven-F]]-Tableau33[[#This Row],[Ven-D]],1),MOD(Tableau33[[#This Row],[Sam-F]]-Tableau33[[#This Row],[Sam-D]],1),MOD(Tableau33[[#This Row],[Dim-F]]-Tableau33[[#This Row],[Dim-D]],1))*24)-Tableau33[[#This Row],[Temps de pause]]</f>
        <v>36.25</v>
      </c>
      <c r="V12" s="5">
        <f>IFERROR(Tableau33[[#This Row],[Heures travaillées]]-VLOOKUP(Tableau33[[#This Row],[Employés]],Tableau15[],2,FALSE),"ERREUR")</f>
        <v>1.25</v>
      </c>
    </row>
    <row r="13" spans="2:22" s="6" customFormat="1" ht="18" customHeight="1" x14ac:dyDescent="0.25">
      <c r="B13" s="3" t="s">
        <v>5</v>
      </c>
      <c r="C13" s="4">
        <v>42</v>
      </c>
      <c r="E13" s="1" t="s">
        <v>5</v>
      </c>
      <c r="F13" s="12">
        <v>0.58333333333333337</v>
      </c>
      <c r="G13" s="12">
        <v>8.3333333333333329E-2</v>
      </c>
      <c r="H13" s="12"/>
      <c r="I13" s="12"/>
      <c r="J13" s="12"/>
      <c r="K13" s="12"/>
      <c r="L13" s="12"/>
      <c r="M13" s="12"/>
      <c r="N13" s="12">
        <v>0.79166666666666663</v>
      </c>
      <c r="O13" s="12">
        <v>4.1666666666666664E-2</v>
      </c>
      <c r="P13" s="12">
        <v>0.79166666666666663</v>
      </c>
      <c r="Q13" s="12">
        <v>4.1666666666666664E-2</v>
      </c>
      <c r="R13" s="12">
        <v>0.58333333333333337</v>
      </c>
      <c r="S13" s="12">
        <v>0.79166666666666663</v>
      </c>
      <c r="T13" s="11">
        <f t="shared" si="0"/>
        <v>0.5</v>
      </c>
      <c r="U13" s="5">
        <f>(SUM(MOD(Tableau33[[#This Row],[Lun-F]]-Tableau33[[#This Row],[Lun-D]],1),MOD(Tableau33[[#This Row],[Mar-F]]-Tableau33[[#This Row],[Mar-D]],1),MOD(Tableau33[[#This Row],[Mer-F]]-Tableau33[[#This Row],[Mer-D]],1),MOD(Tableau33[[#This Row],[Jeu-F]]-Tableau33[[#This Row],[Jeu-D]],1),MOD(Tableau33[[#This Row],[Ven-F]]-Tableau33[[#This Row],[Ven-D]],1),MOD(Tableau33[[#This Row],[Sam-F]]-Tableau33[[#This Row],[Sam-D]],1),MOD(Tableau33[[#This Row],[Dim-F]]-Tableau33[[#This Row],[Dim-D]],1))*24)-Tableau33[[#This Row],[Temps de pause]]</f>
        <v>28.5</v>
      </c>
      <c r="V13" s="5">
        <f>IFERROR(Tableau33[[#This Row],[Heures travaillées]]-VLOOKUP(Tableau33[[#This Row],[Employés]],Tableau15[],2,FALSE),"ERREUR")</f>
        <v>-13.5</v>
      </c>
    </row>
    <row r="14" spans="2:22" s="6" customFormat="1" ht="18" customHeight="1" x14ac:dyDescent="0.25">
      <c r="B14" s="3" t="s">
        <v>2</v>
      </c>
      <c r="C14" s="4">
        <v>15</v>
      </c>
      <c r="E14" s="1" t="s">
        <v>2</v>
      </c>
      <c r="F14" s="12"/>
      <c r="G14" s="12"/>
      <c r="H14" s="12">
        <v>0.79166666666666663</v>
      </c>
      <c r="I14" s="12">
        <v>0</v>
      </c>
      <c r="J14" s="12">
        <v>0.79166666666666663</v>
      </c>
      <c r="K14" s="12">
        <v>0</v>
      </c>
      <c r="L14" s="12"/>
      <c r="M14" s="12"/>
      <c r="N14" s="12"/>
      <c r="O14" s="12"/>
      <c r="P14" s="12"/>
      <c r="Q14" s="12"/>
      <c r="R14" s="12"/>
      <c r="S14" s="12"/>
      <c r="T14" s="11">
        <f t="shared" si="0"/>
        <v>0</v>
      </c>
      <c r="U14" s="5">
        <f>(SUM(MOD(Tableau33[[#This Row],[Lun-F]]-Tableau33[[#This Row],[Lun-D]],1),MOD(Tableau33[[#This Row],[Mar-F]]-Tableau33[[#This Row],[Mar-D]],1),MOD(Tableau33[[#This Row],[Mer-F]]-Tableau33[[#This Row],[Mer-D]],1),MOD(Tableau33[[#This Row],[Jeu-F]]-Tableau33[[#This Row],[Jeu-D]],1),MOD(Tableau33[[#This Row],[Ven-F]]-Tableau33[[#This Row],[Ven-D]],1),MOD(Tableau33[[#This Row],[Sam-F]]-Tableau33[[#This Row],[Sam-D]],1),MOD(Tableau33[[#This Row],[Dim-F]]-Tableau33[[#This Row],[Dim-D]],1))*24)-Tableau33[[#This Row],[Temps de pause]]</f>
        <v>10.000000000000002</v>
      </c>
      <c r="V14" s="5">
        <f>IFERROR(Tableau33[[#This Row],[Heures travaillées]]-VLOOKUP(Tableau33[[#This Row],[Employés]],Tableau15[],2,FALSE),"ERREUR")</f>
        <v>-4.9999999999999982</v>
      </c>
    </row>
    <row r="15" spans="2:22" s="6" customFormat="1" ht="18" customHeight="1" x14ac:dyDescent="0.25">
      <c r="B15" s="3" t="s">
        <v>6</v>
      </c>
      <c r="C15" s="4">
        <v>42</v>
      </c>
      <c r="E15" s="1" t="s">
        <v>6</v>
      </c>
      <c r="F15" s="12"/>
      <c r="G15" s="12"/>
      <c r="H15" s="12">
        <v>0.58333333333333337</v>
      </c>
      <c r="I15" s="12">
        <v>0.79166666666666663</v>
      </c>
      <c r="J15" s="12">
        <v>0.58333333333333337</v>
      </c>
      <c r="K15" s="12">
        <v>0</v>
      </c>
      <c r="L15" s="12"/>
      <c r="M15" s="12"/>
      <c r="N15" s="12"/>
      <c r="O15" s="12"/>
      <c r="P15" s="12">
        <v>0.58333333333333337</v>
      </c>
      <c r="Q15" s="12">
        <v>4.1666666666666664E-2</v>
      </c>
      <c r="R15" s="12">
        <v>0.58333333333333337</v>
      </c>
      <c r="S15" s="12">
        <v>0.79166666666666663</v>
      </c>
      <c r="T15" s="11">
        <f t="shared" si="0"/>
        <v>1</v>
      </c>
      <c r="U15" s="5">
        <f>(SUM(MOD(Tableau33[[#This Row],[Lun-F]]-Tableau33[[#This Row],[Lun-D]],1),MOD(Tableau33[[#This Row],[Mar-F]]-Tableau33[[#This Row],[Mar-D]],1),MOD(Tableau33[[#This Row],[Mer-F]]-Tableau33[[#This Row],[Mer-D]],1),MOD(Tableau33[[#This Row],[Jeu-F]]-Tableau33[[#This Row],[Jeu-D]],1),MOD(Tableau33[[#This Row],[Ven-F]]-Tableau33[[#This Row],[Ven-D]],1),MOD(Tableau33[[#This Row],[Sam-F]]-Tableau33[[#This Row],[Sam-D]],1),MOD(Tableau33[[#This Row],[Dim-F]]-Tableau33[[#This Row],[Dim-D]],1))*24)-Tableau33[[#This Row],[Temps de pause]]</f>
        <v>29.999999999999993</v>
      </c>
      <c r="V15" s="5">
        <f>IFERROR(Tableau33[[#This Row],[Heures travaillées]]-VLOOKUP(Tableau33[[#This Row],[Employés]],Tableau15[],2,FALSE),"ERREUR")</f>
        <v>-12.000000000000007</v>
      </c>
    </row>
    <row r="16" spans="2:22" s="6" customFormat="1" ht="18" customHeight="1" x14ac:dyDescent="0.25">
      <c r="B16" s="3" t="s">
        <v>1</v>
      </c>
      <c r="C16" s="4">
        <v>35</v>
      </c>
      <c r="E16" s="1" t="s">
        <v>1</v>
      </c>
      <c r="F16" s="12"/>
      <c r="G16" s="12"/>
      <c r="H16" s="12">
        <v>0.40625</v>
      </c>
      <c r="I16" s="12">
        <v>0.58333333333333337</v>
      </c>
      <c r="J16" s="12">
        <v>0.40625</v>
      </c>
      <c r="K16" s="12">
        <v>0.79166666666666663</v>
      </c>
      <c r="L16" s="12">
        <v>0.79166666666666663</v>
      </c>
      <c r="M16" s="12">
        <v>0</v>
      </c>
      <c r="N16" s="18">
        <v>0.58333333333333337</v>
      </c>
      <c r="O16" s="18">
        <v>0.79166666666666663</v>
      </c>
      <c r="P16" s="12">
        <v>0.40625</v>
      </c>
      <c r="Q16" s="13">
        <v>0.79166666666666663</v>
      </c>
      <c r="R16" s="12"/>
      <c r="S16" s="12"/>
      <c r="T16" s="11">
        <f t="shared" si="0"/>
        <v>1</v>
      </c>
      <c r="U16" s="5">
        <f>(SUM(MOD(Tableau33[[#This Row],[Lun-F]]-Tableau33[[#This Row],[Lun-D]],1),MOD(Tableau33[[#This Row],[Mar-F]]-Tableau33[[#This Row],[Mar-D]],1),MOD(Tableau33[[#This Row],[Mer-F]]-Tableau33[[#This Row],[Mer-D]],1),MOD(Tableau33[[#This Row],[Jeu-F]]-Tableau33[[#This Row],[Jeu-D]],1),MOD(Tableau33[[#This Row],[Ven-F]]-Tableau33[[#This Row],[Ven-D]],1),MOD(Tableau33[[#This Row],[Sam-F]]-Tableau33[[#This Row],[Sam-D]],1),MOD(Tableau33[[#This Row],[Dim-F]]-Tableau33[[#This Row],[Dim-D]],1))*24)-Tableau33[[#This Row],[Temps de pause]]</f>
        <v>31.75</v>
      </c>
      <c r="V16" s="5">
        <f>IFERROR(Tableau33[[#This Row],[Heures travaillées]]-VLOOKUP(Tableau33[[#This Row],[Employés]],Tableau15[],2,FALSE),"ERREUR")</f>
        <v>-3.25</v>
      </c>
    </row>
    <row r="17" spans="2:22" s="6" customFormat="1" ht="18" customHeight="1" x14ac:dyDescent="0.25">
      <c r="B17" s="3" t="s">
        <v>0</v>
      </c>
      <c r="C17" s="4">
        <v>21</v>
      </c>
      <c r="E17" s="1" t="s">
        <v>0</v>
      </c>
      <c r="F17" s="12"/>
      <c r="G17" s="12"/>
      <c r="H17" s="12"/>
      <c r="I17" s="12"/>
      <c r="J17" s="12">
        <v>0.41666666666666669</v>
      </c>
      <c r="K17" s="12">
        <v>0.70833333333333337</v>
      </c>
      <c r="L17" s="12">
        <v>0.41666666666666669</v>
      </c>
      <c r="M17" s="12">
        <v>0.70833333333333337</v>
      </c>
      <c r="N17" s="12">
        <v>0.40625</v>
      </c>
      <c r="O17" s="12">
        <v>0.58333333333333337</v>
      </c>
      <c r="P17" s="12"/>
      <c r="Q17" s="12"/>
      <c r="R17" s="12"/>
      <c r="S17" s="12"/>
      <c r="T17" s="11">
        <f t="shared" si="0"/>
        <v>1</v>
      </c>
      <c r="U17" s="5">
        <f>(SUM(MOD(Tableau33[[#This Row],[Lun-F]]-Tableau33[[#This Row],[Lun-D]],1),MOD(Tableau33[[#This Row],[Mar-F]]-Tableau33[[#This Row],[Mar-D]],1),MOD(Tableau33[[#This Row],[Mer-F]]-Tableau33[[#This Row],[Mer-D]],1),MOD(Tableau33[[#This Row],[Jeu-F]]-Tableau33[[#This Row],[Jeu-D]],1),MOD(Tableau33[[#This Row],[Ven-F]]-Tableau33[[#This Row],[Ven-D]],1),MOD(Tableau33[[#This Row],[Sam-F]]-Tableau33[[#This Row],[Sam-D]],1),MOD(Tableau33[[#This Row],[Dim-F]]-Tableau33[[#This Row],[Dim-D]],1))*24)-Tableau33[[#This Row],[Temps de pause]]</f>
        <v>17.25</v>
      </c>
      <c r="V17" s="5">
        <f>IFERROR(Tableau33[[#This Row],[Heures travaillées]]-VLOOKUP(Tableau33[[#This Row],[Employés]],Tableau15[],2,FALSE),"ERREUR")</f>
        <v>-3.75</v>
      </c>
    </row>
    <row r="18" spans="2:22" s="6" customFormat="1" ht="18" customHeight="1" x14ac:dyDescent="0.25">
      <c r="B18" s="3" t="s">
        <v>7</v>
      </c>
      <c r="C18" s="4">
        <v>15</v>
      </c>
      <c r="E18" s="1" t="s">
        <v>7</v>
      </c>
      <c r="F18" s="12">
        <v>0.79166666666666663</v>
      </c>
      <c r="G18" s="12">
        <v>0</v>
      </c>
      <c r="H18" s="12"/>
      <c r="I18" s="12"/>
      <c r="J18" s="12"/>
      <c r="K18" s="12"/>
      <c r="L18" s="12">
        <v>0.58333333333333337</v>
      </c>
      <c r="M18" s="12">
        <v>0.91666666666666663</v>
      </c>
      <c r="N18" s="12"/>
      <c r="O18" s="12"/>
      <c r="P18" s="12"/>
      <c r="Q18" s="12"/>
      <c r="R18" s="12"/>
      <c r="S18" s="12"/>
      <c r="T18" s="11">
        <f t="shared" si="0"/>
        <v>0.5</v>
      </c>
      <c r="U18" s="5">
        <f>(SUM(MOD(Tableau33[[#This Row],[Lun-F]]-Tableau33[[#This Row],[Lun-D]],1),MOD(Tableau33[[#This Row],[Mar-F]]-Tableau33[[#This Row],[Mar-D]],1),MOD(Tableau33[[#This Row],[Mer-F]]-Tableau33[[#This Row],[Mer-D]],1),MOD(Tableau33[[#This Row],[Jeu-F]]-Tableau33[[#This Row],[Jeu-D]],1),MOD(Tableau33[[#This Row],[Ven-F]]-Tableau33[[#This Row],[Ven-D]],1),MOD(Tableau33[[#This Row],[Sam-F]]-Tableau33[[#This Row],[Sam-D]],1),MOD(Tableau33[[#This Row],[Dim-F]]-Tableau33[[#This Row],[Dim-D]],1))*24)-Tableau33[[#This Row],[Temps de pause]]</f>
        <v>12.5</v>
      </c>
      <c r="V18" s="5">
        <f>IFERROR(Tableau33[[#This Row],[Heures travaillées]]-VLOOKUP(Tableau33[[#This Row],[Employés]],Tableau15[],2,FALSE),"ERREUR")</f>
        <v>-2.5</v>
      </c>
    </row>
    <row r="19" spans="2:22" s="6" customFormat="1" ht="18" customHeight="1" x14ac:dyDescent="0.25">
      <c r="B19" s="3" t="s">
        <v>8</v>
      </c>
      <c r="C19" s="4">
        <v>42</v>
      </c>
      <c r="E19" s="1" t="s">
        <v>8</v>
      </c>
      <c r="F19" s="12"/>
      <c r="G19" s="12"/>
      <c r="H19" s="12">
        <v>0.79166666666666663</v>
      </c>
      <c r="I19" s="12">
        <v>0</v>
      </c>
      <c r="J19" s="12">
        <v>0.58333333333333337</v>
      </c>
      <c r="K19" s="12">
        <v>0.91666666666666663</v>
      </c>
      <c r="L19" s="12">
        <v>0.58333333333333337</v>
      </c>
      <c r="M19" s="12">
        <v>0</v>
      </c>
      <c r="N19" s="13"/>
      <c r="O19" s="12"/>
      <c r="P19" s="12">
        <v>0.40625</v>
      </c>
      <c r="Q19" s="12">
        <v>0.79166666666666663</v>
      </c>
      <c r="R19" s="12">
        <v>0.40625</v>
      </c>
      <c r="S19" s="12">
        <v>0.79166666666666663</v>
      </c>
      <c r="T19" s="11">
        <f t="shared" si="0"/>
        <v>2</v>
      </c>
      <c r="U19" s="5">
        <f>(SUM(MOD(Tableau33[[#This Row],[Lun-F]]-Tableau33[[#This Row],[Lun-D]],1),MOD(Tableau33[[#This Row],[Mar-F]]-Tableau33[[#This Row],[Mar-D]],1),MOD(Tableau33[[#This Row],[Mer-F]]-Tableau33[[#This Row],[Mer-D]],1),MOD(Tableau33[[#This Row],[Jeu-F]]-Tableau33[[#This Row],[Jeu-D]],1),MOD(Tableau33[[#This Row],[Ven-F]]-Tableau33[[#This Row],[Ven-D]],1),MOD(Tableau33[[#This Row],[Sam-F]]-Tableau33[[#This Row],[Sam-D]],1),MOD(Tableau33[[#This Row],[Dim-F]]-Tableau33[[#This Row],[Dim-D]],1))*24)-Tableau33[[#This Row],[Temps de pause]]</f>
        <v>39.5</v>
      </c>
      <c r="V19" s="5">
        <f>IFERROR(Tableau33[[#This Row],[Heures travaillées]]-VLOOKUP(Tableau33[[#This Row],[Employés]],Tableau15[],2,FALSE),"ERREUR")</f>
        <v>-2.5</v>
      </c>
    </row>
    <row r="20" spans="2:22" s="6" customFormat="1" ht="18" customHeight="1" x14ac:dyDescent="0.25">
      <c r="B20" s="3" t="s">
        <v>34</v>
      </c>
      <c r="C20" s="4">
        <v>35</v>
      </c>
      <c r="E20" s="1" t="s">
        <v>34</v>
      </c>
      <c r="F20" s="12">
        <v>0.58333333333333337</v>
      </c>
      <c r="G20" s="12">
        <v>0.79166666666666663</v>
      </c>
      <c r="H20" s="12"/>
      <c r="I20" s="12"/>
      <c r="J20" s="12">
        <v>0.40625</v>
      </c>
      <c r="K20" s="12">
        <v>0.79166666666666663</v>
      </c>
      <c r="L20" s="12">
        <v>0.40625</v>
      </c>
      <c r="M20" s="12">
        <v>0.58333333333333337</v>
      </c>
      <c r="N20" s="12"/>
      <c r="O20" s="12"/>
      <c r="P20" s="12">
        <v>0.40625</v>
      </c>
      <c r="Q20" s="12">
        <v>0.79166666666666663</v>
      </c>
      <c r="R20" s="12">
        <v>0.40625</v>
      </c>
      <c r="S20" s="12">
        <v>0.79166666666666663</v>
      </c>
      <c r="T20" s="11">
        <f t="shared" si="0"/>
        <v>1.5</v>
      </c>
      <c r="U20" s="5">
        <f>(SUM(MOD(Tableau33[[#This Row],[Lun-F]]-Tableau33[[#This Row],[Lun-D]],1),MOD(Tableau33[[#This Row],[Mar-F]]-Tableau33[[#This Row],[Mar-D]],1),MOD(Tableau33[[#This Row],[Mer-F]]-Tableau33[[#This Row],[Mer-D]],1),MOD(Tableau33[[#This Row],[Jeu-F]]-Tableau33[[#This Row],[Jeu-D]],1),MOD(Tableau33[[#This Row],[Ven-F]]-Tableau33[[#This Row],[Ven-D]],1),MOD(Tableau33[[#This Row],[Sam-F]]-Tableau33[[#This Row],[Sam-D]],1),MOD(Tableau33[[#This Row],[Dim-F]]-Tableau33[[#This Row],[Dim-D]],1))*24)-Tableau33[[#This Row],[Temps de pause]]</f>
        <v>35.5</v>
      </c>
      <c r="V20" s="5">
        <f>IFERROR(Tableau33[[#This Row],[Heures travaillées]]-VLOOKUP(Tableau33[[#This Row],[Employés]],Tableau15[],2,FALSE),"ERREUR")</f>
        <v>0.5</v>
      </c>
    </row>
    <row r="21" spans="2:22" s="6" customFormat="1" ht="18" customHeight="1" x14ac:dyDescent="0.25">
      <c r="B21" s="3" t="s">
        <v>9</v>
      </c>
      <c r="C21" s="4">
        <v>20</v>
      </c>
      <c r="E21" s="1" t="s">
        <v>9</v>
      </c>
      <c r="F21" s="12"/>
      <c r="G21" s="12"/>
      <c r="H21" s="12"/>
      <c r="I21" s="12"/>
      <c r="J21" s="12"/>
      <c r="K21" s="12"/>
      <c r="L21" s="12"/>
      <c r="M21" s="12"/>
      <c r="N21" s="12">
        <v>0.79166666666666663</v>
      </c>
      <c r="O21" s="12">
        <v>4.1666666666666664E-2</v>
      </c>
      <c r="P21" s="12">
        <v>0.58333333333333337</v>
      </c>
      <c r="Q21" s="12">
        <v>4.1666666666666664E-2</v>
      </c>
      <c r="R21" s="12">
        <v>0.58333333333333337</v>
      </c>
      <c r="S21" s="12">
        <v>0.79166666666666663</v>
      </c>
      <c r="T21" s="11">
        <f t="shared" si="0"/>
        <v>0.5</v>
      </c>
      <c r="U21" s="5">
        <f>(SUM(MOD(Tableau33[[#This Row],[Lun-F]]-Tableau33[[#This Row],[Lun-D]],1),MOD(Tableau33[[#This Row],[Mar-F]]-Tableau33[[#This Row],[Mar-D]],1),MOD(Tableau33[[#This Row],[Mer-F]]-Tableau33[[#This Row],[Mer-D]],1),MOD(Tableau33[[#This Row],[Jeu-F]]-Tableau33[[#This Row],[Jeu-D]],1),MOD(Tableau33[[#This Row],[Ven-F]]-Tableau33[[#This Row],[Ven-D]],1),MOD(Tableau33[[#This Row],[Sam-F]]-Tableau33[[#This Row],[Sam-D]],1),MOD(Tableau33[[#This Row],[Dim-F]]-Tableau33[[#This Row],[Dim-D]],1))*24)-Tableau33[[#This Row],[Temps de pause]]</f>
        <v>21.499999999999996</v>
      </c>
      <c r="V21" s="5">
        <f>IFERROR(Tableau33[[#This Row],[Heures travaillées]]-VLOOKUP(Tableau33[[#This Row],[Employés]],Tableau15[],2,FALSE),"ERREUR")</f>
        <v>1.4999999999999964</v>
      </c>
    </row>
    <row r="22" spans="2:22" ht="18" customHeight="1" x14ac:dyDescent="0.25"/>
    <row r="23" spans="2:22" ht="18" customHeight="1" x14ac:dyDescent="0.25">
      <c r="B23" s="29"/>
      <c r="C23" s="29"/>
      <c r="U23" s="9"/>
    </row>
    <row r="24" spans="2:22" ht="18" customHeight="1" x14ac:dyDescent="0.25">
      <c r="B24" s="20"/>
      <c r="C24" s="19"/>
    </row>
    <row r="25" spans="2:22" ht="18" customHeight="1" x14ac:dyDescent="0.25">
      <c r="B25" s="21"/>
      <c r="C25" s="21"/>
    </row>
    <row r="26" spans="2:22" ht="18" customHeight="1" x14ac:dyDescent="0.25">
      <c r="B26" s="19"/>
      <c r="C26" s="19"/>
    </row>
    <row r="27" spans="2:22" ht="18" customHeight="1" x14ac:dyDescent="0.25">
      <c r="B27" s="21"/>
      <c r="C27" s="21"/>
    </row>
    <row r="28" spans="2:22" ht="18" customHeight="1" x14ac:dyDescent="0.25">
      <c r="B28" s="20"/>
      <c r="C28" s="19"/>
    </row>
    <row r="29" spans="2:22" ht="18" customHeight="1" x14ac:dyDescent="0.25">
      <c r="B29" s="21"/>
      <c r="C29" s="21"/>
    </row>
    <row r="30" spans="2:22" ht="18" customHeight="1" x14ac:dyDescent="0.25"/>
    <row r="31" spans="2:22" ht="18" customHeight="1" x14ac:dyDescent="0.25"/>
    <row r="32" spans="2:22" ht="18" customHeight="1" x14ac:dyDescent="0.25">
      <c r="B32" s="10"/>
    </row>
    <row r="33" spans="2:2" ht="18" customHeight="1" x14ac:dyDescent="0.25">
      <c r="B33" s="10"/>
    </row>
    <row r="34" spans="2:2" ht="18" customHeight="1" x14ac:dyDescent="0.25"/>
    <row r="35" spans="2:2" ht="18" customHeight="1" x14ac:dyDescent="0.25"/>
    <row r="36" spans="2:2" ht="18" customHeight="1" x14ac:dyDescent="0.25"/>
    <row r="37" spans="2:2" ht="18" customHeight="1" x14ac:dyDescent="0.25"/>
    <row r="38" spans="2:2" ht="18" customHeight="1" x14ac:dyDescent="0.25"/>
    <row r="39" spans="2:2" ht="18" customHeight="1" x14ac:dyDescent="0.25"/>
    <row r="40" spans="2:2" ht="18" customHeight="1" x14ac:dyDescent="0.25"/>
    <row r="41" spans="2:2" ht="18" customHeight="1" x14ac:dyDescent="0.25"/>
    <row r="42" spans="2:2" ht="18" customHeight="1" x14ac:dyDescent="0.25"/>
    <row r="43" spans="2:2" ht="18" customHeight="1" x14ac:dyDescent="0.25"/>
    <row r="44" spans="2:2" ht="18" customHeight="1" x14ac:dyDescent="0.25"/>
    <row r="45" spans="2:2" ht="18" customHeight="1" x14ac:dyDescent="0.25"/>
    <row r="46" spans="2:2" ht="18" customHeight="1" x14ac:dyDescent="0.25"/>
    <row r="47" spans="2:2" ht="18" customHeight="1" x14ac:dyDescent="0.25"/>
    <row r="48" spans="2:2" ht="18" customHeight="1" x14ac:dyDescent="0.25"/>
    <row r="49" ht="18" customHeight="1" x14ac:dyDescent="0.25"/>
  </sheetData>
  <sheetProtection formatCells="0" formatColumns="0" formatRows="0" insertColumns="0" insertRows="0" insertHyperlinks="0" deleteColumns="0" deleteRows="0" selectLockedCells="1" sort="0" autoFilter="0" pivotTables="0"/>
  <mergeCells count="32">
    <mergeCell ref="B23:C23"/>
    <mergeCell ref="R2:S2"/>
    <mergeCell ref="F2:G2"/>
    <mergeCell ref="H2:I2"/>
    <mergeCell ref="J2:K2"/>
    <mergeCell ref="L2:M2"/>
    <mergeCell ref="N2:O2"/>
    <mergeCell ref="P2:Q2"/>
    <mergeCell ref="N5:O5"/>
    <mergeCell ref="P5:Q5"/>
    <mergeCell ref="R5:S5"/>
    <mergeCell ref="B7:C7"/>
    <mergeCell ref="E7:V7"/>
    <mergeCell ref="B3:C5"/>
    <mergeCell ref="F5:G5"/>
    <mergeCell ref="H5:I5"/>
    <mergeCell ref="J5:K5"/>
    <mergeCell ref="L5:M5"/>
    <mergeCell ref="P3:Q3"/>
    <mergeCell ref="R3:S3"/>
    <mergeCell ref="F4:G4"/>
    <mergeCell ref="H4:I4"/>
    <mergeCell ref="J4:K4"/>
    <mergeCell ref="L4:M4"/>
    <mergeCell ref="N4:O4"/>
    <mergeCell ref="P4:Q4"/>
    <mergeCell ref="R4:S4"/>
    <mergeCell ref="F3:G3"/>
    <mergeCell ref="H3:I3"/>
    <mergeCell ref="J3:K3"/>
    <mergeCell ref="L3:M3"/>
    <mergeCell ref="N3:O3"/>
  </mergeCells>
  <conditionalFormatting sqref="F9:S21">
    <cfRule type="containsBlanks" dxfId="24" priority="1">
      <formula>LEN(TRIM(F9))=0</formula>
    </cfRule>
  </conditionalFormatting>
  <dataValidations count="1">
    <dataValidation type="list" allowBlank="1" showInputMessage="1" showErrorMessage="1" sqref="E9:E21" xr:uid="{B7C9A66A-9366-4C81-88D4-FE6F97A12AD2}">
      <formula1>Employés</formula1>
    </dataValidation>
  </dataValidations>
  <pageMargins left="0.7" right="0.7" top="0.75" bottom="0.75" header="0.3" footer="0.3"/>
  <pageSetup paperSize="9" orientation="landscape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Insert_Ligne_Gestion.Insert_Ligne_Gestion">
                <anchor moveWithCells="1" sizeWithCells="1">
                  <from>
                    <xdr:col>1</xdr:col>
                    <xdr:colOff>9525</xdr:colOff>
                    <xdr:row>2</xdr:row>
                    <xdr:rowOff>0</xdr:rowOff>
                  </from>
                  <to>
                    <xdr:col>2</xdr:col>
                    <xdr:colOff>9525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Tri_OA_Gestion.Tri_OA_Gestion">
                <anchor moveWithCells="1" sizeWithCells="1">
                  <from>
                    <xdr:col>2</xdr:col>
                    <xdr:colOff>171450</xdr:colOff>
                    <xdr:row>2</xdr:row>
                    <xdr:rowOff>0</xdr:rowOff>
                  </from>
                  <to>
                    <xdr:col>2</xdr:col>
                    <xdr:colOff>1143000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6" name="Button 3">
              <controlPr defaultSize="0" print="0" autoFill="0" autoPict="0" macro="[0]!Insert_Ligne_Planning.Insert_Ligne_Planning">
                <anchor moveWithCells="1" sizeWithCells="1">
                  <from>
                    <xdr:col>20</xdr:col>
                    <xdr:colOff>600075</xdr:colOff>
                    <xdr:row>2</xdr:row>
                    <xdr:rowOff>0</xdr:rowOff>
                  </from>
                  <to>
                    <xdr:col>21</xdr:col>
                    <xdr:colOff>114300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7" name="Button 4">
              <controlPr defaultSize="0" print="0" autoFill="0" autoPict="0" macro="[0]!Tri_OA_Planning.Tri_OA_Planning">
                <anchor moveWithCells="1" sizeWithCells="1">
                  <from>
                    <xdr:col>21</xdr:col>
                    <xdr:colOff>276225</xdr:colOff>
                    <xdr:row>2</xdr:row>
                    <xdr:rowOff>0</xdr:rowOff>
                  </from>
                  <to>
                    <xdr:col>21</xdr:col>
                    <xdr:colOff>1238250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1" r:id="rId8" name="Button 5">
              <controlPr defaultSize="0" print="0" autoFill="0" autoPict="0" macro="[0]!DupliquerOnglet">
                <anchor moveWithCells="1" sizeWithCells="1">
                  <from>
                    <xdr:col>1</xdr:col>
                    <xdr:colOff>9525</xdr:colOff>
                    <xdr:row>0</xdr:row>
                    <xdr:rowOff>142875</xdr:rowOff>
                  </from>
                  <to>
                    <xdr:col>3</xdr:col>
                    <xdr:colOff>9525</xdr:colOff>
                    <xdr:row>0</xdr:row>
                    <xdr:rowOff>752475</xdr:rowOff>
                  </to>
                </anchor>
              </controlPr>
            </control>
          </mc:Choice>
        </mc:AlternateContent>
      </controls>
    </mc:Choice>
  </mc:AlternateContent>
  <tableParts count="2">
    <tablePart r:id="rId9"/>
    <tablePart r:id="rId10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Planning_vierge</vt:lpstr>
      <vt:lpstr>Planning_vierge!Employés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Clement</dc:creator>
  <cp:lastModifiedBy>Eric</cp:lastModifiedBy>
  <cp:lastPrinted>2022-11-18T21:59:10Z</cp:lastPrinted>
  <dcterms:created xsi:type="dcterms:W3CDTF">2022-11-16T09:19:04Z</dcterms:created>
  <dcterms:modified xsi:type="dcterms:W3CDTF">2022-11-19T17:56:55Z</dcterms:modified>
</cp:coreProperties>
</file>