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23F5E5A-746B-4A7B-AEE6-D5B1E1BC63F4}" xr6:coauthVersionLast="45" xr6:coauthVersionMax="47" xr10:uidLastSave="{00000000-0000-0000-0000-000000000000}"/>
  <bookViews>
    <workbookView xWindow="3945" yWindow="2775" windowWidth="22740" windowHeight="15555" activeTab="3" xr2:uid="{5AD6CEE4-9C2A-4CBC-8D03-5D8720C36823}"/>
  </bookViews>
  <sheets>
    <sheet name="1 à 4" sheetId="3" r:id="rId1"/>
    <sheet name="5 à 8" sheetId="1" r:id="rId2"/>
    <sheet name="Feuil1" sheetId="8" r:id="rId3"/>
    <sheet name="Section aciers" sheetId="7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0" i="7" l="1"/>
  <c r="D20" i="7" s="1"/>
  <c r="B21" i="3" l="1"/>
  <c r="B22" i="3"/>
  <c r="C22" i="3"/>
  <c r="E22" i="3"/>
  <c r="D22" i="3"/>
  <c r="F22" i="3" l="1"/>
  <c r="C21" i="3"/>
  <c r="E21" i="3" s="1"/>
  <c r="D21" i="3" l="1"/>
  <c r="F21" i="3" s="1"/>
  <c r="B7" i="3" l="1"/>
  <c r="C7" i="3"/>
  <c r="B8" i="3"/>
  <c r="C8" i="3"/>
  <c r="B9" i="3"/>
  <c r="C9" i="3"/>
  <c r="B10" i="3"/>
  <c r="C10" i="3"/>
  <c r="B11" i="3"/>
  <c r="C11" i="3"/>
  <c r="B12" i="3"/>
  <c r="B13" i="3"/>
  <c r="B14" i="3"/>
  <c r="C14" i="3"/>
  <c r="B15" i="3"/>
  <c r="C15" i="3"/>
  <c r="B16" i="3"/>
  <c r="B17" i="3"/>
  <c r="B18" i="3"/>
  <c r="C18" i="3"/>
  <c r="B19" i="3"/>
  <c r="C19" i="3"/>
  <c r="B20" i="3"/>
  <c r="B23" i="3"/>
  <c r="C23" i="3"/>
  <c r="C58" i="1" a="1"/>
  <c r="C58" i="1" s="1"/>
  <c r="C57" i="1"/>
  <c r="B72" i="1"/>
  <c r="D39" i="3"/>
  <c r="D40" i="3"/>
  <c r="D41" i="3"/>
  <c r="D42" i="3"/>
  <c r="D43" i="3"/>
  <c r="D44" i="3"/>
  <c r="D45" i="3"/>
  <c r="D46" i="3"/>
  <c r="D47" i="3"/>
  <c r="D48" i="3"/>
  <c r="D49" i="3"/>
  <c r="E31" i="3"/>
  <c r="D38" i="3" s="1"/>
  <c r="D31" i="3"/>
  <c r="E30" i="3"/>
  <c r="D37" i="3" s="1"/>
  <c r="D30" i="3"/>
  <c r="E29" i="3"/>
  <c r="D29" i="3"/>
  <c r="B58" i="1" l="1"/>
  <c r="E20" i="3"/>
  <c r="D20" i="3"/>
  <c r="F20" i="3" s="1"/>
  <c r="G20" i="3"/>
  <c r="E18" i="3"/>
  <c r="D18" i="3"/>
  <c r="F18" i="3" s="1"/>
  <c r="G18" i="3"/>
  <c r="E15" i="3"/>
  <c r="D15" i="3"/>
  <c r="F15" i="3" s="1"/>
  <c r="G15" i="3"/>
  <c r="C12" i="3"/>
  <c r="E12" i="3" s="1"/>
  <c r="E10" i="3"/>
  <c r="D10" i="3"/>
  <c r="G10" i="3"/>
  <c r="G8" i="3"/>
  <c r="E8" i="3"/>
  <c r="D8" i="3"/>
  <c r="C17" i="3"/>
  <c r="D17" i="3" s="1"/>
  <c r="F17" i="3" s="1"/>
  <c r="E17" i="3"/>
  <c r="C37" i="3"/>
  <c r="G22" i="3"/>
  <c r="G21" i="3"/>
  <c r="E19" i="3"/>
  <c r="D19" i="3"/>
  <c r="F19" i="3" s="1"/>
  <c r="G19" i="3"/>
  <c r="E16" i="3"/>
  <c r="D16" i="3"/>
  <c r="G16" i="3"/>
  <c r="G14" i="3"/>
  <c r="E14" i="3"/>
  <c r="D14" i="3"/>
  <c r="E11" i="3"/>
  <c r="D11" i="3"/>
  <c r="F11" i="3" s="1"/>
  <c r="G11" i="3"/>
  <c r="G9" i="3"/>
  <c r="D9" i="3"/>
  <c r="E9" i="3"/>
  <c r="E7" i="3"/>
  <c r="F7" i="3" s="1"/>
  <c r="D7" i="3"/>
  <c r="G7" i="3"/>
  <c r="G23" i="3"/>
  <c r="E23" i="3"/>
  <c r="D23" i="3"/>
  <c r="G13" i="3"/>
  <c r="D13" i="3"/>
  <c r="E13" i="3"/>
  <c r="C13" i="3"/>
  <c r="C48" i="3"/>
  <c r="C40" i="3"/>
  <c r="C44" i="3"/>
  <c r="C38" i="3"/>
  <c r="C46" i="3"/>
  <c r="C42" i="3"/>
  <c r="C49" i="3"/>
  <c r="C47" i="3"/>
  <c r="C45" i="3"/>
  <c r="C43" i="3"/>
  <c r="C41" i="3"/>
  <c r="C39" i="3"/>
  <c r="F13" i="3" l="1"/>
  <c r="G12" i="3"/>
  <c r="F9" i="3"/>
  <c r="G17" i="3"/>
  <c r="D12" i="3"/>
  <c r="F12" i="3" s="1"/>
  <c r="F23" i="3"/>
  <c r="F14" i="3"/>
  <c r="F16" i="3"/>
  <c r="F8" i="3"/>
  <c r="F10" i="3"/>
  <c r="B129" i="1"/>
  <c r="B121" i="1"/>
  <c r="B85" i="1"/>
  <c r="C47" i="1" l="1"/>
  <c r="B71" i="1"/>
  <c r="D82" i="1" s="1"/>
  <c r="B68" i="1"/>
  <c r="D83" i="1"/>
  <c r="B81" i="1" s="1"/>
  <c r="C54" i="1"/>
  <c r="B29" i="1"/>
  <c r="B21" i="1"/>
  <c r="B20" i="1"/>
  <c r="B19" i="1"/>
  <c r="B18" i="1"/>
  <c r="B9" i="1"/>
  <c r="B30" i="1" l="1"/>
  <c r="B130" i="1"/>
  <c r="B100" i="1"/>
  <c r="B101" i="1"/>
  <c r="B113" i="1"/>
  <c r="B74" i="1"/>
  <c r="B76" i="1" s="1"/>
  <c r="B88" i="1"/>
  <c r="B86" i="1"/>
  <c r="B22" i="1"/>
  <c r="B23" i="1" s="1"/>
  <c r="C32" i="1" s="1"/>
  <c r="B41" i="1"/>
  <c r="B114" i="1" l="1"/>
  <c r="B115" i="1" s="1"/>
  <c r="B116" i="1" s="1"/>
  <c r="B117" i="1" s="1"/>
  <c r="B118" i="1" s="1"/>
  <c r="C113" i="1"/>
  <c r="C105" i="1"/>
  <c r="B89" i="1"/>
  <c r="E88" i="1"/>
  <c r="B42" i="1"/>
  <c r="B50" i="1" s="1"/>
  <c r="B57" i="1" s="1"/>
  <c r="E113" i="1" l="1"/>
  <c r="H113" i="1" s="1"/>
  <c r="B123" i="1"/>
  <c r="B135" i="1" s="1"/>
  <c r="C114" i="1"/>
  <c r="E114" i="1" s="1"/>
  <c r="H114" i="1" s="1"/>
  <c r="B91" i="1"/>
  <c r="B92" i="1" s="1"/>
  <c r="D88" i="1"/>
  <c r="C44" i="1"/>
  <c r="B44" i="1"/>
  <c r="F114" i="1" l="1"/>
  <c r="F113" i="1"/>
  <c r="B124" i="1"/>
  <c r="D132" i="1"/>
  <c r="D95" i="1"/>
  <c r="D114" i="1"/>
  <c r="D113" i="1"/>
  <c r="C115" i="1"/>
  <c r="C95" i="1"/>
  <c r="D115" i="1" l="1"/>
  <c r="E115" i="1"/>
  <c r="H115" i="1" s="1"/>
  <c r="C116" i="1"/>
  <c r="F115" i="1" l="1"/>
  <c r="D116" i="1"/>
  <c r="E116" i="1"/>
  <c r="H116" i="1" s="1"/>
  <c r="C118" i="1"/>
  <c r="C117" i="1"/>
  <c r="F116" i="1" l="1"/>
  <c r="D117" i="1"/>
  <c r="E117" i="1"/>
  <c r="H117" i="1" s="1"/>
  <c r="D118" i="1"/>
  <c r="E118" i="1"/>
  <c r="H118" i="1" s="1"/>
  <c r="F117" i="1" l="1"/>
  <c r="F11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E3B97A-4069-4921-974F-088DCBAC1FC6}" keepAlive="1" name="Requête - Page001" description="Connexion à la requête « Page001 » dans le classeur." type="5" refreshedVersion="0" background="1">
    <dbPr connection="Provider=Microsoft.Mashup.OleDb.1;Data Source=$Workbook$;Location=Page001;Extended Properties=&quot;&quot;" command="SELECT * FROM [Page001]"/>
  </connection>
</connections>
</file>

<file path=xl/sharedStrings.xml><?xml version="1.0" encoding="utf-8"?>
<sst xmlns="http://schemas.openxmlformats.org/spreadsheetml/2006/main" count="172" uniqueCount="160">
  <si>
    <t>Question 5</t>
  </si>
  <si>
    <t>hauteur  h de la poutre (m)</t>
  </si>
  <si>
    <t xml:space="preserve">valeur de d </t>
  </si>
  <si>
    <t>calcul de µlu (diagramme eslasto-plastique ….) :</t>
  </si>
  <si>
    <t>fck</t>
  </si>
  <si>
    <t>fck (Mpa)</t>
  </si>
  <si>
    <t>αeq</t>
  </si>
  <si>
    <t>γ</t>
  </si>
  <si>
    <t>MEd  (kN.m)</t>
  </si>
  <si>
    <t>Mser (kN.m)</t>
  </si>
  <si>
    <t>A</t>
  </si>
  <si>
    <t>B</t>
  </si>
  <si>
    <t>C</t>
  </si>
  <si>
    <t>k</t>
  </si>
  <si>
    <t>µlu</t>
  </si>
  <si>
    <t>calcul de fcu</t>
  </si>
  <si>
    <t>η</t>
  </si>
  <si>
    <t>αcc</t>
  </si>
  <si>
    <t>fcu</t>
  </si>
  <si>
    <t>Largeur de la poutre (m)</t>
  </si>
  <si>
    <t>Largeur réelle bw (m)</t>
  </si>
  <si>
    <t>Question 6</t>
  </si>
  <si>
    <r>
      <t>δ</t>
    </r>
    <r>
      <rPr>
        <vertAlign val="subscript"/>
        <sz val="11"/>
        <color theme="1"/>
        <rFont val="Calibri"/>
        <family val="2"/>
        <scheme val="minor"/>
      </rPr>
      <t>g</t>
    </r>
  </si>
  <si>
    <t>ψ</t>
  </si>
  <si>
    <t>µcu</t>
  </si>
  <si>
    <t>αu</t>
  </si>
  <si>
    <t xml:space="preserve">classe de ductibilité </t>
  </si>
  <si>
    <t>αAB</t>
  </si>
  <si>
    <t xml:space="preserve">choix du Pivot </t>
  </si>
  <si>
    <t>χu (m)</t>
  </si>
  <si>
    <t>σs1</t>
  </si>
  <si>
    <t>fyk</t>
  </si>
  <si>
    <t>γs</t>
  </si>
  <si>
    <t>fyd (MPa)</t>
  </si>
  <si>
    <t>As1,u</t>
  </si>
  <si>
    <t>As1,réelle</t>
  </si>
  <si>
    <t>m²</t>
  </si>
  <si>
    <t>Vérification de l'espacement minimale entre les armatures longitudinales</t>
  </si>
  <si>
    <t>Øt</t>
  </si>
  <si>
    <t>Nombre de bars</t>
  </si>
  <si>
    <t>Diamètre des bars (mm)</t>
  </si>
  <si>
    <t>Øt (mm)</t>
  </si>
  <si>
    <t xml:space="preserve">amin </t>
  </si>
  <si>
    <t>k1</t>
  </si>
  <si>
    <t>k2</t>
  </si>
  <si>
    <t>dg</t>
  </si>
  <si>
    <t>a (mm)</t>
  </si>
  <si>
    <t>Cnom (mm)</t>
  </si>
  <si>
    <t>Nb  bar t°</t>
  </si>
  <si>
    <t xml:space="preserve">a &gt; amin ? </t>
  </si>
  <si>
    <t>ρl</t>
  </si>
  <si>
    <t>As (cm²)</t>
  </si>
  <si>
    <t>VRd,c</t>
  </si>
  <si>
    <t>γc</t>
  </si>
  <si>
    <t>ϑmin</t>
  </si>
  <si>
    <t>µcu =&lt; αu ?</t>
  </si>
  <si>
    <t>Asw</t>
  </si>
  <si>
    <t>Nb</t>
  </si>
  <si>
    <t>S1</t>
  </si>
  <si>
    <t>l</t>
  </si>
  <si>
    <t>(MN)</t>
  </si>
  <si>
    <t>(kN)</t>
  </si>
  <si>
    <t xml:space="preserve">Ved </t>
  </si>
  <si>
    <t>Question 7</t>
  </si>
  <si>
    <t>Question 8</t>
  </si>
  <si>
    <t>VRd,c &lt; Ved,max ?</t>
  </si>
  <si>
    <t xml:space="preserve">Longueur de la poutre </t>
  </si>
  <si>
    <t xml:space="preserve">Nombre de zone </t>
  </si>
  <si>
    <t>Equation  du moment fléchissant à l'ELU : MEd(x)=qEd*x/2*(L-x)</t>
  </si>
  <si>
    <t>Equation  de l'effort tranchant à l'ELU : VEd(x)=qEd*(x-L/2)</t>
  </si>
  <si>
    <t>S2</t>
  </si>
  <si>
    <t>S3</t>
  </si>
  <si>
    <t>S4</t>
  </si>
  <si>
    <t>S5</t>
  </si>
  <si>
    <t>S6</t>
  </si>
  <si>
    <t>x</t>
  </si>
  <si>
    <t>Ved(x)</t>
  </si>
  <si>
    <t xml:space="preserve">Zone  </t>
  </si>
  <si>
    <t>qEd</t>
  </si>
  <si>
    <t>calcul du taux d'acier dans la zone</t>
  </si>
  <si>
    <t xml:space="preserve">Asw/Sn </t>
  </si>
  <si>
    <t>(m²)</t>
  </si>
  <si>
    <t>(cm²)</t>
  </si>
  <si>
    <t>fywd</t>
  </si>
  <si>
    <t>Mpa</t>
  </si>
  <si>
    <t>Vérification de la quantité minimale d'acier d'âme</t>
  </si>
  <si>
    <t>α</t>
  </si>
  <si>
    <t>ρmin (m²/m)</t>
  </si>
  <si>
    <t>Asw/Sn &gt;= ρmin ?</t>
  </si>
  <si>
    <t>Ved(x)&gt; VRd,c</t>
  </si>
  <si>
    <t xml:space="preserve">Espacement entre les cadres </t>
  </si>
  <si>
    <t>S</t>
  </si>
  <si>
    <t>cm</t>
  </si>
  <si>
    <t>Niveaux</t>
  </si>
  <si>
    <t>Terrasse</t>
  </si>
  <si>
    <t>A13</t>
  </si>
  <si>
    <t>A1</t>
  </si>
  <si>
    <t>1er étage</t>
  </si>
  <si>
    <t>A34</t>
  </si>
  <si>
    <t>A3</t>
  </si>
  <si>
    <t>A45</t>
  </si>
  <si>
    <t>A4</t>
  </si>
  <si>
    <t>B12</t>
  </si>
  <si>
    <t>A5</t>
  </si>
  <si>
    <t>B23</t>
  </si>
  <si>
    <t>B1</t>
  </si>
  <si>
    <t>B34</t>
  </si>
  <si>
    <t>B2</t>
  </si>
  <si>
    <t>B45</t>
  </si>
  <si>
    <t>C23</t>
  </si>
  <si>
    <t>B3</t>
  </si>
  <si>
    <t>C34</t>
  </si>
  <si>
    <t>B4</t>
  </si>
  <si>
    <t>C45</t>
  </si>
  <si>
    <t>B5</t>
  </si>
  <si>
    <t>D</t>
  </si>
  <si>
    <t>D23</t>
  </si>
  <si>
    <t>C2</t>
  </si>
  <si>
    <t>D34</t>
  </si>
  <si>
    <t>C3</t>
  </si>
  <si>
    <t>D45</t>
  </si>
  <si>
    <t>C4</t>
  </si>
  <si>
    <t>D3</t>
  </si>
  <si>
    <t>C5</t>
  </si>
  <si>
    <t>D2</t>
  </si>
  <si>
    <t>D4</t>
  </si>
  <si>
    <t>D5</t>
  </si>
  <si>
    <t>Charges permanentes G (kN/m²)</t>
  </si>
  <si>
    <t>Charges d'exploitation Q (kN/m²)</t>
  </si>
  <si>
    <t>SEd (kN/m²) 1,35G+1,5Q</t>
  </si>
  <si>
    <t>Sser (kN/m²) G+Q</t>
  </si>
  <si>
    <t>RdC</t>
  </si>
  <si>
    <t>File</t>
  </si>
  <si>
    <t>à l'ELU, MEd en kN.m</t>
  </si>
  <si>
    <t>à l'ELS, Mser en kN.m</t>
  </si>
  <si>
    <t>Charges linéaires uniformément répartie</t>
  </si>
  <si>
    <t>Poutre</t>
  </si>
  <si>
    <t>Largeur de reprise</t>
  </si>
  <si>
    <t>qEd (kN/m) SEd*largeur</t>
  </si>
  <si>
    <t>qser (kN/m) Sser*largeur</t>
  </si>
  <si>
    <t>Question 2</t>
  </si>
  <si>
    <t>Question 3</t>
  </si>
  <si>
    <t>Question 4</t>
  </si>
  <si>
    <t>Moment fléchissant isostatique maximale</t>
  </si>
  <si>
    <t>Tableau 2 : Section des aciers en fonction du diamètre et du nombre de barres</t>
  </si>
  <si>
    <t>Section de n barres (cm²)</t>
  </si>
  <si>
    <t>Diamètre
(mm)</t>
  </si>
  <si>
    <t>Poids
(kg/m)</t>
  </si>
  <si>
    <t>Périmètre
(cm)</t>
  </si>
  <si>
    <t>cm²</t>
  </si>
  <si>
    <t>Poteau</t>
  </si>
  <si>
    <t>N+1</t>
  </si>
  <si>
    <t>Ng</t>
  </si>
  <si>
    <t>Nq</t>
  </si>
  <si>
    <t>Ned=1,1*(1,35*Ng+1,5Nq)</t>
  </si>
  <si>
    <t>Ned=1,1*(Sed*Sniv+Sser*Sniv)</t>
  </si>
  <si>
    <t>Question 1</t>
  </si>
  <si>
    <t>Section d'acier recherché</t>
  </si>
  <si>
    <t>Diamètre</t>
  </si>
  <si>
    <t>Nombre de barres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</si>
</sst>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E+00"/>
    <numFmt numFmtId="165" formatCode="0.0000"/>
    <numFmt numFmtId="166" formatCode="0.0"/>
    <numFmt numFmtId="167" formatCode="0.000"/>
  </numFmts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Protection="0">
      <protection locked="0"/>
    </xf>
  </cellStyleXfs>
  <cellXfs count="75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164" fontId="0" fillId="0" borderId="0" xfId="0" applyNumberFormat="1"/>
    <xf numFmtId="164" fontId="0" fillId="2" borderId="0" xfId="0" applyNumberFormat="1" applyFill="1"/>
    <xf numFmtId="0" fontId="0" fillId="3" borderId="0" xfId="0" applyNumberFormat="1" applyFill="1"/>
    <xf numFmtId="0" fontId="0" fillId="5" borderId="0" xfId="0" applyFill="1"/>
    <xf numFmtId="0" fontId="0" fillId="3" borderId="0" xfId="0" applyFill="1" applyAlignment="1">
      <alignment horizontal="right"/>
    </xf>
    <xf numFmtId="0" fontId="0" fillId="3" borderId="0" xfId="0" quotePrefix="1" applyFill="1" applyAlignment="1">
      <alignment horizontal="right"/>
    </xf>
    <xf numFmtId="0" fontId="0" fillId="6" borderId="0" xfId="0" applyFill="1"/>
    <xf numFmtId="0" fontId="0" fillId="0" borderId="1" xfId="0" applyBorder="1"/>
    <xf numFmtId="0" fontId="0" fillId="0" borderId="0" xfId="0" applyAlignment="1">
      <alignment horizontal="right"/>
    </xf>
    <xf numFmtId="165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6" fontId="0" fillId="0" borderId="9" xfId="0" applyNumberFormat="1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2" xfId="0" applyNumberFormat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4" borderId="12" xfId="0" applyNumberFormat="1" applyFill="1" applyBorder="1" applyProtection="1"/>
    <xf numFmtId="0" fontId="0" fillId="4" borderId="12" xfId="0" applyFill="1" applyBorder="1" applyProtection="1"/>
    <xf numFmtId="0" fontId="5" fillId="7" borderId="0" xfId="0" applyNumberFormat="1" applyFont="1" applyFill="1"/>
    <xf numFmtId="0" fontId="6" fillId="0" borderId="0" xfId="0" quotePrefix="1" applyFont="1"/>
    <xf numFmtId="167" fontId="0" fillId="0" borderId="0" xfId="0" applyNumberFormat="1"/>
    <xf numFmtId="0" fontId="0" fillId="0" borderId="0" xfId="0" quotePrefix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8" xfId="0" applyBorder="1"/>
    <xf numFmtId="0" fontId="0" fillId="0" borderId="17" xfId="0" applyBorder="1"/>
    <xf numFmtId="0" fontId="0" fillId="0" borderId="18" xfId="0" applyBorder="1"/>
    <xf numFmtId="0" fontId="0" fillId="0" borderId="19" xfId="0" applyNumberFormat="1" applyBorder="1" applyAlignment="1" applyProtection="1">
      <alignment horizontal="center" vertical="center"/>
    </xf>
    <xf numFmtId="0" fontId="0" fillId="4" borderId="21" xfId="0" applyNumberFormat="1" applyFill="1" applyBorder="1" applyAlignment="1" applyProtection="1">
      <alignment horizontal="center" vertical="center"/>
    </xf>
    <xf numFmtId="0" fontId="0" fillId="4" borderId="22" xfId="0" applyNumberFormat="1" applyFill="1" applyBorder="1" applyAlignment="1" applyProtection="1">
      <alignment horizontal="center" vertical="center"/>
    </xf>
    <xf numFmtId="0" fontId="0" fillId="4" borderId="23" xfId="0" applyNumberFormat="1" applyFill="1" applyBorder="1" applyAlignment="1" applyProtection="1">
      <alignment horizontal="center" vertical="center"/>
    </xf>
    <xf numFmtId="0" fontId="0" fillId="0" borderId="25" xfId="0" applyNumberFormat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4" borderId="26" xfId="0" applyNumberFormat="1" applyFill="1" applyBorder="1" applyAlignment="1" applyProtection="1">
      <alignment horizontal="center" vertical="center"/>
    </xf>
    <xf numFmtId="0" fontId="0" fillId="4" borderId="27" xfId="0" applyFill="1" applyBorder="1" applyAlignment="1" applyProtection="1">
      <alignment horizontal="center" vertical="center"/>
    </xf>
    <xf numFmtId="0" fontId="0" fillId="4" borderId="27" xfId="0" applyNumberFormat="1" applyFill="1" applyBorder="1" applyAlignment="1" applyProtection="1">
      <alignment horizontal="center" vertical="center"/>
    </xf>
    <xf numFmtId="0" fontId="0" fillId="4" borderId="28" xfId="0" applyFill="1" applyBorder="1" applyAlignment="1" applyProtection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4" borderId="20" xfId="0" applyNumberFormat="1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 vertical="center"/>
    </xf>
    <xf numFmtId="0" fontId="0" fillId="4" borderId="20" xfId="0" applyFill="1" applyBorder="1" applyAlignment="1" applyProtection="1">
      <alignment horizontal="center" vertical="center"/>
    </xf>
    <xf numFmtId="0" fontId="0" fillId="4" borderId="24" xfId="0" applyFill="1" applyBorder="1" applyAlignment="1" applyProtection="1">
      <alignment horizontal="center" vertical="center"/>
    </xf>
  </cellXfs>
  <cellStyles count="2">
    <cellStyle name="Normal" xfId="0" builtinId="0"/>
    <cellStyle name="Style 1" xfId="1" xr:uid="{66152F64-55F2-4178-B1D5-82E6485C56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3</xdr:row>
      <xdr:rowOff>19050</xdr:rowOff>
    </xdr:from>
    <xdr:to>
      <xdr:col>2</xdr:col>
      <xdr:colOff>646430</xdr:colOff>
      <xdr:row>5</xdr:row>
      <xdr:rowOff>95885</xdr:rowOff>
    </xdr:to>
    <xdr:pic>
      <xdr:nvPicPr>
        <xdr:cNvPr id="2" name="Image 1" descr="Une image contenant texte, antenne&#10;&#10;Description générée automatiquement">
          <a:extLst>
            <a:ext uri="{FF2B5EF4-FFF2-40B4-BE49-F238E27FC236}">
              <a16:creationId xmlns:a16="http://schemas.microsoft.com/office/drawing/2014/main" id="{E77D7A3E-60AC-4BBB-89D0-E9164FCAC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209550"/>
          <a:ext cx="1208405" cy="457835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 editAs="oneCell">
    <xdr:from>
      <xdr:col>2</xdr:col>
      <xdr:colOff>457200</xdr:colOff>
      <xdr:row>15</xdr:row>
      <xdr:rowOff>38100</xdr:rowOff>
    </xdr:from>
    <xdr:to>
      <xdr:col>9</xdr:col>
      <xdr:colOff>235585</xdr:colOff>
      <xdr:row>20</xdr:row>
      <xdr:rowOff>119380</xdr:rowOff>
    </xdr:to>
    <xdr:pic>
      <xdr:nvPicPr>
        <xdr:cNvPr id="3" name="Image 2" descr="Une image contenant texte&#10;&#10;Description générée automatiquement">
          <a:extLst>
            <a:ext uri="{FF2B5EF4-FFF2-40B4-BE49-F238E27FC236}">
              <a16:creationId xmlns:a16="http://schemas.microsoft.com/office/drawing/2014/main" id="{F88E0BF8-4605-4A74-965E-AD9D5265E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81200" y="2514600"/>
          <a:ext cx="5112385" cy="1033780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 editAs="oneCell">
    <xdr:from>
      <xdr:col>3</xdr:col>
      <xdr:colOff>390525</xdr:colOff>
      <xdr:row>33</xdr:row>
      <xdr:rowOff>171450</xdr:rowOff>
    </xdr:from>
    <xdr:to>
      <xdr:col>10</xdr:col>
      <xdr:colOff>288290</xdr:colOff>
      <xdr:row>38</xdr:row>
      <xdr:rowOff>49530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AAF5990-D9C1-4669-A486-8CBE58424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76525" y="6076950"/>
          <a:ext cx="5231765" cy="868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BCD5B-E5B2-41D7-BDC4-14A9210A65F6}">
  <sheetPr codeName="Feuil1"/>
  <dimension ref="A2:G58"/>
  <sheetViews>
    <sheetView zoomScale="85" zoomScaleNormal="85" workbookViewId="0">
      <selection activeCell="I21" sqref="I21"/>
    </sheetView>
  </sheetViews>
  <sheetFormatPr baseColWidth="10" defaultRowHeight="15" x14ac:dyDescent="0.25"/>
  <cols>
    <col min="2" max="2" width="16" customWidth="1"/>
    <col min="3" max="3" width="14.85546875" customWidth="1"/>
    <col min="4" max="4" width="13.28515625" customWidth="1"/>
  </cols>
  <sheetData>
    <row r="2" spans="1:7" x14ac:dyDescent="0.25">
      <c r="A2" s="3" t="s">
        <v>156</v>
      </c>
    </row>
    <row r="6" spans="1:7" ht="45.75" customHeight="1" x14ac:dyDescent="0.25">
      <c r="A6" s="15" t="s">
        <v>150</v>
      </c>
      <c r="B6" s="15" t="s">
        <v>151</v>
      </c>
      <c r="C6" s="15" t="s">
        <v>94</v>
      </c>
      <c r="D6" s="15" t="s">
        <v>152</v>
      </c>
      <c r="E6" s="15" t="s">
        <v>153</v>
      </c>
      <c r="F6" s="20" t="s">
        <v>154</v>
      </c>
      <c r="G6" s="20" t="s">
        <v>155</v>
      </c>
    </row>
    <row r="7" spans="1:7" x14ac:dyDescent="0.25">
      <c r="A7" s="20" t="s">
        <v>96</v>
      </c>
      <c r="B7" s="15">
        <f t="shared" ref="B7:C7" si="0">2*3</f>
        <v>6</v>
      </c>
      <c r="C7" s="46">
        <f t="shared" si="0"/>
        <v>6</v>
      </c>
      <c r="D7" s="50">
        <f>B7*B$30+C7*B$29</f>
        <v>52.8</v>
      </c>
      <c r="E7" s="50">
        <f>B7*C$30+C7*C$29</f>
        <v>19.8</v>
      </c>
      <c r="F7" s="50">
        <f>(D7*1.35+1.5*E7)*1.1</f>
        <v>111.07800000000002</v>
      </c>
      <c r="G7" s="50">
        <f>(B7*D$30+C7*D$29)*1.1</f>
        <v>111.07800000000003</v>
      </c>
    </row>
    <row r="8" spans="1:7" x14ac:dyDescent="0.25">
      <c r="A8" s="20" t="s">
        <v>99</v>
      </c>
      <c r="B8" s="15">
        <f t="shared" ref="B8:C9" si="1">5*3</f>
        <v>15</v>
      </c>
      <c r="C8" s="46">
        <f t="shared" si="1"/>
        <v>15</v>
      </c>
      <c r="D8" s="50">
        <f t="shared" ref="D8:D23" si="2">B8*B$30+C8*B$29</f>
        <v>132</v>
      </c>
      <c r="E8" s="50">
        <f t="shared" ref="E8:E23" si="3">B8*C$30+C8*C$29</f>
        <v>49.5</v>
      </c>
      <c r="F8" s="50">
        <f t="shared" ref="F8:F23" si="4">(D8*1.35+1.5*E8)*1.1</f>
        <v>277.69500000000005</v>
      </c>
      <c r="G8" s="50">
        <f t="shared" ref="G8:G23" si="5">(B8*D$30+C8*D$29)*1.1</f>
        <v>277.69500000000005</v>
      </c>
    </row>
    <row r="9" spans="1:7" x14ac:dyDescent="0.25">
      <c r="A9" s="20" t="s">
        <v>101</v>
      </c>
      <c r="B9" s="15">
        <f t="shared" si="1"/>
        <v>15</v>
      </c>
      <c r="C9" s="46">
        <f t="shared" si="1"/>
        <v>15</v>
      </c>
      <c r="D9" s="50">
        <f t="shared" si="2"/>
        <v>132</v>
      </c>
      <c r="E9" s="50">
        <f t="shared" si="3"/>
        <v>49.5</v>
      </c>
      <c r="F9" s="50">
        <f t="shared" si="4"/>
        <v>277.69500000000005</v>
      </c>
      <c r="G9" s="50">
        <f t="shared" si="5"/>
        <v>277.69500000000005</v>
      </c>
    </row>
    <row r="10" spans="1:7" x14ac:dyDescent="0.25">
      <c r="A10" s="20" t="s">
        <v>103</v>
      </c>
      <c r="B10" s="15">
        <f t="shared" ref="B10:C10" si="6">2*3</f>
        <v>6</v>
      </c>
      <c r="C10" s="46">
        <f t="shared" si="6"/>
        <v>6</v>
      </c>
      <c r="D10" s="50">
        <f t="shared" si="2"/>
        <v>52.8</v>
      </c>
      <c r="E10" s="50">
        <f t="shared" si="3"/>
        <v>19.8</v>
      </c>
      <c r="F10" s="50">
        <f t="shared" si="4"/>
        <v>111.07800000000002</v>
      </c>
      <c r="G10" s="50">
        <f t="shared" si="5"/>
        <v>111.07800000000003</v>
      </c>
    </row>
    <row r="11" spans="1:7" x14ac:dyDescent="0.25">
      <c r="A11" s="20" t="s">
        <v>105</v>
      </c>
      <c r="B11" s="15">
        <f t="shared" ref="B11:C11" si="7">3*1</f>
        <v>3</v>
      </c>
      <c r="C11" s="46">
        <f t="shared" si="7"/>
        <v>3</v>
      </c>
      <c r="D11" s="50">
        <f t="shared" si="2"/>
        <v>26.4</v>
      </c>
      <c r="E11" s="50">
        <f t="shared" si="3"/>
        <v>9.9</v>
      </c>
      <c r="F11" s="50">
        <f t="shared" si="4"/>
        <v>55.539000000000009</v>
      </c>
      <c r="G11" s="50">
        <f t="shared" si="5"/>
        <v>55.539000000000016</v>
      </c>
    </row>
    <row r="12" spans="1:7" x14ac:dyDescent="0.25">
      <c r="A12" s="20" t="s">
        <v>107</v>
      </c>
      <c r="B12" s="15">
        <f t="shared" ref="B12" si="8">3*2+2.4</f>
        <v>8.4</v>
      </c>
      <c r="C12" s="47">
        <f>B12-2.4</f>
        <v>6</v>
      </c>
      <c r="D12" s="50">
        <f t="shared" si="2"/>
        <v>62.879999999999995</v>
      </c>
      <c r="E12" s="50">
        <f t="shared" si="3"/>
        <v>25.8</v>
      </c>
      <c r="F12" s="50">
        <f t="shared" si="4"/>
        <v>135.94680000000002</v>
      </c>
      <c r="G12" s="50">
        <f t="shared" si="5"/>
        <v>135.94680000000002</v>
      </c>
    </row>
    <row r="13" spans="1:7" x14ac:dyDescent="0.25">
      <c r="A13" s="20" t="s">
        <v>110</v>
      </c>
      <c r="B13" s="15">
        <f t="shared" ref="B13" si="9">5.4*4</f>
        <v>21.6</v>
      </c>
      <c r="C13" s="47">
        <f>B13-2.4*1</f>
        <v>19.200000000000003</v>
      </c>
      <c r="D13" s="50">
        <f t="shared" si="2"/>
        <v>179.04000000000002</v>
      </c>
      <c r="E13" s="50">
        <f t="shared" si="3"/>
        <v>69.36</v>
      </c>
      <c r="F13" s="50">
        <f t="shared" si="4"/>
        <v>380.31840000000005</v>
      </c>
      <c r="G13" s="50">
        <f t="shared" si="5"/>
        <v>380.31840000000005</v>
      </c>
    </row>
    <row r="14" spans="1:7" x14ac:dyDescent="0.25">
      <c r="A14" s="20" t="s">
        <v>112</v>
      </c>
      <c r="B14" s="15">
        <f t="shared" ref="B14:C14" si="10">5.4*5</f>
        <v>27</v>
      </c>
      <c r="C14" s="46">
        <f t="shared" si="10"/>
        <v>27</v>
      </c>
      <c r="D14" s="50">
        <f t="shared" si="2"/>
        <v>237.6</v>
      </c>
      <c r="E14" s="50">
        <f t="shared" si="3"/>
        <v>89.1</v>
      </c>
      <c r="F14" s="50">
        <f t="shared" si="4"/>
        <v>499.851</v>
      </c>
      <c r="G14" s="50">
        <f t="shared" si="5"/>
        <v>499.85100000000006</v>
      </c>
    </row>
    <row r="15" spans="1:7" x14ac:dyDescent="0.25">
      <c r="A15" s="20" t="s">
        <v>114</v>
      </c>
      <c r="B15" s="15">
        <f t="shared" ref="B15:C15" si="11">5.4*2</f>
        <v>10.8</v>
      </c>
      <c r="C15" s="46">
        <f t="shared" si="11"/>
        <v>10.8</v>
      </c>
      <c r="D15" s="50">
        <f t="shared" si="2"/>
        <v>95.04</v>
      </c>
      <c r="E15" s="50">
        <f t="shared" si="3"/>
        <v>35.64</v>
      </c>
      <c r="F15" s="50">
        <f t="shared" si="4"/>
        <v>199.94040000000007</v>
      </c>
      <c r="G15" s="50">
        <f t="shared" si="5"/>
        <v>199.94040000000004</v>
      </c>
    </row>
    <row r="16" spans="1:7" x14ac:dyDescent="0.25">
      <c r="A16" s="20" t="s">
        <v>117</v>
      </c>
      <c r="B16" s="15">
        <f t="shared" ref="B16" si="12">5.4*1</f>
        <v>5.4</v>
      </c>
      <c r="C16" s="48"/>
      <c r="D16" s="50">
        <f t="shared" si="2"/>
        <v>22.680000000000003</v>
      </c>
      <c r="E16" s="50">
        <f t="shared" si="3"/>
        <v>13.5</v>
      </c>
      <c r="F16" s="50">
        <f t="shared" si="4"/>
        <v>55.954800000000013</v>
      </c>
      <c r="G16" s="50">
        <f t="shared" si="5"/>
        <v>55.954800000000013</v>
      </c>
    </row>
    <row r="17" spans="1:7" x14ac:dyDescent="0.25">
      <c r="A17" s="20" t="s">
        <v>119</v>
      </c>
      <c r="B17" s="15">
        <f t="shared" ref="B17" si="13">5.4*4</f>
        <v>21.6</v>
      </c>
      <c r="C17" s="47">
        <f>B17-5.4*1</f>
        <v>16.200000000000003</v>
      </c>
      <c r="D17" s="50">
        <f t="shared" si="2"/>
        <v>165.24</v>
      </c>
      <c r="E17" s="50">
        <f t="shared" si="3"/>
        <v>66.960000000000008</v>
      </c>
      <c r="F17" s="50">
        <f t="shared" si="4"/>
        <v>355.86540000000008</v>
      </c>
      <c r="G17" s="50">
        <f t="shared" si="5"/>
        <v>355.86540000000008</v>
      </c>
    </row>
    <row r="18" spans="1:7" x14ac:dyDescent="0.25">
      <c r="A18" s="20" t="s">
        <v>121</v>
      </c>
      <c r="B18" s="15">
        <f t="shared" ref="B18:C18" si="14">5.4*5</f>
        <v>27</v>
      </c>
      <c r="C18" s="46">
        <f t="shared" si="14"/>
        <v>27</v>
      </c>
      <c r="D18" s="50">
        <f t="shared" si="2"/>
        <v>237.6</v>
      </c>
      <c r="E18" s="50">
        <f t="shared" si="3"/>
        <v>89.1</v>
      </c>
      <c r="F18" s="50">
        <f t="shared" si="4"/>
        <v>499.851</v>
      </c>
      <c r="G18" s="50">
        <f t="shared" si="5"/>
        <v>499.85100000000006</v>
      </c>
    </row>
    <row r="19" spans="1:7" x14ac:dyDescent="0.25">
      <c r="A19" s="20" t="s">
        <v>123</v>
      </c>
      <c r="B19" s="15">
        <f t="shared" ref="B19:C19" si="15">5.4*2</f>
        <v>10.8</v>
      </c>
      <c r="C19" s="46">
        <f t="shared" si="15"/>
        <v>10.8</v>
      </c>
      <c r="D19" s="50">
        <f t="shared" si="2"/>
        <v>95.04</v>
      </c>
      <c r="E19" s="50">
        <f t="shared" si="3"/>
        <v>35.64</v>
      </c>
      <c r="F19" s="50">
        <f t="shared" si="4"/>
        <v>199.94040000000007</v>
      </c>
      <c r="G19" s="50">
        <f t="shared" si="5"/>
        <v>199.94040000000004</v>
      </c>
    </row>
    <row r="20" spans="1:7" x14ac:dyDescent="0.25">
      <c r="A20" s="20" t="s">
        <v>124</v>
      </c>
      <c r="B20" s="15">
        <f t="shared" ref="B20" si="16">3*1</f>
        <v>3</v>
      </c>
      <c r="C20" s="49"/>
      <c r="D20" s="50">
        <f t="shared" si="2"/>
        <v>12.600000000000001</v>
      </c>
      <c r="E20" s="50">
        <f t="shared" si="3"/>
        <v>7.5</v>
      </c>
      <c r="F20" s="50">
        <f t="shared" si="4"/>
        <v>31.086000000000006</v>
      </c>
      <c r="G20" s="50">
        <f t="shared" si="5"/>
        <v>31.086000000000009</v>
      </c>
    </row>
    <row r="21" spans="1:7" ht="32.25" customHeight="1" x14ac:dyDescent="0.25">
      <c r="A21" s="20" t="s">
        <v>122</v>
      </c>
      <c r="B21" s="15">
        <f>3*4</f>
        <v>12</v>
      </c>
      <c r="C21" s="47">
        <f>B21-3*1</f>
        <v>9</v>
      </c>
      <c r="D21" s="50">
        <f t="shared" si="2"/>
        <v>91.800000000000011</v>
      </c>
      <c r="E21" s="50">
        <f t="shared" si="3"/>
        <v>37.200000000000003</v>
      </c>
      <c r="F21" s="50">
        <f t="shared" si="4"/>
        <v>197.70300000000003</v>
      </c>
      <c r="G21" s="50">
        <f t="shared" si="5"/>
        <v>197.70300000000003</v>
      </c>
    </row>
    <row r="22" spans="1:7" x14ac:dyDescent="0.25">
      <c r="A22" s="20" t="s">
        <v>125</v>
      </c>
      <c r="B22" s="15">
        <f>5*3</f>
        <v>15</v>
      </c>
      <c r="C22" s="46">
        <f>5*3</f>
        <v>15</v>
      </c>
      <c r="D22" s="50">
        <f t="shared" si="2"/>
        <v>132</v>
      </c>
      <c r="E22" s="50">
        <f t="shared" si="3"/>
        <v>49.5</v>
      </c>
      <c r="F22" s="50">
        <f t="shared" si="4"/>
        <v>277.69500000000005</v>
      </c>
      <c r="G22" s="50">
        <f t="shared" si="5"/>
        <v>277.69500000000005</v>
      </c>
    </row>
    <row r="23" spans="1:7" x14ac:dyDescent="0.25">
      <c r="A23" s="20" t="s">
        <v>126</v>
      </c>
      <c r="B23" s="15">
        <f t="shared" ref="B23:C23" si="17">2*3</f>
        <v>6</v>
      </c>
      <c r="C23" s="46">
        <f t="shared" si="17"/>
        <v>6</v>
      </c>
      <c r="D23" s="50">
        <f t="shared" si="2"/>
        <v>52.8</v>
      </c>
      <c r="E23" s="50">
        <f t="shared" si="3"/>
        <v>19.8</v>
      </c>
      <c r="F23" s="50">
        <f t="shared" si="4"/>
        <v>111.07800000000002</v>
      </c>
      <c r="G23" s="50">
        <f t="shared" si="5"/>
        <v>111.07800000000003</v>
      </c>
    </row>
    <row r="26" spans="1:7" x14ac:dyDescent="0.25">
      <c r="A26" s="3" t="s">
        <v>140</v>
      </c>
    </row>
    <row r="27" spans="1:7" ht="15.75" thickBot="1" x14ac:dyDescent="0.3"/>
    <row r="28" spans="1:7" ht="45" x14ac:dyDescent="0.25">
      <c r="A28" s="16" t="s">
        <v>93</v>
      </c>
      <c r="B28" s="17" t="s">
        <v>127</v>
      </c>
      <c r="C28" s="17" t="s">
        <v>128</v>
      </c>
      <c r="D28" s="17" t="s">
        <v>129</v>
      </c>
      <c r="E28" s="18" t="s">
        <v>130</v>
      </c>
    </row>
    <row r="29" spans="1:7" x14ac:dyDescent="0.25">
      <c r="A29" s="19" t="s">
        <v>94</v>
      </c>
      <c r="B29" s="20">
        <v>4.5999999999999996</v>
      </c>
      <c r="C29" s="20">
        <v>0.8</v>
      </c>
      <c r="D29" s="20">
        <f>1.35*B29+1.5*C29</f>
        <v>7.41</v>
      </c>
      <c r="E29" s="21">
        <f>B29+C29</f>
        <v>5.3999999999999995</v>
      </c>
    </row>
    <row r="30" spans="1:7" x14ac:dyDescent="0.25">
      <c r="A30" s="22" t="s">
        <v>97</v>
      </c>
      <c r="B30" s="20">
        <v>4.2</v>
      </c>
      <c r="C30" s="20">
        <v>2.5</v>
      </c>
      <c r="D30" s="20">
        <f>1.35*B30+1.5*C30</f>
        <v>9.4200000000000017</v>
      </c>
      <c r="E30" s="21">
        <f>B30+C30</f>
        <v>6.7</v>
      </c>
    </row>
    <row r="31" spans="1:7" ht="15.75" thickBot="1" x14ac:dyDescent="0.3">
      <c r="A31" s="23" t="s">
        <v>131</v>
      </c>
      <c r="B31" s="24">
        <v>4.2</v>
      </c>
      <c r="C31" s="24">
        <v>2.5</v>
      </c>
      <c r="D31" s="24">
        <f>1.35*B31+1.5*C31</f>
        <v>9.4200000000000017</v>
      </c>
      <c r="E31" s="25">
        <f>B31+C31</f>
        <v>6.7</v>
      </c>
    </row>
    <row r="33" spans="1:4" x14ac:dyDescent="0.25">
      <c r="A33" s="3" t="s">
        <v>141</v>
      </c>
    </row>
    <row r="34" spans="1:4" ht="15.75" thickBot="1" x14ac:dyDescent="0.3"/>
    <row r="35" spans="1:4" ht="15" customHeight="1" x14ac:dyDescent="0.25">
      <c r="A35" s="33"/>
      <c r="B35" s="34"/>
      <c r="C35" s="67" t="s">
        <v>135</v>
      </c>
      <c r="D35" s="68"/>
    </row>
    <row r="36" spans="1:4" ht="30" x14ac:dyDescent="0.25">
      <c r="A36" s="29" t="s">
        <v>136</v>
      </c>
      <c r="B36" s="30" t="s">
        <v>137</v>
      </c>
      <c r="C36" s="30" t="s">
        <v>138</v>
      </c>
      <c r="D36" s="31" t="s">
        <v>139</v>
      </c>
    </row>
    <row r="37" spans="1:4" x14ac:dyDescent="0.25">
      <c r="A37" s="19" t="s">
        <v>95</v>
      </c>
      <c r="B37" s="35">
        <v>3</v>
      </c>
      <c r="C37" s="36">
        <f t="shared" ref="C37:C49" si="18">D$30*B37</f>
        <v>28.260000000000005</v>
      </c>
      <c r="D37" s="21">
        <f t="shared" ref="D37:D49" si="19">E30*B$37</f>
        <v>20.100000000000001</v>
      </c>
    </row>
    <row r="38" spans="1:4" x14ac:dyDescent="0.25">
      <c r="A38" s="22" t="s">
        <v>98</v>
      </c>
      <c r="B38" s="35">
        <v>3</v>
      </c>
      <c r="C38" s="36">
        <f t="shared" si="18"/>
        <v>28.260000000000005</v>
      </c>
      <c r="D38" s="21">
        <f t="shared" si="19"/>
        <v>20.100000000000001</v>
      </c>
    </row>
    <row r="39" spans="1:4" x14ac:dyDescent="0.25">
      <c r="A39" s="22" t="s">
        <v>100</v>
      </c>
      <c r="B39" s="35">
        <v>3</v>
      </c>
      <c r="C39" s="36">
        <f t="shared" si="18"/>
        <v>28.260000000000005</v>
      </c>
      <c r="D39" s="21">
        <f t="shared" si="19"/>
        <v>0</v>
      </c>
    </row>
    <row r="40" spans="1:4" x14ac:dyDescent="0.25">
      <c r="A40" s="22" t="s">
        <v>102</v>
      </c>
      <c r="B40" s="35">
        <v>3</v>
      </c>
      <c r="C40" s="36">
        <f t="shared" si="18"/>
        <v>28.260000000000005</v>
      </c>
      <c r="D40" s="21">
        <f t="shared" si="19"/>
        <v>0</v>
      </c>
    </row>
    <row r="41" spans="1:4" x14ac:dyDescent="0.25">
      <c r="A41" s="22" t="s">
        <v>104</v>
      </c>
      <c r="B41" s="35">
        <v>5.4</v>
      </c>
      <c r="C41" s="36">
        <f t="shared" si="18"/>
        <v>50.868000000000009</v>
      </c>
      <c r="D41" s="21">
        <f t="shared" si="19"/>
        <v>0</v>
      </c>
    </row>
    <row r="42" spans="1:4" x14ac:dyDescent="0.25">
      <c r="A42" s="22" t="s">
        <v>106</v>
      </c>
      <c r="B42" s="35">
        <v>5.4</v>
      </c>
      <c r="C42" s="36">
        <f t="shared" si="18"/>
        <v>50.868000000000009</v>
      </c>
      <c r="D42" s="21">
        <f t="shared" si="19"/>
        <v>0</v>
      </c>
    </row>
    <row r="43" spans="1:4" x14ac:dyDescent="0.25">
      <c r="A43" s="22" t="s">
        <v>108</v>
      </c>
      <c r="B43" s="35">
        <v>5.4</v>
      </c>
      <c r="C43" s="36">
        <f t="shared" si="18"/>
        <v>50.868000000000009</v>
      </c>
      <c r="D43" s="21">
        <f t="shared" si="19"/>
        <v>0</v>
      </c>
    </row>
    <row r="44" spans="1:4" x14ac:dyDescent="0.25">
      <c r="A44" s="22" t="s">
        <v>109</v>
      </c>
      <c r="B44" s="35">
        <v>5.4</v>
      </c>
      <c r="C44" s="36">
        <f t="shared" si="18"/>
        <v>50.868000000000009</v>
      </c>
      <c r="D44" s="21">
        <f t="shared" si="19"/>
        <v>0</v>
      </c>
    </row>
    <row r="45" spans="1:4" x14ac:dyDescent="0.25">
      <c r="A45" s="22" t="s">
        <v>111</v>
      </c>
      <c r="B45" s="35">
        <v>5.4</v>
      </c>
      <c r="C45" s="36">
        <f t="shared" si="18"/>
        <v>50.868000000000009</v>
      </c>
      <c r="D45" s="21">
        <f t="shared" si="19"/>
        <v>0</v>
      </c>
    </row>
    <row r="46" spans="1:4" x14ac:dyDescent="0.25">
      <c r="A46" s="22" t="s">
        <v>113</v>
      </c>
      <c r="B46" s="35">
        <v>5.4</v>
      </c>
      <c r="C46" s="36">
        <f t="shared" si="18"/>
        <v>50.868000000000009</v>
      </c>
      <c r="D46" s="21">
        <f t="shared" si="19"/>
        <v>0</v>
      </c>
    </row>
    <row r="47" spans="1:4" x14ac:dyDescent="0.25">
      <c r="A47" s="22" t="s">
        <v>116</v>
      </c>
      <c r="B47" s="37">
        <v>3</v>
      </c>
      <c r="C47" s="36">
        <f t="shared" si="18"/>
        <v>28.260000000000005</v>
      </c>
      <c r="D47" s="21">
        <f t="shared" si="19"/>
        <v>0</v>
      </c>
    </row>
    <row r="48" spans="1:4" x14ac:dyDescent="0.25">
      <c r="A48" s="22" t="s">
        <v>118</v>
      </c>
      <c r="B48" s="37">
        <v>3</v>
      </c>
      <c r="C48" s="36">
        <f t="shared" si="18"/>
        <v>28.260000000000005</v>
      </c>
      <c r="D48" s="21">
        <f t="shared" si="19"/>
        <v>0</v>
      </c>
    </row>
    <row r="49" spans="1:4" ht="15.75" thickBot="1" x14ac:dyDescent="0.3">
      <c r="A49" s="23" t="s">
        <v>120</v>
      </c>
      <c r="B49" s="24">
        <v>3</v>
      </c>
      <c r="C49" s="32">
        <f t="shared" si="18"/>
        <v>28.260000000000005</v>
      </c>
      <c r="D49" s="25">
        <f t="shared" si="19"/>
        <v>0</v>
      </c>
    </row>
    <row r="51" spans="1:4" x14ac:dyDescent="0.25">
      <c r="A51" s="3" t="s">
        <v>142</v>
      </c>
    </row>
    <row r="52" spans="1:4" ht="15.75" thickBot="1" x14ac:dyDescent="0.3"/>
    <row r="53" spans="1:4" ht="15" customHeight="1" x14ac:dyDescent="0.25">
      <c r="A53" s="26"/>
      <c r="B53" s="69" t="s">
        <v>143</v>
      </c>
      <c r="C53" s="70"/>
    </row>
    <row r="54" spans="1:4" ht="30" x14ac:dyDescent="0.25">
      <c r="A54" s="29" t="s">
        <v>132</v>
      </c>
      <c r="B54" s="27" t="s">
        <v>133</v>
      </c>
      <c r="C54" s="28" t="s">
        <v>134</v>
      </c>
    </row>
    <row r="55" spans="1:4" x14ac:dyDescent="0.25">
      <c r="A55" s="19" t="s">
        <v>10</v>
      </c>
      <c r="B55" s="20">
        <v>51.16</v>
      </c>
      <c r="C55" s="21">
        <v>36.33</v>
      </c>
    </row>
    <row r="56" spans="1:4" x14ac:dyDescent="0.25">
      <c r="A56" s="22" t="s">
        <v>11</v>
      </c>
      <c r="B56" s="20">
        <v>95.52</v>
      </c>
      <c r="C56" s="21">
        <v>67.89</v>
      </c>
    </row>
    <row r="57" spans="1:4" x14ac:dyDescent="0.25">
      <c r="A57" s="22" t="s">
        <v>12</v>
      </c>
      <c r="B57" s="20">
        <v>96.13</v>
      </c>
      <c r="C57" s="21">
        <v>68.33</v>
      </c>
    </row>
    <row r="58" spans="1:4" ht="15.75" thickBot="1" x14ac:dyDescent="0.3">
      <c r="A58" s="23" t="s">
        <v>115</v>
      </c>
      <c r="B58" s="24">
        <v>53.45</v>
      </c>
      <c r="C58" s="25">
        <v>37.96</v>
      </c>
    </row>
  </sheetData>
  <mergeCells count="2">
    <mergeCell ref="C35:D35"/>
    <mergeCell ref="B53:C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38480-FA02-4512-AE1B-FDF7ADABEEA3}">
  <sheetPr codeName="Feuil2"/>
  <dimension ref="A3:L135"/>
  <sheetViews>
    <sheetView topLeftCell="A105" zoomScale="85" zoomScaleNormal="85" workbookViewId="0">
      <selection activeCell="G140" sqref="G139:G140"/>
    </sheetView>
  </sheetViews>
  <sheetFormatPr baseColWidth="10" defaultRowHeight="15" x14ac:dyDescent="0.25"/>
  <cols>
    <col min="12" max="12" width="11.42578125" style="11"/>
  </cols>
  <sheetData>
    <row r="3" spans="1:4" x14ac:dyDescent="0.25">
      <c r="A3" s="3" t="s">
        <v>0</v>
      </c>
    </row>
    <row r="7" spans="1:4" x14ac:dyDescent="0.25">
      <c r="A7" t="s">
        <v>1</v>
      </c>
      <c r="D7" s="2">
        <v>0.45</v>
      </c>
    </row>
    <row r="9" spans="1:4" x14ac:dyDescent="0.25">
      <c r="A9" t="s">
        <v>2</v>
      </c>
      <c r="B9">
        <f>0.9*D7</f>
        <v>0.40500000000000003</v>
      </c>
    </row>
    <row r="11" spans="1:4" x14ac:dyDescent="0.25">
      <c r="A11" t="s">
        <v>8</v>
      </c>
      <c r="B11" s="2">
        <v>51.17</v>
      </c>
    </row>
    <row r="12" spans="1:4" x14ac:dyDescent="0.25">
      <c r="A12" t="s">
        <v>9</v>
      </c>
      <c r="B12" s="2">
        <v>36.33</v>
      </c>
    </row>
    <row r="14" spans="1:4" x14ac:dyDescent="0.25">
      <c r="A14" t="s">
        <v>3</v>
      </c>
    </row>
    <row r="16" spans="1:4" x14ac:dyDescent="0.25">
      <c r="A16" t="s">
        <v>5</v>
      </c>
      <c r="B16" s="2">
        <v>30</v>
      </c>
    </row>
    <row r="17" spans="1:3" x14ac:dyDescent="0.25">
      <c r="A17" t="s">
        <v>6</v>
      </c>
      <c r="B17" s="2">
        <v>15</v>
      </c>
    </row>
    <row r="18" spans="1:3" x14ac:dyDescent="0.25">
      <c r="A18" t="s">
        <v>7</v>
      </c>
      <c r="B18">
        <f>B11/B12</f>
        <v>1.4084778420038537</v>
      </c>
    </row>
    <row r="19" spans="1:3" x14ac:dyDescent="0.25">
      <c r="A19" t="s">
        <v>10</v>
      </c>
      <c r="B19">
        <f>71.32*B16+108</f>
        <v>2247.6</v>
      </c>
    </row>
    <row r="20" spans="1:3" x14ac:dyDescent="0.25">
      <c r="A20" t="s">
        <v>11</v>
      </c>
      <c r="B20">
        <f>-5.2*B16+847.4</f>
        <v>691.4</v>
      </c>
    </row>
    <row r="21" spans="1:3" x14ac:dyDescent="0.25">
      <c r="A21" t="s">
        <v>12</v>
      </c>
      <c r="B21">
        <f>0.03*B16-12.5</f>
        <v>-11.6</v>
      </c>
    </row>
    <row r="22" spans="1:3" x14ac:dyDescent="0.25">
      <c r="A22" t="s">
        <v>13</v>
      </c>
      <c r="B22">
        <f>(B19+B20*B17+B21*B17^2)*10^(-4)</f>
        <v>1.0008600000000001</v>
      </c>
    </row>
    <row r="23" spans="1:3" x14ac:dyDescent="0.25">
      <c r="A23" t="s">
        <v>14</v>
      </c>
      <c r="B23">
        <f>B22*B16/((4.69-1.7*B18)*B16+(159.9-76.2*B18))</f>
        <v>0.24724472855007762</v>
      </c>
    </row>
    <row r="25" spans="1:3" x14ac:dyDescent="0.25">
      <c r="A25" t="s">
        <v>15</v>
      </c>
    </row>
    <row r="26" spans="1:3" x14ac:dyDescent="0.25">
      <c r="A26" t="s">
        <v>16</v>
      </c>
      <c r="B26">
        <v>1</v>
      </c>
    </row>
    <row r="27" spans="1:3" x14ac:dyDescent="0.25">
      <c r="A27" t="s">
        <v>17</v>
      </c>
      <c r="B27">
        <v>1</v>
      </c>
    </row>
    <row r="28" spans="1:3" x14ac:dyDescent="0.25">
      <c r="A28" t="s">
        <v>7</v>
      </c>
      <c r="B28">
        <v>1.5</v>
      </c>
    </row>
    <row r="29" spans="1:3" x14ac:dyDescent="0.25">
      <c r="A29" t="s">
        <v>4</v>
      </c>
      <c r="B29">
        <f>B16</f>
        <v>30</v>
      </c>
    </row>
    <row r="30" spans="1:3" x14ac:dyDescent="0.25">
      <c r="A30" t="s">
        <v>18</v>
      </c>
      <c r="B30">
        <f>B26*B27*B29/B28</f>
        <v>20</v>
      </c>
    </row>
    <row r="32" spans="1:3" x14ac:dyDescent="0.25">
      <c r="A32" t="s">
        <v>19</v>
      </c>
      <c r="C32">
        <f>B11*10^-3/(B9^2*B23*B30)</f>
        <v>6.3088228688659334E-2</v>
      </c>
    </row>
    <row r="33" spans="1:5" x14ac:dyDescent="0.25">
      <c r="A33" t="s">
        <v>20</v>
      </c>
      <c r="C33" s="1">
        <v>0.15</v>
      </c>
    </row>
    <row r="35" spans="1:5" x14ac:dyDescent="0.25">
      <c r="A35" s="3" t="s">
        <v>21</v>
      </c>
    </row>
    <row r="38" spans="1:5" ht="18" x14ac:dyDescent="0.35">
      <c r="A38" t="s">
        <v>22</v>
      </c>
      <c r="B38" s="2">
        <v>0.4</v>
      </c>
    </row>
    <row r="39" spans="1:5" x14ac:dyDescent="0.25">
      <c r="A39" t="s">
        <v>23</v>
      </c>
      <c r="B39" s="2">
        <v>0.8</v>
      </c>
    </row>
    <row r="41" spans="1:5" x14ac:dyDescent="0.25">
      <c r="A41" t="s">
        <v>24</v>
      </c>
      <c r="B41">
        <f>B11*10^-3/(C33*B9^2*B30)</f>
        <v>0.10398821317888532</v>
      </c>
    </row>
    <row r="42" spans="1:5" x14ac:dyDescent="0.25">
      <c r="A42" t="s">
        <v>25</v>
      </c>
      <c r="B42">
        <f>1/(2*B38)*(1-SQRT(1-4*B38*B41/B39))</f>
        <v>0.13755367148972825</v>
      </c>
    </row>
    <row r="44" spans="1:5" x14ac:dyDescent="0.25">
      <c r="A44" t="s">
        <v>55</v>
      </c>
      <c r="B44" t="b">
        <f>B41&lt;=B42</f>
        <v>1</v>
      </c>
      <c r="C44" s="7" t="str">
        <f>IF(B41&lt;=B42, "Aciers comprimés As2,u inutiles","Besoins d'aciers comprimés As2,u")</f>
        <v>Aciers comprimés As2,u inutiles</v>
      </c>
      <c r="D44" s="7"/>
      <c r="E44" s="7"/>
    </row>
    <row r="46" spans="1:5" x14ac:dyDescent="0.25">
      <c r="A46" t="s">
        <v>26</v>
      </c>
      <c r="C46" s="8" t="s">
        <v>11</v>
      </c>
    </row>
    <row r="47" spans="1:5" x14ac:dyDescent="0.25">
      <c r="A47" t="s">
        <v>27</v>
      </c>
      <c r="C47" s="9">
        <f>IF(C46="A",0.1346,IF(C46="B",0.0722,IF(C46="C",0.0493,0)))</f>
        <v>7.22E-2</v>
      </c>
    </row>
    <row r="48" spans="1:5" x14ac:dyDescent="0.25">
      <c r="A48" t="s">
        <v>28</v>
      </c>
      <c r="C48" s="8" t="s">
        <v>11</v>
      </c>
    </row>
    <row r="50" spans="1:6" x14ac:dyDescent="0.25">
      <c r="A50" t="s">
        <v>29</v>
      </c>
      <c r="B50">
        <f>B42*B9</f>
        <v>5.5709236953339944E-2</v>
      </c>
    </row>
    <row r="52" spans="1:6" x14ac:dyDescent="0.25">
      <c r="A52" t="s">
        <v>31</v>
      </c>
      <c r="B52" s="2">
        <v>500</v>
      </c>
    </row>
    <row r="53" spans="1:6" x14ac:dyDescent="0.25">
      <c r="A53" t="s">
        <v>32</v>
      </c>
      <c r="B53">
        <v>1.1499999999999999</v>
      </c>
    </row>
    <row r="54" spans="1:6" x14ac:dyDescent="0.25">
      <c r="A54" t="s">
        <v>30</v>
      </c>
      <c r="B54" t="s">
        <v>33</v>
      </c>
      <c r="C54">
        <f>B52/B53</f>
        <v>434.78260869565219</v>
      </c>
    </row>
    <row r="56" spans="1:6" x14ac:dyDescent="0.25">
      <c r="B56" s="15" t="s">
        <v>36</v>
      </c>
      <c r="C56" s="15" t="s">
        <v>149</v>
      </c>
    </row>
    <row r="57" spans="1:6" ht="15.75" x14ac:dyDescent="0.25">
      <c r="A57" t="s">
        <v>34</v>
      </c>
      <c r="B57" s="4">
        <f>B11*10^-3/(C54*(B9-B38*B50))</f>
        <v>3.0751498798243653E-4</v>
      </c>
      <c r="C57" s="44">
        <f>B57*10^4</f>
        <v>3.0751498798243655</v>
      </c>
      <c r="F57" s="43"/>
    </row>
    <row r="58" spans="1:6" x14ac:dyDescent="0.25">
      <c r="A58" t="s">
        <v>35</v>
      </c>
      <c r="B58" s="5">
        <f>C58*10^(-4)</f>
        <v>3.0790000000000006E-4</v>
      </c>
      <c r="C58">
        <f t="array" ref="C58">MIN(IF('Section aciers'!D4:M14&gt;'5 à 8'!C57,'Section aciers'!D4:M14))</f>
        <v>3.0790000000000002</v>
      </c>
    </row>
    <row r="60" spans="1:6" x14ac:dyDescent="0.25">
      <c r="A60" t="s">
        <v>39</v>
      </c>
      <c r="C60" s="2">
        <v>2</v>
      </c>
      <c r="D60" s="45"/>
    </row>
    <row r="61" spans="1:6" x14ac:dyDescent="0.25">
      <c r="A61" t="s">
        <v>40</v>
      </c>
      <c r="C61" s="2">
        <v>14</v>
      </c>
    </row>
    <row r="63" spans="1:6" x14ac:dyDescent="0.25">
      <c r="A63" t="s">
        <v>37</v>
      </c>
    </row>
    <row r="65" spans="1:2" x14ac:dyDescent="0.25">
      <c r="A65" t="s">
        <v>43</v>
      </c>
      <c r="B65">
        <v>1</v>
      </c>
    </row>
    <row r="66" spans="1:2" x14ac:dyDescent="0.25">
      <c r="A66" t="s">
        <v>44</v>
      </c>
      <c r="B66">
        <v>5</v>
      </c>
    </row>
    <row r="67" spans="1:2" x14ac:dyDescent="0.25">
      <c r="A67" t="s">
        <v>45</v>
      </c>
      <c r="B67" s="2">
        <v>20</v>
      </c>
    </row>
    <row r="68" spans="1:2" x14ac:dyDescent="0.25">
      <c r="A68" t="s">
        <v>42</v>
      </c>
      <c r="B68">
        <f>MAX(B65*C61,B67+B66,20)</f>
        <v>25</v>
      </c>
    </row>
    <row r="69" spans="1:2" x14ac:dyDescent="0.25">
      <c r="A69" t="s">
        <v>47</v>
      </c>
      <c r="B69" s="2">
        <v>30</v>
      </c>
    </row>
    <row r="71" spans="1:2" x14ac:dyDescent="0.25">
      <c r="A71" t="s">
        <v>48</v>
      </c>
      <c r="B71">
        <f>C60</f>
        <v>2</v>
      </c>
    </row>
    <row r="72" spans="1:2" x14ac:dyDescent="0.25">
      <c r="A72" t="s">
        <v>41</v>
      </c>
      <c r="B72">
        <f>MAX(C61/3,6)</f>
        <v>6</v>
      </c>
    </row>
    <row r="74" spans="1:2" x14ac:dyDescent="0.25">
      <c r="A74" t="s">
        <v>46</v>
      </c>
      <c r="B74">
        <f>C33*10^3-2*B69-B71*B72-C60*C61</f>
        <v>50</v>
      </c>
    </row>
    <row r="76" spans="1:2" x14ac:dyDescent="0.25">
      <c r="A76" t="s">
        <v>49</v>
      </c>
      <c r="B76" s="1" t="b">
        <f>B74&gt;B68</f>
        <v>1</v>
      </c>
    </row>
    <row r="79" spans="1:2" x14ac:dyDescent="0.25">
      <c r="A79" s="3" t="s">
        <v>63</v>
      </c>
    </row>
    <row r="81" spans="1:7" x14ac:dyDescent="0.25">
      <c r="A81" t="s">
        <v>56</v>
      </c>
      <c r="B81" s="42">
        <f>INDEX('Section aciers'!$D$4:$M$14,MATCH(D83,'Section aciers'!$A$4:$A$14,0),MATCH(D82,'Section aciers'!$D$3:$M$3,0))</f>
        <v>0.56499999999999995</v>
      </c>
    </row>
    <row r="82" spans="1:7" x14ac:dyDescent="0.25">
      <c r="C82" s="12" t="s">
        <v>57</v>
      </c>
      <c r="D82">
        <f>B71</f>
        <v>2</v>
      </c>
    </row>
    <row r="83" spans="1:7" x14ac:dyDescent="0.25">
      <c r="A83" s="3" t="s">
        <v>64</v>
      </c>
      <c r="C83" s="12" t="s">
        <v>38</v>
      </c>
      <c r="D83">
        <f>B72</f>
        <v>6</v>
      </c>
    </row>
    <row r="85" spans="1:7" x14ac:dyDescent="0.25">
      <c r="A85" t="s">
        <v>51</v>
      </c>
      <c r="B85" s="6">
        <f>B58*10^4</f>
        <v>3.0790000000000006</v>
      </c>
    </row>
    <row r="86" spans="1:7" x14ac:dyDescent="0.25">
      <c r="A86" t="s">
        <v>50</v>
      </c>
      <c r="B86">
        <f>MIN(B85/(C33*100*B9*100),0.02)</f>
        <v>5.068312757201647E-3</v>
      </c>
    </row>
    <row r="87" spans="1:7" x14ac:dyDescent="0.25">
      <c r="A87" t="s">
        <v>53</v>
      </c>
      <c r="B87">
        <v>1.5</v>
      </c>
    </row>
    <row r="88" spans="1:7" x14ac:dyDescent="0.25">
      <c r="A88" t="s">
        <v>13</v>
      </c>
      <c r="B88">
        <f>MIN(1+SQRT(200/(B9*10^3)),2)</f>
        <v>1.7027283689263064</v>
      </c>
      <c r="D88">
        <f>B89*C33*B9*0.3*0.405</f>
        <v>3.173846040545548E-3</v>
      </c>
      <c r="E88">
        <f>0.18/B87*B88*(100*B86*B29*10^3)^(1/3)*C33*B9</f>
        <v>0.3075160497688722</v>
      </c>
    </row>
    <row r="89" spans="1:7" x14ac:dyDescent="0.25">
      <c r="A89" t="s">
        <v>54</v>
      </c>
      <c r="B89">
        <f>0.053/B87*B88^(3/2)*SQRT(B29)</f>
        <v>0.4299948910966212</v>
      </c>
    </row>
    <row r="91" spans="1:7" x14ac:dyDescent="0.25">
      <c r="A91" t="s">
        <v>52</v>
      </c>
      <c r="B91">
        <f>MAX(((0.18/B87*B88*(100*B86*B29)^(1/3))*C33*B9),(B89*C33*B9))</f>
        <v>3.0751604976887215E-2</v>
      </c>
      <c r="C91" t="s">
        <v>60</v>
      </c>
    </row>
    <row r="92" spans="1:7" x14ac:dyDescent="0.25">
      <c r="B92" s="13">
        <f>B91*1000</f>
        <v>30.751604976887215</v>
      </c>
      <c r="C92" t="s">
        <v>61</v>
      </c>
    </row>
    <row r="93" spans="1:7" x14ac:dyDescent="0.25">
      <c r="A93" t="s">
        <v>62</v>
      </c>
      <c r="B93" s="2">
        <v>84.900999999999996</v>
      </c>
    </row>
    <row r="95" spans="1:7" x14ac:dyDescent="0.25">
      <c r="A95" t="s">
        <v>65</v>
      </c>
      <c r="C95" t="b">
        <f>B92&lt;B93</f>
        <v>1</v>
      </c>
      <c r="D95" s="10" t="str">
        <f>IF(B92&lt;B93,"Les aciers transversaux sont nécessaires.","")</f>
        <v>Les aciers transversaux sont nécessaires.</v>
      </c>
      <c r="E95" s="10"/>
      <c r="F95" s="10"/>
      <c r="G95" s="10"/>
    </row>
    <row r="100" spans="1:6" x14ac:dyDescent="0.25">
      <c r="A100" t="s">
        <v>58</v>
      </c>
      <c r="B100">
        <f>B9</f>
        <v>0.40500000000000003</v>
      </c>
    </row>
    <row r="101" spans="1:6" x14ac:dyDescent="0.25">
      <c r="A101" t="s">
        <v>59</v>
      </c>
      <c r="B101">
        <f>0.9*B9</f>
        <v>0.36450000000000005</v>
      </c>
    </row>
    <row r="103" spans="1:6" x14ac:dyDescent="0.25">
      <c r="A103" t="s">
        <v>66</v>
      </c>
      <c r="C103" s="2">
        <v>4</v>
      </c>
    </row>
    <row r="105" spans="1:6" x14ac:dyDescent="0.25">
      <c r="A105" t="s">
        <v>67</v>
      </c>
      <c r="C105">
        <f>(C103/2-B100)/B101</f>
        <v>4.3758573388203015</v>
      </c>
    </row>
    <row r="107" spans="1:6" x14ac:dyDescent="0.25">
      <c r="A107" t="s">
        <v>68</v>
      </c>
    </row>
    <row r="108" spans="1:6" x14ac:dyDescent="0.25">
      <c r="A108" t="s">
        <v>69</v>
      </c>
    </row>
    <row r="110" spans="1:6" x14ac:dyDescent="0.25">
      <c r="A110" t="s">
        <v>78</v>
      </c>
      <c r="B110" s="2">
        <v>28.26</v>
      </c>
    </row>
    <row r="112" spans="1:6" x14ac:dyDescent="0.25">
      <c r="A112" t="s">
        <v>77</v>
      </c>
      <c r="B112" t="s">
        <v>75</v>
      </c>
      <c r="C112" t="s">
        <v>76</v>
      </c>
      <c r="D112" t="s">
        <v>89</v>
      </c>
      <c r="E112" s="15" t="s">
        <v>80</v>
      </c>
      <c r="F112" t="s">
        <v>88</v>
      </c>
    </row>
    <row r="113" spans="1:8" x14ac:dyDescent="0.25">
      <c r="A113" t="s">
        <v>58</v>
      </c>
      <c r="B113">
        <f>B9</f>
        <v>0.40500000000000003</v>
      </c>
      <c r="C113">
        <f>-B$110*(B113-C$103/2)</f>
        <v>45.0747</v>
      </c>
      <c r="D113" t="b">
        <f t="shared" ref="D113:D118" si="0">C113&gt;B$92</f>
        <v>1</v>
      </c>
      <c r="E113">
        <f t="shared" ref="E113:E118" si="1">C113*10^(-3)/(0.9*B$9*B$121)</f>
        <v>2.8442197530864193E-4</v>
      </c>
      <c r="F113" t="b">
        <f t="shared" ref="F113:F118" si="2">E113&gt;=B$130</f>
        <v>1</v>
      </c>
      <c r="H113" s="14">
        <f>IF((B$81*10^-4/E113)&gt;0,B$81*10^-4/E113,"Pas besoins d'acier transversaux dans cette section")</f>
        <v>0.19864850435234035</v>
      </c>
    </row>
    <row r="114" spans="1:8" x14ac:dyDescent="0.25">
      <c r="A114" t="s">
        <v>70</v>
      </c>
      <c r="B114">
        <f>B113+B101</f>
        <v>0.76950000000000007</v>
      </c>
      <c r="C114">
        <f t="shared" ref="C114:C118" si="3">-B$110*(B114-C$103/2)</f>
        <v>34.77393</v>
      </c>
      <c r="D114" t="b">
        <f t="shared" si="0"/>
        <v>1</v>
      </c>
      <c r="E114">
        <f t="shared" si="1"/>
        <v>2.1942397530864196E-4</v>
      </c>
      <c r="F114" t="b">
        <f t="shared" si="2"/>
        <v>1</v>
      </c>
      <c r="H114" s="14">
        <f t="shared" ref="H114:H118" si="4">IF((B$81*10^-4/E114)&gt;0,B$81*10^-4/E114,"Pas besoins d'acier transversaux dans cette section")</f>
        <v>0.25749237256560981</v>
      </c>
    </row>
    <row r="115" spans="1:8" x14ac:dyDescent="0.25">
      <c r="A115" t="s">
        <v>71</v>
      </c>
      <c r="B115">
        <f>B114+B$101</f>
        <v>1.1340000000000001</v>
      </c>
      <c r="C115">
        <f t="shared" si="3"/>
        <v>24.473159999999996</v>
      </c>
      <c r="D115" t="b">
        <f t="shared" si="0"/>
        <v>0</v>
      </c>
      <c r="E115">
        <f t="shared" si="1"/>
        <v>1.5442597530864193E-4</v>
      </c>
      <c r="F115" t="b">
        <f t="shared" si="2"/>
        <v>1</v>
      </c>
      <c r="H115" s="14">
        <f t="shared" si="4"/>
        <v>0.36587109057965694</v>
      </c>
    </row>
    <row r="116" spans="1:8" x14ac:dyDescent="0.25">
      <c r="A116" t="s">
        <v>72</v>
      </c>
      <c r="B116">
        <f t="shared" ref="B116:B118" si="5">B115+B$101</f>
        <v>1.4985000000000002</v>
      </c>
      <c r="C116">
        <f t="shared" si="3"/>
        <v>14.172389999999996</v>
      </c>
      <c r="D116" t="b">
        <f t="shared" si="0"/>
        <v>0</v>
      </c>
      <c r="E116">
        <f t="shared" si="1"/>
        <v>8.9427975308641936E-5</v>
      </c>
      <c r="F116" t="b">
        <f t="shared" si="2"/>
        <v>0</v>
      </c>
      <c r="H116" s="14">
        <f t="shared" si="4"/>
        <v>0.63179334883745353</v>
      </c>
    </row>
    <row r="117" spans="1:8" x14ac:dyDescent="0.25">
      <c r="A117" t="s">
        <v>73</v>
      </c>
      <c r="B117">
        <f t="shared" si="5"/>
        <v>1.8630000000000002</v>
      </c>
      <c r="C117">
        <f t="shared" si="3"/>
        <v>3.8716199999999943</v>
      </c>
      <c r="D117" t="b">
        <f t="shared" si="0"/>
        <v>0</v>
      </c>
      <c r="E117">
        <f t="shared" si="1"/>
        <v>2.4429975308641936E-5</v>
      </c>
      <c r="F117" t="b">
        <f t="shared" si="2"/>
        <v>0</v>
      </c>
      <c r="H117" s="14">
        <f t="shared" si="4"/>
        <v>2.3127325871677615</v>
      </c>
    </row>
    <row r="118" spans="1:8" x14ac:dyDescent="0.25">
      <c r="A118" t="s">
        <v>74</v>
      </c>
      <c r="B118">
        <f t="shared" si="5"/>
        <v>2.2275</v>
      </c>
      <c r="C118">
        <f t="shared" si="3"/>
        <v>-6.4291500000000017</v>
      </c>
      <c r="D118" t="b">
        <f t="shared" si="0"/>
        <v>0</v>
      </c>
      <c r="E118">
        <f t="shared" si="1"/>
        <v>-4.056802469135803E-5</v>
      </c>
      <c r="F118" t="b">
        <f t="shared" si="2"/>
        <v>0</v>
      </c>
      <c r="H118" s="14" t="str">
        <f t="shared" si="4"/>
        <v>Pas besoins d'acier transversaux dans cette section</v>
      </c>
    </row>
    <row r="120" spans="1:8" x14ac:dyDescent="0.25">
      <c r="A120" t="s">
        <v>79</v>
      </c>
    </row>
    <row r="121" spans="1:8" x14ac:dyDescent="0.25">
      <c r="A121" t="s">
        <v>83</v>
      </c>
      <c r="B121">
        <f>500/1.15</f>
        <v>434.78260869565219</v>
      </c>
      <c r="C121" t="s">
        <v>84</v>
      </c>
    </row>
    <row r="123" spans="1:8" x14ac:dyDescent="0.25">
      <c r="A123" t="s">
        <v>80</v>
      </c>
      <c r="B123">
        <f>C113*10^(-3)/(0.9*B$9*B$121)</f>
        <v>2.8442197530864193E-4</v>
      </c>
      <c r="C123" t="s">
        <v>81</v>
      </c>
    </row>
    <row r="124" spans="1:8" x14ac:dyDescent="0.25">
      <c r="B124">
        <f>B123*10^4</f>
        <v>2.8442197530864193</v>
      </c>
      <c r="C124" t="s">
        <v>82</v>
      </c>
    </row>
    <row r="126" spans="1:8" x14ac:dyDescent="0.25">
      <c r="A126" t="s">
        <v>85</v>
      </c>
    </row>
    <row r="128" spans="1:8" x14ac:dyDescent="0.25">
      <c r="A128" t="s">
        <v>86</v>
      </c>
      <c r="B128">
        <v>90</v>
      </c>
    </row>
    <row r="129" spans="1:4" x14ac:dyDescent="0.25">
      <c r="A129" t="s">
        <v>31</v>
      </c>
      <c r="B129">
        <f>B52</f>
        <v>500</v>
      </c>
    </row>
    <row r="130" spans="1:4" x14ac:dyDescent="0.25">
      <c r="A130" t="s">
        <v>87</v>
      </c>
      <c r="B130">
        <f>0.08*SQRT(B29)/B129*C33</f>
        <v>1.3145341380123987E-4</v>
      </c>
    </row>
    <row r="132" spans="1:4" x14ac:dyDescent="0.25">
      <c r="A132" t="s">
        <v>88</v>
      </c>
      <c r="D132" t="str">
        <f>IF(B123&gt;=B130,"On conserve la valeur de AswSn","")</f>
        <v>On conserve la valeur de AswSn</v>
      </c>
    </row>
    <row r="134" spans="1:4" x14ac:dyDescent="0.25">
      <c r="A134" t="s">
        <v>90</v>
      </c>
    </row>
    <row r="135" spans="1:4" x14ac:dyDescent="0.25">
      <c r="A135" t="s">
        <v>91</v>
      </c>
      <c r="B135" s="14">
        <f>B$81*10^-4/B$123</f>
        <v>0.19864850435234035</v>
      </c>
      <c r="C135" t="s">
        <v>92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46F80-0D83-40B9-9FB0-40760CC96F76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8279B-D1BF-4625-BBC1-1F9E90087E47}">
  <sheetPr codeName="Feuil4"/>
  <dimension ref="A1:M20"/>
  <sheetViews>
    <sheetView tabSelected="1" workbookViewId="0">
      <selection activeCell="D20" sqref="D20"/>
    </sheetView>
  </sheetViews>
  <sheetFormatPr baseColWidth="10" defaultRowHeight="15" x14ac:dyDescent="0.25"/>
  <cols>
    <col min="1" max="1" width="16.42578125" customWidth="1"/>
    <col min="2" max="2" width="14.140625" customWidth="1"/>
    <col min="3" max="3" width="14.85546875" customWidth="1"/>
  </cols>
  <sheetData>
    <row r="1" spans="1:13" x14ac:dyDescent="0.25">
      <c r="A1" s="72" t="s">
        <v>146</v>
      </c>
      <c r="B1" s="72" t="s">
        <v>147</v>
      </c>
      <c r="C1" s="72" t="s">
        <v>148</v>
      </c>
      <c r="D1" s="40" t="s">
        <v>144</v>
      </c>
      <c r="E1" s="41"/>
      <c r="F1" s="41"/>
      <c r="G1" s="41"/>
      <c r="H1" s="41"/>
      <c r="I1" s="41"/>
      <c r="J1" s="41"/>
      <c r="K1" s="41"/>
      <c r="L1" s="40"/>
      <c r="M1" s="41"/>
    </row>
    <row r="2" spans="1:13" ht="15.75" thickBot="1" x14ac:dyDescent="0.3">
      <c r="A2" s="72"/>
      <c r="B2" s="72"/>
      <c r="C2" s="72"/>
      <c r="D2" s="71" t="s">
        <v>145</v>
      </c>
      <c r="E2" s="71"/>
      <c r="F2" s="71"/>
      <c r="G2" s="71"/>
      <c r="H2" s="71"/>
      <c r="I2" s="71"/>
      <c r="J2" s="71"/>
      <c r="K2" s="71"/>
      <c r="L2" s="71"/>
      <c r="M2" s="71"/>
    </row>
    <row r="3" spans="1:13" ht="15.75" thickBot="1" x14ac:dyDescent="0.3">
      <c r="A3" s="73"/>
      <c r="B3" s="72"/>
      <c r="C3" s="74"/>
      <c r="D3" s="63">
        <v>1</v>
      </c>
      <c r="E3" s="64">
        <v>2</v>
      </c>
      <c r="F3" s="64">
        <v>3</v>
      </c>
      <c r="G3" s="64">
        <v>4</v>
      </c>
      <c r="H3" s="64">
        <v>5</v>
      </c>
      <c r="I3" s="64">
        <v>6</v>
      </c>
      <c r="J3" s="64">
        <v>7</v>
      </c>
      <c r="K3" s="64">
        <v>8</v>
      </c>
      <c r="L3" s="65">
        <v>9</v>
      </c>
      <c r="M3" s="66">
        <v>10</v>
      </c>
    </row>
    <row r="4" spans="1:13" x14ac:dyDescent="0.25">
      <c r="A4" s="58">
        <v>5</v>
      </c>
      <c r="B4" s="57">
        <v>0.154</v>
      </c>
      <c r="C4" s="38">
        <v>1.57</v>
      </c>
      <c r="D4" s="61">
        <v>0.19600000000000001</v>
      </c>
      <c r="E4" s="62">
        <v>0.39300000000000002</v>
      </c>
      <c r="F4" s="62">
        <v>0.58899999999999997</v>
      </c>
      <c r="G4" s="62">
        <v>0.78500000000000003</v>
      </c>
      <c r="H4" s="62">
        <v>0.98199999999999998</v>
      </c>
      <c r="I4" s="62">
        <v>1.1779999999999999</v>
      </c>
      <c r="J4" s="62">
        <v>1.3740000000000001</v>
      </c>
      <c r="K4" s="62">
        <v>1.571</v>
      </c>
      <c r="L4" s="61">
        <v>1.7669999999999999</v>
      </c>
      <c r="M4" s="62">
        <v>1.9630000000000001</v>
      </c>
    </row>
    <row r="5" spans="1:13" x14ac:dyDescent="0.25">
      <c r="A5" s="59">
        <v>6</v>
      </c>
      <c r="B5" s="57">
        <v>0.222</v>
      </c>
      <c r="C5" s="38">
        <v>1.88</v>
      </c>
      <c r="D5" s="38">
        <v>0.28299999999999997</v>
      </c>
      <c r="E5" s="39">
        <v>0.56499999999999995</v>
      </c>
      <c r="F5" s="39">
        <v>0.84799999999999998</v>
      </c>
      <c r="G5" s="39">
        <v>1.131</v>
      </c>
      <c r="H5" s="39">
        <v>1.4139999999999999</v>
      </c>
      <c r="I5" s="39">
        <v>1.696</v>
      </c>
      <c r="J5" s="39">
        <v>1.9790000000000001</v>
      </c>
      <c r="K5" s="39">
        <v>2.262</v>
      </c>
      <c r="L5" s="38">
        <v>2.5449999999999999</v>
      </c>
      <c r="M5" s="39">
        <v>2.827</v>
      </c>
    </row>
    <row r="6" spans="1:13" x14ac:dyDescent="0.25">
      <c r="A6" s="59">
        <v>8</v>
      </c>
      <c r="B6" s="57">
        <v>0.39500000000000002</v>
      </c>
      <c r="C6" s="38">
        <v>2.5099999999999998</v>
      </c>
      <c r="D6" s="38">
        <v>0.503</v>
      </c>
      <c r="E6" s="39">
        <v>1.0049999999999999</v>
      </c>
      <c r="F6" s="39">
        <v>1.508</v>
      </c>
      <c r="G6" s="39">
        <v>2.0110000000000001</v>
      </c>
      <c r="H6" s="39">
        <v>2.5129999999999999</v>
      </c>
      <c r="I6" s="39">
        <v>3.016</v>
      </c>
      <c r="J6" s="39">
        <v>3.5190000000000001</v>
      </c>
      <c r="K6" s="39">
        <v>4.0209999999999999</v>
      </c>
      <c r="L6" s="38">
        <v>4.524</v>
      </c>
      <c r="M6" s="39">
        <v>5.0270000000000001</v>
      </c>
    </row>
    <row r="7" spans="1:13" x14ac:dyDescent="0.25">
      <c r="A7" s="59">
        <v>10</v>
      </c>
      <c r="B7" s="57">
        <v>0.61699999999999999</v>
      </c>
      <c r="C7" s="38">
        <v>3.14</v>
      </c>
      <c r="D7" s="39">
        <v>0.78500000000000003</v>
      </c>
      <c r="E7" s="39">
        <v>1.571</v>
      </c>
      <c r="F7" s="39">
        <v>2.3559999999999999</v>
      </c>
      <c r="G7" s="39">
        <v>3.1419999999999999</v>
      </c>
      <c r="H7" s="39">
        <v>3.927</v>
      </c>
      <c r="I7" s="39">
        <v>4.7119999999999997</v>
      </c>
      <c r="J7" s="39">
        <v>5.4980000000000002</v>
      </c>
      <c r="K7" s="39">
        <v>6.2830000000000004</v>
      </c>
      <c r="L7" s="38">
        <v>7.069</v>
      </c>
      <c r="M7" s="39">
        <v>7.8540000000000001</v>
      </c>
    </row>
    <row r="8" spans="1:13" x14ac:dyDescent="0.25">
      <c r="A8" s="59">
        <v>12</v>
      </c>
      <c r="B8" s="57">
        <v>0.88800000000000001</v>
      </c>
      <c r="C8" s="38">
        <v>3.77</v>
      </c>
      <c r="D8" s="38">
        <v>1.131</v>
      </c>
      <c r="E8" s="39">
        <v>2.262</v>
      </c>
      <c r="F8" s="39">
        <v>3.3929999999999998</v>
      </c>
      <c r="G8" s="39">
        <v>4.524</v>
      </c>
      <c r="H8" s="39">
        <v>5.6550000000000002</v>
      </c>
      <c r="I8" s="39">
        <v>6.7859999999999996</v>
      </c>
      <c r="J8" s="39">
        <v>7.9169999999999998</v>
      </c>
      <c r="K8" s="39">
        <v>9.048</v>
      </c>
      <c r="L8" s="38">
        <v>10.18</v>
      </c>
      <c r="M8" s="39">
        <v>11.31</v>
      </c>
    </row>
    <row r="9" spans="1:13" x14ac:dyDescent="0.25">
      <c r="A9" s="59">
        <v>14</v>
      </c>
      <c r="B9" s="57">
        <v>1.208</v>
      </c>
      <c r="C9" s="38">
        <v>4.4000000000000004</v>
      </c>
      <c r="D9" s="38">
        <v>1.5389999999999999</v>
      </c>
      <c r="E9" s="39">
        <v>3.0790000000000002</v>
      </c>
      <c r="F9" s="39">
        <v>4.6180000000000003</v>
      </c>
      <c r="G9" s="39">
        <v>6.1580000000000004</v>
      </c>
      <c r="H9" s="39">
        <v>7.6970000000000001</v>
      </c>
      <c r="I9" s="39">
        <v>9.2360000000000007</v>
      </c>
      <c r="J9" s="39">
        <v>10.78</v>
      </c>
      <c r="K9" s="39">
        <v>12.32</v>
      </c>
      <c r="L9" s="38">
        <v>13.85</v>
      </c>
      <c r="M9" s="39">
        <v>15.39</v>
      </c>
    </row>
    <row r="10" spans="1:13" x14ac:dyDescent="0.25">
      <c r="A10" s="59">
        <v>16</v>
      </c>
      <c r="B10" s="57">
        <v>1.5780000000000001</v>
      </c>
      <c r="C10" s="38">
        <v>5.03</v>
      </c>
      <c r="D10" s="38">
        <v>2.0110000000000001</v>
      </c>
      <c r="E10" s="39">
        <v>4.0209999999999999</v>
      </c>
      <c r="F10" s="39">
        <v>6.032</v>
      </c>
      <c r="G10" s="39">
        <v>8.0419999999999998</v>
      </c>
      <c r="H10" s="39">
        <v>10.050000000000001</v>
      </c>
      <c r="I10" s="39">
        <v>12.06</v>
      </c>
      <c r="J10" s="39">
        <v>14.07</v>
      </c>
      <c r="K10" s="39">
        <v>16.079999999999998</v>
      </c>
      <c r="L10" s="38">
        <v>18.100000000000001</v>
      </c>
      <c r="M10" s="39">
        <v>20.11</v>
      </c>
    </row>
    <row r="11" spans="1:13" x14ac:dyDescent="0.25">
      <c r="A11" s="59">
        <v>20</v>
      </c>
      <c r="B11" s="57">
        <v>2.4660000000000002</v>
      </c>
      <c r="C11" s="38">
        <v>6.28</v>
      </c>
      <c r="D11" s="39">
        <v>3.1419999999999999</v>
      </c>
      <c r="E11" s="39">
        <v>6.2830000000000004</v>
      </c>
      <c r="F11" s="39">
        <v>9.4250000000000007</v>
      </c>
      <c r="G11" s="39">
        <v>12.57</v>
      </c>
      <c r="H11" s="39">
        <v>15.71</v>
      </c>
      <c r="I11" s="39">
        <v>18.850000000000001</v>
      </c>
      <c r="J11" s="39">
        <v>21.99</v>
      </c>
      <c r="K11" s="39">
        <v>25.13</v>
      </c>
      <c r="L11" s="38">
        <v>28.27</v>
      </c>
      <c r="M11" s="39">
        <v>31.42</v>
      </c>
    </row>
    <row r="12" spans="1:13" x14ac:dyDescent="0.25">
      <c r="A12" s="59">
        <v>25</v>
      </c>
      <c r="B12" s="57">
        <v>3.8530000000000002</v>
      </c>
      <c r="C12" s="38">
        <v>7.85</v>
      </c>
      <c r="D12" s="38">
        <v>4.9089999999999998</v>
      </c>
      <c r="E12" s="39">
        <v>9.8170000000000002</v>
      </c>
      <c r="F12" s="39">
        <v>14.73</v>
      </c>
      <c r="G12" s="39">
        <v>19.63</v>
      </c>
      <c r="H12" s="39">
        <v>24.54</v>
      </c>
      <c r="I12" s="39">
        <v>29.45</v>
      </c>
      <c r="J12" s="39">
        <v>34.36</v>
      </c>
      <c r="K12" s="39">
        <v>39.270000000000003</v>
      </c>
      <c r="L12" s="38">
        <v>44.18</v>
      </c>
      <c r="M12" s="39">
        <v>49.09</v>
      </c>
    </row>
    <row r="13" spans="1:13" x14ac:dyDescent="0.25">
      <c r="A13" s="59">
        <v>32</v>
      </c>
      <c r="B13" s="57">
        <v>6.3129999999999997</v>
      </c>
      <c r="C13" s="38">
        <v>10.050000000000001</v>
      </c>
      <c r="D13" s="38">
        <v>8.0419999999999998</v>
      </c>
      <c r="E13" s="39">
        <v>16.079999999999998</v>
      </c>
      <c r="F13" s="39">
        <v>24.13</v>
      </c>
      <c r="G13" s="39">
        <v>32.17</v>
      </c>
      <c r="H13" s="39">
        <v>40.21</v>
      </c>
      <c r="I13" s="39">
        <v>48.25</v>
      </c>
      <c r="J13" s="39">
        <v>56.3</v>
      </c>
      <c r="K13" s="39">
        <v>64.34</v>
      </c>
      <c r="L13" s="38">
        <v>72.38</v>
      </c>
      <c r="M13" s="39">
        <v>80.42</v>
      </c>
    </row>
    <row r="14" spans="1:13" ht="15.75" thickBot="1" x14ac:dyDescent="0.3">
      <c r="A14" s="60">
        <v>40</v>
      </c>
      <c r="B14" s="57">
        <v>9.8650000000000002</v>
      </c>
      <c r="C14" s="38">
        <v>12.57</v>
      </c>
      <c r="D14" s="38">
        <v>12.57</v>
      </c>
      <c r="E14" s="39">
        <v>25.13</v>
      </c>
      <c r="F14" s="39">
        <v>37.700000000000003</v>
      </c>
      <c r="G14" s="39">
        <v>50.27</v>
      </c>
      <c r="H14" s="39">
        <v>62.83</v>
      </c>
      <c r="I14" s="39">
        <v>75.400000000000006</v>
      </c>
      <c r="J14" s="39">
        <v>87.96</v>
      </c>
      <c r="K14" s="39">
        <v>100.53</v>
      </c>
      <c r="L14" s="38">
        <v>113.1</v>
      </c>
      <c r="M14" s="39">
        <v>125.66</v>
      </c>
    </row>
    <row r="18" spans="3:5" ht="15.75" thickBot="1" x14ac:dyDescent="0.3"/>
    <row r="19" spans="3:5" ht="33" customHeight="1" x14ac:dyDescent="0.25">
      <c r="C19" s="51" t="s">
        <v>157</v>
      </c>
      <c r="D19" s="52" t="s">
        <v>158</v>
      </c>
      <c r="E19" s="53" t="s">
        <v>159</v>
      </c>
    </row>
    <row r="20" spans="3:5" ht="15.75" thickBot="1" x14ac:dyDescent="0.3">
      <c r="C20" s="54">
        <v>3.0790000000000002</v>
      </c>
      <c r="D20" s="55">
        <f ca="1">INDEX($A$4:$A$14,MATCH(C20,OFFSET($C$4:$C$14,,E20)))</f>
        <v>14</v>
      </c>
      <c r="E20" s="56">
        <f>INDEX($A$3:$M$3,SUMPRODUCT(COUNTIF($C20,$D$4:$M$14)*COLUMN($D$4:$M$14)))</f>
        <v>2</v>
      </c>
    </row>
  </sheetData>
  <mergeCells count="4">
    <mergeCell ref="D2:M2"/>
    <mergeCell ref="A1:A3"/>
    <mergeCell ref="B1:B3"/>
    <mergeCell ref="C1:C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6149AD-2B9D-456C-B9BA-57AC3B9F75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 à 4</vt:lpstr>
      <vt:lpstr>5 à 8</vt:lpstr>
      <vt:lpstr>Feuil1</vt:lpstr>
      <vt:lpstr>Section aciers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Eric</cp:lastModifiedBy>
  <dcterms:created xsi:type="dcterms:W3CDTF">2022-03-10T22:35:17Z</dcterms:created>
  <dcterms:modified xsi:type="dcterms:W3CDTF">2022-03-13T18:50:52Z</dcterms:modified>
</cp:coreProperties>
</file>