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3945" windowWidth="17250" windowHeight="3990"/>
  </bookViews>
  <sheets>
    <sheet name="Client" sheetId="1" r:id="rId1"/>
    <sheet name="Satisfaction" sheetId="2" r:id="rId2"/>
    <sheet name="Stats" sheetId="3" r:id="rId3"/>
  </sheets>
  <definedNames>
    <definedName name="_xlnm._FilterDatabase" localSheetId="0" hidden="1">Client!$B$3:$H$10</definedName>
    <definedName name="_xlnm._FilterDatabase" localSheetId="2" hidden="1">Stats!$B$3:$G$8</definedName>
    <definedName name="Dates">OFFSET(Client!$B$4,,,COUNTA(Client!$B:$B)-1)</definedName>
    <definedName name="Formation">OFFSET(Client!$C$4,,,COUNTA(Dates))</definedName>
  </definedNames>
  <calcPr calcId="145621"/>
  <pivotCaches>
    <pivotCache cacheId="2" r:id="rId4"/>
    <pivotCache cacheId="6" r:id="rId5"/>
  </pivotCaches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J4" i="1"/>
  <c r="J10" i="1" l="1"/>
  <c r="I10" i="1"/>
  <c r="I4" i="3"/>
  <c r="C13" i="2"/>
  <c r="O20" i="2"/>
  <c r="O19" i="2"/>
  <c r="O18" i="2"/>
  <c r="O13" i="2"/>
  <c r="O12" i="2"/>
  <c r="O11" i="2"/>
  <c r="O6" i="2"/>
  <c r="O5" i="2"/>
  <c r="O4" i="2"/>
  <c r="K20" i="2"/>
  <c r="K19" i="2"/>
  <c r="K18" i="2"/>
  <c r="K11" i="2"/>
  <c r="K13" i="2"/>
  <c r="K12" i="2"/>
  <c r="K6" i="2"/>
  <c r="K5" i="2"/>
  <c r="K4" i="2"/>
  <c r="G20" i="2"/>
  <c r="G19" i="2"/>
  <c r="G18" i="2"/>
  <c r="G13" i="2"/>
  <c r="G12" i="2"/>
  <c r="G11" i="2"/>
  <c r="G4" i="2"/>
  <c r="C12" i="2"/>
  <c r="C11" i="2"/>
  <c r="C5" i="2"/>
  <c r="C4" i="2"/>
  <c r="C6" i="2"/>
  <c r="G6" i="2"/>
  <c r="G5" i="2"/>
  <c r="C20" i="2"/>
  <c r="C19" i="2"/>
  <c r="C18" i="2"/>
  <c r="J5" i="1"/>
  <c r="J6" i="1"/>
  <c r="J7" i="1"/>
  <c r="J8" i="1"/>
  <c r="J9" i="1"/>
  <c r="I4" i="1"/>
  <c r="I5" i="1"/>
  <c r="I6" i="1"/>
  <c r="I7" i="1"/>
  <c r="I8" i="1"/>
  <c r="I9" i="1"/>
  <c r="D4" i="3"/>
  <c r="D7" i="3"/>
  <c r="D8" i="3"/>
  <c r="D6" i="3"/>
  <c r="D5" i="3"/>
  <c r="C5" i="3" l="1"/>
  <c r="C6" i="3"/>
  <c r="C7" i="3"/>
  <c r="C8" i="3"/>
  <c r="C4" i="3"/>
  <c r="I7" i="3"/>
  <c r="J7" i="3" s="1"/>
  <c r="I5" i="3"/>
  <c r="J5" i="3" s="1"/>
  <c r="I6" i="3"/>
  <c r="J6" i="3" s="1"/>
  <c r="I8" i="3"/>
  <c r="J8" i="3" s="1"/>
  <c r="N4" i="3"/>
  <c r="G8" i="3" s="1"/>
  <c r="O14" i="2"/>
  <c r="P11" i="2" s="1"/>
  <c r="O21" i="2"/>
  <c r="P19" i="2" s="1"/>
  <c r="K21" i="2"/>
  <c r="L18" i="2" s="1"/>
  <c r="G4" i="3"/>
  <c r="I10" i="3" l="1"/>
  <c r="J4" i="3" s="1"/>
  <c r="G14" i="2"/>
  <c r="H12" i="2" s="1"/>
  <c r="K7" i="2"/>
  <c r="L4" i="2" s="1"/>
  <c r="C14" i="2"/>
  <c r="D13" i="2" s="1"/>
  <c r="G7" i="3"/>
  <c r="C21" i="2"/>
  <c r="D20" i="2" s="1"/>
  <c r="P12" i="2"/>
  <c r="G21" i="2"/>
  <c r="H19" i="2" s="1"/>
  <c r="K14" i="2"/>
  <c r="L12" i="2" s="1"/>
  <c r="O7" i="2"/>
  <c r="P5" i="2" s="1"/>
  <c r="P20" i="2"/>
  <c r="L5" i="2"/>
  <c r="G7" i="2"/>
  <c r="H4" i="2" s="1"/>
  <c r="C7" i="2"/>
  <c r="D6" i="2" s="1"/>
  <c r="H11" i="2"/>
  <c r="L6" i="2"/>
  <c r="K8" i="2" s="1"/>
  <c r="P13" i="2"/>
  <c r="O15" i="2" s="1"/>
  <c r="L19" i="2"/>
  <c r="N3" i="3"/>
  <c r="G6" i="3" s="1"/>
  <c r="D12" i="2"/>
  <c r="D11" i="2"/>
  <c r="L20" i="2"/>
  <c r="K22" i="2" s="1"/>
  <c r="G5" i="3"/>
  <c r="P18" i="2"/>
  <c r="L13" i="2" l="1"/>
  <c r="L11" i="2"/>
  <c r="D19" i="2"/>
  <c r="P6" i="2"/>
  <c r="H13" i="2"/>
  <c r="G15" i="2" s="1"/>
  <c r="P4" i="2"/>
  <c r="H18" i="2"/>
  <c r="H20" i="2"/>
  <c r="G22" i="2" s="1"/>
  <c r="O22" i="2"/>
  <c r="D18" i="2"/>
  <c r="C22" i="2" s="1"/>
  <c r="H5" i="2"/>
  <c r="H6" i="2"/>
  <c r="G8" i="2" s="1"/>
  <c r="D5" i="2"/>
  <c r="D4" i="2"/>
  <c r="C8" i="2" s="1"/>
  <c r="F7" i="3"/>
  <c r="F8" i="3"/>
  <c r="F5" i="3"/>
  <c r="F4" i="3"/>
  <c r="F6" i="3"/>
  <c r="C15" i="2"/>
  <c r="O8" i="2" l="1"/>
  <c r="K15" i="2"/>
  <c r="K24" i="2" s="1"/>
  <c r="O24" i="2"/>
  <c r="G24" i="2"/>
  <c r="C24" i="2"/>
</calcChain>
</file>

<file path=xl/sharedStrings.xml><?xml version="1.0" encoding="utf-8"?>
<sst xmlns="http://schemas.openxmlformats.org/spreadsheetml/2006/main" count="157" uniqueCount="67">
  <si>
    <t>Date</t>
  </si>
  <si>
    <t>Formation</t>
  </si>
  <si>
    <t>Entreprise</t>
  </si>
  <si>
    <t>Stagiaire</t>
  </si>
  <si>
    <t>Note</t>
  </si>
  <si>
    <t>Base</t>
  </si>
  <si>
    <t>Passif</t>
  </si>
  <si>
    <t>Promoteur</t>
  </si>
  <si>
    <t>Détracteur</t>
  </si>
  <si>
    <t>Total</t>
  </si>
  <si>
    <t>SATISFACTION CLIENT 2015</t>
  </si>
  <si>
    <t>Personnalisé</t>
  </si>
  <si>
    <t>Satisfaction</t>
  </si>
  <si>
    <t>Lieu</t>
  </si>
  <si>
    <t>Agence</t>
  </si>
  <si>
    <t>Extérieur</t>
  </si>
  <si>
    <t>Initié</t>
  </si>
  <si>
    <t>Janvier</t>
  </si>
  <si>
    <t>Juillet</t>
  </si>
  <si>
    <t>Avril</t>
  </si>
  <si>
    <t>Octobre</t>
  </si>
  <si>
    <t>Novembre</t>
  </si>
  <si>
    <t>Août</t>
  </si>
  <si>
    <t>Mai</t>
  </si>
  <si>
    <t>Février</t>
  </si>
  <si>
    <t>Mars</t>
  </si>
  <si>
    <t>Juin</t>
  </si>
  <si>
    <t>Septembre</t>
  </si>
  <si>
    <t>Décembre</t>
  </si>
  <si>
    <t>Type</t>
  </si>
  <si>
    <t>Clients</t>
  </si>
  <si>
    <t>Perfectionnement</t>
  </si>
  <si>
    <t>Trimestre 1</t>
  </si>
  <si>
    <t>Trimestre 2</t>
  </si>
  <si>
    <t>Trimestre 3</t>
  </si>
  <si>
    <t>Trimest 4</t>
  </si>
  <si>
    <t>Nouveauté</t>
  </si>
  <si>
    <t>Taux</t>
  </si>
  <si>
    <t>Nbr Formation</t>
  </si>
  <si>
    <t>Nbr Jours</t>
  </si>
  <si>
    <t>Nbr Passifs</t>
  </si>
  <si>
    <t>Taux Total</t>
  </si>
  <si>
    <t>Total Jours</t>
  </si>
  <si>
    <t>Taux (formation)</t>
  </si>
  <si>
    <t>Taux (Jour)</t>
  </si>
  <si>
    <t>A</t>
  </si>
  <si>
    <t>Total Passifs</t>
  </si>
  <si>
    <t>G</t>
  </si>
  <si>
    <t>H</t>
  </si>
  <si>
    <t>Z</t>
  </si>
  <si>
    <t>V</t>
  </si>
  <si>
    <t xml:space="preserve"> Elise</t>
  </si>
  <si>
    <t xml:space="preserve">Chen </t>
  </si>
  <si>
    <t>Alain</t>
  </si>
  <si>
    <t xml:space="preserve"> Matthieu</t>
  </si>
  <si>
    <t>Simon</t>
  </si>
  <si>
    <t xml:space="preserve"> Sébastien</t>
  </si>
  <si>
    <t xml:space="preserve">Guillaume </t>
  </si>
  <si>
    <t>Jours</t>
  </si>
  <si>
    <t>critère</t>
  </si>
  <si>
    <t>Étiquettes de lignes</t>
  </si>
  <si>
    <t>Total général</t>
  </si>
  <si>
    <t>nb Formations</t>
  </si>
  <si>
    <t>critère1</t>
  </si>
  <si>
    <t>Durée</t>
  </si>
  <si>
    <t>Étiquettes de colonnes</t>
  </si>
  <si>
    <t>Durée annuelle (j)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</si>
</sst>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0"/>
      <color indexed="8"/>
      <name val="Aharoni"/>
      <charset val="177"/>
    </font>
    <font>
      <sz val="14"/>
      <color indexed="55"/>
      <name val="Bauhaus 93"/>
      <family val="5"/>
    </font>
    <font>
      <sz val="11"/>
      <color indexed="55"/>
      <name val="Calibri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indexed="8"/>
      <name val="Bauhaus 93"/>
      <family val="5"/>
    </font>
    <font>
      <b/>
      <sz val="11"/>
      <color indexed="8"/>
      <name val="Calibri"/>
      <family val="2"/>
    </font>
    <font>
      <b/>
      <sz val="10"/>
      <color indexed="8"/>
      <name val="Aharoni"/>
      <charset val="177"/>
    </font>
    <font>
      <b/>
      <sz val="10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name val="Berlin Sans FB Demi"/>
      <family val="2"/>
    </font>
  </fonts>
  <fills count="1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57"/>
      </patternFill>
    </fill>
    <fill>
      <patternFill patternType="solid">
        <fgColor indexed="51"/>
        <bgColor indexed="57"/>
      </patternFill>
    </fill>
    <fill>
      <patternFill patternType="solid">
        <fgColor indexed="29"/>
        <bgColor indexed="57"/>
      </patternFill>
    </fill>
    <fill>
      <patternFill patternType="solid">
        <fgColor indexed="22"/>
        <bgColor indexed="57"/>
      </patternFill>
    </fill>
    <fill>
      <patternFill patternType="solid">
        <fgColor indexed="46"/>
        <bgColor indexed="57"/>
      </patternFill>
    </fill>
    <fill>
      <patternFill patternType="solid">
        <fgColor indexed="4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9" fontId="7" fillId="0" borderId="4" xfId="1" applyFont="1" applyBorder="1" applyAlignment="1">
      <alignment horizontal="center"/>
    </xf>
    <xf numFmtId="9" fontId="7" fillId="0" borderId="5" xfId="1" applyFont="1" applyBorder="1" applyAlignment="1">
      <alignment horizontal="center"/>
    </xf>
    <xf numFmtId="9" fontId="7" fillId="0" borderId="0" xfId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9" fillId="0" borderId="0" xfId="0" applyFont="1" applyBorder="1" applyAlignment="1">
      <alignment horizontal="center"/>
    </xf>
    <xf numFmtId="9" fontId="7" fillId="0" borderId="3" xfId="1" applyFont="1" applyBorder="1" applyAlignment="1">
      <alignment horizontal="center"/>
    </xf>
    <xf numFmtId="9" fontId="7" fillId="0" borderId="3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4" fillId="0" borderId="6" xfId="0" applyFont="1" applyFill="1" applyBorder="1" applyAlignment="1"/>
    <xf numFmtId="0" fontId="4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7" xfId="0" applyFill="1" applyBorder="1" applyAlignment="1">
      <alignment horizontal="center"/>
    </xf>
    <xf numFmtId="0" fontId="0" fillId="0" borderId="8" xfId="0" applyFill="1" applyBorder="1"/>
    <xf numFmtId="0" fontId="0" fillId="0" borderId="1" xfId="0" applyFill="1" applyBorder="1"/>
    <xf numFmtId="0" fontId="0" fillId="2" borderId="3" xfId="0" applyFill="1" applyBorder="1" applyAlignment="1">
      <alignment horizontal="center"/>
    </xf>
    <xf numFmtId="9" fontId="2" fillId="2" borderId="3" xfId="1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9" fontId="2" fillId="3" borderId="3" xfId="1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9" fontId="2" fillId="4" borderId="3" xfId="1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12" fillId="10" borderId="3" xfId="0" applyFont="1" applyFill="1" applyBorder="1" applyAlignment="1">
      <alignment horizontal="center"/>
    </xf>
    <xf numFmtId="9" fontId="11" fillId="11" borderId="3" xfId="1" applyFont="1" applyFill="1" applyBorder="1" applyAlignment="1">
      <alignment horizontal="center"/>
    </xf>
    <xf numFmtId="9" fontId="13" fillId="11" borderId="3" xfId="1" applyFont="1" applyFill="1" applyBorder="1" applyAlignment="1">
      <alignment horizontal="center"/>
    </xf>
    <xf numFmtId="0" fontId="12" fillId="8" borderId="3" xfId="0" applyFont="1" applyFill="1" applyBorder="1" applyAlignment="1">
      <alignment horizontal="center"/>
    </xf>
    <xf numFmtId="9" fontId="13" fillId="4" borderId="3" xfId="1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9" xfId="0" applyFill="1" applyBorder="1"/>
    <xf numFmtId="9" fontId="15" fillId="0" borderId="0" xfId="1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12" borderId="3" xfId="0" applyFont="1" applyFill="1" applyBorder="1" applyAlignment="1">
      <alignment horizontal="center"/>
    </xf>
    <xf numFmtId="0" fontId="4" fillId="13" borderId="0" xfId="0" applyFont="1" applyFill="1" applyAlignment="1">
      <alignment horizontal="center"/>
    </xf>
    <xf numFmtId="49" fontId="10" fillId="14" borderId="3" xfId="0" applyNumberFormat="1" applyFont="1" applyFill="1" applyBorder="1" applyAlignment="1">
      <alignment horizontal="center"/>
    </xf>
    <xf numFmtId="0" fontId="4" fillId="13" borderId="0" xfId="0" applyFont="1" applyFill="1" applyBorder="1" applyAlignment="1">
      <alignment horizontal="center"/>
    </xf>
    <xf numFmtId="0" fontId="0" fillId="16" borderId="10" xfId="0" applyFont="1" applyFill="1" applyBorder="1" applyAlignment="1">
      <alignment horizontal="center"/>
    </xf>
    <xf numFmtId="0" fontId="6" fillId="16" borderId="10" xfId="0" applyFont="1" applyFill="1" applyBorder="1" applyAlignment="1">
      <alignment horizontal="center"/>
    </xf>
    <xf numFmtId="0" fontId="16" fillId="15" borderId="0" xfId="0" applyFont="1" applyFill="1" applyBorder="1" applyAlignment="1">
      <alignment horizontal="center"/>
    </xf>
    <xf numFmtId="0" fontId="16" fillId="15" borderId="12" xfId="0" applyFont="1" applyFill="1" applyBorder="1" applyAlignment="1">
      <alignment horizontal="center"/>
    </xf>
    <xf numFmtId="0" fontId="16" fillId="15" borderId="11" xfId="0" applyFont="1" applyFill="1" applyBorder="1" applyAlignment="1">
      <alignment horizontal="center"/>
    </xf>
    <xf numFmtId="164" fontId="6" fillId="16" borderId="13" xfId="0" applyNumberFormat="1" applyFont="1" applyFill="1" applyBorder="1" applyAlignment="1">
      <alignment horizontal="center"/>
    </xf>
    <xf numFmtId="0" fontId="6" fillId="16" borderId="14" xfId="0" applyFont="1" applyFill="1" applyBorder="1" applyAlignment="1">
      <alignment horizontal="center"/>
    </xf>
    <xf numFmtId="164" fontId="6" fillId="17" borderId="15" xfId="0" applyNumberFormat="1" applyFont="1" applyFill="1" applyBorder="1" applyAlignment="1">
      <alignment horizontal="center"/>
    </xf>
    <xf numFmtId="0" fontId="6" fillId="17" borderId="10" xfId="0" applyFont="1" applyFill="1" applyBorder="1" applyAlignment="1">
      <alignment horizontal="center"/>
    </xf>
    <xf numFmtId="164" fontId="6" fillId="16" borderId="15" xfId="0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Berlin Sans FB Demi"/>
        <scheme val="none"/>
      </font>
      <fill>
        <patternFill patternType="solid">
          <fgColor theme="9"/>
          <bgColor theme="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d\-mmm;@"/>
      <fill>
        <patternFill patternType="solid">
          <fgColor theme="9" tint="0.59999389629810485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alignment horizontal="center" vertical="bottom" textRotation="0" wrapText="0" relativeIndent="0" justifyLastLine="0" shrinkToFit="0" readingOrder="0"/>
    </dxf>
    <dxf>
      <numFmt numFmtId="0" formatCode="General"/>
      <alignment horizontal="center" vertical="bottom" textRotation="0" wrapText="0" relativeIndent="0" justifyLastLine="0" shrinkToFit="0" readingOrder="0"/>
    </dxf>
    <dxf>
      <numFmt numFmtId="0" formatCode="General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3" formatCode="0%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indexed="1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Janvier</c:v>
          </c:tx>
          <c:invertIfNegative val="0"/>
          <c:dLbls>
            <c:dLbl>
              <c:idx val="0"/>
              <c:layout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"/>
              <c:pt idx="0">
                <c:v>Mois</c:v>
              </c:pt>
            </c:strLit>
          </c:cat>
          <c:val>
            <c:numRef>
              <c:f>Satisfaction!$C$8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v>Février</c:v>
          </c:tx>
          <c:invertIfNegative val="0"/>
          <c:dLbls>
            <c:spPr>
              <a:noFill/>
              <a:ln w="25400">
                <a:noFill/>
              </a:ln>
            </c:spPr>
            <c:dLblPos val="ctr"/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Lit>
              <c:ptCount val="1"/>
              <c:pt idx="0">
                <c:v>Mois</c:v>
              </c:pt>
            </c:strLit>
          </c:cat>
          <c:val>
            <c:numRef>
              <c:f>Satisfaction!$C$15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91269504"/>
        <c:axId val="221053312"/>
      </c:barChart>
      <c:catAx>
        <c:axId val="191269504"/>
        <c:scaling>
          <c:orientation val="minMax"/>
        </c:scaling>
        <c:delete val="1"/>
        <c:axPos val="b"/>
        <c:majorTickMark val="out"/>
        <c:minorTickMark val="none"/>
        <c:tickLblPos val="nextTo"/>
        <c:crossAx val="221053312"/>
        <c:crosses val="autoZero"/>
        <c:auto val="1"/>
        <c:lblAlgn val="ctr"/>
        <c:lblOffset val="100"/>
        <c:noMultiLvlLbl val="0"/>
      </c:catAx>
      <c:valAx>
        <c:axId val="221053312"/>
        <c:scaling>
          <c:orientation val="minMax"/>
          <c:max val="1"/>
        </c:scaling>
        <c:delete val="1"/>
        <c:axPos val="l"/>
        <c:numFmt formatCode="0%" sourceLinked="1"/>
        <c:majorTickMark val="out"/>
        <c:minorTickMark val="none"/>
        <c:tickLblPos val="nextTo"/>
        <c:crossAx val="19126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25</xdr:row>
      <xdr:rowOff>123825</xdr:rowOff>
    </xdr:from>
    <xdr:to>
      <xdr:col>16</xdr:col>
      <xdr:colOff>28575</xdr:colOff>
      <xdr:row>36</xdr:row>
      <xdr:rowOff>161925</xdr:rowOff>
    </xdr:to>
    <xdr:graphicFrame macro="">
      <xdr:nvGraphicFramePr>
        <xdr:cNvPr id="2050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12</xdr:row>
      <xdr:rowOff>57150</xdr:rowOff>
    </xdr:from>
    <xdr:to>
      <xdr:col>3</xdr:col>
      <xdr:colOff>19050</xdr:colOff>
      <xdr:row>12</xdr:row>
      <xdr:rowOff>276225</xdr:rowOff>
    </xdr:to>
    <xdr:sp macro="" textlink="">
      <xdr:nvSpPr>
        <xdr:cNvPr id="4108" name="Text Box 1"/>
        <xdr:cNvSpPr txBox="1">
          <a:spLocks noChangeArrowheads="1"/>
        </xdr:cNvSpPr>
      </xdr:nvSpPr>
      <xdr:spPr bwMode="auto">
        <a:xfrm>
          <a:off x="2000250" y="24193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523875</xdr:colOff>
      <xdr:row>8</xdr:row>
      <xdr:rowOff>95250</xdr:rowOff>
    </xdr:from>
    <xdr:to>
      <xdr:col>8</xdr:col>
      <xdr:colOff>0</xdr:colOff>
      <xdr:row>12</xdr:row>
      <xdr:rowOff>243417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841375" y="1693333"/>
          <a:ext cx="6006042" cy="91016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Feuille 1 : Saisie des clients (je travaille sur un Userform actuellement)$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Feuille 2 : Taux de satisfaction (beaucoup de formule... je sais pas si c'est judicieux, mais cela fonctionne comme je veux :) 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Feuille 3 : Les stats, c'est la où j'aimerais retrouver les infos du nombre de formation et jours (le nombre de jour n'est pas encore indiqué dans le tableau...)</a:t>
          </a:r>
        </a:p>
      </xdr:txBody>
    </xdr:sp>
    <xdr:clientData/>
  </xdr:twoCellAnchor>
  <xdr:twoCellAnchor editAs="oneCell">
    <xdr:from>
      <xdr:col>1</xdr:col>
      <xdr:colOff>571500</xdr:colOff>
      <xdr:row>13</xdr:row>
      <xdr:rowOff>152400</xdr:rowOff>
    </xdr:from>
    <xdr:to>
      <xdr:col>1</xdr:col>
      <xdr:colOff>657225</xdr:colOff>
      <xdr:row>14</xdr:row>
      <xdr:rowOff>180975</xdr:rowOff>
    </xdr:to>
    <xdr:sp macro="" textlink="">
      <xdr:nvSpPr>
        <xdr:cNvPr id="4110" name="Text Box 3"/>
        <xdr:cNvSpPr txBox="1">
          <a:spLocks noChangeArrowheads="1"/>
        </xdr:cNvSpPr>
      </xdr:nvSpPr>
      <xdr:spPr bwMode="auto">
        <a:xfrm>
          <a:off x="885825" y="270510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13</xdr:row>
      <xdr:rowOff>0</xdr:rowOff>
    </xdr:from>
    <xdr:to>
      <xdr:col>7</xdr:col>
      <xdr:colOff>1190625</xdr:colOff>
      <xdr:row>23</xdr:row>
      <xdr:rowOff>161925</xdr:rowOff>
    </xdr:to>
    <xdr:sp macro="" textlink="">
      <xdr:nvSpPr>
        <xdr:cNvPr id="4100" name="Text Box 4"/>
        <xdr:cNvSpPr txBox="1">
          <a:spLocks noChangeArrowheads="1"/>
        </xdr:cNvSpPr>
      </xdr:nvSpPr>
      <xdr:spPr bwMode="auto">
        <a:xfrm>
          <a:off x="314325" y="2552700"/>
          <a:ext cx="7743825" cy="2066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dans un premier temps compter le nombre de formation réalisées dans l'année (par exemple 6 bases, 7 initiés etc). Mais le problème est que j'aimerais regrouper les formations ayant lieu le même jour comme une seule formation.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6 janv, base avec Monsieur Paul société 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6 janv, base avec Madame Paule, société 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7 janv, base avec Monsieur Heni, société x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obtenir dans ce cas un total de 2 formations de base? Je n'arrive pas à trouver le moyen de faire le compte.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un second temps, j'aurais le même besoins, mais cette fois ci en comptant le nombre de jours par formation. </a:t>
          </a:r>
        </a:p>
      </xdr:txBody>
    </xdr:sp>
    <xdr:clientData/>
  </xdr:twoCellAnchor>
  <xdr:oneCellAnchor>
    <xdr:from>
      <xdr:col>8</xdr:col>
      <xdr:colOff>246590</xdr:colOff>
      <xdr:row>14</xdr:row>
      <xdr:rowOff>59266</xdr:rowOff>
    </xdr:from>
    <xdr:ext cx="9109802" cy="1400896"/>
    <xdr:sp macro="" textlink="">
      <xdr:nvSpPr>
        <xdr:cNvPr id="4107" name="Text Box 11"/>
        <xdr:cNvSpPr txBox="1">
          <a:spLocks noChangeArrowheads="1"/>
        </xdr:cNvSpPr>
      </xdr:nvSpPr>
      <xdr:spPr bwMode="auto">
        <a:xfrm>
          <a:off x="7094007" y="2980266"/>
          <a:ext cx="9109802" cy="1400896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nommée Dates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=DECALER(Client!$B$4;;;NBVAL(Client!$B:$B)-1)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puis, Formule nommée Formation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=DECALER(Client!$C$4;;;NBVAL(Dates))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Après quoi, formule en D4 incrémentée vers le bas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=SOMMEPROD((FREQUENCE(EQUIV(Dates;Client!$B$4:$B$10;0);LIGNE(INDIRECT("$1:$"&amp;NBVAL(Dates))))&gt;0)*(DECALER(Client!$C$4;;;NBVAL(Dates)+1)=$B4))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Satisfaction%20v1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76.605275925926" createdVersion="4" refreshedVersion="4" minRefreshableVersion="3" recordCount="7">
  <cacheSource type="worksheet">
    <worksheetSource ref="B3:K10" sheet="Client" r:id="rId2"/>
  </cacheSource>
  <cacheFields count="9">
    <cacheField name="Date" numFmtId="164">
      <sharedItems containsSemiMixedTypes="0" containsNonDate="0" containsDate="1" containsString="0" minDate="2015-01-09T00:00:00" maxDate="2015-02-12T00:00:00"/>
    </cacheField>
    <cacheField name="Formation" numFmtId="0">
      <sharedItems count="3">
        <s v="Base"/>
        <s v="Personnalisé"/>
        <s v="Initié"/>
      </sharedItems>
    </cacheField>
    <cacheField name="Lieu" numFmtId="0">
      <sharedItems count="2">
        <s v="Agence"/>
        <s v="Extérieur"/>
      </sharedItems>
    </cacheField>
    <cacheField name="Entreprise" numFmtId="0">
      <sharedItems/>
    </cacheField>
    <cacheField name="Stagiaire" numFmtId="0">
      <sharedItems/>
    </cacheField>
    <cacheField name="Jours" numFmtId="0">
      <sharedItems containsSemiMixedTypes="0" containsString="0" containsNumber="1" containsInteger="1" minValue="3" maxValue="5"/>
    </cacheField>
    <cacheField name="Note" numFmtId="0">
      <sharedItems containsSemiMixedTypes="0" containsString="0" containsNumber="1" minValue="3.4" maxValue="4"/>
    </cacheField>
    <cacheField name="critère" numFmtId="0">
      <sharedItems containsSemiMixedTypes="0" containsString="0" containsNumber="1" containsInteger="1" minValue="0" maxValue="1"/>
    </cacheField>
    <cacheField name="critère1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ric" refreshedDate="42079.452224768516" createdVersion="4" refreshedVersion="4" minRefreshableVersion="3" recordCount="7">
  <cacheSource type="worksheet">
    <worksheetSource name="Tableau2"/>
  </cacheSource>
  <cacheFields count="10">
    <cacheField name="Date" numFmtId="164">
      <sharedItems containsSemiMixedTypes="0" containsNonDate="0" containsDate="1" containsString="0" minDate="2015-01-09T00:00:00" maxDate="2015-02-12T00:00:00"/>
    </cacheField>
    <cacheField name="Formation" numFmtId="0">
      <sharedItems count="3">
        <s v="Base"/>
        <s v="Personnalisé"/>
        <s v="Initié"/>
      </sharedItems>
    </cacheField>
    <cacheField name="Lieu" numFmtId="0">
      <sharedItems count="2">
        <s v="Agence"/>
        <s v="Extérieur"/>
      </sharedItems>
    </cacheField>
    <cacheField name="Entreprise" numFmtId="0">
      <sharedItems/>
    </cacheField>
    <cacheField name="Stagiaire" numFmtId="0">
      <sharedItems/>
    </cacheField>
    <cacheField name="Jours" numFmtId="0">
      <sharedItems containsSemiMixedTypes="0" containsString="0" containsNumber="1" containsInteger="1" minValue="3" maxValue="5"/>
    </cacheField>
    <cacheField name="Note" numFmtId="0">
      <sharedItems containsSemiMixedTypes="0" containsString="0" containsNumber="1" minValue="3.4" maxValue="4"/>
    </cacheField>
    <cacheField name="critère" numFmtId="0">
      <sharedItems containsSemiMixedTypes="0" containsString="0" containsNumber="1" containsInteger="1" minValue="0" maxValue="1"/>
    </cacheField>
    <cacheField name="critère1" numFmtId="0">
      <sharedItems containsSemiMixedTypes="0" containsString="0" containsNumber="1" containsInteger="1" minValue="0" maxValue="1"/>
    </cacheField>
    <cacheField name="Durée" numFmtId="0">
      <sharedItems containsSemiMixedTypes="0" containsString="0" containsNumber="1" minValue="1.6666666666666665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d v="2015-01-09T00:00:00"/>
    <x v="0"/>
    <x v="0"/>
    <s v="A"/>
    <s v=" Elise"/>
    <n v="4"/>
    <n v="3.8"/>
    <n v="1"/>
    <n v="1"/>
  </r>
  <r>
    <d v="2015-01-16T00:00:00"/>
    <x v="0"/>
    <x v="1"/>
    <s v="G"/>
    <s v="Chen "/>
    <n v="4"/>
    <n v="3.9"/>
    <n v="1"/>
    <n v="1"/>
  </r>
  <r>
    <d v="2015-01-30T00:00:00"/>
    <x v="1"/>
    <x v="0"/>
    <s v="H"/>
    <s v="Alain"/>
    <n v="3"/>
    <n v="3.9"/>
    <n v="1"/>
    <n v="1"/>
  </r>
  <r>
    <d v="2015-02-06T00:00:00"/>
    <x v="2"/>
    <x v="0"/>
    <s v="Z"/>
    <s v=" Matthieu"/>
    <n v="5"/>
    <n v="4"/>
    <n v="1"/>
    <n v="1"/>
  </r>
  <r>
    <d v="2015-02-11T00:00:00"/>
    <x v="2"/>
    <x v="1"/>
    <s v="V"/>
    <s v="Simon"/>
    <n v="5"/>
    <n v="3.8"/>
    <n v="1"/>
    <n v="1"/>
  </r>
  <r>
    <d v="2015-02-11T00:00:00"/>
    <x v="2"/>
    <x v="1"/>
    <s v="V"/>
    <s v=" Sébastien"/>
    <n v="5"/>
    <n v="3.5"/>
    <n v="0"/>
    <n v="0"/>
  </r>
  <r>
    <d v="2015-02-11T00:00:00"/>
    <x v="2"/>
    <x v="1"/>
    <s v="V"/>
    <s v="Guillaume "/>
    <n v="5"/>
    <n v="3.4"/>
    <n v="0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">
  <r>
    <d v="2015-01-09T00:00:00"/>
    <x v="0"/>
    <x v="0"/>
    <s v="A"/>
    <s v=" Elise"/>
    <n v="4"/>
    <n v="3.8"/>
    <n v="1"/>
    <n v="1"/>
    <n v="4"/>
  </r>
  <r>
    <d v="2015-01-16T00:00:00"/>
    <x v="0"/>
    <x v="1"/>
    <s v="G"/>
    <s v="Chen "/>
    <n v="4"/>
    <n v="3.9"/>
    <n v="1"/>
    <n v="1"/>
    <n v="4"/>
  </r>
  <r>
    <d v="2015-01-30T00:00:00"/>
    <x v="1"/>
    <x v="0"/>
    <s v="H"/>
    <s v="Alain"/>
    <n v="3"/>
    <n v="3.9"/>
    <n v="1"/>
    <n v="1"/>
    <n v="3"/>
  </r>
  <r>
    <d v="2015-02-06T00:00:00"/>
    <x v="2"/>
    <x v="0"/>
    <s v="Z"/>
    <s v=" Matthieu"/>
    <n v="5"/>
    <n v="4"/>
    <n v="1"/>
    <n v="1"/>
    <n v="5"/>
  </r>
  <r>
    <d v="2015-02-11T00:00:00"/>
    <x v="2"/>
    <x v="1"/>
    <s v="V"/>
    <s v="Simon"/>
    <n v="5"/>
    <n v="3.8"/>
    <n v="1"/>
    <n v="1"/>
    <n v="1.6666666666666665"/>
  </r>
  <r>
    <d v="2015-02-11T00:00:00"/>
    <x v="2"/>
    <x v="1"/>
    <s v="V"/>
    <s v=" Sébastien"/>
    <n v="5"/>
    <n v="3.5"/>
    <n v="0"/>
    <n v="0"/>
    <n v="1.6666666666666665"/>
  </r>
  <r>
    <d v="2015-02-11T00:00:00"/>
    <x v="2"/>
    <x v="1"/>
    <s v="V"/>
    <s v="Guillaume "/>
    <n v="5"/>
    <n v="3.4"/>
    <n v="0"/>
    <n v="0"/>
    <n v="1.66666666666666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C15:F20" firstHeaderRow="1" firstDataRow="2" firstDataCol="1"/>
  <pivotFields count="10">
    <pivotField numFmtId="164" showAll="0"/>
    <pivotField axis="axisRow" showAll="0">
      <items count="4">
        <item x="0"/>
        <item x="2"/>
        <item x="1"/>
        <item t="default"/>
      </items>
    </pivotField>
    <pivotField axis="axisCol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Durée annuelle (j)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27:H30" firstHeaderRow="0" firstDataRow="1" firstDataCol="1"/>
  <pivotFields count="9">
    <pivotField numFmtId="164" showAll="0"/>
    <pivotField showAll="0">
      <items count="4">
        <item x="0"/>
        <item x="2"/>
        <item x="1"/>
        <item t="default"/>
      </items>
    </pivotField>
    <pivotField axis="axisRow" showAll="0">
      <items count="3">
        <item x="0"/>
        <item x="1"/>
        <item t="default"/>
      </items>
    </pivotField>
    <pivotField dataField="1" showAll="0"/>
    <pivotField showAll="0"/>
    <pivotField showAll="0"/>
    <pivotField showAll="0"/>
    <pivotField dataField="1" showAll="0"/>
    <pivotField showAll="0" defaultSubtotal="0"/>
  </pivotFields>
  <rowFields count="1">
    <field x="2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Clients" fld="3" subtotal="count" baseField="1" baseItem="0"/>
    <dataField name="nb Formations" fld="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27:D31" firstHeaderRow="0" firstDataRow="1" firstDataCol="1"/>
  <pivotFields count="9">
    <pivotField numFmtId="164" showAll="0"/>
    <pivotField axis="axisRow" showAll="0">
      <items count="4">
        <item x="0"/>
        <item x="2"/>
        <item x="1"/>
        <item t="default"/>
      </items>
    </pivotField>
    <pivotField showAll="0"/>
    <pivotField dataField="1" showAll="0"/>
    <pivotField showAll="0"/>
    <pivotField showAll="0"/>
    <pivotField showAll="0"/>
    <pivotField dataField="1" showAll="0"/>
    <pivotField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Clients" fld="3" subtotal="count" baseField="1" baseItem="0"/>
    <dataField name="nb Formations" fld="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B3:K10" totalsRowShown="0" headerRowDxfId="1" dataDxfId="2">
  <autoFilter ref="B3:K10"/>
  <tableColumns count="10">
    <tableColumn id="1" name="Date" dataDxfId="9"/>
    <tableColumn id="2" name="Formation" dataDxfId="8"/>
    <tableColumn id="3" name="Lieu" dataDxfId="7"/>
    <tableColumn id="4" name="Entreprise" dataDxfId="6"/>
    <tableColumn id="5" name="Stagiaire" dataDxfId="5"/>
    <tableColumn id="6" name="Jours" dataDxfId="4"/>
    <tableColumn id="7" name="Note" dataDxfId="3"/>
    <tableColumn id="8" name="critère">
      <calculatedColumnFormula>IF(COUNTIF($B$4:B4,B4)&gt;1,0,1)</calculatedColumnFormula>
    </tableColumn>
    <tableColumn id="9" name="critère1">
      <calculatedColumnFormula>IF(COUNTIFS($B$4:B4,B4,$C$4:C4,C4)&gt;1,0,1)</calculatedColumnFormula>
    </tableColumn>
    <tableColumn id="10" name="Durée" dataDxfId="0">
      <calculatedColumnFormula>FREQUENCY(Tableau2[Date],Tableau2[Date])/COUNTIF(Tableau2[Date],Tableau2[[#This Row],[Date]])*Tableau2[[#This Row],[Jours]]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G8" headerRowDxfId="26">
  <autoFilter ref="B3:G8"/>
  <tableColumns count="6">
    <tableColumn id="1" name="Type" totalsRowLabel="Total" dataDxfId="25" totalsRowDxfId="24"/>
    <tableColumn id="2" name="Clients" dataDxfId="23" totalsRowDxfId="22">
      <calculatedColumnFormula>COUNTIF(Formation,$B4)</calculatedColumnFormula>
    </tableColumn>
    <tableColumn id="3" name="Nbr Formation" dataDxfId="21" totalsRowDxfId="20">
      <calculatedColumnFormula>SUMPRODUCT((FREQUENCY(MATCH(Dates,Client!$B$4:$B$10,0),ROW(INDIRECT("$1:$"&amp;COUNTA(Dates))))&gt;0)*(OFFSET(Client!$C$4,,,COUNTA(Dates)+1)=$B4))</calculatedColumnFormula>
    </tableColumn>
    <tableColumn id="4" name="Nbr Jours" dataDxfId="19" totalsRowDxfId="18"/>
    <tableColumn id="5" name="Taux (formation)" totalsRowFunction="count" dataDxfId="17" totalsRowDxfId="16" dataCellStyle="Pourcentage"/>
    <tableColumn id="6" name="Taux (Jour)" dataDxfId="15" totalsRowDxfId="14"/>
  </tableColumns>
  <tableStyleInfo name="TableStyleMedium11" showFirstColumn="1" showLastColumn="0" showRowStripes="1" showColumnStripes="0"/>
</table>
</file>

<file path=xl/tables/table3.xml><?xml version="1.0" encoding="utf-8"?>
<table xmlns="http://schemas.openxmlformats.org/spreadsheetml/2006/main" id="5" name="Tableau5" displayName="Tableau5" ref="I3:K8" totalsRowShown="0" headerRowDxfId="13">
  <autoFilter ref="I3:K8"/>
  <tableColumns count="3">
    <tableColumn id="1" name="Nbr Passifs" dataDxfId="12"/>
    <tableColumn id="2" name="Taux" dataDxfId="11">
      <calculatedColumnFormula>J10*Stats!$I4/I10</calculatedColumnFormula>
    </tableColumn>
    <tableColumn id="3" name="Taux Total" dataDxfId="1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2"/>
  <sheetViews>
    <sheetView tabSelected="1" zoomScale="90" zoomScaleNormal="90" workbookViewId="0">
      <selection activeCell="D23" sqref="D23"/>
    </sheetView>
  </sheetViews>
  <sheetFormatPr baseColWidth="10" defaultRowHeight="15" x14ac:dyDescent="0.25"/>
  <cols>
    <col min="1" max="1" width="4.7109375" style="1" customWidth="1"/>
    <col min="2" max="2" width="15.5703125" style="1" customWidth="1"/>
    <col min="3" max="3" width="21" style="1" customWidth="1"/>
    <col min="4" max="4" width="14.42578125" style="1" customWidth="1"/>
    <col min="5" max="5" width="9.140625" style="1" customWidth="1"/>
    <col min="6" max="6" width="12.5703125" style="1" customWidth="1"/>
    <col min="7" max="7" width="24.140625" style="1" customWidth="1"/>
    <col min="8" max="8" width="12.140625" style="1" customWidth="1"/>
    <col min="9" max="9" width="12.42578125" style="1" bestFit="1" customWidth="1"/>
    <col min="10" max="10" width="13.140625" style="1" bestFit="1" customWidth="1"/>
    <col min="11" max="11" width="13.5703125" style="1" customWidth="1"/>
    <col min="12" max="12" width="12.42578125" style="1" customWidth="1"/>
    <col min="13" max="13" width="8.7109375" style="1" bestFit="1" customWidth="1"/>
    <col min="14" max="14" width="8.85546875" style="1" customWidth="1"/>
    <col min="15" max="16384" width="11.42578125" style="1"/>
  </cols>
  <sheetData>
    <row r="1" spans="1:11" ht="21" x14ac:dyDescent="0.35">
      <c r="A1" s="48" t="s">
        <v>10</v>
      </c>
      <c r="B1" s="48"/>
      <c r="C1" s="48"/>
      <c r="D1" s="48"/>
      <c r="E1" s="48"/>
      <c r="F1" s="48"/>
      <c r="G1" s="48"/>
      <c r="H1" s="48"/>
      <c r="I1" s="48"/>
    </row>
    <row r="2" spans="1:11" ht="8.1" customHeight="1" x14ac:dyDescent="0.35">
      <c r="B2" s="2"/>
      <c r="C2" s="3"/>
      <c r="D2" s="3"/>
      <c r="E2" s="3"/>
      <c r="F2" s="3"/>
      <c r="G2" s="3"/>
      <c r="H2" s="3"/>
      <c r="I2" s="3"/>
    </row>
    <row r="3" spans="1:11" ht="15.75" thickBot="1" x14ac:dyDescent="0.3">
      <c r="B3" s="53" t="s">
        <v>0</v>
      </c>
      <c r="C3" s="54" t="s">
        <v>1</v>
      </c>
      <c r="D3" s="54" t="s">
        <v>13</v>
      </c>
      <c r="E3" s="54" t="s">
        <v>2</v>
      </c>
      <c r="F3" s="54" t="s">
        <v>3</v>
      </c>
      <c r="G3" s="54" t="s">
        <v>58</v>
      </c>
      <c r="H3" s="54" t="s">
        <v>4</v>
      </c>
      <c r="I3" s="54" t="s">
        <v>59</v>
      </c>
      <c r="J3" s="54" t="s">
        <v>63</v>
      </c>
      <c r="K3" s="55" t="s">
        <v>64</v>
      </c>
    </row>
    <row r="4" spans="1:11" ht="15.75" thickTop="1" x14ac:dyDescent="0.25">
      <c r="A4" s="41"/>
      <c r="B4" s="56">
        <v>42013</v>
      </c>
      <c r="C4" s="57" t="s">
        <v>5</v>
      </c>
      <c r="D4" s="57" t="s">
        <v>14</v>
      </c>
      <c r="E4" s="57" t="s">
        <v>45</v>
      </c>
      <c r="F4" s="57" t="s">
        <v>51</v>
      </c>
      <c r="G4" s="57">
        <v>4</v>
      </c>
      <c r="H4" s="57">
        <v>3.8</v>
      </c>
      <c r="I4" s="57">
        <f>IF(COUNTIF($B$4:B4,B4)&gt;1,0,1)</f>
        <v>1</v>
      </c>
      <c r="J4" s="57">
        <f>IF(COUNTIFS($B$4:B4,B4,$C$4:C4,C4)&gt;1,0,1)</f>
        <v>1</v>
      </c>
      <c r="K4" s="57">
        <f>FREQUENCY(Tableau2[Date],Tableau2[Date])/COUNTIF(Tableau2[Date],Tableau2[[#This Row],[Date]])*Tableau2[[#This Row],[Jours]]</f>
        <v>4</v>
      </c>
    </row>
    <row r="5" spans="1:11" x14ac:dyDescent="0.25">
      <c r="A5" s="41"/>
      <c r="B5" s="58">
        <v>42020</v>
      </c>
      <c r="C5" s="59" t="s">
        <v>5</v>
      </c>
      <c r="D5" s="59" t="s">
        <v>15</v>
      </c>
      <c r="E5" s="59" t="s">
        <v>47</v>
      </c>
      <c r="F5" s="59" t="s">
        <v>52</v>
      </c>
      <c r="G5" s="59">
        <v>4</v>
      </c>
      <c r="H5" s="59">
        <v>3.9</v>
      </c>
      <c r="I5" s="59">
        <f>IF(COUNTIF($B$4:B5,B5)&gt;1,0,1)</f>
        <v>1</v>
      </c>
      <c r="J5" s="59">
        <f>IF(COUNTIFS($B$4:B5,B5,$C$4:C5,C5)&gt;1,0,1)</f>
        <v>1</v>
      </c>
      <c r="K5" s="59">
        <f>FREQUENCY(Tableau2[Date],Tableau2[Date])/COUNTIF(Tableau2[Date],Tableau2[[#This Row],[Date]])*Tableau2[[#This Row],[Jours]]</f>
        <v>4</v>
      </c>
    </row>
    <row r="6" spans="1:11" x14ac:dyDescent="0.25">
      <c r="A6" s="41"/>
      <c r="B6" s="60">
        <v>42034</v>
      </c>
      <c r="C6" s="52" t="s">
        <v>11</v>
      </c>
      <c r="D6" s="52" t="s">
        <v>14</v>
      </c>
      <c r="E6" s="52" t="s">
        <v>48</v>
      </c>
      <c r="F6" s="52" t="s">
        <v>53</v>
      </c>
      <c r="G6" s="52">
        <v>3</v>
      </c>
      <c r="H6" s="52">
        <v>3.9</v>
      </c>
      <c r="I6" s="52">
        <f>IF(COUNTIF($B$4:B6,B6)&gt;1,0,1)</f>
        <v>1</v>
      </c>
      <c r="J6" s="52">
        <f>IF(COUNTIFS($B$4:B6,B6,$C$4:C6,C6)&gt;1,0,1)</f>
        <v>1</v>
      </c>
      <c r="K6" s="52">
        <f>FREQUENCY(Tableau2[Date],Tableau2[Date])/COUNTIF(Tableau2[Date],Tableau2[[#This Row],[Date]])*Tableau2[[#This Row],[Jours]]</f>
        <v>3</v>
      </c>
    </row>
    <row r="7" spans="1:11" x14ac:dyDescent="0.25">
      <c r="A7" s="41"/>
      <c r="B7" s="58">
        <v>42041</v>
      </c>
      <c r="C7" s="59" t="s">
        <v>16</v>
      </c>
      <c r="D7" s="59" t="s">
        <v>14</v>
      </c>
      <c r="E7" s="59" t="s">
        <v>49</v>
      </c>
      <c r="F7" s="59" t="s">
        <v>54</v>
      </c>
      <c r="G7" s="59">
        <v>5</v>
      </c>
      <c r="H7" s="59">
        <v>4</v>
      </c>
      <c r="I7" s="59">
        <f>IF(COUNTIF($B$4:B7,B7)&gt;1,0,1)</f>
        <v>1</v>
      </c>
      <c r="J7" s="59">
        <f>IF(COUNTIFS($B$4:B7,B7,$C$4:C7,C7)&gt;1,0,1)</f>
        <v>1</v>
      </c>
      <c r="K7" s="59">
        <f>FREQUENCY(Tableau2[Date],Tableau2[Date])/COUNTIF(Tableau2[Date],Tableau2[[#This Row],[Date]])*Tableau2[[#This Row],[Jours]]</f>
        <v>5</v>
      </c>
    </row>
    <row r="8" spans="1:11" x14ac:dyDescent="0.25">
      <c r="B8" s="60">
        <v>42046</v>
      </c>
      <c r="C8" s="52" t="s">
        <v>16</v>
      </c>
      <c r="D8" s="52" t="s">
        <v>15</v>
      </c>
      <c r="E8" s="52" t="s">
        <v>50</v>
      </c>
      <c r="F8" s="52" t="s">
        <v>55</v>
      </c>
      <c r="G8" s="52">
        <v>5</v>
      </c>
      <c r="H8" s="52">
        <v>3.8</v>
      </c>
      <c r="I8" s="52">
        <f>IF(COUNTIF($B$4:B8,B8)&gt;1,0,1)</f>
        <v>1</v>
      </c>
      <c r="J8" s="52">
        <f>IF(COUNTIFS($B$4:B8,B8,$C$4:C8,C8)&gt;1,0,1)</f>
        <v>1</v>
      </c>
      <c r="K8" s="52">
        <f>FREQUENCY(Tableau2[Date],Tableau2[Date])/COUNTIF(Tableau2[Date],Tableau2[[#This Row],[Date]])*Tableau2[[#This Row],[Jours]]</f>
        <v>1.6666666666666665</v>
      </c>
    </row>
    <row r="9" spans="1:11" x14ac:dyDescent="0.25">
      <c r="B9" s="58">
        <v>42046</v>
      </c>
      <c r="C9" s="59" t="s">
        <v>16</v>
      </c>
      <c r="D9" s="59" t="s">
        <v>15</v>
      </c>
      <c r="E9" s="59" t="s">
        <v>50</v>
      </c>
      <c r="F9" s="59" t="s">
        <v>56</v>
      </c>
      <c r="G9" s="59">
        <v>5</v>
      </c>
      <c r="H9" s="59">
        <v>3.5</v>
      </c>
      <c r="I9" s="59">
        <f>IF(COUNTIF($B$4:B9,B9)&gt;1,0,1)</f>
        <v>0</v>
      </c>
      <c r="J9" s="59">
        <f>IF(COUNTIFS($B$4:B9,B9,$C$4:C9,C9)&gt;1,0,1)</f>
        <v>0</v>
      </c>
      <c r="K9" s="59">
        <f>FREQUENCY(Tableau2[Date],Tableau2[Date])/COUNTIF(Tableau2[Date],Tableau2[[#This Row],[Date]])*Tableau2[[#This Row],[Jours]]</f>
        <v>1.6666666666666665</v>
      </c>
    </row>
    <row r="10" spans="1:11" x14ac:dyDescent="0.25">
      <c r="B10" s="60">
        <v>42046</v>
      </c>
      <c r="C10" s="52" t="s">
        <v>16</v>
      </c>
      <c r="D10" s="52" t="s">
        <v>15</v>
      </c>
      <c r="E10" s="52" t="s">
        <v>50</v>
      </c>
      <c r="F10" s="52" t="s">
        <v>57</v>
      </c>
      <c r="G10" s="52">
        <v>5</v>
      </c>
      <c r="H10" s="52">
        <v>3.4</v>
      </c>
      <c r="I10" s="51">
        <f>IF(COUNTIF($B$4:B10,B10)&gt;1,0,1)</f>
        <v>0</v>
      </c>
      <c r="J10" s="51">
        <f>IF(COUNTIFS($B$4:B10,B10,$C$4:C10,C10)&gt;1,0,1)</f>
        <v>0</v>
      </c>
      <c r="K10" s="52">
        <f>FREQUENCY(Tableau2[Date],Tableau2[Date])/COUNTIF(Tableau2[Date],Tableau2[[#This Row],[Date]])*Tableau2[[#This Row],[Jours]]</f>
        <v>1.6666666666666665</v>
      </c>
    </row>
    <row r="15" spans="1:11" x14ac:dyDescent="0.25">
      <c r="C15" s="44" t="s">
        <v>66</v>
      </c>
      <c r="D15" s="44" t="s">
        <v>65</v>
      </c>
      <c r="E15"/>
      <c r="F15"/>
    </row>
    <row r="16" spans="1:11" x14ac:dyDescent="0.25">
      <c r="C16" s="44" t="s">
        <v>60</v>
      </c>
      <c r="D16" t="s">
        <v>14</v>
      </c>
      <c r="E16" t="s">
        <v>15</v>
      </c>
      <c r="F16" t="s">
        <v>61</v>
      </c>
    </row>
    <row r="17" spans="3:6" x14ac:dyDescent="0.25">
      <c r="C17" s="45" t="s">
        <v>5</v>
      </c>
      <c r="D17" s="46">
        <v>4</v>
      </c>
      <c r="E17" s="46">
        <v>4</v>
      </c>
      <c r="F17" s="46">
        <v>8</v>
      </c>
    </row>
    <row r="18" spans="3:6" x14ac:dyDescent="0.25">
      <c r="C18" s="45" t="s">
        <v>16</v>
      </c>
      <c r="D18" s="46">
        <v>5</v>
      </c>
      <c r="E18" s="46">
        <v>5</v>
      </c>
      <c r="F18" s="46">
        <v>10</v>
      </c>
    </row>
    <row r="19" spans="3:6" x14ac:dyDescent="0.25">
      <c r="C19" s="45" t="s">
        <v>11</v>
      </c>
      <c r="D19" s="46">
        <v>3</v>
      </c>
      <c r="E19" s="46"/>
      <c r="F19" s="46">
        <v>3</v>
      </c>
    </row>
    <row r="20" spans="3:6" x14ac:dyDescent="0.25">
      <c r="C20" s="45" t="s">
        <v>61</v>
      </c>
      <c r="D20" s="46">
        <v>12</v>
      </c>
      <c r="E20" s="46">
        <v>9</v>
      </c>
      <c r="F20" s="46">
        <v>21</v>
      </c>
    </row>
    <row r="21" spans="3:6" x14ac:dyDescent="0.25">
      <c r="C21"/>
      <c r="D21"/>
      <c r="E21"/>
    </row>
    <row r="22" spans="3:6" x14ac:dyDescent="0.25">
      <c r="C22"/>
      <c r="D22"/>
      <c r="E22"/>
    </row>
    <row r="23" spans="3:6" x14ac:dyDescent="0.25">
      <c r="C23"/>
      <c r="D23"/>
      <c r="E23"/>
    </row>
    <row r="24" spans="3:6" x14ac:dyDescent="0.25">
      <c r="C24"/>
      <c r="D24"/>
      <c r="E24"/>
    </row>
    <row r="25" spans="3:6" x14ac:dyDescent="0.25">
      <c r="C25"/>
      <c r="D25"/>
      <c r="E25"/>
    </row>
    <row r="26" spans="3:6" x14ac:dyDescent="0.25">
      <c r="C26"/>
      <c r="D26"/>
      <c r="E26"/>
    </row>
    <row r="27" spans="3:6" x14ac:dyDescent="0.25">
      <c r="C27"/>
      <c r="D27"/>
      <c r="E27"/>
    </row>
    <row r="28" spans="3:6" x14ac:dyDescent="0.25">
      <c r="C28"/>
      <c r="D28"/>
      <c r="E28"/>
    </row>
    <row r="29" spans="3:6" x14ac:dyDescent="0.25">
      <c r="C29"/>
      <c r="D29"/>
      <c r="E29"/>
    </row>
    <row r="30" spans="3:6" x14ac:dyDescent="0.25">
      <c r="C30"/>
      <c r="D30"/>
      <c r="E30"/>
    </row>
    <row r="31" spans="3:6" x14ac:dyDescent="0.25">
      <c r="C31"/>
      <c r="D31"/>
      <c r="E31"/>
    </row>
    <row r="32" spans="3:6" x14ac:dyDescent="0.25">
      <c r="C32"/>
      <c r="D32"/>
      <c r="E32"/>
    </row>
  </sheetData>
  <mergeCells count="1">
    <mergeCell ref="A1:I1"/>
  </mergeCells>
  <phoneticPr fontId="14" type="noConversion"/>
  <conditionalFormatting sqref="H4:H5">
    <cfRule type="iconSet" priority="4">
      <iconSet iconSet="3Symbols">
        <cfvo type="percent" val="0"/>
        <cfvo type="num" val="2.7" gte="0"/>
        <cfvo type="num" val="3.3"/>
      </iconSet>
    </cfRule>
  </conditionalFormatting>
  <conditionalFormatting sqref="H6">
    <cfRule type="iconSet" priority="73">
      <iconSet iconSet="3Symbols">
        <cfvo type="percent" val="0"/>
        <cfvo type="num" val="2.7" gte="0"/>
        <cfvo type="num" val="3.3"/>
      </iconSet>
    </cfRule>
  </conditionalFormatting>
  <conditionalFormatting sqref="H7:H10">
    <cfRule type="iconSet" priority="1">
      <iconSet iconSet="3Symbols">
        <cfvo type="percent" val="0"/>
        <cfvo type="num" val="2.7" gte="0"/>
        <cfvo type="num" val="3.3"/>
      </iconSet>
    </cfRule>
  </conditionalFormatting>
  <conditionalFormatting sqref="H3:I3 H4">
    <cfRule type="iconSet" priority="75">
      <iconSet iconSet="3Symbols">
        <cfvo type="percent" val="0"/>
        <cfvo type="num" val="2.7" gte="0"/>
        <cfvo type="num" val="3.3"/>
      </iconSet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9"/>
  <sheetViews>
    <sheetView zoomScale="90" zoomScaleNormal="90" workbookViewId="0">
      <selection activeCell="H4" sqref="H4"/>
    </sheetView>
  </sheetViews>
  <sheetFormatPr baseColWidth="10" defaultRowHeight="15" x14ac:dyDescent="0.25"/>
  <cols>
    <col min="1" max="1" width="4.7109375" customWidth="1"/>
    <col min="2" max="2" width="13.7109375" customWidth="1"/>
    <col min="5" max="5" width="5.7109375" customWidth="1"/>
    <col min="9" max="9" width="5.7109375" customWidth="1"/>
    <col min="13" max="13" width="5.7109375" customWidth="1"/>
    <col min="17" max="17" width="4.7109375" customWidth="1"/>
  </cols>
  <sheetData>
    <row r="1" spans="1:18" ht="21" x14ac:dyDescent="0.35">
      <c r="A1" s="50" t="s">
        <v>10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40"/>
    </row>
    <row r="2" spans="1:18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8" ht="17.25" x14ac:dyDescent="0.3">
      <c r="A3" s="20"/>
      <c r="B3" s="49" t="s">
        <v>17</v>
      </c>
      <c r="C3" s="49"/>
      <c r="D3" s="49"/>
      <c r="E3" s="20"/>
      <c r="F3" s="49" t="s">
        <v>19</v>
      </c>
      <c r="G3" s="49"/>
      <c r="H3" s="49"/>
      <c r="I3" s="20"/>
      <c r="J3" s="49" t="s">
        <v>18</v>
      </c>
      <c r="K3" s="49"/>
      <c r="L3" s="49"/>
      <c r="M3" s="20"/>
      <c r="N3" s="49" t="s">
        <v>20</v>
      </c>
      <c r="O3" s="49"/>
      <c r="P3" s="49"/>
      <c r="Q3" s="20"/>
    </row>
    <row r="4" spans="1:18" x14ac:dyDescent="0.25">
      <c r="A4" s="20"/>
      <c r="B4" s="31" t="s">
        <v>7</v>
      </c>
      <c r="C4" s="24">
        <f>SUMPRODUCT((MONTH(Client!B4:B10)=1)*1,(Client!H4:H10&gt;=3.3)*1)</f>
        <v>3</v>
      </c>
      <c r="D4" s="25">
        <f>C4/C7</f>
        <v>1</v>
      </c>
      <c r="E4" s="20"/>
      <c r="F4" s="31" t="s">
        <v>7</v>
      </c>
      <c r="G4" s="24">
        <f>SUMPRODUCT((MONTH(Client!B4:B10)=4)*1,(Client!H4:H10&gt;=3.3)*1)</f>
        <v>0</v>
      </c>
      <c r="H4" s="25" t="e">
        <f>G4/G7</f>
        <v>#DIV/0!</v>
      </c>
      <c r="I4" s="20"/>
      <c r="J4" s="31" t="s">
        <v>7</v>
      </c>
      <c r="K4" s="24">
        <f>SUMPRODUCT((MONTH(Client!B4:B10)=7)*1,(Client!H4:H10&gt;=3.3)*1)</f>
        <v>0</v>
      </c>
      <c r="L4" s="25" t="e">
        <f>K4/K7</f>
        <v>#DIV/0!</v>
      </c>
      <c r="M4" s="20"/>
      <c r="N4" s="31" t="s">
        <v>7</v>
      </c>
      <c r="O4" s="24">
        <f>SUMPRODUCT((MONTH(Client!B4:B10)=10)*1,(Client!H4:H10&gt;=3.3)*1)</f>
        <v>0</v>
      </c>
      <c r="P4" s="25" t="e">
        <f>O4/O7</f>
        <v>#DIV/0!</v>
      </c>
      <c r="Q4" s="20"/>
    </row>
    <row r="5" spans="1:18" x14ac:dyDescent="0.25">
      <c r="A5" s="20"/>
      <c r="B5" s="32" t="s">
        <v>6</v>
      </c>
      <c r="C5" s="26">
        <f>SUMPRODUCT((MONTH(Client!B4:B10)=1)*1,(Client!H4:H10&lt;3.3)*1-(Client!H4:H10&lt;=2.7)*1)</f>
        <v>0</v>
      </c>
      <c r="D5" s="27">
        <f>C5/C7</f>
        <v>0</v>
      </c>
      <c r="E5" s="20"/>
      <c r="F5" s="32" t="s">
        <v>6</v>
      </c>
      <c r="G5" s="26">
        <f>SUMPRODUCT((MONTH(Client!B4:B10)=4)*1,(Client!H4:H10&lt;3.3)*1-(Client!H4:H10&lt;=2.7)*1)</f>
        <v>0</v>
      </c>
      <c r="H5" s="27" t="e">
        <f>G5/G7</f>
        <v>#DIV/0!</v>
      </c>
      <c r="I5" s="20"/>
      <c r="J5" s="32" t="s">
        <v>6</v>
      </c>
      <c r="K5" s="26">
        <f>SUMPRODUCT((MONTH(Client!B4:B10)=7)*1,(Client!H4:H10&lt;3.3)*1-(Client!H4:H10&lt;=2.7)*1)</f>
        <v>0</v>
      </c>
      <c r="L5" s="27" t="e">
        <f>K5/K7</f>
        <v>#DIV/0!</v>
      </c>
      <c r="M5" s="20"/>
      <c r="N5" s="32" t="s">
        <v>6</v>
      </c>
      <c r="O5" s="26">
        <f>SUMPRODUCT((MONTH(Client!B4:B10)=10)*1,(Client!H4:H10&lt;3.3)*1-(Client!H4:H10&lt;=2.7)*1)</f>
        <v>0</v>
      </c>
      <c r="P5" s="27" t="e">
        <f>O5/O7</f>
        <v>#DIV/0!</v>
      </c>
      <c r="Q5" s="20"/>
    </row>
    <row r="6" spans="1:18" x14ac:dyDescent="0.25">
      <c r="A6" s="20"/>
      <c r="B6" s="33" t="s">
        <v>8</v>
      </c>
      <c r="C6" s="28">
        <f>SUMPRODUCT((MONTH(Client!B4:B10)=3)*1,(Client!H4:H10&lt;=2.7)*1)</f>
        <v>0</v>
      </c>
      <c r="D6" s="29">
        <f>C6/C7</f>
        <v>0</v>
      </c>
      <c r="E6" s="20"/>
      <c r="F6" s="33" t="s">
        <v>8</v>
      </c>
      <c r="G6" s="28">
        <f>SUMPRODUCT((MONTH(Client!B4:B10)=4)*1,(Client!H4:H10&lt;=2.7)*1)</f>
        <v>0</v>
      </c>
      <c r="H6" s="29" t="e">
        <f>G6/G7</f>
        <v>#DIV/0!</v>
      </c>
      <c r="I6" s="20"/>
      <c r="J6" s="33" t="s">
        <v>8</v>
      </c>
      <c r="K6" s="28">
        <f>SUMPRODUCT((MONTH(Client!B4:B10)=7)*1,(Client!H4:H10&lt;=2.7)*1)</f>
        <v>0</v>
      </c>
      <c r="L6" s="29" t="e">
        <f>K6/K7</f>
        <v>#DIV/0!</v>
      </c>
      <c r="M6" s="20"/>
      <c r="N6" s="33" t="s">
        <v>8</v>
      </c>
      <c r="O6" s="28">
        <f>SUMPRODUCT((MONTH(Client!B4:B10)=10)*1,(Client!H4:H10&lt;=2.7)*1)</f>
        <v>0</v>
      </c>
      <c r="P6" s="29" t="e">
        <f>O6/O7</f>
        <v>#DIV/0!</v>
      </c>
      <c r="Q6" s="20"/>
    </row>
    <row r="7" spans="1:18" x14ac:dyDescent="0.25">
      <c r="A7" s="20"/>
      <c r="B7" s="34" t="s">
        <v>9</v>
      </c>
      <c r="C7" s="30">
        <f>SUM(C4:C6)</f>
        <v>3</v>
      </c>
      <c r="D7" s="21"/>
      <c r="E7" s="20"/>
      <c r="F7" s="34" t="s">
        <v>9</v>
      </c>
      <c r="G7" s="30">
        <f>SUM(G4:G6)</f>
        <v>0</v>
      </c>
      <c r="H7" s="21"/>
      <c r="I7" s="20"/>
      <c r="J7" s="34" t="s">
        <v>9</v>
      </c>
      <c r="K7" s="30">
        <f>SUM(K4:K6)</f>
        <v>0</v>
      </c>
      <c r="L7" s="21"/>
      <c r="M7" s="23"/>
      <c r="N7" s="34" t="s">
        <v>9</v>
      </c>
      <c r="O7" s="30">
        <f>SUM(O4:O6)</f>
        <v>0</v>
      </c>
      <c r="P7" s="21"/>
      <c r="Q7" s="20"/>
    </row>
    <row r="8" spans="1:18" x14ac:dyDescent="0.25">
      <c r="A8" s="20"/>
      <c r="B8" s="35" t="s">
        <v>12</v>
      </c>
      <c r="C8" s="36">
        <f>D4-D6</f>
        <v>1</v>
      </c>
      <c r="D8" s="22"/>
      <c r="E8" s="20"/>
      <c r="F8" s="35" t="s">
        <v>12</v>
      </c>
      <c r="G8" s="37" t="e">
        <f>H4-H6</f>
        <v>#DIV/0!</v>
      </c>
      <c r="H8" s="22"/>
      <c r="I8" s="20"/>
      <c r="J8" s="35" t="s">
        <v>12</v>
      </c>
      <c r="K8" s="37" t="e">
        <f>L4-L6</f>
        <v>#DIV/0!</v>
      </c>
      <c r="L8" s="22"/>
      <c r="M8" s="23"/>
      <c r="N8" s="35" t="s">
        <v>12</v>
      </c>
      <c r="O8" s="37" t="e">
        <f>P4-P6</f>
        <v>#DIV/0!</v>
      </c>
      <c r="P8" s="22"/>
      <c r="Q8" s="20"/>
    </row>
    <row r="9" spans="1:18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8" ht="17.25" x14ac:dyDescent="0.3">
      <c r="A10" s="20"/>
      <c r="B10" s="49" t="s">
        <v>24</v>
      </c>
      <c r="C10" s="49"/>
      <c r="D10" s="49"/>
      <c r="E10" s="20"/>
      <c r="F10" s="49" t="s">
        <v>23</v>
      </c>
      <c r="G10" s="49"/>
      <c r="H10" s="49"/>
      <c r="I10" s="20"/>
      <c r="J10" s="49" t="s">
        <v>22</v>
      </c>
      <c r="K10" s="49"/>
      <c r="L10" s="49"/>
      <c r="M10" s="20"/>
      <c r="N10" s="49" t="s">
        <v>21</v>
      </c>
      <c r="O10" s="49"/>
      <c r="P10" s="49"/>
      <c r="Q10" s="20"/>
    </row>
    <row r="11" spans="1:18" x14ac:dyDescent="0.25">
      <c r="A11" s="20"/>
      <c r="B11" s="31" t="s">
        <v>7</v>
      </c>
      <c r="C11" s="24">
        <f>SUMPRODUCT((MONTH(Client!B4:B10)=2)*1,(Client!H4:H10&gt;=3.3)*1)</f>
        <v>4</v>
      </c>
      <c r="D11" s="25">
        <f>C11/C14</f>
        <v>1</v>
      </c>
      <c r="E11" s="20"/>
      <c r="F11" s="31" t="s">
        <v>7</v>
      </c>
      <c r="G11" s="24">
        <f>SUMPRODUCT((MONTH(Client!B4:B10)=5)*1,(Client!H4:H10&gt;=3.3)*1)</f>
        <v>0</v>
      </c>
      <c r="H11" s="25" t="e">
        <f>G11/G14</f>
        <v>#DIV/0!</v>
      </c>
      <c r="I11" s="20"/>
      <c r="J11" s="31" t="s">
        <v>7</v>
      </c>
      <c r="K11" s="24">
        <f>SUMPRODUCT((MONTH(Client!B4:B10)=8)*1,(Client!H4:H10&gt;=3.3)*1)</f>
        <v>0</v>
      </c>
      <c r="L11" s="25" t="e">
        <f>K11/K14</f>
        <v>#DIV/0!</v>
      </c>
      <c r="M11" s="20"/>
      <c r="N11" s="31" t="s">
        <v>7</v>
      </c>
      <c r="O11" s="24">
        <f>SUMPRODUCT((MONTH(Client!B4:B10)=11)*1,(Client!H4:H10&gt;=3.3)*1)</f>
        <v>0</v>
      </c>
      <c r="P11" s="25" t="e">
        <f>O11/O14</f>
        <v>#DIV/0!</v>
      </c>
      <c r="Q11" s="20"/>
    </row>
    <row r="12" spans="1:18" x14ac:dyDescent="0.25">
      <c r="A12" s="20"/>
      <c r="B12" s="32" t="s">
        <v>6</v>
      </c>
      <c r="C12" s="26">
        <f>SUMPRODUCT((MONTH(Client!B4:B10)=2)*1,(Client!H4:H10&lt;3.3)*1-(Client!H4:H10&lt;=2.7)*1)</f>
        <v>0</v>
      </c>
      <c r="D12" s="27">
        <f>C12/C14</f>
        <v>0</v>
      </c>
      <c r="E12" s="20"/>
      <c r="F12" s="32" t="s">
        <v>6</v>
      </c>
      <c r="G12" s="26">
        <f>SUMPRODUCT((MONTH(Client!B4:B10)=5)*1,(Client!H4:H10&lt;3.3)*1-(Client!H4:H10&lt;=2.7)*1)</f>
        <v>0</v>
      </c>
      <c r="H12" s="27" t="e">
        <f>G12/G14</f>
        <v>#DIV/0!</v>
      </c>
      <c r="I12" s="20"/>
      <c r="J12" s="32" t="s">
        <v>6</v>
      </c>
      <c r="K12" s="26">
        <f>SUMPRODUCT((MONTH(Client!B4:B10)=8)*1,(Client!H4:H10&lt;3.3)*1-(Client!H4:H10&lt;=2.7)*1)</f>
        <v>0</v>
      </c>
      <c r="L12" s="27" t="e">
        <f>K12/K14</f>
        <v>#DIV/0!</v>
      </c>
      <c r="M12" s="20"/>
      <c r="N12" s="32" t="s">
        <v>6</v>
      </c>
      <c r="O12" s="26">
        <f>SUMPRODUCT((MONTH(Client!B4:B10)=11)*1,(Client!H4:H10&lt;3.3)*1-(Client!H4:H10&lt;=2.7)*1)</f>
        <v>0</v>
      </c>
      <c r="P12" s="27" t="e">
        <f>O12/O14</f>
        <v>#DIV/0!</v>
      </c>
      <c r="Q12" s="20"/>
    </row>
    <row r="13" spans="1:18" x14ac:dyDescent="0.25">
      <c r="A13" s="20"/>
      <c r="B13" s="33" t="s">
        <v>8</v>
      </c>
      <c r="C13" s="28">
        <f>SUMPRODUCT((MONTH(Client!B4:B10)=2)*1,(Client!H4:H10&lt;=2.7)*1)</f>
        <v>0</v>
      </c>
      <c r="D13" s="29">
        <f>C13/C14</f>
        <v>0</v>
      </c>
      <c r="E13" s="20"/>
      <c r="F13" s="33" t="s">
        <v>8</v>
      </c>
      <c r="G13" s="28">
        <f>SUMPRODUCT((MONTH(Client!B4:B10)=4)*1,(Client!H4:H10&lt;=2.7)*1)</f>
        <v>0</v>
      </c>
      <c r="H13" s="29" t="e">
        <f>G13/G14</f>
        <v>#DIV/0!</v>
      </c>
      <c r="I13" s="20"/>
      <c r="J13" s="33" t="s">
        <v>8</v>
      </c>
      <c r="K13" s="28">
        <f>SUMPRODUCT((MONTH(Client!B4:B10)=8)*1,(Client!H4:H10&lt;=2.7)*1)</f>
        <v>0</v>
      </c>
      <c r="L13" s="29" t="e">
        <f>K13/K14</f>
        <v>#DIV/0!</v>
      </c>
      <c r="M13" s="20"/>
      <c r="N13" s="33" t="s">
        <v>8</v>
      </c>
      <c r="O13" s="28">
        <f>SUMPRODUCT((MONTH(Client!B4:B10)=11)*1,(Client!H4:H10&lt;=2.7)*1)</f>
        <v>0</v>
      </c>
      <c r="P13" s="29" t="e">
        <f>O13/O14</f>
        <v>#DIV/0!</v>
      </c>
      <c r="Q13" s="20"/>
    </row>
    <row r="14" spans="1:18" x14ac:dyDescent="0.25">
      <c r="A14" s="20"/>
      <c r="B14" s="34" t="s">
        <v>9</v>
      </c>
      <c r="C14" s="30">
        <f>SUM(C11:C13)</f>
        <v>4</v>
      </c>
      <c r="D14" s="21"/>
      <c r="E14" s="20"/>
      <c r="F14" s="34" t="s">
        <v>9</v>
      </c>
      <c r="G14" s="30">
        <f>SUM(G11:G13)</f>
        <v>0</v>
      </c>
      <c r="H14" s="21"/>
      <c r="I14" s="23"/>
      <c r="J14" s="34" t="s">
        <v>9</v>
      </c>
      <c r="K14" s="30">
        <f>SUM(K11:K13)</f>
        <v>0</v>
      </c>
      <c r="L14" s="21"/>
      <c r="M14" s="20"/>
      <c r="N14" s="34" t="s">
        <v>9</v>
      </c>
      <c r="O14" s="30">
        <f>SUM(O11:O13)</f>
        <v>0</v>
      </c>
      <c r="P14" s="21"/>
      <c r="Q14" s="20"/>
    </row>
    <row r="15" spans="1:18" x14ac:dyDescent="0.25">
      <c r="A15" s="20"/>
      <c r="B15" s="35" t="s">
        <v>12</v>
      </c>
      <c r="C15" s="37">
        <f>D11-D13</f>
        <v>1</v>
      </c>
      <c r="D15" s="22"/>
      <c r="E15" s="23"/>
      <c r="F15" s="35" t="s">
        <v>12</v>
      </c>
      <c r="G15" s="37" t="e">
        <f>H11-H13</f>
        <v>#DIV/0!</v>
      </c>
      <c r="H15" s="22"/>
      <c r="I15" s="20"/>
      <c r="J15" s="35" t="s">
        <v>12</v>
      </c>
      <c r="K15" s="37" t="e">
        <f>L11-L13</f>
        <v>#DIV/0!</v>
      </c>
      <c r="L15" s="22"/>
      <c r="M15" s="20"/>
      <c r="N15" s="35" t="s">
        <v>12</v>
      </c>
      <c r="O15" s="37" t="e">
        <f>P11-P13</f>
        <v>#DIV/0!</v>
      </c>
      <c r="P15" s="22"/>
      <c r="Q15" s="20"/>
    </row>
    <row r="16" spans="1:18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42"/>
      <c r="Q16" s="20"/>
    </row>
    <row r="17" spans="1:17" ht="17.25" x14ac:dyDescent="0.3">
      <c r="A17" s="20"/>
      <c r="B17" s="49" t="s">
        <v>25</v>
      </c>
      <c r="C17" s="49"/>
      <c r="D17" s="49"/>
      <c r="E17" s="20"/>
      <c r="F17" s="49" t="s">
        <v>26</v>
      </c>
      <c r="G17" s="49"/>
      <c r="H17" s="49"/>
      <c r="I17" s="20"/>
      <c r="J17" s="49" t="s">
        <v>27</v>
      </c>
      <c r="K17" s="49"/>
      <c r="L17" s="49"/>
      <c r="M17" s="20"/>
      <c r="N17" s="49" t="s">
        <v>28</v>
      </c>
      <c r="O17" s="49"/>
      <c r="P17" s="49"/>
      <c r="Q17" s="20"/>
    </row>
    <row r="18" spans="1:17" x14ac:dyDescent="0.25">
      <c r="A18" s="20"/>
      <c r="B18" s="31" t="s">
        <v>7</v>
      </c>
      <c r="C18" s="24">
        <f>SUMPRODUCT((MONTH(Client!B4:B10)=3)*1,(Client!H4:H10&gt;=3.3)*1)</f>
        <v>0</v>
      </c>
      <c r="D18" s="25" t="e">
        <f>C18/C21</f>
        <v>#DIV/0!</v>
      </c>
      <c r="E18" s="20"/>
      <c r="F18" s="31" t="s">
        <v>7</v>
      </c>
      <c r="G18" s="24">
        <f>SUMPRODUCT((MONTH(Client!B4:B10)=6)*1,(Client!H4:H10&gt;=3.3)*1)</f>
        <v>0</v>
      </c>
      <c r="H18" s="25" t="e">
        <f>G18/G21</f>
        <v>#DIV/0!</v>
      </c>
      <c r="I18" s="20"/>
      <c r="J18" s="31" t="s">
        <v>7</v>
      </c>
      <c r="K18" s="24">
        <f>SUMPRODUCT((MONTH(Client!B4:B10)=9)*1,(Client!H4:H10&gt;=3.3)*1)</f>
        <v>0</v>
      </c>
      <c r="L18" s="25" t="e">
        <f>K18/K21</f>
        <v>#DIV/0!</v>
      </c>
      <c r="M18" s="20"/>
      <c r="N18" s="31" t="s">
        <v>7</v>
      </c>
      <c r="O18" s="24">
        <f>SUMPRODUCT((MONTH(Client!B4:B10)=12)*1,(Client!B4:B10&gt;=3.3)*1)</f>
        <v>0</v>
      </c>
      <c r="P18" s="25" t="e">
        <f>O18/O21</f>
        <v>#DIV/0!</v>
      </c>
      <c r="Q18" s="20"/>
    </row>
    <row r="19" spans="1:17" x14ac:dyDescent="0.25">
      <c r="A19" s="20"/>
      <c r="B19" s="32" t="s">
        <v>6</v>
      </c>
      <c r="C19" s="26">
        <f>SUMPRODUCT((MONTH(Client!B4:B10)=3)*1,(Client!H4:H10&lt;3.3)*1-(Client!H4:H10&lt;=2.7)*1)</f>
        <v>0</v>
      </c>
      <c r="D19" s="27" t="e">
        <f>C19/C21</f>
        <v>#DIV/0!</v>
      </c>
      <c r="E19" s="20"/>
      <c r="F19" s="32" t="s">
        <v>6</v>
      </c>
      <c r="G19" s="26">
        <f>SUMPRODUCT((MONTH(Client!B4:B10)=6)*1,(Client!H4:H10&lt;3.3)*1-(Client!H4:H10&lt;=2.7)*1)</f>
        <v>0</v>
      </c>
      <c r="H19" s="27" t="e">
        <f>G19/G21</f>
        <v>#DIV/0!</v>
      </c>
      <c r="I19" s="20"/>
      <c r="J19" s="32" t="s">
        <v>6</v>
      </c>
      <c r="K19" s="26">
        <f>SUMPRODUCT((MONTH(Client!B4:B10)=9)*1,(Client!H4:H10&lt;3.3)*1-(Client!H4:H10&lt;=2.7)*1)</f>
        <v>0</v>
      </c>
      <c r="L19" s="27" t="e">
        <f>K19/K21</f>
        <v>#DIV/0!</v>
      </c>
      <c r="M19" s="20"/>
      <c r="N19" s="32" t="s">
        <v>6</v>
      </c>
      <c r="O19" s="26">
        <f>SUMPRODUCT((MONTH(Client!B4:B10)=12)*1,(Client!H4:H10&lt;3.3)*1-(Client!H4:H10&lt;=2.7)*1)</f>
        <v>0</v>
      </c>
      <c r="P19" s="27" t="e">
        <f>O19/O21</f>
        <v>#DIV/0!</v>
      </c>
      <c r="Q19" s="20"/>
    </row>
    <row r="20" spans="1:17" x14ac:dyDescent="0.25">
      <c r="A20" s="20"/>
      <c r="B20" s="33" t="s">
        <v>8</v>
      </c>
      <c r="C20" s="28">
        <f>SUMPRODUCT((MONTH(Client!B4:B10)=3)*1,(Client!H4:H10&lt;=2.7)*1)</f>
        <v>0</v>
      </c>
      <c r="D20" s="29" t="e">
        <f>C20/C21</f>
        <v>#DIV/0!</v>
      </c>
      <c r="E20" s="20"/>
      <c r="F20" s="33" t="s">
        <v>8</v>
      </c>
      <c r="G20" s="28">
        <f>SUMPRODUCT((MONTH(Client!B4:B10)=4)*1,(Client!H4:H10&lt;=2.7)*1)</f>
        <v>0</v>
      </c>
      <c r="H20" s="29" t="e">
        <f>G20/G21</f>
        <v>#DIV/0!</v>
      </c>
      <c r="I20" s="20"/>
      <c r="J20" s="33" t="s">
        <v>8</v>
      </c>
      <c r="K20" s="28">
        <f>SUMPRODUCT((MONTH(Client!B4:B10)=9)*1,(Client!H4:H10&lt;=2.7)*1)</f>
        <v>0</v>
      </c>
      <c r="L20" s="29" t="e">
        <f>K20/K21</f>
        <v>#DIV/0!</v>
      </c>
      <c r="M20" s="20"/>
      <c r="N20" s="33" t="s">
        <v>8</v>
      </c>
      <c r="O20" s="28">
        <f>SUMPRODUCT((MONTH(Client!B4:B10)=12)*1,(Client!H4:H10&lt;=2.7)*1)</f>
        <v>0</v>
      </c>
      <c r="P20" s="29" t="e">
        <f>O20/O21</f>
        <v>#DIV/0!</v>
      </c>
      <c r="Q20" s="20"/>
    </row>
    <row r="21" spans="1:17" x14ac:dyDescent="0.25">
      <c r="A21" s="20"/>
      <c r="B21" s="34" t="s">
        <v>9</v>
      </c>
      <c r="C21" s="30">
        <f>SUM(C18:C20)</f>
        <v>0</v>
      </c>
      <c r="D21" s="21"/>
      <c r="E21" s="23"/>
      <c r="F21" s="34" t="s">
        <v>9</v>
      </c>
      <c r="G21" s="30">
        <f>SUM(G18:G20)</f>
        <v>0</v>
      </c>
      <c r="H21" s="21"/>
      <c r="I21" s="23"/>
      <c r="J21" s="34" t="s">
        <v>9</v>
      </c>
      <c r="K21" s="30">
        <f>SUM(K18:K20)</f>
        <v>0</v>
      </c>
      <c r="L21" s="21"/>
      <c r="M21" s="20"/>
      <c r="N21" s="34" t="s">
        <v>9</v>
      </c>
      <c r="O21" s="30">
        <f>SUM(O18:O20)</f>
        <v>0</v>
      </c>
      <c r="P21" s="21"/>
      <c r="Q21" s="20"/>
    </row>
    <row r="22" spans="1:17" x14ac:dyDescent="0.25">
      <c r="A22" s="20"/>
      <c r="B22" s="35" t="s">
        <v>12</v>
      </c>
      <c r="C22" s="37" t="e">
        <f>D18-D20</f>
        <v>#DIV/0!</v>
      </c>
      <c r="D22" s="22"/>
      <c r="E22" s="23"/>
      <c r="F22" s="35" t="s">
        <v>12</v>
      </c>
      <c r="G22" s="37" t="e">
        <f>H18-H20</f>
        <v>#DIV/0!</v>
      </c>
      <c r="H22" s="22"/>
      <c r="I22" s="23"/>
      <c r="J22" s="35" t="s">
        <v>12</v>
      </c>
      <c r="K22" s="37" t="e">
        <f>L18-L20</f>
        <v>#DIV/0!</v>
      </c>
      <c r="L22" s="22"/>
      <c r="M22" s="20"/>
      <c r="N22" s="35" t="s">
        <v>12</v>
      </c>
      <c r="O22" s="37" t="e">
        <f>P18-P20</f>
        <v>#DIV/0!</v>
      </c>
      <c r="P22" s="22"/>
      <c r="Q22" s="20"/>
    </row>
    <row r="23" spans="1:17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7" x14ac:dyDescent="0.25">
      <c r="A24" s="20"/>
      <c r="B24" s="38" t="s">
        <v>32</v>
      </c>
      <c r="C24" s="39" t="e">
        <f>(C8+C15+C22)/3</f>
        <v>#DIV/0!</v>
      </c>
      <c r="D24" s="20"/>
      <c r="E24" s="20"/>
      <c r="F24" s="38" t="s">
        <v>33</v>
      </c>
      <c r="G24" s="39" t="e">
        <f>(G8+G15+G22)/3</f>
        <v>#DIV/0!</v>
      </c>
      <c r="H24" s="20"/>
      <c r="I24" s="20"/>
      <c r="J24" s="38" t="s">
        <v>34</v>
      </c>
      <c r="K24" s="39" t="e">
        <f>(K8+K15+K22)/3</f>
        <v>#DIV/0!</v>
      </c>
      <c r="L24" s="20"/>
      <c r="M24" s="20"/>
      <c r="N24" s="38" t="s">
        <v>35</v>
      </c>
      <c r="O24" s="39" t="e">
        <f>(O8+O15+O22)/3</f>
        <v>#DIV/0!</v>
      </c>
      <c r="P24" s="20"/>
      <c r="Q24" s="20"/>
    </row>
    <row r="25" spans="1:17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7" x14ac:dyDescent="0.25">
      <c r="A26" s="4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4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4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</sheetData>
  <mergeCells count="13">
    <mergeCell ref="N3:P3"/>
    <mergeCell ref="N10:P10"/>
    <mergeCell ref="N17:P17"/>
    <mergeCell ref="A1:Q1"/>
    <mergeCell ref="B17:D17"/>
    <mergeCell ref="F3:H3"/>
    <mergeCell ref="J3:L3"/>
    <mergeCell ref="B10:D10"/>
    <mergeCell ref="B3:D3"/>
    <mergeCell ref="F10:H10"/>
    <mergeCell ref="F17:H17"/>
    <mergeCell ref="J10:L10"/>
    <mergeCell ref="J17:L17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D11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44"/>
  <sheetViews>
    <sheetView zoomScale="90" zoomScaleNormal="90" workbookViewId="0">
      <selection activeCell="E5" sqref="E5"/>
    </sheetView>
  </sheetViews>
  <sheetFormatPr baseColWidth="10" defaultRowHeight="15" x14ac:dyDescent="0.25"/>
  <cols>
    <col min="1" max="1" width="4.7109375" style="1" customWidth="1"/>
    <col min="2" max="2" width="21" style="1" customWidth="1"/>
    <col min="3" max="3" width="7.140625" style="1" customWidth="1"/>
    <col min="4" max="4" width="13.7109375" style="1" customWidth="1"/>
    <col min="5" max="5" width="14.42578125" style="1" customWidth="1"/>
    <col min="6" max="6" width="21" style="1" customWidth="1"/>
    <col min="7" max="7" width="7.140625" style="1" customWidth="1"/>
    <col min="8" max="8" width="13.7109375" style="1" customWidth="1"/>
    <col min="9" max="9" width="13.140625" style="1" customWidth="1"/>
    <col min="10" max="10" width="14.5703125" style="1" customWidth="1"/>
    <col min="11" max="11" width="13.7109375" style="1" customWidth="1"/>
    <col min="12" max="16384" width="11.42578125" style="1"/>
  </cols>
  <sheetData>
    <row r="1" spans="1:19" ht="21" x14ac:dyDescent="0.35">
      <c r="A1" s="50" t="s">
        <v>10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17"/>
      <c r="P1" s="17"/>
      <c r="Q1" s="17"/>
      <c r="R1" s="18"/>
      <c r="S1" s="19"/>
    </row>
    <row r="3" spans="1:19" x14ac:dyDescent="0.25">
      <c r="B3" s="4" t="s">
        <v>29</v>
      </c>
      <c r="C3" s="5" t="s">
        <v>30</v>
      </c>
      <c r="D3" s="5" t="s">
        <v>38</v>
      </c>
      <c r="E3" s="5" t="s">
        <v>39</v>
      </c>
      <c r="F3" s="7" t="s">
        <v>43</v>
      </c>
      <c r="G3" s="12" t="s">
        <v>44</v>
      </c>
      <c r="I3" s="1" t="s">
        <v>40</v>
      </c>
      <c r="J3" s="1" t="s">
        <v>37</v>
      </c>
      <c r="K3" s="1" t="s">
        <v>41</v>
      </c>
      <c r="M3" s="1" t="s">
        <v>9</v>
      </c>
      <c r="N3" s="1">
        <f ca="1">SUM(Stats!$D$4:$D$8)</f>
        <v>5</v>
      </c>
    </row>
    <row r="4" spans="1:19" x14ac:dyDescent="0.25">
      <c r="B4" s="15" t="s">
        <v>5</v>
      </c>
      <c r="C4" s="5">
        <f ca="1">COUNTIF(Formation,$B4)</f>
        <v>2</v>
      </c>
      <c r="D4" s="47">
        <f ca="1">SUMPRODUCT((FREQUENCY(MATCH(Dates,Client!$B$4:$B$10,0),ROW(INDIRECT("$1:$"&amp;COUNTA(Dates))))&gt;0)*(OFFSET(Client!$C$4,,,COUNTA(Dates)+1)=$B4))</f>
        <v>2</v>
      </c>
      <c r="E4" s="6">
        <v>8</v>
      </c>
      <c r="F4" s="8">
        <f ca="1">(Stats!$D4*1)/N3</f>
        <v>0.4</v>
      </c>
      <c r="G4" s="13">
        <f>Stats!$E4/N4</f>
        <v>0.36363636363636365</v>
      </c>
      <c r="I4" s="11">
        <f>SUMPRODUCT(((Client!C4:C10)="Base")*1,(Client!H4:H10&lt;3.3)*1-(Client!H4:H10&lt;=2.7)*1)</f>
        <v>0</v>
      </c>
      <c r="J4" s="11" t="e">
        <f>J10*Stats!$I4/I10</f>
        <v>#DIV/0!</v>
      </c>
      <c r="M4" s="1" t="s">
        <v>42</v>
      </c>
      <c r="N4" s="1">
        <f>SUM(Stats!$E$4:$E$8)</f>
        <v>22</v>
      </c>
    </row>
    <row r="5" spans="1:19" x14ac:dyDescent="0.25">
      <c r="B5" s="16" t="s">
        <v>16</v>
      </c>
      <c r="C5" s="5">
        <f ca="1">COUNTIF(Formation,$B5)</f>
        <v>4</v>
      </c>
      <c r="D5" s="47">
        <f ca="1">SUMPRODUCT((FREQUENCY(MATCH(Dates,Client!$B$4:$B$10,0),ROW(INDIRECT("$1:$"&amp;COUNTA(Dates))))&gt;0)*(OFFSET(Client!$C$4,,,COUNTA(Dates)+1)=$B5))</f>
        <v>2</v>
      </c>
      <c r="E5" s="6">
        <v>10</v>
      </c>
      <c r="F5" s="9">
        <f ca="1">(Stats!$D5*1)/N3</f>
        <v>0.4</v>
      </c>
      <c r="G5" s="14">
        <f>Stats!$E5/N4</f>
        <v>0.45454545454545453</v>
      </c>
      <c r="I5" s="11">
        <f>SUMPRODUCT((Client!B5:B10="Initié")*1,(Client!H5:H10&lt;3.3)*1-(Client!H5:H10&lt;=2.7)*1)</f>
        <v>0</v>
      </c>
      <c r="J5" s="11" t="e">
        <f>J11*Stats!$I5/I11</f>
        <v>#DIV/0!</v>
      </c>
      <c r="M5" s="1" t="s">
        <v>46</v>
      </c>
    </row>
    <row r="6" spans="1:19" x14ac:dyDescent="0.25">
      <c r="B6" s="6" t="s">
        <v>31</v>
      </c>
      <c r="C6" s="5">
        <f ca="1">COUNTIF(Formation,$B6)</f>
        <v>0</v>
      </c>
      <c r="D6" s="47">
        <f ca="1">SUMPRODUCT((FREQUENCY(MATCH(Dates,Client!$B$4:$B$10,0),ROW(INDIRECT("$1:$"&amp;COUNTA(Dates))))&gt;0)*(OFFSET(Client!$C$4,,,COUNTA(Dates)+1)=$B6))</f>
        <v>0</v>
      </c>
      <c r="E6" s="6">
        <v>0</v>
      </c>
      <c r="F6" s="9">
        <f ca="1">(Stats!$D6*1)/N3</f>
        <v>0</v>
      </c>
      <c r="G6" s="14">
        <f ca="1">Stats!$E6/N3</f>
        <v>0</v>
      </c>
      <c r="I6" s="11">
        <f>SUMPRODUCT((Client!B6:B10="Perfectionnement")*1,(Client!H6:H10&lt;3.3)*1-(Client!H6:H10&lt;=2.7)*1)</f>
        <v>0</v>
      </c>
      <c r="J6" s="11" t="e">
        <f>J12*Stats!$I6/I12</f>
        <v>#DIV/0!</v>
      </c>
    </row>
    <row r="7" spans="1:19" x14ac:dyDescent="0.25">
      <c r="B7" s="6" t="s">
        <v>36</v>
      </c>
      <c r="C7" s="5">
        <f ca="1">COUNTIF(Formation,$B7)</f>
        <v>0</v>
      </c>
      <c r="D7" s="47">
        <f ca="1">SUMPRODUCT((FREQUENCY(MATCH(Dates,Client!$B$4:$B$10,0),ROW(INDIRECT("$1:$"&amp;COUNTA(Dates))))&gt;0)*(OFFSET(Client!$C$4,,,COUNTA(Dates)+1)=$B7))</f>
        <v>0</v>
      </c>
      <c r="E7" s="6">
        <v>0</v>
      </c>
      <c r="F7" s="9">
        <f ca="1">(Stats!$D7*1)/N3</f>
        <v>0</v>
      </c>
      <c r="G7" s="14">
        <f>Stats!$E7/N4</f>
        <v>0</v>
      </c>
      <c r="I7" s="11">
        <f>SUMPRODUCT((Client!B7:B10="Nouveauté")*1,(Client!H7:H10&lt;3.3)*1-(Client!H7:H10&lt;=2.7)*1)</f>
        <v>0</v>
      </c>
      <c r="J7" s="11" t="e">
        <f>J13*Stats!$I7/I13</f>
        <v>#DIV/0!</v>
      </c>
    </row>
    <row r="8" spans="1:19" x14ac:dyDescent="0.25">
      <c r="B8" s="4" t="s">
        <v>11</v>
      </c>
      <c r="C8" s="5">
        <f ca="1">COUNTIF(Formation,$B8)</f>
        <v>1</v>
      </c>
      <c r="D8" s="47">
        <f ca="1">SUMPRODUCT((FREQUENCY(MATCH(Dates,Client!$B$4:$B$10,0),ROW(INDIRECT("$1:$"&amp;COUNTA(Dates))))&gt;0)*(OFFSET(Client!$C$4,,,COUNTA(Dates)+1)=$B8))</f>
        <v>1</v>
      </c>
      <c r="E8" s="5">
        <v>4</v>
      </c>
      <c r="F8" s="10">
        <f ca="1">(Stats!$D8*1)/N3</f>
        <v>0.2</v>
      </c>
      <c r="G8" s="14">
        <f>Stats!$E8/N4</f>
        <v>0.18181818181818182</v>
      </c>
      <c r="I8" s="11">
        <f>SUMPRODUCT((Client!B7:B10="Personnalisé")*1,(Client!H7:H10&lt;3.3)*1-(Client!H7:H10&lt;=2.7)*1)</f>
        <v>0</v>
      </c>
      <c r="J8" s="11" t="e">
        <f>J14*Stats!$I8/I14</f>
        <v>#DIV/0!</v>
      </c>
    </row>
    <row r="9" spans="1:19" x14ac:dyDescent="0.25">
      <c r="B9"/>
      <c r="C9"/>
      <c r="D9"/>
      <c r="E9"/>
      <c r="F9"/>
      <c r="G9"/>
    </row>
    <row r="10" spans="1:19" x14ac:dyDescent="0.25">
      <c r="I10" s="1">
        <f>SUM(Stats!$I$4:$I$8)</f>
        <v>0</v>
      </c>
      <c r="J10" s="43">
        <v>1</v>
      </c>
    </row>
    <row r="13" spans="1:19" ht="29.25" customHeight="1" x14ac:dyDescent="0.25"/>
    <row r="27" spans="2:8" x14ac:dyDescent="0.25">
      <c r="B27" s="44" t="s">
        <v>60</v>
      </c>
      <c r="C27" t="s">
        <v>30</v>
      </c>
      <c r="D27" t="s">
        <v>62</v>
      </c>
      <c r="F27" s="44" t="s">
        <v>60</v>
      </c>
      <c r="G27" t="s">
        <v>30</v>
      </c>
      <c r="H27" t="s">
        <v>62</v>
      </c>
    </row>
    <row r="28" spans="2:8" x14ac:dyDescent="0.25">
      <c r="B28" s="45" t="s">
        <v>5</v>
      </c>
      <c r="C28" s="46">
        <v>2</v>
      </c>
      <c r="D28" s="46">
        <v>2</v>
      </c>
      <c r="F28" s="45" t="s">
        <v>14</v>
      </c>
      <c r="G28" s="46">
        <v>3</v>
      </c>
      <c r="H28" s="46">
        <v>3</v>
      </c>
    </row>
    <row r="29" spans="2:8" x14ac:dyDescent="0.25">
      <c r="B29" s="45" t="s">
        <v>16</v>
      </c>
      <c r="C29" s="46">
        <v>4</v>
      </c>
      <c r="D29" s="46">
        <v>2</v>
      </c>
      <c r="F29" s="45" t="s">
        <v>15</v>
      </c>
      <c r="G29" s="46">
        <v>4</v>
      </c>
      <c r="H29" s="46">
        <v>2</v>
      </c>
    </row>
    <row r="30" spans="2:8" x14ac:dyDescent="0.25">
      <c r="B30" s="45" t="s">
        <v>11</v>
      </c>
      <c r="C30" s="46">
        <v>1</v>
      </c>
      <c r="D30" s="46">
        <v>1</v>
      </c>
      <c r="F30" s="45" t="s">
        <v>61</v>
      </c>
      <c r="G30" s="46">
        <v>7</v>
      </c>
      <c r="H30" s="46">
        <v>5</v>
      </c>
    </row>
    <row r="31" spans="2:8" x14ac:dyDescent="0.25">
      <c r="B31" s="45" t="s">
        <v>61</v>
      </c>
      <c r="C31" s="46">
        <v>7</v>
      </c>
      <c r="D31" s="46">
        <v>5</v>
      </c>
      <c r="F31"/>
      <c r="G31"/>
      <c r="H31"/>
    </row>
    <row r="32" spans="2:8" x14ac:dyDescent="0.25">
      <c r="B32"/>
      <c r="C32"/>
      <c r="D32"/>
    </row>
    <row r="33" spans="2:4" x14ac:dyDescent="0.25">
      <c r="B33"/>
      <c r="C33"/>
      <c r="D33"/>
    </row>
    <row r="34" spans="2:4" x14ac:dyDescent="0.25">
      <c r="B34"/>
      <c r="C34"/>
      <c r="D34"/>
    </row>
    <row r="35" spans="2:4" x14ac:dyDescent="0.25">
      <c r="B35"/>
      <c r="C35"/>
      <c r="D35"/>
    </row>
    <row r="36" spans="2:4" x14ac:dyDescent="0.25">
      <c r="B36"/>
      <c r="C36"/>
      <c r="D36"/>
    </row>
    <row r="37" spans="2:4" x14ac:dyDescent="0.25">
      <c r="B37"/>
      <c r="C37"/>
      <c r="D37"/>
    </row>
    <row r="38" spans="2:4" x14ac:dyDescent="0.25">
      <c r="B38"/>
      <c r="C38"/>
      <c r="D38"/>
    </row>
    <row r="39" spans="2:4" x14ac:dyDescent="0.25">
      <c r="B39"/>
      <c r="C39"/>
      <c r="D39"/>
    </row>
    <row r="40" spans="2:4" x14ac:dyDescent="0.25">
      <c r="B40"/>
      <c r="C40"/>
      <c r="D40"/>
    </row>
    <row r="41" spans="2:4" x14ac:dyDescent="0.25">
      <c r="B41"/>
      <c r="C41"/>
      <c r="D41"/>
    </row>
    <row r="42" spans="2:4" x14ac:dyDescent="0.25">
      <c r="B42"/>
      <c r="C42"/>
      <c r="D42"/>
    </row>
    <row r="43" spans="2:4" x14ac:dyDescent="0.25">
      <c r="B43"/>
      <c r="C43"/>
      <c r="D43"/>
    </row>
    <row r="44" spans="2:4" x14ac:dyDescent="0.25">
      <c r="B44"/>
      <c r="C44"/>
      <c r="D44"/>
    </row>
  </sheetData>
  <mergeCells count="1">
    <mergeCell ref="A1:N1"/>
  </mergeCells>
  <phoneticPr fontId="14" type="noConversion"/>
  <pageMargins left="0.7" right="0.7" top="0.75" bottom="0.75" header="0.3" footer="0.3"/>
  <pageSetup paperSize="9" orientation="portrait" r:id="rId3"/>
  <ignoredErrors>
    <ignoredError sqref="G4:G5 G8 F5:F8" calculatedColumn="1"/>
  </ignoredErrors>
  <drawing r:id="rId4"/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</vt:lpstr>
      <vt:lpstr>Satisfaction</vt:lpstr>
      <vt:lpstr>Stats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</dc:creator>
  <cp:lastModifiedBy>Eric</cp:lastModifiedBy>
  <cp:lastPrinted>2015-02-04T13:59:56Z</cp:lastPrinted>
  <dcterms:created xsi:type="dcterms:W3CDTF">2015-01-20T20:45:39Z</dcterms:created>
  <dcterms:modified xsi:type="dcterms:W3CDTF">2015-03-16T09:54:24Z</dcterms:modified>
</cp:coreProperties>
</file>