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4400" yWindow="-15" windowWidth="14445" windowHeight="12300"/>
  </bookViews>
  <sheets>
    <sheet name="Bouclage" sheetId="4" r:id="rId1"/>
    <sheet name="Eau" sheetId="7" r:id="rId2"/>
    <sheet name="Cuivre" sheetId="6" r:id="rId3"/>
  </sheets>
  <externalReferences>
    <externalReference r:id="rId4"/>
  </externalReferences>
  <definedNames>
    <definedName name="solver_cvg" localSheetId="2" hidden="1">0.001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hs1" localSheetId="2" hidden="1">Cuivre!$K$16</definedName>
    <definedName name="solver_lhs2" localSheetId="2" hidden="1">Cuivre!$K$16</definedName>
    <definedName name="solver_lhs3" localSheetId="2" hidden="1">Cuivre!$K$14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pre" localSheetId="2" hidden="1">0.000001</definedName>
    <definedName name="solver_rel1" localSheetId="2" hidden="1">3</definedName>
    <definedName name="solver_rel2" localSheetId="2" hidden="1">3</definedName>
    <definedName name="solver_rel3" localSheetId="2" hidden="1">3</definedName>
    <definedName name="solver_rhs1" localSheetId="2" hidden="1">Cuivre!$L$7</definedName>
    <definedName name="solver_rhs2" localSheetId="2" hidden="1">Cuivre!$L$7</definedName>
    <definedName name="solver_rhs3" localSheetId="2" hidden="1">Cuivre!$L$7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  <definedName name="tm">[1]Données!#REF!</definedName>
    <definedName name="_xlnm.Print_Area" localSheetId="0">Bouclage!$C$4:$V$55</definedName>
  </definedNames>
  <calcPr calcId="145621"/>
</workbook>
</file>

<file path=xl/calcChain.xml><?xml version="1.0" encoding="utf-8"?>
<calcChain xmlns="http://schemas.openxmlformats.org/spreadsheetml/2006/main">
  <c r="R25" i="4" l="1"/>
  <c r="R49" i="4"/>
  <c r="R47" i="4"/>
  <c r="T47" i="4" s="1"/>
  <c r="R45" i="4"/>
  <c r="R29" i="4" s="1"/>
  <c r="R43" i="4"/>
  <c r="T43" i="4" s="1"/>
  <c r="R40" i="4"/>
  <c r="T40" i="4" s="1"/>
  <c r="R39" i="4"/>
  <c r="R41" i="4"/>
  <c r="T41" i="4" s="1"/>
  <c r="R35" i="4"/>
  <c r="T35" i="4" s="1"/>
  <c r="R34" i="4"/>
  <c r="T34" i="4" s="1"/>
  <c r="R38" i="4"/>
  <c r="T38" i="4" s="1"/>
  <c r="R36" i="4"/>
  <c r="V49" i="4"/>
  <c r="O49" i="4"/>
  <c r="N49" i="4"/>
  <c r="L49" i="4"/>
  <c r="M49" i="4" s="1"/>
  <c r="K49" i="4"/>
  <c r="X49" i="4" s="1"/>
  <c r="V48" i="4"/>
  <c r="O48" i="4"/>
  <c r="N48" i="4"/>
  <c r="L48" i="4"/>
  <c r="M48" i="4" s="1"/>
  <c r="K48" i="4"/>
  <c r="X48" i="4" s="1"/>
  <c r="V36" i="4"/>
  <c r="V29" i="4"/>
  <c r="V50" i="4"/>
  <c r="O50" i="4"/>
  <c r="N50" i="4"/>
  <c r="L50" i="4"/>
  <c r="M50" i="4" s="1"/>
  <c r="K50" i="4"/>
  <c r="X50" i="4" s="1"/>
  <c r="V47" i="4"/>
  <c r="O47" i="4"/>
  <c r="N47" i="4"/>
  <c r="L47" i="4"/>
  <c r="M47" i="4" s="1"/>
  <c r="K47" i="4"/>
  <c r="X47" i="4" s="1"/>
  <c r="V43" i="4"/>
  <c r="O43" i="4"/>
  <c r="N43" i="4"/>
  <c r="L43" i="4"/>
  <c r="M43" i="4" s="1"/>
  <c r="K43" i="4"/>
  <c r="X43" i="4" s="1"/>
  <c r="V42" i="4"/>
  <c r="O42" i="4"/>
  <c r="N42" i="4"/>
  <c r="L42" i="4"/>
  <c r="M42" i="4" s="1"/>
  <c r="K42" i="4"/>
  <c r="X42" i="4" s="1"/>
  <c r="V41" i="4"/>
  <c r="O41" i="4"/>
  <c r="N41" i="4"/>
  <c r="L41" i="4"/>
  <c r="M41" i="4" s="1"/>
  <c r="K41" i="4"/>
  <c r="X41" i="4" s="1"/>
  <c r="V40" i="4"/>
  <c r="O40" i="4"/>
  <c r="N40" i="4"/>
  <c r="L40" i="4"/>
  <c r="M40" i="4" s="1"/>
  <c r="K40" i="4"/>
  <c r="X40" i="4" s="1"/>
  <c r="V38" i="4"/>
  <c r="O38" i="4"/>
  <c r="N38" i="4"/>
  <c r="L38" i="4"/>
  <c r="M38" i="4" s="1"/>
  <c r="K38" i="4"/>
  <c r="X38" i="4" s="1"/>
  <c r="V46" i="4"/>
  <c r="O46" i="4"/>
  <c r="N46" i="4"/>
  <c r="L46" i="4"/>
  <c r="M46" i="4" s="1"/>
  <c r="K46" i="4"/>
  <c r="X46" i="4" s="1"/>
  <c r="T36" i="4"/>
  <c r="O36" i="4"/>
  <c r="N36" i="4"/>
  <c r="L36" i="4"/>
  <c r="M36" i="4" s="1"/>
  <c r="K36" i="4"/>
  <c r="X36" i="4" s="1"/>
  <c r="V35" i="4"/>
  <c r="O35" i="4"/>
  <c r="N35" i="4"/>
  <c r="L35" i="4"/>
  <c r="M35" i="4" s="1"/>
  <c r="K35" i="4"/>
  <c r="X35" i="4" s="1"/>
  <c r="V34" i="4"/>
  <c r="O34" i="4"/>
  <c r="N34" i="4"/>
  <c r="L34" i="4"/>
  <c r="M34" i="4" s="1"/>
  <c r="K34" i="4"/>
  <c r="X34" i="4" s="1"/>
  <c r="V33" i="4"/>
  <c r="O33" i="4"/>
  <c r="N33" i="4"/>
  <c r="L33" i="4"/>
  <c r="M33" i="4" s="1"/>
  <c r="K33" i="4"/>
  <c r="X33" i="4" s="1"/>
  <c r="V32" i="4"/>
  <c r="O32" i="4"/>
  <c r="N32" i="4"/>
  <c r="L32" i="4"/>
  <c r="M32" i="4" s="1"/>
  <c r="K32" i="4"/>
  <c r="X32" i="4" s="1"/>
  <c r="V31" i="4"/>
  <c r="O31" i="4"/>
  <c r="N31" i="4"/>
  <c r="L31" i="4"/>
  <c r="M31" i="4" s="1"/>
  <c r="K31" i="4"/>
  <c r="X31" i="4" s="1"/>
  <c r="L26" i="4"/>
  <c r="L27" i="4"/>
  <c r="L28" i="4"/>
  <c r="L29" i="4"/>
  <c r="L30" i="4"/>
  <c r="L39" i="4"/>
  <c r="L44" i="4"/>
  <c r="L45" i="4"/>
  <c r="L25" i="4"/>
  <c r="L24" i="4"/>
  <c r="R31" i="4" l="1"/>
  <c r="T31" i="4" s="1"/>
  <c r="R27" i="4"/>
  <c r="T27" i="4" s="1"/>
  <c r="R33" i="4"/>
  <c r="T33" i="4" s="1"/>
  <c r="R42" i="4"/>
  <c r="S42" i="4" s="1"/>
  <c r="S49" i="4"/>
  <c r="T49" i="4"/>
  <c r="S40" i="4"/>
  <c r="S38" i="4"/>
  <c r="S47" i="4"/>
  <c r="S34" i="4"/>
  <c r="S41" i="4"/>
  <c r="S43" i="4"/>
  <c r="S35" i="4"/>
  <c r="S36" i="4"/>
  <c r="S33" i="4"/>
  <c r="S31" i="4"/>
  <c r="T25" i="4"/>
  <c r="T29" i="4"/>
  <c r="T30" i="4"/>
  <c r="T39" i="4"/>
  <c r="T45" i="4"/>
  <c r="V28" i="4"/>
  <c r="O29" i="4"/>
  <c r="N29" i="4"/>
  <c r="M29" i="4"/>
  <c r="K29" i="4"/>
  <c r="X29" i="4" s="1"/>
  <c r="M28" i="4"/>
  <c r="K28" i="4"/>
  <c r="X28" i="4" s="1"/>
  <c r="N28" i="4"/>
  <c r="O28" i="4"/>
  <c r="X51" i="4"/>
  <c r="X52" i="4"/>
  <c r="B22" i="7"/>
  <c r="G5" i="6"/>
  <c r="A26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V30" i="4"/>
  <c r="O30" i="4"/>
  <c r="N30" i="4"/>
  <c r="M30" i="4"/>
  <c r="K30" i="4"/>
  <c r="X30" i="4" s="1"/>
  <c r="V45" i="4"/>
  <c r="V25" i="4"/>
  <c r="V26" i="4"/>
  <c r="V27" i="4"/>
  <c r="V39" i="4"/>
  <c r="V44" i="4"/>
  <c r="S52" i="4"/>
  <c r="O45" i="4"/>
  <c r="N45" i="4"/>
  <c r="M45" i="4"/>
  <c r="K45" i="4"/>
  <c r="X45" i="4" s="1"/>
  <c r="O44" i="4"/>
  <c r="N44" i="4"/>
  <c r="M44" i="4"/>
  <c r="K44" i="4"/>
  <c r="X44" i="4" s="1"/>
  <c r="K39" i="4"/>
  <c r="X39" i="4" s="1"/>
  <c r="M39" i="4"/>
  <c r="N26" i="4"/>
  <c r="O26" i="4"/>
  <c r="N27" i="4"/>
  <c r="O27" i="4"/>
  <c r="N39" i="4"/>
  <c r="O39" i="4"/>
  <c r="M26" i="4"/>
  <c r="M27" i="4"/>
  <c r="K26" i="4"/>
  <c r="X26" i="4" s="1"/>
  <c r="K27" i="4"/>
  <c r="X27" i="4" s="1"/>
  <c r="M24" i="4"/>
  <c r="M25" i="4"/>
  <c r="Q53" i="4"/>
  <c r="N25" i="4"/>
  <c r="O25" i="4"/>
  <c r="K25" i="4"/>
  <c r="X25" i="4" s="1"/>
  <c r="N24" i="4"/>
  <c r="O24" i="4"/>
  <c r="K24" i="4"/>
  <c r="X24" i="4" s="1"/>
  <c r="N18" i="4"/>
  <c r="N17" i="4"/>
  <c r="N16" i="4"/>
  <c r="N15" i="4"/>
  <c r="N14" i="4"/>
  <c r="N13" i="4"/>
  <c r="N12" i="4"/>
  <c r="N11" i="4"/>
  <c r="N10" i="4"/>
  <c r="T42" i="4" l="1"/>
  <c r="R32" i="4"/>
  <c r="R44" i="4"/>
  <c r="S29" i="4"/>
  <c r="S45" i="4"/>
  <c r="S25" i="4"/>
  <c r="S30" i="4"/>
  <c r="S39" i="4"/>
  <c r="S27" i="4"/>
  <c r="M53" i="4"/>
  <c r="Q54" i="4" s="1"/>
  <c r="D22" i="7"/>
  <c r="C22" i="7"/>
  <c r="D3" i="6" s="1"/>
  <c r="E22" i="7"/>
  <c r="D4" i="6" s="1"/>
  <c r="M11" i="6"/>
  <c r="M12" i="6"/>
  <c r="M13" i="6"/>
  <c r="M14" i="6"/>
  <c r="M15" i="6"/>
  <c r="M16" i="6"/>
  <c r="M17" i="6"/>
  <c r="M18" i="6"/>
  <c r="M19" i="6"/>
  <c r="M20" i="6"/>
  <c r="M21" i="6"/>
  <c r="M22" i="6"/>
  <c r="A25" i="6"/>
  <c r="T32" i="4" l="1"/>
  <c r="S32" i="4"/>
  <c r="R46" i="4"/>
  <c r="T44" i="4"/>
  <c r="S44" i="4"/>
  <c r="D14" i="4"/>
  <c r="F14" i="4" s="1"/>
  <c r="V24" i="4"/>
  <c r="V53" i="4" s="1"/>
  <c r="V55" i="4" s="1"/>
  <c r="I11" i="6"/>
  <c r="J11" i="6" s="1"/>
  <c r="L11" i="6" s="1"/>
  <c r="I20" i="6"/>
  <c r="J20" i="6" s="1"/>
  <c r="L20" i="6" s="1"/>
  <c r="I18" i="6"/>
  <c r="J18" i="6" s="1"/>
  <c r="L18" i="6" s="1"/>
  <c r="I16" i="6"/>
  <c r="J16" i="6" s="1"/>
  <c r="L16" i="6" s="1"/>
  <c r="I14" i="6"/>
  <c r="J14" i="6" s="1"/>
  <c r="L14" i="6" s="1"/>
  <c r="I12" i="6"/>
  <c r="J12" i="6" s="1"/>
  <c r="L12" i="6" s="1"/>
  <c r="I22" i="6"/>
  <c r="J22" i="6" s="1"/>
  <c r="L22" i="6" s="1"/>
  <c r="I21" i="6"/>
  <c r="J21" i="6" s="1"/>
  <c r="L21" i="6" s="1"/>
  <c r="I19" i="6"/>
  <c r="J19" i="6" s="1"/>
  <c r="L19" i="6" s="1"/>
  <c r="I17" i="6"/>
  <c r="J17" i="6" s="1"/>
  <c r="L17" i="6" s="1"/>
  <c r="I15" i="6"/>
  <c r="J15" i="6" s="1"/>
  <c r="L15" i="6" s="1"/>
  <c r="I13" i="6"/>
  <c r="J13" i="6" s="1"/>
  <c r="L13" i="6" s="1"/>
  <c r="T46" i="4" l="1"/>
  <c r="R48" i="4"/>
  <c r="R28" i="4"/>
  <c r="S46" i="4"/>
  <c r="B28" i="6"/>
  <c r="C28" i="6"/>
  <c r="R26" i="4" l="1"/>
  <c r="R50" i="4"/>
  <c r="T48" i="4"/>
  <c r="S48" i="4"/>
  <c r="T28" i="4"/>
  <c r="S28" i="4"/>
  <c r="R24" i="4" l="1"/>
  <c r="S50" i="4"/>
  <c r="T50" i="4"/>
  <c r="T26" i="4"/>
  <c r="S26" i="4"/>
  <c r="T24" i="4" l="1"/>
  <c r="S24" i="4"/>
</calcChain>
</file>

<file path=xl/sharedStrings.xml><?xml version="1.0" encoding="utf-8"?>
<sst xmlns="http://schemas.openxmlformats.org/spreadsheetml/2006/main" count="194" uniqueCount="132">
  <si>
    <t>[°C]</t>
  </si>
  <si>
    <t>[W]</t>
  </si>
  <si>
    <t>NOTE DE CALCUL POUR LE DIMENSIONNEMENT DU SYSTEME DE BOUCLAGE D'EAU CHAUDE SANITAIRE</t>
  </si>
  <si>
    <t>DONNEES DU PROJET :</t>
  </si>
  <si>
    <t>Valeurs de température à respecter :</t>
  </si>
  <si>
    <t>Volumes morts autorisés (contenance &lt; 3 litres) :</t>
  </si>
  <si>
    <t>Stockage ECS (MINI)</t>
  </si>
  <si>
    <t>°C</t>
  </si>
  <si>
    <t>Type de tuyauterie</t>
  </si>
  <si>
    <t>Diamètre intérieur</t>
  </si>
  <si>
    <t>Diamètre extérieur</t>
  </si>
  <si>
    <t>Contenance [L/ml]</t>
  </si>
  <si>
    <t>Longueur maxi [ml]</t>
  </si>
  <si>
    <t>Circuit de distribution ECS (MINI)</t>
  </si>
  <si>
    <t>Tube cuivre Ø 12x1</t>
  </si>
  <si>
    <t>Puisage ECS (MAXI)</t>
  </si>
  <si>
    <t>Tube cuivre Ø 14x1</t>
  </si>
  <si>
    <t>Valeur à dimensionner</t>
  </si>
  <si>
    <t>Tube cuivre Ø 16x1</t>
  </si>
  <si>
    <t>Température de départ bouclage / ECS</t>
  </si>
  <si>
    <t>Tube cuivre Ø 18x1</t>
  </si>
  <si>
    <t>Valeur imposée par le projet</t>
  </si>
  <si>
    <t>Température de retour bouclage</t>
  </si>
  <si>
    <t>Tube cuivre Ø 22x1</t>
  </si>
  <si>
    <t>Tube cuivre Ø 28x1</t>
  </si>
  <si>
    <t>Valeur validée</t>
  </si>
  <si>
    <t>Caractéristiques du calorifuge de tuyauterie :</t>
  </si>
  <si>
    <t>Tube cuivre Ø 32x1</t>
  </si>
  <si>
    <t>Lambda</t>
  </si>
  <si>
    <t>Tube cuivre Ø 40x1</t>
  </si>
  <si>
    <t>Erreur ou valeur incorrecte</t>
  </si>
  <si>
    <t>Tube cuivre Ø 52x1</t>
  </si>
  <si>
    <t>Repèrage</t>
  </si>
  <si>
    <t>Nœuds</t>
  </si>
  <si>
    <t>T° ambiante</t>
  </si>
  <si>
    <t>Type</t>
  </si>
  <si>
    <t>Longueur de tuyauterie [ml]</t>
  </si>
  <si>
    <t>Désignation du type de tuyauterie</t>
  </si>
  <si>
    <t>Puissance de dépertition</t>
  </si>
  <si>
    <t>Débit théoriques par tuyauterie [m3/h]</t>
  </si>
  <si>
    <t>Débit réèl par tuyauterie [m3/h]</t>
  </si>
  <si>
    <t>Hm</t>
  </si>
  <si>
    <t>Départ</t>
  </si>
  <si>
    <t>Arrivée</t>
  </si>
  <si>
    <t>[W/ml]</t>
  </si>
  <si>
    <t>mini à 0,2 m/s</t>
  </si>
  <si>
    <t>maxi à 1,5 m/s</t>
  </si>
  <si>
    <t>Rep. Vanne</t>
  </si>
  <si>
    <t>à régler</t>
  </si>
  <si>
    <t>Débit [m3/h]</t>
  </si>
  <si>
    <t>mmCE/ml</t>
  </si>
  <si>
    <t>mmCE</t>
  </si>
  <si>
    <t>Tube n° 1</t>
  </si>
  <si>
    <t>Tube n° 2</t>
  </si>
  <si>
    <t>Puissance de déperdition totale du réseau bouclé [W] =</t>
  </si>
  <si>
    <t>Débit de bouclage retenu [m3/h] =</t>
  </si>
  <si>
    <t>HmT [mCE] =</t>
  </si>
  <si>
    <t>Débit bouclage maxi à dT(5K) [m3/h] =</t>
  </si>
  <si>
    <t>Coef. Sécu =</t>
  </si>
  <si>
    <t>Tube n° 3</t>
  </si>
  <si>
    <t>Tube n° 4</t>
  </si>
  <si>
    <t>Tube n° 5</t>
  </si>
  <si>
    <t>Tube n° 8</t>
  </si>
  <si>
    <t>Tube n° 12</t>
  </si>
  <si>
    <t>Tube n° 13</t>
  </si>
  <si>
    <t>Tube n° 14</t>
  </si>
  <si>
    <t>Tube n° 17</t>
  </si>
  <si>
    <t>Tube n° 18</t>
  </si>
  <si>
    <t>Masse volumique [kg/m3]</t>
  </si>
  <si>
    <t>Débit</t>
  </si>
  <si>
    <t>Viscosité dynamique [kg/m.s]</t>
  </si>
  <si>
    <t>Perte de charge maximum [mmCE]</t>
  </si>
  <si>
    <t>Rugosité [mm]</t>
  </si>
  <si>
    <t>Vitesse maximum [m/s]</t>
  </si>
  <si>
    <t>Accélération de la gravité [m/s2]</t>
  </si>
  <si>
    <t>DN</t>
  </si>
  <si>
    <t>Repère filetage</t>
  </si>
  <si>
    <t>Diamètre extérieur [mm]</t>
  </si>
  <si>
    <t>Epaisseur [mm]</t>
  </si>
  <si>
    <t>Diamètre intérieur [mm]</t>
  </si>
  <si>
    <t>Section [mm²]</t>
  </si>
  <si>
    <t>Vitesse [m/s]</t>
  </si>
  <si>
    <t>Reynolds</t>
  </si>
  <si>
    <r>
      <t>l</t>
    </r>
    <r>
      <rPr>
        <b/>
        <i/>
        <sz val="10"/>
        <color indexed="43"/>
        <rFont val="Arial"/>
        <family val="2"/>
      </rPr>
      <t xml:space="preserve"> simplifié</t>
    </r>
  </si>
  <si>
    <r>
      <t>l</t>
    </r>
    <r>
      <rPr>
        <b/>
        <i/>
        <sz val="10"/>
        <color indexed="43"/>
        <rFont val="Arial"/>
        <family val="2"/>
      </rPr>
      <t xml:space="preserve"> Colebrook</t>
    </r>
  </si>
  <si>
    <t>Formule</t>
  </si>
  <si>
    <t>J Colebrook</t>
  </si>
  <si>
    <t/>
  </si>
  <si>
    <t>Solveur</t>
  </si>
  <si>
    <t>Régression quadratique</t>
  </si>
  <si>
    <t>Aeroconseil</t>
  </si>
  <si>
    <r>
      <t> </t>
    </r>
    <r>
      <rPr>
        <b/>
        <sz val="8"/>
        <color indexed="9"/>
        <rFont val="Times New Roman"/>
        <family val="1"/>
      </rPr>
      <t>05 61 71 00 11</t>
    </r>
  </si>
  <si>
    <t>Eau</t>
  </si>
  <si>
    <t>Température</t>
  </si>
  <si>
    <t>Capacité calorifique [J/kg.°C}</t>
  </si>
  <si>
    <t>Monoéthylène Glycol</t>
  </si>
  <si>
    <t>Glycol à 80°C</t>
  </si>
  <si>
    <t>Pourcentage glycol</t>
  </si>
  <si>
    <t>Pourcentage de glycol</t>
  </si>
  <si>
    <t>Cuivre</t>
  </si>
  <si>
    <t>Diam imposé</t>
  </si>
  <si>
    <t>A améliorer</t>
  </si>
  <si>
    <t>Vitesse réel</t>
  </si>
  <si>
    <t>[m/s]</t>
  </si>
  <si>
    <t>Epaisseur</t>
  </si>
  <si>
    <t>calorifuge [mm]</t>
  </si>
  <si>
    <t>calorifuge [W/m².K]</t>
  </si>
  <si>
    <t>formule de puissance deper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</si>
  <si>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</si>
  <si>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</si>
  <si>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</si>
  <si>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</si>
  <si>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</si>
  <si>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</si>
  <si>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</si>
  <si>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</si>
  <si>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</si>
  <si>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</si>
  <si>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</si>
  <si>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</si>
  <si>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</si>
  <si>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</si>
  <si>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V7</t>
  </si>
  <si>
    <t>V6</t>
  </si>
  <si>
    <t>V5</t>
  </si>
  <si>
    <t>V4</t>
  </si>
  <si>
    <t>V3</t>
  </si>
  <si>
    <t>V2</t>
  </si>
  <si>
    <t>V1</t>
  </si>
  <si>
    <t>Prendre en compte la PDC du réseau le plus défavorisé</t>
  </si>
  <si>
    <t>Réseau défavorisé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</si>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</sst>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.000"/>
    <numFmt numFmtId="165" formatCode="0.0"/>
    <numFmt numFmtId="166" formatCode="#,##0.0000"/>
    <numFmt numFmtId="167" formatCode="0.0000"/>
    <numFmt numFmtId="168" formatCode="#,##0.000"/>
    <numFmt numFmtId="169" formatCode="_-* #,##0\ _€_-;\-* #,##0\ _€_-;_-* &quot;-&quot;??\ _€_-;_-@_-"/>
    <numFmt numFmtId="170" formatCode="0.00000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color indexed="61"/>
      <name val="Arial"/>
      <family val="2"/>
    </font>
    <font>
      <b/>
      <sz val="10"/>
      <color indexed="10"/>
      <name val="Arial"/>
      <family val="2"/>
    </font>
    <font>
      <sz val="10"/>
      <color indexed="40"/>
      <name val="Arial"/>
      <family val="2"/>
    </font>
    <font>
      <sz val="10"/>
      <color indexed="50"/>
      <name val="Arial"/>
      <family val="2"/>
    </font>
    <font>
      <b/>
      <sz val="10"/>
      <color indexed="4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i/>
      <sz val="10"/>
      <color indexed="43"/>
      <name val="Arial"/>
      <family val="2"/>
    </font>
    <font>
      <b/>
      <i/>
      <sz val="10"/>
      <color indexed="43"/>
      <name val="Symbol"/>
      <family val="1"/>
      <charset val="2"/>
    </font>
    <font>
      <sz val="10"/>
      <color indexed="9"/>
      <name val="Times New Roman"/>
      <family val="1"/>
    </font>
    <font>
      <sz val="8"/>
      <color indexed="9"/>
      <name val="Times New Roman"/>
      <family val="1"/>
    </font>
    <font>
      <b/>
      <sz val="8"/>
      <color indexed="9"/>
      <name val="Times New Roman"/>
      <family val="1"/>
    </font>
    <font>
      <b/>
      <i/>
      <sz val="18"/>
      <name val="Arial"/>
      <family val="2"/>
    </font>
    <font>
      <b/>
      <i/>
      <sz val="12"/>
      <name val="Arial"/>
      <family val="2"/>
    </font>
    <font>
      <sz val="10"/>
      <color indexed="4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43" fontId="12" fillId="0" borderId="0" applyFon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0" fontId="0" fillId="2" borderId="0" xfId="0" applyFill="1"/>
    <xf numFmtId="0" fontId="6" fillId="0" borderId="0" xfId="0" applyFont="1"/>
    <xf numFmtId="0" fontId="0" fillId="3" borderId="0" xfId="0" applyFill="1"/>
    <xf numFmtId="165" fontId="0" fillId="0" borderId="0" xfId="0" applyNumberFormat="1"/>
    <xf numFmtId="0" fontId="7" fillId="0" borderId="0" xfId="0" applyFont="1"/>
    <xf numFmtId="0" fontId="0" fillId="4" borderId="0" xfId="0" applyFill="1"/>
    <xf numFmtId="0" fontId="0" fillId="5" borderId="0" xfId="0" applyFill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4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" fontId="1" fillId="0" borderId="8" xfId="0" applyNumberFormat="1" applyFont="1" applyFill="1" applyBorder="1" applyAlignment="1">
      <alignment horizontal="center"/>
    </xf>
    <xf numFmtId="4" fontId="8" fillId="0" borderId="26" xfId="0" applyNumberFormat="1" applyFont="1" applyFill="1" applyBorder="1" applyAlignment="1">
      <alignment horizontal="center"/>
    </xf>
    <xf numFmtId="4" fontId="8" fillId="0" borderId="8" xfId="0" applyNumberFormat="1" applyFon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167" fontId="6" fillId="0" borderId="27" xfId="0" applyNumberFormat="1" applyFont="1" applyBorder="1" applyAlignment="1">
      <alignment horizontal="center"/>
    </xf>
    <xf numFmtId="167" fontId="8" fillId="0" borderId="27" xfId="0" applyNumberFormat="1" applyFont="1" applyBorder="1" applyAlignment="1">
      <alignment horizontal="center"/>
    </xf>
    <xf numFmtId="0" fontId="0" fillId="0" borderId="13" xfId="0" applyBorder="1"/>
    <xf numFmtId="0" fontId="6" fillId="0" borderId="10" xfId="0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4" fontId="1" fillId="0" borderId="12" xfId="0" applyNumberFormat="1" applyFont="1" applyFill="1" applyBorder="1" applyAlignment="1">
      <alignment horizontal="center"/>
    </xf>
    <xf numFmtId="4" fontId="8" fillId="0" borderId="12" xfId="0" applyNumberFormat="1" applyFon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7" fontId="6" fillId="0" borderId="12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67" fontId="6" fillId="0" borderId="28" xfId="0" applyNumberFormat="1" applyFont="1" applyBorder="1" applyAlignment="1">
      <alignment horizontal="center"/>
    </xf>
    <xf numFmtId="167" fontId="8" fillId="0" borderId="29" xfId="0" applyNumberFormat="1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right"/>
    </xf>
    <xf numFmtId="4" fontId="5" fillId="0" borderId="18" xfId="0" applyNumberFormat="1" applyFont="1" applyBorder="1" applyAlignment="1"/>
    <xf numFmtId="4" fontId="5" fillId="0" borderId="31" xfId="0" applyNumberFormat="1" applyFont="1" applyBorder="1" applyAlignment="1"/>
    <xf numFmtId="4" fontId="10" fillId="0" borderId="32" xfId="0" applyNumberFormat="1" applyFont="1" applyBorder="1" applyAlignment="1">
      <alignment horizontal="center"/>
    </xf>
    <xf numFmtId="168" fontId="10" fillId="0" borderId="5" xfId="0" applyNumberFormat="1" applyFont="1" applyBorder="1" applyAlignment="1">
      <alignment horizontal="center"/>
    </xf>
    <xf numFmtId="168" fontId="5" fillId="0" borderId="33" xfId="0" applyNumberFormat="1" applyFont="1" applyBorder="1" applyAlignment="1">
      <alignment horizontal="center"/>
    </xf>
    <xf numFmtId="0" fontId="0" fillId="0" borderId="6" xfId="0" applyBorder="1" applyAlignment="1">
      <alignment horizontal="right"/>
    </xf>
    <xf numFmtId="2" fontId="0" fillId="0" borderId="34" xfId="0" applyNumberFormat="1" applyBorder="1"/>
    <xf numFmtId="0" fontId="0" fillId="0" borderId="0" xfId="0" applyAlignment="1">
      <alignment horizontal="right"/>
    </xf>
    <xf numFmtId="168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9" fontId="0" fillId="0" borderId="35" xfId="0" applyNumberFormat="1" applyBorder="1"/>
    <xf numFmtId="0" fontId="5" fillId="0" borderId="14" xfId="0" applyFont="1" applyBorder="1" applyAlignment="1">
      <alignment horizontal="right"/>
    </xf>
    <xf numFmtId="2" fontId="5" fillId="0" borderId="36" xfId="0" applyNumberFormat="1" applyFont="1" applyBorder="1"/>
    <xf numFmtId="0" fontId="8" fillId="0" borderId="28" xfId="0" applyFont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4" xfId="0" applyFont="1" applyBorder="1" applyAlignment="1">
      <alignment horizontal="right"/>
    </xf>
    <xf numFmtId="0" fontId="11" fillId="0" borderId="0" xfId="1" applyFont="1"/>
    <xf numFmtId="43" fontId="11" fillId="0" borderId="0" xfId="2" applyNumberFormat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wrapText="1"/>
    </xf>
    <xf numFmtId="0" fontId="11" fillId="6" borderId="12" xfId="1" applyFont="1" applyFill="1" applyBorder="1" applyAlignment="1">
      <alignment horizontal="center" vertical="center" wrapText="1"/>
    </xf>
    <xf numFmtId="0" fontId="11" fillId="6" borderId="12" xfId="1" applyFont="1" applyFill="1" applyBorder="1" applyAlignment="1">
      <alignment vertical="center" wrapText="1"/>
    </xf>
    <xf numFmtId="0" fontId="11" fillId="6" borderId="12" xfId="1" applyFont="1" applyFill="1" applyBorder="1" applyAlignment="1">
      <alignment horizontal="center" vertical="center"/>
    </xf>
    <xf numFmtId="0" fontId="11" fillId="0" borderId="0" xfId="1" applyFont="1" applyAlignment="1">
      <alignment horizontal="center" wrapText="1"/>
    </xf>
    <xf numFmtId="0" fontId="12" fillId="0" borderId="0" xfId="1"/>
    <xf numFmtId="43" fontId="12" fillId="0" borderId="0" xfId="2" applyNumberFormat="1"/>
    <xf numFmtId="0" fontId="12" fillId="0" borderId="0" xfId="1" applyAlignment="1">
      <alignment horizontal="center"/>
    </xf>
    <xf numFmtId="0" fontId="13" fillId="7" borderId="49" xfId="1" applyFont="1" applyFill="1" applyBorder="1" applyAlignment="1">
      <alignment horizontal="center" vertical="center" wrapText="1"/>
    </xf>
    <xf numFmtId="0" fontId="13" fillId="7" borderId="50" xfId="1" applyFont="1" applyFill="1" applyBorder="1" applyAlignment="1">
      <alignment horizontal="center" vertical="center" wrapText="1"/>
    </xf>
    <xf numFmtId="43" fontId="13" fillId="7" borderId="50" xfId="2" applyNumberFormat="1" applyFont="1" applyFill="1" applyBorder="1" applyAlignment="1">
      <alignment horizontal="center" vertical="center" wrapText="1"/>
    </xf>
    <xf numFmtId="0" fontId="14" fillId="7" borderId="50" xfId="1" applyFont="1" applyFill="1" applyBorder="1" applyAlignment="1">
      <alignment horizontal="center" vertical="center" wrapText="1"/>
    </xf>
    <xf numFmtId="0" fontId="13" fillId="7" borderId="51" xfId="1" applyFont="1" applyFill="1" applyBorder="1" applyAlignment="1">
      <alignment horizontal="center" vertical="center" wrapText="1"/>
    </xf>
    <xf numFmtId="0" fontId="11" fillId="0" borderId="37" xfId="1" applyFont="1" applyBorder="1" applyAlignment="1">
      <alignment horizontal="center"/>
    </xf>
    <xf numFmtId="49" fontId="11" fillId="0" borderId="0" xfId="1" applyNumberFormat="1" applyFont="1" applyBorder="1" applyAlignment="1">
      <alignment horizontal="center"/>
    </xf>
    <xf numFmtId="0" fontId="11" fillId="8" borderId="0" xfId="1" applyFont="1" applyFill="1" applyBorder="1" applyAlignment="1">
      <alignment horizontal="center"/>
    </xf>
    <xf numFmtId="0" fontId="11" fillId="0" borderId="0" xfId="1" applyFont="1" applyBorder="1" applyAlignment="1">
      <alignment horizontal="center"/>
    </xf>
    <xf numFmtId="169" fontId="11" fillId="0" borderId="0" xfId="2" applyNumberFormat="1" applyFont="1" applyBorder="1" applyAlignment="1">
      <alignment horizontal="center"/>
    </xf>
    <xf numFmtId="165" fontId="11" fillId="0" borderId="0" xfId="1" applyNumberFormat="1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167" fontId="11" fillId="0" borderId="0" xfId="1" applyNumberFormat="1" applyFont="1" applyBorder="1" applyAlignment="1">
      <alignment horizontal="center"/>
    </xf>
    <xf numFmtId="1" fontId="11" fillId="0" borderId="52" xfId="1" applyNumberFormat="1" applyFont="1" applyBorder="1" applyAlignment="1">
      <alignment horizontal="center"/>
    </xf>
    <xf numFmtId="1" fontId="12" fillId="0" borderId="0" xfId="1" applyNumberFormat="1"/>
    <xf numFmtId="165" fontId="12" fillId="0" borderId="0" xfId="1" applyNumberFormat="1" applyAlignment="1">
      <alignment horizontal="center"/>
    </xf>
    <xf numFmtId="0" fontId="11" fillId="9" borderId="0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49" fontId="11" fillId="0" borderId="21" xfId="1" applyNumberFormat="1" applyFont="1" applyBorder="1" applyAlignment="1">
      <alignment horizontal="center"/>
    </xf>
    <xf numFmtId="0" fontId="11" fillId="9" borderId="21" xfId="1" applyFont="1" applyFill="1" applyBorder="1" applyAlignment="1">
      <alignment horizontal="center"/>
    </xf>
    <xf numFmtId="0" fontId="11" fillId="0" borderId="21" xfId="1" applyFont="1" applyBorder="1" applyAlignment="1">
      <alignment horizontal="center"/>
    </xf>
    <xf numFmtId="169" fontId="11" fillId="0" borderId="21" xfId="2" applyNumberFormat="1" applyFont="1" applyBorder="1" applyAlignment="1">
      <alignment horizontal="center"/>
    </xf>
    <xf numFmtId="165" fontId="11" fillId="0" borderId="21" xfId="1" applyNumberFormat="1" applyFont="1" applyBorder="1" applyAlignment="1">
      <alignment horizontal="center"/>
    </xf>
    <xf numFmtId="1" fontId="11" fillId="0" borderId="21" xfId="1" applyNumberFormat="1" applyFont="1" applyBorder="1" applyAlignment="1">
      <alignment horizontal="center"/>
    </xf>
    <xf numFmtId="167" fontId="11" fillId="0" borderId="21" xfId="1" applyNumberFormat="1" applyFont="1" applyBorder="1" applyAlignment="1">
      <alignment horizontal="center"/>
    </xf>
    <xf numFmtId="1" fontId="11" fillId="0" borderId="53" xfId="1" applyNumberFormat="1" applyFont="1" applyBorder="1" applyAlignment="1">
      <alignment horizontal="center"/>
    </xf>
    <xf numFmtId="0" fontId="12" fillId="0" borderId="0" xfId="1" applyBorder="1"/>
    <xf numFmtId="0" fontId="15" fillId="0" borderId="0" xfId="1" applyFont="1" applyFill="1"/>
    <xf numFmtId="0" fontId="16" fillId="0" borderId="0" xfId="1" applyFont="1" applyFill="1"/>
    <xf numFmtId="0" fontId="12" fillId="0" borderId="0" xfId="1" applyFill="1"/>
    <xf numFmtId="0" fontId="18" fillId="0" borderId="0" xfId="1" applyFont="1"/>
    <xf numFmtId="0" fontId="13" fillId="7" borderId="6" xfId="1" applyFont="1" applyFill="1" applyBorder="1" applyAlignment="1">
      <alignment horizontal="center" vertical="center" wrapText="1"/>
    </xf>
    <xf numFmtId="0" fontId="13" fillId="7" borderId="8" xfId="1" applyFont="1" applyFill="1" applyBorder="1" applyAlignment="1">
      <alignment horizontal="center" vertical="center" wrapText="1"/>
    </xf>
    <xf numFmtId="0" fontId="13" fillId="7" borderId="9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43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170" fontId="11" fillId="0" borderId="44" xfId="1" applyNumberFormat="1" applyFont="1" applyBorder="1" applyAlignment="1">
      <alignment horizontal="center"/>
    </xf>
    <xf numFmtId="0" fontId="11" fillId="0" borderId="42" xfId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170" fontId="11" fillId="0" borderId="23" xfId="1" applyNumberFormat="1" applyFont="1" applyBorder="1" applyAlignment="1">
      <alignment horizontal="center"/>
    </xf>
    <xf numFmtId="9" fontId="19" fillId="0" borderId="0" xfId="1" applyNumberFormat="1" applyFont="1"/>
    <xf numFmtId="9" fontId="19" fillId="0" borderId="0" xfId="1" applyNumberFormat="1" applyFont="1" applyAlignment="1">
      <alignment horizontal="center"/>
    </xf>
    <xf numFmtId="165" fontId="11" fillId="0" borderId="1" xfId="1" applyNumberFormat="1" applyFont="1" applyBorder="1" applyAlignment="1">
      <alignment horizontal="center"/>
    </xf>
    <xf numFmtId="1" fontId="11" fillId="0" borderId="1" xfId="1" applyNumberFormat="1" applyFont="1" applyBorder="1" applyAlignment="1">
      <alignment horizontal="center"/>
    </xf>
    <xf numFmtId="170" fontId="11" fillId="0" borderId="1" xfId="1" applyNumberFormat="1" applyFon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3" xfId="0" applyNumberFormat="1" applyBorder="1"/>
    <xf numFmtId="2" fontId="0" fillId="0" borderId="30" xfId="0" applyNumberForma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7" fillId="0" borderId="0" xfId="0" applyNumberFormat="1" applyFont="1"/>
    <xf numFmtId="0" fontId="6" fillId="0" borderId="28" xfId="0" applyFont="1" applyFill="1" applyBorder="1" applyAlignment="1">
      <alignment horizontal="center"/>
    </xf>
    <xf numFmtId="0" fontId="1" fillId="0" borderId="0" xfId="0" applyFont="1"/>
    <xf numFmtId="0" fontId="1" fillId="0" borderId="2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4" fontId="5" fillId="0" borderId="39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0" fontId="5" fillId="0" borderId="4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11" fillId="6" borderId="12" xfId="1" applyFont="1" applyFill="1" applyBorder="1" applyAlignment="1">
      <alignment horizontal="center" wrapText="1"/>
    </xf>
    <xf numFmtId="0" fontId="11" fillId="6" borderId="12" xfId="1" applyFont="1" applyFill="1" applyBorder="1" applyAlignment="1">
      <alignment horizontal="center" vertical="center" wrapText="1"/>
    </xf>
  </cellXfs>
  <cellStyles count="3">
    <cellStyle name="Milliers_Perte de charge hydrauliques" xfId="2"/>
    <cellStyle name="Normal" xfId="0" builtinId="0"/>
    <cellStyle name="Normal_Perte de charge hydrauliques" xfId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14550474246363"/>
          <c:y val="6.7278488384247118E-2"/>
          <c:w val="0.83480265995261249"/>
          <c:h val="0.68195922316759883"/>
        </c:manualLayout>
      </c:layout>
      <c:lineChart>
        <c:grouping val="standard"/>
        <c:varyColors val="0"/>
        <c:ser>
          <c:idx val="0"/>
          <c:order val="0"/>
          <c:tx>
            <c:strRef>
              <c:f>Eau!$D$2</c:f>
              <c:strCache>
                <c:ptCount val="1"/>
                <c:pt idx="0">
                  <c:v>Capacité calorifique [J/kg.°C}</c:v>
                </c:pt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9900"/>
              </a:solidFill>
              <a:ln>
                <a:solidFill>
                  <a:srgbClr val="FF9900"/>
                </a:solidFill>
                <a:prstDash val="solid"/>
              </a:ln>
            </c:spPr>
          </c:marker>
          <c:cat>
            <c:strRef>
              <c:f>Eau!$B$2:$B$13</c:f>
              <c:strCache>
                <c:ptCount val="12"/>
                <c:pt idx="0">
                  <c:v>Température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</c:strCache>
            </c:strRef>
          </c:cat>
          <c:val>
            <c:numRef>
              <c:f>Eau!$D$3:$D$13</c:f>
              <c:numCache>
                <c:formatCode>General</c:formatCode>
                <c:ptCount val="11"/>
                <c:pt idx="0">
                  <c:v>4217</c:v>
                </c:pt>
                <c:pt idx="1">
                  <c:v>4191</c:v>
                </c:pt>
                <c:pt idx="2">
                  <c:v>4181</c:v>
                </c:pt>
                <c:pt idx="3">
                  <c:v>4178</c:v>
                </c:pt>
                <c:pt idx="4">
                  <c:v>4178</c:v>
                </c:pt>
                <c:pt idx="5">
                  <c:v>4180</c:v>
                </c:pt>
                <c:pt idx="6">
                  <c:v>4183</c:v>
                </c:pt>
                <c:pt idx="7">
                  <c:v>4189</c:v>
                </c:pt>
                <c:pt idx="8">
                  <c:v>4196</c:v>
                </c:pt>
                <c:pt idx="9">
                  <c:v>4204</c:v>
                </c:pt>
                <c:pt idx="10">
                  <c:v>4215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953344"/>
        <c:axId val="400955264"/>
      </c:lineChart>
      <c:catAx>
        <c:axId val="400953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40095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955264"/>
        <c:scaling>
          <c:orientation val="minMax"/>
          <c:min val="417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4009533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308413396128934"/>
          <c:y val="0.15902188163549424"/>
          <c:w val="0.22907513624029491"/>
          <c:h val="0.183486786502493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34162185337041"/>
          <c:y val="8.7837837837837829E-2"/>
          <c:w val="0.80044432559191958"/>
          <c:h val="0.63513513513513564"/>
        </c:manualLayout>
      </c:layout>
      <c:lineChart>
        <c:grouping val="standard"/>
        <c:varyColors val="0"/>
        <c:ser>
          <c:idx val="0"/>
          <c:order val="0"/>
          <c:tx>
            <c:strRef>
              <c:f>Eau!$E$2</c:f>
              <c:strCache>
                <c:ptCount val="1"/>
                <c:pt idx="0">
                  <c:v>Viscosité dynamique [kg/m.s]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Eau!$B$2:$B$13</c:f>
              <c:strCache>
                <c:ptCount val="12"/>
                <c:pt idx="0">
                  <c:v>Température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</c:strCache>
            </c:strRef>
          </c:cat>
          <c:val>
            <c:numRef>
              <c:f>Eau!$E$3:$E$13</c:f>
              <c:numCache>
                <c:formatCode>0.00000</c:formatCode>
                <c:ptCount val="11"/>
                <c:pt idx="0">
                  <c:v>1.7900000000000001E-3</c:v>
                </c:pt>
                <c:pt idx="1">
                  <c:v>1.31E-3</c:v>
                </c:pt>
                <c:pt idx="2">
                  <c:v>1E-3</c:v>
                </c:pt>
                <c:pt idx="3">
                  <c:v>8.0000000000000004E-4</c:v>
                </c:pt>
                <c:pt idx="4">
                  <c:v>6.4999999999999997E-4</c:v>
                </c:pt>
                <c:pt idx="5">
                  <c:v>5.5000000000000003E-4</c:v>
                </c:pt>
                <c:pt idx="6">
                  <c:v>4.6999999999999999E-4</c:v>
                </c:pt>
                <c:pt idx="7">
                  <c:v>4.0000000000000002E-4</c:v>
                </c:pt>
                <c:pt idx="8">
                  <c:v>3.5999999999999997E-4</c:v>
                </c:pt>
                <c:pt idx="9">
                  <c:v>3.1E-4</c:v>
                </c:pt>
                <c:pt idx="10">
                  <c:v>2.8000000000000003E-4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987264"/>
        <c:axId val="400989184"/>
      </c:lineChart>
      <c:catAx>
        <c:axId val="400987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40098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9891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4009872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6962378484420992"/>
          <c:y val="0.31756756756756954"/>
          <c:w val="0.23946810848733477"/>
          <c:h val="0.19594594594594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77221630905667"/>
          <c:y val="6.0126675185848688E-2"/>
          <c:w val="0.80482628500694697"/>
          <c:h val="0.78481133926791657"/>
        </c:manualLayout>
      </c:layout>
      <c:lineChart>
        <c:grouping val="standard"/>
        <c:varyColors val="0"/>
        <c:ser>
          <c:idx val="0"/>
          <c:order val="0"/>
          <c:tx>
            <c:strRef>
              <c:f>Eau!$C$2</c:f>
              <c:strCache>
                <c:ptCount val="1"/>
                <c:pt idx="0">
                  <c:v>Masse volumique [kg/m3]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Eau!$B$3:$B$13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Eau!$C$3:$C$13</c:f>
              <c:numCache>
                <c:formatCode>General</c:formatCode>
                <c:ptCount val="11"/>
                <c:pt idx="0">
                  <c:v>999.8</c:v>
                </c:pt>
                <c:pt idx="1">
                  <c:v>999.7</c:v>
                </c:pt>
                <c:pt idx="2">
                  <c:v>998.2</c:v>
                </c:pt>
                <c:pt idx="3">
                  <c:v>995.7</c:v>
                </c:pt>
                <c:pt idx="4">
                  <c:v>992.2</c:v>
                </c:pt>
                <c:pt idx="5">
                  <c:v>988</c:v>
                </c:pt>
                <c:pt idx="6">
                  <c:v>983.2</c:v>
                </c:pt>
                <c:pt idx="7">
                  <c:v>977.8</c:v>
                </c:pt>
                <c:pt idx="8">
                  <c:v>971.8</c:v>
                </c:pt>
                <c:pt idx="9">
                  <c:v>965.3</c:v>
                </c:pt>
                <c:pt idx="10">
                  <c:v>958.4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043456"/>
        <c:axId val="401045376"/>
      </c:lineChart>
      <c:catAx>
        <c:axId val="4010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104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1045376"/>
        <c:scaling>
          <c:orientation val="minMax"/>
          <c:min val="95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10434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76319593612069"/>
          <c:y val="0.48417796333867708"/>
          <c:w val="0.23026365102378663"/>
          <c:h val="0.1835445874094331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0</xdr:rowOff>
    </xdr:from>
    <xdr:to>
      <xdr:col>7</xdr:col>
      <xdr:colOff>476250</xdr:colOff>
      <xdr:row>62</xdr:row>
      <xdr:rowOff>123825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143250" y="8410575"/>
          <a:ext cx="3276600" cy="1095375"/>
        </a:xfrm>
        <a:prstGeom prst="rect">
          <a:avLst/>
        </a:prstGeom>
        <a:solidFill>
          <a:schemeClr val="bg1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552450</xdr:colOff>
          <xdr:row>15</xdr:row>
          <xdr:rowOff>0</xdr:rowOff>
        </xdr:from>
        <xdr:to>
          <xdr:col>21</xdr:col>
          <xdr:colOff>66675</xdr:colOff>
          <xdr:row>17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PdC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16</xdr:row>
      <xdr:rowOff>200025</xdr:rowOff>
    </xdr:from>
    <xdr:to>
      <xdr:col>11</xdr:col>
      <xdr:colOff>371475</xdr:colOff>
      <xdr:row>30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161925</xdr:colOff>
      <xdr:row>31</xdr:row>
      <xdr:rowOff>85725</xdr:rowOff>
    </xdr:from>
    <xdr:to>
      <xdr:col>11</xdr:col>
      <xdr:colOff>342900</xdr:colOff>
      <xdr:row>48</xdr:row>
      <xdr:rowOff>142875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180975</xdr:colOff>
      <xdr:row>1</xdr:row>
      <xdr:rowOff>28575</xdr:rowOff>
    </xdr:from>
    <xdr:to>
      <xdr:col>11</xdr:col>
      <xdr:colOff>409575</xdr:colOff>
      <xdr:row>16</xdr:row>
      <xdr:rowOff>133350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ic\AppData\Local\Temp\Perte%20de%20charge%20hydrauli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cier"/>
      <sheetName val="Cuivre"/>
      <sheetName val="Eau"/>
    </sheetNames>
    <sheetDataSet>
      <sheetData sheetId="0">
        <row r="7">
          <cell r="F7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X66"/>
  <sheetViews>
    <sheetView tabSelected="1" topLeftCell="B1" zoomScaleNormal="100" workbookViewId="0">
      <selection activeCell="O16" sqref="O16"/>
    </sheetView>
  </sheetViews>
  <sheetFormatPr baseColWidth="10" defaultRowHeight="12.75" x14ac:dyDescent="0.2"/>
  <cols>
    <col min="1" max="1" width="11.42578125" hidden="1" customWidth="1"/>
    <col min="2" max="2" width="16.140625" bestFit="1" customWidth="1"/>
    <col min="3" max="3" width="34.42578125" customWidth="1"/>
    <col min="4" max="4" width="7" customWidth="1"/>
    <col min="5" max="5" width="7.42578125" customWidth="1"/>
    <col min="7" max="8" width="23.140625" customWidth="1"/>
    <col min="9" max="9" width="5.85546875" customWidth="1"/>
    <col min="10" max="10" width="16.7109375" customWidth="1"/>
    <col min="11" max="13" width="16.7109375" style="1" customWidth="1"/>
    <col min="14" max="15" width="16.7109375" customWidth="1"/>
    <col min="19" max="19" width="7.42578125" customWidth="1"/>
    <col min="20" max="20" width="10.85546875" bestFit="1" customWidth="1"/>
    <col min="21" max="21" width="16.42578125" style="1" customWidth="1"/>
    <col min="22" max="22" width="8.7109375" customWidth="1"/>
    <col min="23" max="23" width="5.7109375" customWidth="1"/>
  </cols>
  <sheetData>
    <row r="1" spans="1:18" x14ac:dyDescent="0.2">
      <c r="A1" t="s">
        <v>99</v>
      </c>
    </row>
    <row r="3" spans="1:18" ht="13.5" thickBot="1" x14ac:dyDescent="0.25"/>
    <row r="4" spans="1:18" ht="18.75" thickBot="1" x14ac:dyDescent="0.3">
      <c r="C4" s="169" t="s">
        <v>2</v>
      </c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1"/>
    </row>
    <row r="6" spans="1:18" x14ac:dyDescent="0.2">
      <c r="C6" s="2" t="s">
        <v>3</v>
      </c>
    </row>
    <row r="7" spans="1:18" x14ac:dyDescent="0.2">
      <c r="C7" s="3"/>
    </row>
    <row r="8" spans="1:18" ht="13.5" thickBot="1" x14ac:dyDescent="0.25">
      <c r="C8" s="2" t="s">
        <v>4</v>
      </c>
      <c r="M8"/>
      <c r="N8" t="s">
        <v>5</v>
      </c>
    </row>
    <row r="9" spans="1:18" ht="13.5" thickBot="1" x14ac:dyDescent="0.25">
      <c r="C9" s="3" t="s">
        <v>6</v>
      </c>
      <c r="D9">
        <v>70</v>
      </c>
      <c r="E9" t="s">
        <v>7</v>
      </c>
      <c r="I9" s="172" t="s">
        <v>8</v>
      </c>
      <c r="J9" s="173"/>
      <c r="K9" s="4" t="s">
        <v>9</v>
      </c>
      <c r="L9" s="5" t="s">
        <v>10</v>
      </c>
      <c r="M9" s="4" t="s">
        <v>11</v>
      </c>
      <c r="N9" s="6" t="s">
        <v>12</v>
      </c>
    </row>
    <row r="10" spans="1:18" x14ac:dyDescent="0.2">
      <c r="C10" s="3" t="s">
        <v>13</v>
      </c>
      <c r="D10">
        <v>50</v>
      </c>
      <c r="E10" t="s">
        <v>7</v>
      </c>
      <c r="I10" s="7">
        <v>1</v>
      </c>
      <c r="J10" s="8" t="s">
        <v>14</v>
      </c>
      <c r="K10" s="9">
        <v>10</v>
      </c>
      <c r="L10" s="10">
        <v>12</v>
      </c>
      <c r="M10" s="12">
        <v>7.9000000000000001E-2</v>
      </c>
      <c r="N10" s="13">
        <f>3/M10</f>
        <v>37.974683544303794</v>
      </c>
    </row>
    <row r="11" spans="1:18" x14ac:dyDescent="0.2">
      <c r="C11" s="3" t="s">
        <v>15</v>
      </c>
      <c r="D11">
        <v>45</v>
      </c>
      <c r="E11" t="s">
        <v>7</v>
      </c>
      <c r="I11" s="14">
        <v>2</v>
      </c>
      <c r="J11" s="15" t="s">
        <v>16</v>
      </c>
      <c r="K11" s="16">
        <v>12</v>
      </c>
      <c r="L11" s="17">
        <v>14</v>
      </c>
      <c r="M11" s="18">
        <v>0.113</v>
      </c>
      <c r="N11" s="19">
        <f>3/M11</f>
        <v>26.548672566371682</v>
      </c>
      <c r="P11" s="20"/>
      <c r="Q11" t="s">
        <v>17</v>
      </c>
    </row>
    <row r="12" spans="1:18" x14ac:dyDescent="0.2">
      <c r="C12" s="3"/>
      <c r="I12" s="14">
        <v>3</v>
      </c>
      <c r="J12" s="15" t="s">
        <v>18</v>
      </c>
      <c r="K12" s="16">
        <v>14</v>
      </c>
      <c r="L12" s="17">
        <v>16</v>
      </c>
      <c r="M12" s="18">
        <v>0.154</v>
      </c>
      <c r="N12" s="19">
        <f t="shared" ref="N12:N18" si="0">3/M12</f>
        <v>19.480519480519479</v>
      </c>
    </row>
    <row r="13" spans="1:18" x14ac:dyDescent="0.2">
      <c r="C13" s="3" t="s">
        <v>19</v>
      </c>
      <c r="D13" s="21">
        <v>55</v>
      </c>
      <c r="E13" t="s">
        <v>7</v>
      </c>
      <c r="I13" s="14">
        <v>4</v>
      </c>
      <c r="J13" s="15" t="s">
        <v>20</v>
      </c>
      <c r="K13" s="16">
        <v>16</v>
      </c>
      <c r="L13" s="17">
        <v>18</v>
      </c>
      <c r="M13" s="18">
        <v>0.20100000000000001</v>
      </c>
      <c r="N13" s="19">
        <f t="shared" si="0"/>
        <v>14.925373134328357</v>
      </c>
      <c r="P13" s="22"/>
      <c r="Q13" t="s">
        <v>21</v>
      </c>
    </row>
    <row r="14" spans="1:18" x14ac:dyDescent="0.2">
      <c r="C14" s="3" t="s">
        <v>22</v>
      </c>
      <c r="D14" s="23">
        <f>D13-((M53*0.86)/(Q53*1000))</f>
        <v>54.445413435952332</v>
      </c>
      <c r="E14" t="s">
        <v>7</v>
      </c>
      <c r="F14" s="24" t="str">
        <f>IF(D13-D14&lt;5,IF(D14&gt;D10,"OK","!PB!"),"!PB")</f>
        <v>OK</v>
      </c>
      <c r="G14" s="24"/>
      <c r="H14" s="24"/>
      <c r="I14" s="14">
        <v>5</v>
      </c>
      <c r="J14" s="15" t="s">
        <v>23</v>
      </c>
      <c r="K14" s="16">
        <v>20</v>
      </c>
      <c r="L14" s="17">
        <v>22</v>
      </c>
      <c r="M14" s="18">
        <v>0.314</v>
      </c>
      <c r="N14" s="19">
        <f t="shared" si="0"/>
        <v>9.5541401273885356</v>
      </c>
    </row>
    <row r="15" spans="1:18" x14ac:dyDescent="0.2">
      <c r="C15" s="3"/>
      <c r="I15" s="14">
        <v>6</v>
      </c>
      <c r="J15" s="15" t="s">
        <v>24</v>
      </c>
      <c r="K15" s="16">
        <v>26</v>
      </c>
      <c r="L15" s="17">
        <v>28</v>
      </c>
      <c r="M15" s="18">
        <v>0.53100000000000003</v>
      </c>
      <c r="N15" s="19">
        <f t="shared" si="0"/>
        <v>5.6497175141242932</v>
      </c>
      <c r="P15" s="25"/>
      <c r="Q15" t="s">
        <v>25</v>
      </c>
    </row>
    <row r="16" spans="1:18" x14ac:dyDescent="0.2">
      <c r="C16" s="2"/>
      <c r="I16" s="14">
        <v>7</v>
      </c>
      <c r="J16" s="15" t="s">
        <v>27</v>
      </c>
      <c r="K16" s="16">
        <v>30</v>
      </c>
      <c r="L16" s="17">
        <v>32</v>
      </c>
      <c r="M16" s="18">
        <v>0.70699999999999996</v>
      </c>
      <c r="N16" s="19">
        <f t="shared" si="0"/>
        <v>4.2432814710042432</v>
      </c>
    </row>
    <row r="17" spans="2:24" x14ac:dyDescent="0.2">
      <c r="C17" s="3"/>
      <c r="I17" s="14">
        <v>8</v>
      </c>
      <c r="J17" s="15" t="s">
        <v>29</v>
      </c>
      <c r="K17" s="16">
        <v>38</v>
      </c>
      <c r="L17" s="17">
        <v>40</v>
      </c>
      <c r="M17" s="18">
        <v>1.1339999999999999</v>
      </c>
      <c r="N17" s="19">
        <f t="shared" si="0"/>
        <v>2.6455026455026456</v>
      </c>
      <c r="P17" s="26"/>
      <c r="Q17" t="s">
        <v>30</v>
      </c>
    </row>
    <row r="18" spans="2:24" ht="13.5" thickBot="1" x14ac:dyDescent="0.25">
      <c r="C18" s="3"/>
      <c r="D18" s="21"/>
      <c r="I18" s="27">
        <v>9</v>
      </c>
      <c r="J18" s="28" t="s">
        <v>31</v>
      </c>
      <c r="K18" s="29">
        <v>50</v>
      </c>
      <c r="L18" s="30">
        <v>52</v>
      </c>
      <c r="M18" s="31">
        <v>1.9630000000000001</v>
      </c>
      <c r="N18" s="32">
        <f t="shared" si="0"/>
        <v>1.5282730514518594</v>
      </c>
    </row>
    <row r="20" spans="2:24" x14ac:dyDescent="0.2">
      <c r="N20" s="1"/>
      <c r="O20" s="1"/>
    </row>
    <row r="21" spans="2:24" ht="13.5" thickBot="1" x14ac:dyDescent="0.25">
      <c r="B21" s="157" t="s">
        <v>130</v>
      </c>
      <c r="G21" s="183" t="s">
        <v>26</v>
      </c>
      <c r="H21" s="183"/>
    </row>
    <row r="22" spans="2:24" s="33" customFormat="1" x14ac:dyDescent="0.2">
      <c r="C22" s="163" t="s">
        <v>32</v>
      </c>
      <c r="D22" s="175" t="s">
        <v>33</v>
      </c>
      <c r="E22" s="176"/>
      <c r="F22" s="34" t="s">
        <v>34</v>
      </c>
      <c r="G22" s="153" t="s">
        <v>104</v>
      </c>
      <c r="H22" s="153" t="s">
        <v>28</v>
      </c>
      <c r="I22" s="177" t="s">
        <v>35</v>
      </c>
      <c r="J22" s="179" t="s">
        <v>36</v>
      </c>
      <c r="K22" s="179" t="s">
        <v>37</v>
      </c>
      <c r="L22" s="175" t="s">
        <v>38</v>
      </c>
      <c r="M22" s="176"/>
      <c r="N22" s="181" t="s">
        <v>39</v>
      </c>
      <c r="O22" s="181"/>
      <c r="P22" s="177" t="s">
        <v>40</v>
      </c>
      <c r="Q22" s="175"/>
      <c r="R22" s="182"/>
      <c r="T22" s="154" t="s">
        <v>102</v>
      </c>
      <c r="U22" s="163" t="s">
        <v>41</v>
      </c>
      <c r="V22" s="164"/>
      <c r="X22" s="149" t="s">
        <v>100</v>
      </c>
    </row>
    <row r="23" spans="2:24" s="33" customFormat="1" ht="13.5" thickBot="1" x14ac:dyDescent="0.25">
      <c r="C23" s="174"/>
      <c r="D23" s="35" t="s">
        <v>42</v>
      </c>
      <c r="E23" s="36" t="s">
        <v>43</v>
      </c>
      <c r="F23" s="37" t="s">
        <v>0</v>
      </c>
      <c r="G23" s="37" t="s">
        <v>105</v>
      </c>
      <c r="H23" s="37" t="s">
        <v>106</v>
      </c>
      <c r="I23" s="178"/>
      <c r="J23" s="180"/>
      <c r="K23" s="180"/>
      <c r="L23" s="38" t="s">
        <v>44</v>
      </c>
      <c r="M23" s="35" t="s">
        <v>1</v>
      </c>
      <c r="N23" s="36" t="s">
        <v>45</v>
      </c>
      <c r="O23" s="38" t="s">
        <v>46</v>
      </c>
      <c r="P23" s="35" t="s">
        <v>47</v>
      </c>
      <c r="Q23" s="35" t="s">
        <v>48</v>
      </c>
      <c r="R23" s="39" t="s">
        <v>49</v>
      </c>
      <c r="T23" s="39" t="s">
        <v>103</v>
      </c>
      <c r="U23" s="40" t="s">
        <v>50</v>
      </c>
      <c r="V23" s="41" t="s">
        <v>51</v>
      </c>
    </row>
    <row r="24" spans="2:24" ht="13.5" thickBot="1" x14ac:dyDescent="0.25">
      <c r="B24" s="160" t="s">
        <v>131</v>
      </c>
      <c r="C24" s="42" t="s">
        <v>52</v>
      </c>
      <c r="D24" s="43">
        <v>0</v>
      </c>
      <c r="E24" s="43">
        <v>1</v>
      </c>
      <c r="F24" s="44">
        <v>19</v>
      </c>
      <c r="G24" s="44">
        <v>40</v>
      </c>
      <c r="H24" s="44">
        <v>3.4000000000000002E-2</v>
      </c>
      <c r="I24" s="45">
        <v>8</v>
      </c>
      <c r="J24" s="44">
        <v>8</v>
      </c>
      <c r="K24" s="46" t="str">
        <f t="shared" ref="K24:K36" si="1">VLOOKUP(I24,I$10:N$18,2,0)</f>
        <v>Tube cuivre Ø 40x1</v>
      </c>
      <c r="L24" s="47">
        <f>(1/((1/(2*PI()*$H24*1))*(LN((((VLOOKUP(I24,I$10:N$18,4,0))/2)+G24)/((VLOOKUP(I24,I$10:N$18,4,0))/2)))))*($D$13-F24)</f>
        <v>7.0003029233465508</v>
      </c>
      <c r="M24" s="48">
        <f t="shared" ref="M24:M36" si="2">L24*J24</f>
        <v>56.002423386772406</v>
      </c>
      <c r="N24" s="49">
        <f t="shared" ref="N24:N36" si="3">(((PI()*(POWER(((VLOOKUP(I24,I$10:N$18,3,0))/1000),2)))/4)*0.2)*3600</f>
        <v>0.81656276252105908</v>
      </c>
      <c r="O24" s="49">
        <f t="shared" ref="O24:O36" si="4">(((PI()*(POWER(((VLOOKUP(I24,I$10:N$18,3,0))/1000),2)))/4)*1.5)*3600</f>
        <v>6.1242207189079423</v>
      </c>
      <c r="P24" s="50"/>
      <c r="Q24" s="51"/>
      <c r="R24" s="52">
        <f>R50</f>
        <v>2.69</v>
      </c>
      <c r="S24" s="24" t="str">
        <f>IF(R24&lt;&gt;"",IF(R24&gt;=N24,IF(R24&lt;=O24,"OK","!PB!"),"!PB!"),IF(Q24&lt;&gt;"",IF(Q24&gt;=N24,IF(Q24&lt;=O24,"OK","!PB!"),"!PB!"),""))</f>
        <v>OK</v>
      </c>
      <c r="T24" s="155">
        <f t="shared" ref="T24:T36" si="5">(4*R24/3600)/(PI()*((VLOOKUP(I24,$I$10:$K$18,3,0)/1000)^2))</f>
        <v>0.65885933659156437</v>
      </c>
      <c r="U24" s="146">
        <v>15.196428724960441</v>
      </c>
      <c r="V24" s="147">
        <f t="shared" ref="V24:V36" si="6">U24*J24</f>
        <v>121.57142979968353</v>
      </c>
      <c r="X24">
        <f>IF(ISBLANK(K24),"",VLOOKUP(K24,$J$10:N18,3,FALSE))</f>
        <v>40</v>
      </c>
    </row>
    <row r="25" spans="2:24" ht="13.5" thickBot="1" x14ac:dyDescent="0.25">
      <c r="B25" s="160" t="s">
        <v>131</v>
      </c>
      <c r="C25" s="54" t="s">
        <v>53</v>
      </c>
      <c r="D25" s="55">
        <v>1</v>
      </c>
      <c r="E25" s="55">
        <v>2</v>
      </c>
      <c r="F25" s="44">
        <v>19</v>
      </c>
      <c r="G25" s="56">
        <v>40</v>
      </c>
      <c r="H25" s="56">
        <v>3.4000000000000002E-2</v>
      </c>
      <c r="I25" s="57">
        <v>8</v>
      </c>
      <c r="J25" s="58">
        <v>12</v>
      </c>
      <c r="K25" s="59" t="str">
        <f t="shared" si="1"/>
        <v>Tube cuivre Ø 40x1</v>
      </c>
      <c r="L25" s="47">
        <f>(1/((1/(2*PI()*$H25*1))*(LN((((VLOOKUP(I25,I$10:N$18,4,0))/2)+G25)/((VLOOKUP(I25,I$10:N$18,4,0))/2)))))*($D$13-F25)</f>
        <v>7.0003029233465508</v>
      </c>
      <c r="M25" s="60">
        <f t="shared" si="2"/>
        <v>84.003635080158602</v>
      </c>
      <c r="N25" s="61">
        <f t="shared" si="3"/>
        <v>0.81656276252105908</v>
      </c>
      <c r="O25" s="61">
        <f t="shared" si="4"/>
        <v>6.1242207189079423</v>
      </c>
      <c r="P25" s="62"/>
      <c r="Q25" s="63"/>
      <c r="R25" s="52">
        <f>R49</f>
        <v>0.82</v>
      </c>
      <c r="S25" s="24" t="str">
        <f>IF(R25&lt;&gt;"",IF(R25&gt;=N25,IF(R25&lt;=O25,"OK","!PB!"),"!PB!"),IF(Q25&lt;&gt;"",IF(Q25&gt;=N25,IF(Q25&lt;=O25,"OK","!PB!"),"!PB!"),""))</f>
        <v>OK</v>
      </c>
      <c r="T25" s="155">
        <f t="shared" si="5"/>
        <v>0.20084187955579283</v>
      </c>
      <c r="U25" s="146">
        <v>1.5373779308873992</v>
      </c>
      <c r="V25" s="147">
        <f t="shared" si="6"/>
        <v>18.448535170648789</v>
      </c>
      <c r="X25">
        <f>IF(ISBLANK(K25),"",VLOOKUP(K25,$J$10:N19,3,FALSE))</f>
        <v>40</v>
      </c>
    </row>
    <row r="26" spans="2:24" ht="13.5" thickBot="1" x14ac:dyDescent="0.25">
      <c r="B26" s="161" t="s">
        <v>131</v>
      </c>
      <c r="C26" s="42" t="s">
        <v>59</v>
      </c>
      <c r="D26" s="85">
        <v>1</v>
      </c>
      <c r="E26" s="85">
        <v>3</v>
      </c>
      <c r="F26" s="44">
        <v>19</v>
      </c>
      <c r="G26" s="56">
        <v>40</v>
      </c>
      <c r="H26" s="56">
        <v>3.4000000000000002E-2</v>
      </c>
      <c r="I26" s="86">
        <v>8</v>
      </c>
      <c r="J26" s="87">
        <v>13</v>
      </c>
      <c r="K26" s="59" t="str">
        <f t="shared" si="1"/>
        <v>Tube cuivre Ø 40x1</v>
      </c>
      <c r="L26" s="47">
        <f t="shared" ref="L26:L45" si="7">(1/((1/(2*PI()*$H26*1))*(LN((((VLOOKUP(I26,I$10:N$18,4,0))/2)+G26)/((VLOOKUP(I26,I$10:N$18,4,0))/2)))))*($D$13-F26)</f>
        <v>7.0003029233465508</v>
      </c>
      <c r="M26" s="60">
        <f t="shared" si="2"/>
        <v>91.003938003505155</v>
      </c>
      <c r="N26" s="61">
        <f t="shared" si="3"/>
        <v>0.81656276252105908</v>
      </c>
      <c r="O26" s="61">
        <f t="shared" si="4"/>
        <v>6.1242207189079423</v>
      </c>
      <c r="P26" s="67"/>
      <c r="Q26" s="68"/>
      <c r="R26" s="52">
        <f>R48</f>
        <v>1.87</v>
      </c>
      <c r="S26" s="24" t="str">
        <f>IF(R26&lt;&gt;"",IF(R26&gt;=N26,IF(R26&lt;=O26,"OK","!PB!"),"!PB!"),IF(Q26&lt;&gt;"",IF(Q26&gt;=N26,IF(Q26&lt;=O26,"OK","!PB!"),"!PB!"),""))</f>
        <v>OK</v>
      </c>
      <c r="T26" s="155">
        <f t="shared" si="5"/>
        <v>0.45801745703577151</v>
      </c>
      <c r="U26" s="146">
        <v>6.5602133021483162</v>
      </c>
      <c r="V26" s="147">
        <f t="shared" si="6"/>
        <v>85.282772927928107</v>
      </c>
      <c r="X26">
        <f>IF(ISBLANK(K26),"",VLOOKUP(K26,$J$10:N20,3,FALSE))</f>
        <v>40</v>
      </c>
    </row>
    <row r="27" spans="2:24" ht="13.5" thickBot="1" x14ac:dyDescent="0.25">
      <c r="B27" s="161" t="s">
        <v>131</v>
      </c>
      <c r="C27" s="54" t="s">
        <v>60</v>
      </c>
      <c r="D27" s="85">
        <v>3</v>
      </c>
      <c r="E27" s="85">
        <v>4</v>
      </c>
      <c r="F27" s="44">
        <v>19</v>
      </c>
      <c r="G27" s="56">
        <v>20</v>
      </c>
      <c r="H27" s="56">
        <v>3.4000000000000002E-2</v>
      </c>
      <c r="I27" s="86">
        <v>6</v>
      </c>
      <c r="J27" s="87">
        <v>12.5</v>
      </c>
      <c r="K27" s="59" t="str">
        <f t="shared" si="1"/>
        <v>Tube cuivre Ø 28x1</v>
      </c>
      <c r="L27" s="47">
        <f t="shared" si="7"/>
        <v>8.6674080058733374</v>
      </c>
      <c r="M27" s="60">
        <f t="shared" si="2"/>
        <v>108.34260007341672</v>
      </c>
      <c r="N27" s="61">
        <f t="shared" si="3"/>
        <v>0.38226899408880599</v>
      </c>
      <c r="O27" s="61">
        <f t="shared" si="4"/>
        <v>2.8670174556660446</v>
      </c>
      <c r="P27" s="67"/>
      <c r="Q27" s="68"/>
      <c r="R27" s="52">
        <f>R47</f>
        <v>0.38500000000000001</v>
      </c>
      <c r="S27" s="24" t="str">
        <f>IF(R27&lt;&gt;"",IF(R27&gt;=N27,IF(R27&lt;=O27,"OK","!PB!"),"!PB!"),IF(Q27&lt;&gt;"",IF(Q27&gt;=N27,IF(Q27&lt;=O27,"OK","!PB!"),"!PB!"),""))</f>
        <v>OK</v>
      </c>
      <c r="T27" s="155">
        <f t="shared" si="5"/>
        <v>0.20142883987633045</v>
      </c>
      <c r="U27" s="146">
        <v>2.4960267491534887</v>
      </c>
      <c r="V27" s="147">
        <f t="shared" si="6"/>
        <v>31.200334364418609</v>
      </c>
      <c r="X27">
        <f>IF(ISBLANK(K27),"",VLOOKUP(K27,$J$10:N21,3,FALSE))</f>
        <v>28</v>
      </c>
    </row>
    <row r="28" spans="2:24" ht="13.5" thickBot="1" x14ac:dyDescent="0.25">
      <c r="B28" s="161" t="s">
        <v>131</v>
      </c>
      <c r="C28" s="54" t="s">
        <v>61</v>
      </c>
      <c r="D28" s="152">
        <v>3</v>
      </c>
      <c r="E28" s="152">
        <v>5</v>
      </c>
      <c r="F28" s="44">
        <v>19</v>
      </c>
      <c r="G28" s="56">
        <v>40</v>
      </c>
      <c r="H28" s="56">
        <v>3.4000000000000002E-2</v>
      </c>
      <c r="I28" s="86">
        <v>8</v>
      </c>
      <c r="J28" s="87">
        <v>7</v>
      </c>
      <c r="K28" s="59" t="str">
        <f t="shared" si="1"/>
        <v>Tube cuivre Ø 40x1</v>
      </c>
      <c r="L28" s="47">
        <f t="shared" si="7"/>
        <v>7.0003029233465508</v>
      </c>
      <c r="M28" s="60">
        <f t="shared" si="2"/>
        <v>49.002120463425854</v>
      </c>
      <c r="N28" s="61">
        <f t="shared" si="3"/>
        <v>0.81656276252105908</v>
      </c>
      <c r="O28" s="61">
        <f t="shared" si="4"/>
        <v>6.1242207189079423</v>
      </c>
      <c r="P28" s="67"/>
      <c r="Q28" s="68"/>
      <c r="R28" s="52">
        <f>R46</f>
        <v>1.4850000000000001</v>
      </c>
      <c r="S28" s="24" t="str">
        <f>IF(R28&lt;&gt;"",IF(R28&gt;=N28,IF(R28&lt;=O28,"OK","!PB!"),"!PB!"),IF(Q28&lt;&gt;"",IF(Q28&gt;=N28,IF(Q28&lt;=O28,"OK","!PB!"),"!PB!"),""))</f>
        <v>OK</v>
      </c>
      <c r="T28" s="155">
        <f t="shared" si="5"/>
        <v>0.36371974529311268</v>
      </c>
      <c r="U28" s="146">
        <v>4.3635367736317043</v>
      </c>
      <c r="V28" s="147">
        <f t="shared" si="6"/>
        <v>30.54475741542193</v>
      </c>
      <c r="X28">
        <f>IF(ISBLANK(K28),"",VLOOKUP(K28,$J$10:N22,3,FALSE))</f>
        <v>40</v>
      </c>
    </row>
    <row r="29" spans="2:24" ht="13.5" thickBot="1" x14ac:dyDescent="0.25">
      <c r="B29" s="161" t="s">
        <v>131</v>
      </c>
      <c r="C29" s="42" t="s">
        <v>64</v>
      </c>
      <c r="D29" s="85">
        <v>5</v>
      </c>
      <c r="E29" s="85">
        <v>6</v>
      </c>
      <c r="F29" s="44">
        <v>19</v>
      </c>
      <c r="G29" s="56">
        <v>19</v>
      </c>
      <c r="H29" s="56">
        <v>3.4000000000000002E-2</v>
      </c>
      <c r="I29" s="86">
        <v>3</v>
      </c>
      <c r="J29" s="87">
        <v>6.5</v>
      </c>
      <c r="K29" s="59" t="str">
        <f t="shared" si="1"/>
        <v>Tube cuivre Ø 16x1</v>
      </c>
      <c r="L29" s="47">
        <f t="shared" si="7"/>
        <v>6.3224666045626936</v>
      </c>
      <c r="M29" s="60">
        <f t="shared" si="2"/>
        <v>41.096032929657511</v>
      </c>
      <c r="N29" s="61">
        <f t="shared" si="3"/>
        <v>0.11083538881864792</v>
      </c>
      <c r="O29" s="61">
        <f t="shared" si="4"/>
        <v>0.83126541613985949</v>
      </c>
      <c r="P29" s="67"/>
      <c r="Q29" s="68"/>
      <c r="R29" s="52">
        <f>R45</f>
        <v>0.115</v>
      </c>
      <c r="S29" s="24" t="str">
        <f t="shared" ref="S29:S30" si="8">IF(R29&lt;&gt;"",IF(R29&gt;=N29,IF(R29&lt;=O29,"OK","!PB!"),"!PB!"),IF(Q29&lt;&gt;"",IF(Q29&gt;=N29,IF(Q29&lt;=O29,"OK","!PB!"),"!PB!"),""))</f>
        <v>OK</v>
      </c>
      <c r="T29" s="155">
        <f t="shared" si="5"/>
        <v>0.20751494847582724</v>
      </c>
      <c r="U29" s="148">
        <v>5.8065338810517932</v>
      </c>
      <c r="V29" s="147">
        <f t="shared" si="6"/>
        <v>37.742470226836659</v>
      </c>
      <c r="X29">
        <f>IF(ISBLANK(K29),"",VLOOKUP(K29,$J$10:N25,3,FALSE))</f>
        <v>16</v>
      </c>
    </row>
    <row r="30" spans="2:24" ht="13.5" thickBot="1" x14ac:dyDescent="0.25">
      <c r="B30" s="161" t="s">
        <v>131</v>
      </c>
      <c r="C30" s="42" t="s">
        <v>65</v>
      </c>
      <c r="D30" s="85">
        <v>5</v>
      </c>
      <c r="E30" s="85">
        <v>7</v>
      </c>
      <c r="F30" s="44">
        <v>19</v>
      </c>
      <c r="G30" s="56">
        <v>40</v>
      </c>
      <c r="H30" s="56">
        <v>3.4000000000000002E-2</v>
      </c>
      <c r="I30" s="86">
        <v>8</v>
      </c>
      <c r="J30" s="87">
        <v>4</v>
      </c>
      <c r="K30" s="59" t="str">
        <f t="shared" si="1"/>
        <v>Tube cuivre Ø 40x1</v>
      </c>
      <c r="L30" s="47">
        <f t="shared" si="7"/>
        <v>7.0003029233465508</v>
      </c>
      <c r="M30" s="60">
        <f t="shared" si="2"/>
        <v>28.001211693386203</v>
      </c>
      <c r="N30" s="61">
        <f t="shared" si="3"/>
        <v>0.81656276252105908</v>
      </c>
      <c r="O30" s="61">
        <f t="shared" si="4"/>
        <v>6.1242207189079423</v>
      </c>
      <c r="P30" s="67"/>
      <c r="Q30" s="68"/>
      <c r="R30" s="52">
        <v>1.41</v>
      </c>
      <c r="S30" s="24" t="str">
        <f t="shared" si="8"/>
        <v>OK</v>
      </c>
      <c r="T30" s="155">
        <f t="shared" si="5"/>
        <v>0.34535006118739986</v>
      </c>
      <c r="U30" s="148">
        <v>3.9820963638815452</v>
      </c>
      <c r="V30" s="147">
        <f t="shared" si="6"/>
        <v>15.928385455526181</v>
      </c>
      <c r="X30">
        <f>IF(ISBLANK(K30),"",VLOOKUP(K30,$J$10:N26,3,FALSE))</f>
        <v>40</v>
      </c>
    </row>
    <row r="31" spans="2:24" ht="13.5" thickBot="1" x14ac:dyDescent="0.25">
      <c r="B31" s="161" t="s">
        <v>131</v>
      </c>
      <c r="C31" s="42" t="s">
        <v>52</v>
      </c>
      <c r="D31" s="43">
        <v>7</v>
      </c>
      <c r="E31" s="43">
        <v>8</v>
      </c>
      <c r="F31" s="44">
        <v>19</v>
      </c>
      <c r="G31" s="44">
        <v>25</v>
      </c>
      <c r="H31" s="44">
        <v>3.4000000000000002E-2</v>
      </c>
      <c r="I31" s="45">
        <v>7</v>
      </c>
      <c r="J31" s="44">
        <v>11.5</v>
      </c>
      <c r="K31" s="46" t="str">
        <f t="shared" si="1"/>
        <v>Tube cuivre Ø 32x1</v>
      </c>
      <c r="L31" s="47">
        <f>(1/((1/(2*PI()*$H31*1))*(LN((((VLOOKUP(I31,I$10:N$18,4,0))/2)+G31)/((VLOOKUP(I31,I$10:N$18,4,0))/2)))))*($D$13-F31)</f>
        <v>8.1729595547349625</v>
      </c>
      <c r="M31" s="48">
        <f t="shared" si="2"/>
        <v>93.989034879452063</v>
      </c>
      <c r="N31" s="49">
        <f t="shared" si="3"/>
        <v>0.50893800988154647</v>
      </c>
      <c r="O31" s="49">
        <f t="shared" si="4"/>
        <v>3.8170350741115988</v>
      </c>
      <c r="P31" s="50"/>
      <c r="Q31" s="51"/>
      <c r="R31" s="52">
        <f>R43</f>
        <v>0.51</v>
      </c>
      <c r="S31" s="24" t="str">
        <f>IF(R31&lt;&gt;"",IF(R31&gt;=N31,IF(R31&lt;=O31,"OK","!PB!"),"!PB!"),IF(Q31&lt;&gt;"",IF(Q31&gt;=N31,IF(Q31&lt;=O31,"OK","!PB!"),"!PB!"),""))</f>
        <v>OK</v>
      </c>
      <c r="T31" s="155">
        <f t="shared" si="5"/>
        <v>0.2004173357453497</v>
      </c>
      <c r="U31" s="146">
        <v>2.0639073117009246</v>
      </c>
      <c r="V31" s="147">
        <f t="shared" si="6"/>
        <v>23.734934084560631</v>
      </c>
      <c r="X31">
        <f>IF(ISBLANK(K31),"",VLOOKUP(K31,$J$10:N25,3,FALSE))</f>
        <v>32</v>
      </c>
    </row>
    <row r="32" spans="2:24" ht="13.5" thickBot="1" x14ac:dyDescent="0.25">
      <c r="B32" s="161" t="s">
        <v>131</v>
      </c>
      <c r="C32" s="54" t="s">
        <v>53</v>
      </c>
      <c r="D32" s="55">
        <v>7</v>
      </c>
      <c r="E32" s="55">
        <v>9</v>
      </c>
      <c r="F32" s="44">
        <v>19</v>
      </c>
      <c r="G32" s="56">
        <v>25</v>
      </c>
      <c r="H32" s="56">
        <v>3.4000000000000002E-2</v>
      </c>
      <c r="I32" s="57">
        <v>7</v>
      </c>
      <c r="J32" s="58">
        <v>9</v>
      </c>
      <c r="K32" s="59" t="str">
        <f t="shared" si="1"/>
        <v>Tube cuivre Ø 32x1</v>
      </c>
      <c r="L32" s="47">
        <f>(1/((1/(2*PI()*$H32*1))*(LN((((VLOOKUP(I32,I$10:N$18,4,0))/2)+G32)/((VLOOKUP(I32,I$10:N$18,4,0))/2)))))*($D$13-F32)</f>
        <v>8.1729595547349625</v>
      </c>
      <c r="M32" s="60">
        <f t="shared" si="2"/>
        <v>73.556635992614659</v>
      </c>
      <c r="N32" s="61">
        <f t="shared" si="3"/>
        <v>0.50893800988154647</v>
      </c>
      <c r="O32" s="61">
        <f t="shared" si="4"/>
        <v>3.8170350741115988</v>
      </c>
      <c r="P32" s="62"/>
      <c r="Q32" s="63"/>
      <c r="R32" s="52">
        <f>R42</f>
        <v>0.86</v>
      </c>
      <c r="S32" s="24" t="str">
        <f>IF(R32&lt;&gt;"",IF(R32&gt;=N32,IF(R32&lt;=O32,"OK","!PB!"),"!PB!"),IF(Q32&lt;&gt;"",IF(Q32&gt;=N32,IF(Q32&lt;=O32,"OK","!PB!"),"!PB!"),""))</f>
        <v>OK</v>
      </c>
      <c r="T32" s="155">
        <f t="shared" si="5"/>
        <v>0.33795864459019753</v>
      </c>
      <c r="U32" s="146">
        <v>5.1437490505859378</v>
      </c>
      <c r="V32" s="147">
        <f t="shared" si="6"/>
        <v>46.293741455273441</v>
      </c>
      <c r="X32">
        <f>IF(ISBLANK(K32),"",VLOOKUP(K32,$J$10:N26,3,FALSE))</f>
        <v>32</v>
      </c>
    </row>
    <row r="33" spans="2:24" ht="13.5" thickBot="1" x14ac:dyDescent="0.25">
      <c r="B33" s="161" t="s">
        <v>131</v>
      </c>
      <c r="C33" s="42" t="s">
        <v>59</v>
      </c>
      <c r="D33" s="85">
        <v>9</v>
      </c>
      <c r="E33" s="85">
        <v>10</v>
      </c>
      <c r="F33" s="44">
        <v>19</v>
      </c>
      <c r="G33" s="56">
        <v>25</v>
      </c>
      <c r="H33" s="56">
        <v>3.4000000000000002E-2</v>
      </c>
      <c r="I33" s="86">
        <v>7</v>
      </c>
      <c r="J33" s="87">
        <v>5</v>
      </c>
      <c r="K33" s="59" t="str">
        <f t="shared" si="1"/>
        <v>Tube cuivre Ø 32x1</v>
      </c>
      <c r="L33" s="47">
        <f t="shared" ref="L33:L36" si="9">(1/((1/(2*PI()*$H33*1))*(LN((((VLOOKUP(I33,I$10:N$18,4,0))/2)+G33)/((VLOOKUP(I33,I$10:N$18,4,0))/2)))))*($D$13-F33)</f>
        <v>8.1729595547349625</v>
      </c>
      <c r="M33" s="60">
        <f t="shared" si="2"/>
        <v>40.864797773674809</v>
      </c>
      <c r="N33" s="61">
        <f t="shared" si="3"/>
        <v>0.50893800988154647</v>
      </c>
      <c r="O33" s="61">
        <f t="shared" si="4"/>
        <v>3.8170350741115988</v>
      </c>
      <c r="P33" s="67"/>
      <c r="Q33" s="68"/>
      <c r="R33" s="52">
        <f>R41</f>
        <v>0.77</v>
      </c>
      <c r="S33" s="24" t="str">
        <f>IF(R33&lt;&gt;"",IF(R33&gt;=N33,IF(R33&lt;=O33,"OK","!PB!"),"!PB!"),IF(Q33&lt;&gt;"",IF(Q33&gt;=N33,IF(Q33&lt;=O33,"OK","!PB!"),"!PB!"),""))</f>
        <v>OK</v>
      </c>
      <c r="T33" s="155">
        <f t="shared" si="5"/>
        <v>0.30259087945866525</v>
      </c>
      <c r="U33" s="146">
        <v>4.2367750955128853</v>
      </c>
      <c r="V33" s="147">
        <f t="shared" si="6"/>
        <v>21.183875477564428</v>
      </c>
      <c r="X33">
        <f>IF(ISBLANK(K33),"",VLOOKUP(K33,$J$10:N27,3,FALSE))</f>
        <v>32</v>
      </c>
    </row>
    <row r="34" spans="2:24" ht="13.5" thickBot="1" x14ac:dyDescent="0.25">
      <c r="B34" s="162"/>
      <c r="C34" s="54" t="s">
        <v>60</v>
      </c>
      <c r="D34" s="85">
        <v>10</v>
      </c>
      <c r="E34" s="85">
        <v>11</v>
      </c>
      <c r="F34" s="44">
        <v>19</v>
      </c>
      <c r="G34" s="56">
        <v>20</v>
      </c>
      <c r="H34" s="56">
        <v>3.4000000000000002E-2</v>
      </c>
      <c r="I34" s="86">
        <v>6</v>
      </c>
      <c r="J34" s="87">
        <v>5</v>
      </c>
      <c r="K34" s="59" t="str">
        <f t="shared" si="1"/>
        <v>Tube cuivre Ø 28x1</v>
      </c>
      <c r="L34" s="47">
        <f t="shared" si="9"/>
        <v>8.6674080058733374</v>
      </c>
      <c r="M34" s="60">
        <f t="shared" si="2"/>
        <v>43.33704002936669</v>
      </c>
      <c r="N34" s="61">
        <f t="shared" si="3"/>
        <v>0.38226899408880599</v>
      </c>
      <c r="O34" s="61">
        <f t="shared" si="4"/>
        <v>2.8670174556660446</v>
      </c>
      <c r="P34" s="67"/>
      <c r="Q34" s="68"/>
      <c r="R34" s="52">
        <f>Q39</f>
        <v>0.38500000000000001</v>
      </c>
      <c r="S34" s="24" t="str">
        <f>IF(R34&lt;&gt;"",IF(R34&gt;=N34,IF(R34&lt;=O34,"OK","!PB!"),"!PB!"),IF(Q34&lt;&gt;"",IF(Q34&gt;=N34,IF(Q34&lt;=O34,"OK","!PB!"),"!PB!"),""))</f>
        <v>OK</v>
      </c>
      <c r="T34" s="155">
        <f t="shared" si="5"/>
        <v>0.20142883987633045</v>
      </c>
      <c r="U34" s="146"/>
      <c r="V34" s="147">
        <f t="shared" si="6"/>
        <v>0</v>
      </c>
      <c r="X34">
        <f>IF(ISBLANK(K34),"",VLOOKUP(K34,$J$10:N28,3,FALSE))</f>
        <v>28</v>
      </c>
    </row>
    <row r="35" spans="2:24" ht="13.5" thickBot="1" x14ac:dyDescent="0.25">
      <c r="B35" s="162"/>
      <c r="C35" s="54" t="s">
        <v>61</v>
      </c>
      <c r="D35" s="152">
        <v>10</v>
      </c>
      <c r="E35" s="152">
        <v>12</v>
      </c>
      <c r="F35" s="44">
        <v>19</v>
      </c>
      <c r="G35" s="56">
        <v>20</v>
      </c>
      <c r="H35" s="56">
        <v>3.4000000000000002E-2</v>
      </c>
      <c r="I35" s="86">
        <v>6</v>
      </c>
      <c r="J35" s="87">
        <v>8</v>
      </c>
      <c r="K35" s="59" t="str">
        <f t="shared" si="1"/>
        <v>Tube cuivre Ø 28x1</v>
      </c>
      <c r="L35" s="47">
        <f t="shared" si="9"/>
        <v>8.6674080058733374</v>
      </c>
      <c r="M35" s="60">
        <f t="shared" si="2"/>
        <v>69.339264046986699</v>
      </c>
      <c r="N35" s="61">
        <f t="shared" si="3"/>
        <v>0.38226899408880599</v>
      </c>
      <c r="O35" s="61">
        <f t="shared" si="4"/>
        <v>2.8670174556660446</v>
      </c>
      <c r="P35" s="67"/>
      <c r="Q35" s="68"/>
      <c r="R35" s="52">
        <f>Q40</f>
        <v>0.38500000000000001</v>
      </c>
      <c r="S35" s="24" t="str">
        <f>IF(R35&lt;&gt;"",IF(R35&gt;=N35,IF(R35&lt;=O35,"OK","!PB!"),"!PB!"),IF(Q35&lt;&gt;"",IF(Q35&gt;=N35,IF(Q35&lt;=O35,"OK","!PB!"),"!PB!"),""))</f>
        <v>OK</v>
      </c>
      <c r="T35" s="155">
        <f t="shared" si="5"/>
        <v>0.20142883987633045</v>
      </c>
      <c r="U35" s="146"/>
      <c r="V35" s="147">
        <f t="shared" si="6"/>
        <v>0</v>
      </c>
      <c r="X35">
        <f>IF(ISBLANK(K35),"",VLOOKUP(K35,$J$10:N29,3,FALSE))</f>
        <v>28</v>
      </c>
    </row>
    <row r="36" spans="2:24" ht="13.5" thickBot="1" x14ac:dyDescent="0.25">
      <c r="B36" s="162"/>
      <c r="C36" s="42" t="s">
        <v>64</v>
      </c>
      <c r="D36" s="85">
        <v>9</v>
      </c>
      <c r="E36" s="85">
        <v>13</v>
      </c>
      <c r="F36" s="44">
        <v>19</v>
      </c>
      <c r="G36" s="56">
        <v>19</v>
      </c>
      <c r="H36" s="56">
        <v>3.4000000000000002E-2</v>
      </c>
      <c r="I36" s="86">
        <v>2</v>
      </c>
      <c r="J36" s="87">
        <v>21</v>
      </c>
      <c r="K36" s="59" t="str">
        <f t="shared" si="1"/>
        <v>Tube cuivre Ø 14x1</v>
      </c>
      <c r="L36" s="47">
        <f t="shared" si="9"/>
        <v>5.8609195162030412</v>
      </c>
      <c r="M36" s="60">
        <f t="shared" si="2"/>
        <v>123.07930984026386</v>
      </c>
      <c r="N36" s="61">
        <f t="shared" si="3"/>
        <v>8.1430081581047434E-2</v>
      </c>
      <c r="O36" s="61">
        <f t="shared" si="4"/>
        <v>0.61072561185785579</v>
      </c>
      <c r="P36" s="67"/>
      <c r="Q36" s="68"/>
      <c r="R36" s="52">
        <f>Q38</f>
        <v>0.09</v>
      </c>
      <c r="S36" s="24" t="str">
        <f t="shared" ref="S36" si="10">IF(R36&lt;&gt;"",IF(R36&gt;=N36,IF(R36&lt;=O36,"OK","!PB!"),"!PB!"),IF(Q36&lt;&gt;"",IF(Q36&gt;=N36,IF(Q36&lt;=O36,"OK","!PB!"),"!PB!"),""))</f>
        <v>OK</v>
      </c>
      <c r="T36" s="155">
        <f t="shared" si="5"/>
        <v>0.22104853207207684</v>
      </c>
      <c r="U36" s="148"/>
      <c r="V36" s="147">
        <f t="shared" si="6"/>
        <v>0</v>
      </c>
      <c r="X36">
        <f>IF(ISBLANK(K36),"",VLOOKUP(K36,$J$10:N32,3,FALSE))</f>
        <v>14</v>
      </c>
    </row>
    <row r="37" spans="2:24" ht="13.5" thickBot="1" x14ac:dyDescent="0.25">
      <c r="B37" s="162"/>
      <c r="C37" s="88"/>
      <c r="D37" s="85"/>
      <c r="E37" s="85"/>
      <c r="F37" s="44"/>
      <c r="G37" s="56"/>
      <c r="H37" s="56"/>
      <c r="I37" s="86"/>
      <c r="J37" s="87"/>
      <c r="K37" s="59"/>
      <c r="L37" s="47"/>
      <c r="M37" s="60"/>
      <c r="N37" s="61"/>
      <c r="O37" s="61"/>
      <c r="P37" s="67"/>
      <c r="Q37" s="68"/>
      <c r="R37" s="52"/>
      <c r="S37" s="24"/>
      <c r="T37" s="155"/>
      <c r="U37" s="148"/>
      <c r="V37" s="147"/>
    </row>
    <row r="38" spans="2:24" ht="13.5" thickBot="1" x14ac:dyDescent="0.25">
      <c r="B38" s="162"/>
      <c r="C38" s="54" t="s">
        <v>61</v>
      </c>
      <c r="D38" s="85" t="s">
        <v>108</v>
      </c>
      <c r="E38" s="85" t="s">
        <v>109</v>
      </c>
      <c r="F38" s="44">
        <v>19</v>
      </c>
      <c r="G38" s="56">
        <v>19</v>
      </c>
      <c r="H38" s="56">
        <v>3.4000000000000002E-2</v>
      </c>
      <c r="I38" s="86">
        <v>2</v>
      </c>
      <c r="J38" s="87">
        <v>21</v>
      </c>
      <c r="K38" s="59" t="str">
        <f t="shared" ref="K38:K46" si="11">VLOOKUP(I38,I$10:N$18,2,0)</f>
        <v>Tube cuivre Ø 14x1</v>
      </c>
      <c r="L38" s="47">
        <f t="shared" ref="L38" si="12">(1/((1/(2*PI()*$H38*1))*(LN((((VLOOKUP(I38,I$10:N$18,4,0))/2)+G38)/((VLOOKUP(I38,I$10:N$18,4,0))/2)))))*($D$13-F38)</f>
        <v>5.8609195162030412</v>
      </c>
      <c r="M38" s="60">
        <f t="shared" ref="M38:M46" si="13">L38*J38</f>
        <v>123.07930984026386</v>
      </c>
      <c r="N38" s="61">
        <f t="shared" ref="N38:N46" si="14">(((PI()*(POWER(((VLOOKUP(I38,I$10:N$18,3,0))/1000),2)))/4)*0.2)*3600</f>
        <v>8.1430081581047434E-2</v>
      </c>
      <c r="O38" s="61">
        <f t="shared" ref="O38:O46" si="15">(((PI()*(POWER(((VLOOKUP(I38,I$10:N$18,3,0))/1000),2)))/4)*1.5)*3600</f>
        <v>0.61072561185785579</v>
      </c>
      <c r="P38" s="67" t="s">
        <v>122</v>
      </c>
      <c r="Q38" s="68">
        <v>0.09</v>
      </c>
      <c r="R38" s="52">
        <f>Q38</f>
        <v>0.09</v>
      </c>
      <c r="S38" s="24" t="str">
        <f t="shared" ref="S38:S46" si="16">IF(R38&lt;&gt;"",IF(R38&gt;=N38,IF(R38&lt;=O38,"OK","!PB!"),"!PB!"),IF(Q38&lt;&gt;"",IF(Q38&gt;=N38,IF(Q38&lt;=O38,"OK","!PB!"),"!PB!"),""))</f>
        <v>OK</v>
      </c>
      <c r="T38" s="155">
        <f t="shared" ref="T38:T46" si="17">(4*R38/3600)/(PI()*((VLOOKUP(I38,$I$10:$K$18,3,0)/1000)^2))</f>
        <v>0.22104853207207684</v>
      </c>
      <c r="U38" s="146"/>
      <c r="V38" s="147">
        <f t="shared" ref="V38:V46" si="18">U38*J38</f>
        <v>0</v>
      </c>
      <c r="X38">
        <f>IF(ISBLANK(K38),"",VLOOKUP(K38,$J$10:N32,3,FALSE))</f>
        <v>14</v>
      </c>
    </row>
    <row r="39" spans="2:24" ht="13.5" thickBot="1" x14ac:dyDescent="0.25">
      <c r="B39" s="162"/>
      <c r="C39" s="42" t="s">
        <v>61</v>
      </c>
      <c r="D39" s="85" t="s">
        <v>110</v>
      </c>
      <c r="E39" s="85" t="s">
        <v>111</v>
      </c>
      <c r="F39" s="44">
        <v>19</v>
      </c>
      <c r="G39" s="56">
        <v>19</v>
      </c>
      <c r="H39" s="56">
        <v>3.4000000000000002E-2</v>
      </c>
      <c r="I39" s="86">
        <v>3</v>
      </c>
      <c r="J39" s="87">
        <v>5</v>
      </c>
      <c r="K39" s="59" t="str">
        <f t="shared" si="11"/>
        <v>Tube cuivre Ø 16x1</v>
      </c>
      <c r="L39" s="47">
        <f t="shared" si="7"/>
        <v>6.3224666045626936</v>
      </c>
      <c r="M39" s="60">
        <f t="shared" si="13"/>
        <v>31.612333022813466</v>
      </c>
      <c r="N39" s="61">
        <f t="shared" si="14"/>
        <v>0.11083538881864792</v>
      </c>
      <c r="O39" s="61">
        <f t="shared" si="15"/>
        <v>0.83126541613985949</v>
      </c>
      <c r="P39" s="67" t="s">
        <v>123</v>
      </c>
      <c r="Q39" s="68">
        <v>0.38500000000000001</v>
      </c>
      <c r="R39" s="52">
        <f>Q39</f>
        <v>0.38500000000000001</v>
      </c>
      <c r="S39" s="24" t="str">
        <f t="shared" si="16"/>
        <v>OK</v>
      </c>
      <c r="T39" s="155">
        <f t="shared" si="17"/>
        <v>0.69472395794081288</v>
      </c>
      <c r="U39" s="146"/>
      <c r="V39" s="147">
        <f t="shared" si="18"/>
        <v>0</v>
      </c>
      <c r="X39">
        <f>IF(ISBLANK(K39),"",VLOOKUP(K39,$J$10:N36,3,FALSE))</f>
        <v>16</v>
      </c>
    </row>
    <row r="40" spans="2:24" ht="13.5" thickBot="1" x14ac:dyDescent="0.25">
      <c r="B40" s="162"/>
      <c r="C40" s="54" t="s">
        <v>61</v>
      </c>
      <c r="D40" s="85" t="s">
        <v>112</v>
      </c>
      <c r="E40" s="85" t="s">
        <v>111</v>
      </c>
      <c r="F40" s="44">
        <v>19</v>
      </c>
      <c r="G40" s="56">
        <v>19</v>
      </c>
      <c r="H40" s="56">
        <v>3.4000000000000002E-2</v>
      </c>
      <c r="I40" s="86">
        <v>3</v>
      </c>
      <c r="J40" s="87">
        <v>8</v>
      </c>
      <c r="K40" s="59" t="str">
        <f t="shared" si="11"/>
        <v>Tube cuivre Ø 16x1</v>
      </c>
      <c r="L40" s="47">
        <f t="shared" si="7"/>
        <v>6.3224666045626936</v>
      </c>
      <c r="M40" s="60">
        <f t="shared" si="13"/>
        <v>50.579732836501549</v>
      </c>
      <c r="N40" s="61">
        <f t="shared" si="14"/>
        <v>0.11083538881864792</v>
      </c>
      <c r="O40" s="61">
        <f t="shared" si="15"/>
        <v>0.83126541613985949</v>
      </c>
      <c r="P40" s="67" t="s">
        <v>124</v>
      </c>
      <c r="Q40" s="68">
        <v>0.38500000000000001</v>
      </c>
      <c r="R40" s="52">
        <f>Q40</f>
        <v>0.38500000000000001</v>
      </c>
      <c r="S40" s="24" t="str">
        <f t="shared" si="16"/>
        <v>OK</v>
      </c>
      <c r="T40" s="155">
        <f t="shared" si="17"/>
        <v>0.69472395794081288</v>
      </c>
      <c r="U40" s="146"/>
      <c r="V40" s="147">
        <f t="shared" si="18"/>
        <v>0</v>
      </c>
      <c r="X40">
        <f>IF(ISBLANK(K40),"",VLOOKUP(K40,$J$10:N33,3,FALSE))</f>
        <v>16</v>
      </c>
    </row>
    <row r="41" spans="2:24" ht="13.5" thickBot="1" x14ac:dyDescent="0.25">
      <c r="B41" s="162"/>
      <c r="C41" s="42" t="s">
        <v>61</v>
      </c>
      <c r="D41" s="85" t="s">
        <v>111</v>
      </c>
      <c r="E41" s="85" t="s">
        <v>109</v>
      </c>
      <c r="F41" s="44">
        <v>19</v>
      </c>
      <c r="G41" s="56">
        <v>25</v>
      </c>
      <c r="H41" s="56">
        <v>3.4000000000000002E-2</v>
      </c>
      <c r="I41" s="86">
        <v>5</v>
      </c>
      <c r="J41" s="87">
        <v>5</v>
      </c>
      <c r="K41" s="59" t="str">
        <f t="shared" si="11"/>
        <v>Tube cuivre Ø 22x1</v>
      </c>
      <c r="L41" s="47">
        <f t="shared" ref="L41:L43" si="19">(1/((1/(2*PI()*$H41*1))*(LN((((VLOOKUP(I41,I$10:N$18,4,0))/2)+G41)/((VLOOKUP(I41,I$10:N$18,4,0))/2)))))*($D$13-F41)</f>
        <v>6.4865598070879837</v>
      </c>
      <c r="M41" s="60">
        <f t="shared" si="13"/>
        <v>32.43279903543992</v>
      </c>
      <c r="N41" s="61">
        <f t="shared" si="14"/>
        <v>0.22619467105846514</v>
      </c>
      <c r="O41" s="61">
        <f t="shared" si="15"/>
        <v>1.6964600329384882</v>
      </c>
      <c r="P41" s="158"/>
      <c r="Q41" s="68"/>
      <c r="R41" s="52">
        <f>Q39+Q40</f>
        <v>0.77</v>
      </c>
      <c r="S41" s="24" t="str">
        <f t="shared" si="16"/>
        <v>OK</v>
      </c>
      <c r="T41" s="155">
        <f t="shared" si="17"/>
        <v>0.68082947878199673</v>
      </c>
      <c r="U41" s="146"/>
      <c r="V41" s="147">
        <f t="shared" si="18"/>
        <v>0</v>
      </c>
      <c r="X41">
        <f>IF(ISBLANK(K41),"",VLOOKUP(K41,$J$10:N38,3,FALSE))</f>
        <v>22</v>
      </c>
    </row>
    <row r="42" spans="2:24" ht="13.5" thickBot="1" x14ac:dyDescent="0.25">
      <c r="B42" s="162"/>
      <c r="C42" s="54" t="s">
        <v>61</v>
      </c>
      <c r="D42" s="85" t="s">
        <v>109</v>
      </c>
      <c r="E42" s="85" t="s">
        <v>113</v>
      </c>
      <c r="F42" s="44">
        <v>19</v>
      </c>
      <c r="G42" s="56">
        <v>25</v>
      </c>
      <c r="H42" s="56">
        <v>3.4000000000000002E-2</v>
      </c>
      <c r="I42" s="86">
        <v>5</v>
      </c>
      <c r="J42" s="87">
        <v>9</v>
      </c>
      <c r="K42" s="59" t="str">
        <f t="shared" si="11"/>
        <v>Tube cuivre Ø 22x1</v>
      </c>
      <c r="L42" s="47">
        <f t="shared" si="19"/>
        <v>6.4865598070879837</v>
      </c>
      <c r="M42" s="60">
        <f t="shared" si="13"/>
        <v>58.379038263791855</v>
      </c>
      <c r="N42" s="61">
        <f t="shared" si="14"/>
        <v>0.22619467105846514</v>
      </c>
      <c r="O42" s="61">
        <f t="shared" si="15"/>
        <v>1.6964600329384882</v>
      </c>
      <c r="P42" s="67"/>
      <c r="Q42" s="68"/>
      <c r="R42" s="52">
        <f>R38+R41</f>
        <v>0.86</v>
      </c>
      <c r="S42" s="24" t="str">
        <f t="shared" si="16"/>
        <v>OK</v>
      </c>
      <c r="T42" s="155">
        <f t="shared" si="17"/>
        <v>0.76040695032794436</v>
      </c>
      <c r="U42" s="146"/>
      <c r="V42" s="147">
        <f t="shared" si="18"/>
        <v>0</v>
      </c>
      <c r="X42">
        <f>IF(ISBLANK(K42),"",VLOOKUP(K42,$J$10:N35,3,FALSE))</f>
        <v>22</v>
      </c>
    </row>
    <row r="43" spans="2:24" ht="13.5" thickBot="1" x14ac:dyDescent="0.25">
      <c r="B43" s="162"/>
      <c r="C43" s="54" t="s">
        <v>61</v>
      </c>
      <c r="D43" s="85" t="s">
        <v>114</v>
      </c>
      <c r="E43" s="85" t="s">
        <v>113</v>
      </c>
      <c r="F43" s="44">
        <v>19</v>
      </c>
      <c r="G43" s="56">
        <v>19</v>
      </c>
      <c r="H43" s="56">
        <v>3.4000000000000002E-2</v>
      </c>
      <c r="I43" s="86">
        <v>3</v>
      </c>
      <c r="J43" s="87">
        <v>11.5</v>
      </c>
      <c r="K43" s="59" t="str">
        <f t="shared" si="11"/>
        <v>Tube cuivre Ø 16x1</v>
      </c>
      <c r="L43" s="47">
        <f t="shared" si="19"/>
        <v>6.3224666045626936</v>
      </c>
      <c r="M43" s="60">
        <f t="shared" si="13"/>
        <v>72.70836595247097</v>
      </c>
      <c r="N43" s="61">
        <f t="shared" si="14"/>
        <v>0.11083538881864792</v>
      </c>
      <c r="O43" s="61">
        <f t="shared" si="15"/>
        <v>0.83126541613985949</v>
      </c>
      <c r="P43" s="67" t="s">
        <v>125</v>
      </c>
      <c r="Q43" s="68">
        <v>0.51</v>
      </c>
      <c r="R43" s="52">
        <f>Q43</f>
        <v>0.51</v>
      </c>
      <c r="S43" s="24" t="str">
        <f t="shared" si="16"/>
        <v>OK</v>
      </c>
      <c r="T43" s="155">
        <f t="shared" si="17"/>
        <v>0.920283684544973</v>
      </c>
      <c r="U43" s="146"/>
      <c r="V43" s="147">
        <f t="shared" si="18"/>
        <v>0</v>
      </c>
      <c r="X43">
        <f>IF(ISBLANK(K43),"",VLOOKUP(K43,$J$10:N36,3,FALSE))</f>
        <v>16</v>
      </c>
    </row>
    <row r="44" spans="2:24" ht="13.5" thickBot="1" x14ac:dyDescent="0.25">
      <c r="B44" s="162"/>
      <c r="C44" s="42" t="s">
        <v>62</v>
      </c>
      <c r="D44" s="55" t="s">
        <v>113</v>
      </c>
      <c r="E44" s="55" t="s">
        <v>115</v>
      </c>
      <c r="F44" s="44">
        <v>19</v>
      </c>
      <c r="G44" s="56">
        <v>25</v>
      </c>
      <c r="H44" s="56">
        <v>3.4000000000000002E-2</v>
      </c>
      <c r="I44" s="57">
        <v>6</v>
      </c>
      <c r="J44" s="58">
        <v>4</v>
      </c>
      <c r="K44" s="59" t="str">
        <f t="shared" si="11"/>
        <v>Tube cuivre Ø 28x1</v>
      </c>
      <c r="L44" s="47">
        <f t="shared" si="7"/>
        <v>7.5066729266238381</v>
      </c>
      <c r="M44" s="60">
        <f t="shared" si="13"/>
        <v>30.026691706495352</v>
      </c>
      <c r="N44" s="61">
        <f t="shared" si="14"/>
        <v>0.38226899408880599</v>
      </c>
      <c r="O44" s="61">
        <f t="shared" si="15"/>
        <v>2.8670174556660446</v>
      </c>
      <c r="P44" s="150"/>
      <c r="Q44" s="63"/>
      <c r="R44" s="52">
        <f>R42+R43</f>
        <v>1.37</v>
      </c>
      <c r="S44" s="24" t="str">
        <f t="shared" si="16"/>
        <v>OK</v>
      </c>
      <c r="T44" s="155">
        <f t="shared" si="17"/>
        <v>0.71677275488460446</v>
      </c>
      <c r="U44" s="148"/>
      <c r="V44" s="147">
        <f t="shared" si="18"/>
        <v>0</v>
      </c>
      <c r="X44">
        <f>IF(ISBLANK(K44),"",VLOOKUP(K44,$J$10:N36,3,FALSE))</f>
        <v>28</v>
      </c>
    </row>
    <row r="45" spans="2:24" ht="12" customHeight="1" thickBot="1" x14ac:dyDescent="0.25">
      <c r="B45" s="162"/>
      <c r="C45" s="54" t="s">
        <v>63</v>
      </c>
      <c r="D45" s="85" t="s">
        <v>116</v>
      </c>
      <c r="E45" s="85" t="s">
        <v>115</v>
      </c>
      <c r="F45" s="44">
        <v>19</v>
      </c>
      <c r="G45" s="56">
        <v>19</v>
      </c>
      <c r="H45" s="56">
        <v>3.4000000000000002E-2</v>
      </c>
      <c r="I45" s="86">
        <v>2</v>
      </c>
      <c r="J45" s="87">
        <v>6.5</v>
      </c>
      <c r="K45" s="59" t="str">
        <f t="shared" si="11"/>
        <v>Tube cuivre Ø 14x1</v>
      </c>
      <c r="L45" s="47">
        <f t="shared" si="7"/>
        <v>5.8609195162030412</v>
      </c>
      <c r="M45" s="60">
        <f t="shared" si="13"/>
        <v>38.095976855319769</v>
      </c>
      <c r="N45" s="61">
        <f t="shared" si="14"/>
        <v>8.1430081581047434E-2</v>
      </c>
      <c r="O45" s="61">
        <f t="shared" si="15"/>
        <v>0.61072561185785579</v>
      </c>
      <c r="P45" s="159" t="s">
        <v>126</v>
      </c>
      <c r="Q45" s="68">
        <v>0.115</v>
      </c>
      <c r="R45" s="52">
        <f>Q45</f>
        <v>0.115</v>
      </c>
      <c r="S45" s="24" t="str">
        <f t="shared" si="16"/>
        <v>OK</v>
      </c>
      <c r="T45" s="155">
        <f t="shared" si="17"/>
        <v>0.28245090209209828</v>
      </c>
      <c r="U45" s="148"/>
      <c r="V45" s="147">
        <f t="shared" si="18"/>
        <v>0</v>
      </c>
      <c r="X45">
        <f>IF(ISBLANK(K45),"",VLOOKUP(K45,$J$10:N36,3,FALSE))</f>
        <v>14</v>
      </c>
    </row>
    <row r="46" spans="2:24" ht="13.5" thickBot="1" x14ac:dyDescent="0.25">
      <c r="B46" s="160" t="s">
        <v>131</v>
      </c>
      <c r="C46" s="54" t="s">
        <v>63</v>
      </c>
      <c r="D46" s="85" t="s">
        <v>115</v>
      </c>
      <c r="E46" s="85" t="s">
        <v>117</v>
      </c>
      <c r="F46" s="44">
        <v>19</v>
      </c>
      <c r="G46" s="56">
        <v>25</v>
      </c>
      <c r="H46" s="56">
        <v>3.4000000000000002E-2</v>
      </c>
      <c r="I46" s="86">
        <v>6</v>
      </c>
      <c r="J46" s="87">
        <v>7</v>
      </c>
      <c r="K46" s="59" t="str">
        <f t="shared" si="11"/>
        <v>Tube cuivre Ø 28x1</v>
      </c>
      <c r="L46" s="47">
        <f t="shared" ref="L46" si="20">(1/((1/(2*PI()*$H46*1))*(LN((((VLOOKUP(I46,I$10:N$18,4,0))/2)+G46)/((VLOOKUP(I46,I$10:N$18,4,0))/2)))))*($D$13-F46)</f>
        <v>7.5066729266238381</v>
      </c>
      <c r="M46" s="60">
        <f t="shared" si="13"/>
        <v>52.546710486366869</v>
      </c>
      <c r="N46" s="61">
        <f t="shared" si="14"/>
        <v>0.38226899408880599</v>
      </c>
      <c r="O46" s="61">
        <f t="shared" si="15"/>
        <v>2.8670174556660446</v>
      </c>
      <c r="P46" s="159"/>
      <c r="Q46" s="68"/>
      <c r="R46" s="52">
        <f>R44+R45</f>
        <v>1.4850000000000001</v>
      </c>
      <c r="S46" s="24" t="str">
        <f t="shared" si="16"/>
        <v>OK</v>
      </c>
      <c r="T46" s="155">
        <f t="shared" si="17"/>
        <v>0.77693981095156028</v>
      </c>
      <c r="U46" s="148">
        <v>26.743801134906963</v>
      </c>
      <c r="V46" s="147">
        <f t="shared" si="18"/>
        <v>187.20660794434875</v>
      </c>
      <c r="X46">
        <f>IF(ISBLANK(K46),"",VLOOKUP(K46,$J$10:N36,3,FALSE))</f>
        <v>28</v>
      </c>
    </row>
    <row r="47" spans="2:24" ht="12" customHeight="1" thickBot="1" x14ac:dyDescent="0.25">
      <c r="B47" s="160" t="s">
        <v>131</v>
      </c>
      <c r="C47" s="54" t="s">
        <v>63</v>
      </c>
      <c r="D47" s="85" t="s">
        <v>118</v>
      </c>
      <c r="E47" s="85" t="s">
        <v>117</v>
      </c>
      <c r="F47" s="44">
        <v>19</v>
      </c>
      <c r="G47" s="56">
        <v>19</v>
      </c>
      <c r="H47" s="56">
        <v>3.4000000000000002E-2</v>
      </c>
      <c r="I47" s="86">
        <v>3</v>
      </c>
      <c r="J47" s="87">
        <v>12.5</v>
      </c>
      <c r="K47" s="59" t="str">
        <f>VLOOKUP(I47,I$10:N$18,2,0)</f>
        <v>Tube cuivre Ø 16x1</v>
      </c>
      <c r="L47" s="47">
        <f t="shared" ref="L47:L49" si="21">(1/((1/(2*PI()*$H47*1))*(LN((((VLOOKUP(I47,I$10:N$18,4,0))/2)+G47)/((VLOOKUP(I47,I$10:N$18,4,0))/2)))))*($D$13-F47)</f>
        <v>6.3224666045626936</v>
      </c>
      <c r="M47" s="60">
        <f>L47*J47</f>
        <v>79.030832557033676</v>
      </c>
      <c r="N47" s="61">
        <f>(((PI()*(POWER(((VLOOKUP(I47,I$10:N$18,3,0))/1000),2)))/4)*0.2)*3600</f>
        <v>0.11083538881864792</v>
      </c>
      <c r="O47" s="61">
        <f>(((PI()*(POWER(((VLOOKUP(I47,I$10:N$18,3,0))/1000),2)))/4)*1.5)*3600</f>
        <v>0.83126541613985949</v>
      </c>
      <c r="P47" s="159" t="s">
        <v>127</v>
      </c>
      <c r="Q47" s="68">
        <v>0.38500000000000001</v>
      </c>
      <c r="R47" s="52">
        <f>Q47</f>
        <v>0.38500000000000001</v>
      </c>
      <c r="S47" s="24" t="str">
        <f>IF(R47&lt;&gt;"",IF(R47&gt;=N47,IF(R47&lt;=O47,"OK","!PB!"),"!PB!"),IF(Q47&lt;&gt;"",IF(Q47&gt;=N47,IF(Q47&lt;=O47,"OK","!PB!"),"!PB!"),""))</f>
        <v>OK</v>
      </c>
      <c r="T47" s="155">
        <f>(4*R47/3600)/(PI()*((VLOOKUP(I47,$I$10:$K$18,3,0)/1000)^2))</f>
        <v>0.69472395794081288</v>
      </c>
      <c r="U47" s="148">
        <v>47.283807676164521</v>
      </c>
      <c r="V47" s="147">
        <f>U47*J47</f>
        <v>591.04759595205655</v>
      </c>
      <c r="X47">
        <f>IF(ISBLANK(K47),"",VLOOKUP(K47,$J$10:N39,3,FALSE))</f>
        <v>16</v>
      </c>
    </row>
    <row r="48" spans="2:24" ht="12" customHeight="1" thickBot="1" x14ac:dyDescent="0.25">
      <c r="B48" s="160" t="s">
        <v>131</v>
      </c>
      <c r="C48" s="54" t="s">
        <v>63</v>
      </c>
      <c r="D48" s="85" t="s">
        <v>117</v>
      </c>
      <c r="E48" s="85" t="s">
        <v>119</v>
      </c>
      <c r="F48" s="44">
        <v>19</v>
      </c>
      <c r="G48" s="56">
        <v>19</v>
      </c>
      <c r="H48" s="56">
        <v>3.4000000000000002E-2</v>
      </c>
      <c r="I48" s="86">
        <v>6</v>
      </c>
      <c r="J48" s="87">
        <v>13</v>
      </c>
      <c r="K48" s="59" t="str">
        <f>VLOOKUP(I48,I$10:N$18,2,0)</f>
        <v>Tube cuivre Ø 28x1</v>
      </c>
      <c r="L48" s="47">
        <f t="shared" si="21"/>
        <v>8.9691722391676176</v>
      </c>
      <c r="M48" s="60">
        <f>L48*J48</f>
        <v>116.59923910917902</v>
      </c>
      <c r="N48" s="61">
        <f>(((PI()*(POWER(((VLOOKUP(I48,I$10:N$18,3,0))/1000),2)))/4)*0.2)*3600</f>
        <v>0.38226899408880599</v>
      </c>
      <c r="O48" s="61">
        <f>(((PI()*(POWER(((VLOOKUP(I48,I$10:N$18,3,0))/1000),2)))/4)*1.5)*3600</f>
        <v>2.8670174556660446</v>
      </c>
      <c r="P48" s="151"/>
      <c r="Q48" s="68"/>
      <c r="R48" s="52">
        <f>R47+R46</f>
        <v>1.87</v>
      </c>
      <c r="S48" s="24" t="str">
        <f>IF(R48&lt;&gt;"",IF(R48&gt;=N48,IF(R48&lt;=O48,"OK","!PB!"),"!PB!"),IF(Q48&lt;&gt;"",IF(Q48&gt;=N48,IF(Q48&lt;=O48,"OK","!PB!"),"!PB!"),""))</f>
        <v>OK</v>
      </c>
      <c r="T48" s="155">
        <f>(4*R48/3600)/(PI()*((VLOOKUP(I48,$I$10:$K$18,3,0)/1000)^2))</f>
        <v>0.97836865082789071</v>
      </c>
      <c r="U48" s="148">
        <v>47.583533905572921</v>
      </c>
      <c r="V48" s="147">
        <f>U48*J48</f>
        <v>618.585940772448</v>
      </c>
      <c r="X48">
        <f>IF(ISBLANK(K48),"",VLOOKUP(K48,$J$10:N38,3,FALSE))</f>
        <v>28</v>
      </c>
    </row>
    <row r="49" spans="2:24" ht="12" customHeight="1" thickBot="1" x14ac:dyDescent="0.25">
      <c r="B49" s="160" t="s">
        <v>131</v>
      </c>
      <c r="C49" s="54" t="s">
        <v>63</v>
      </c>
      <c r="D49" s="85" t="s">
        <v>120</v>
      </c>
      <c r="E49" s="85" t="s">
        <v>119</v>
      </c>
      <c r="F49" s="44">
        <v>19</v>
      </c>
      <c r="G49" s="56">
        <v>19</v>
      </c>
      <c r="H49" s="56">
        <v>3.4000000000000002E-2</v>
      </c>
      <c r="I49" s="86">
        <v>5</v>
      </c>
      <c r="J49" s="87">
        <v>12</v>
      </c>
      <c r="K49" s="59" t="str">
        <f>VLOOKUP(I49,I$10:N$18,2,0)</f>
        <v>Tube cuivre Ø 22x1</v>
      </c>
      <c r="L49" s="47">
        <f t="shared" si="21"/>
        <v>7.66530713734595</v>
      </c>
      <c r="M49" s="60">
        <f>L49*J49</f>
        <v>91.983685648151408</v>
      </c>
      <c r="N49" s="61">
        <f>(((PI()*(POWER(((VLOOKUP(I49,I$10:N$18,3,0))/1000),2)))/4)*0.2)*3600</f>
        <v>0.22619467105846514</v>
      </c>
      <c r="O49" s="61">
        <f>(((PI()*(POWER(((VLOOKUP(I49,I$10:N$18,3,0))/1000),2)))/4)*1.5)*3600</f>
        <v>1.6964600329384882</v>
      </c>
      <c r="P49" s="159" t="s">
        <v>128</v>
      </c>
      <c r="Q49" s="68">
        <v>0.82</v>
      </c>
      <c r="R49" s="52">
        <f>Q49</f>
        <v>0.82</v>
      </c>
      <c r="S49" s="24" t="str">
        <f>IF(R49&lt;&gt;"",IF(R49&gt;=N49,IF(R49&lt;=O49,"OK","!PB!"),"!PB!"),IF(Q49&lt;&gt;"",IF(Q49&gt;=N49,IF(Q49&lt;=O49,"OK","!PB!"),"!PB!"),""))</f>
        <v>OK</v>
      </c>
      <c r="T49" s="155">
        <f>(4*R49/3600)/(PI()*((VLOOKUP(I49,$I$10:$K$18,3,0)/1000)^2))</f>
        <v>0.72503918519641208</v>
      </c>
      <c r="U49" s="148">
        <v>32.708590471547751</v>
      </c>
      <c r="V49" s="147">
        <f>U49*J49</f>
        <v>392.50308565857301</v>
      </c>
      <c r="X49">
        <f>IF(ISBLANK(K49),"",VLOOKUP(K49,$J$10:N39,3,FALSE))</f>
        <v>22</v>
      </c>
    </row>
    <row r="50" spans="2:24" ht="12" customHeight="1" thickBot="1" x14ac:dyDescent="0.25">
      <c r="B50" s="160" t="s">
        <v>131</v>
      </c>
      <c r="C50" s="54" t="s">
        <v>63</v>
      </c>
      <c r="D50" s="85" t="s">
        <v>119</v>
      </c>
      <c r="E50" s="85" t="s">
        <v>121</v>
      </c>
      <c r="F50" s="44">
        <v>19</v>
      </c>
      <c r="G50" s="56">
        <v>40</v>
      </c>
      <c r="H50" s="56">
        <v>3.4000000000000002E-2</v>
      </c>
      <c r="I50" s="86">
        <v>8</v>
      </c>
      <c r="J50" s="87">
        <v>8</v>
      </c>
      <c r="K50" s="59" t="str">
        <f>VLOOKUP(I50,I$10:N$18,2,0)</f>
        <v>Tube cuivre Ø 40x1</v>
      </c>
      <c r="L50" s="47">
        <f t="shared" ref="L50" si="22">(1/((1/(2*PI()*$H50*1))*(LN((((VLOOKUP(I50,I$10:N$18,4,0))/2)+G50)/((VLOOKUP(I50,I$10:N$18,4,0))/2)))))*($D$13-F50)</f>
        <v>7.0003029233465508</v>
      </c>
      <c r="M50" s="60">
        <f>L50*J50</f>
        <v>56.002423386772406</v>
      </c>
      <c r="N50" s="61">
        <f>(((PI()*(POWER(((VLOOKUP(I50,I$10:N$18,3,0))/1000),2)))/4)*0.2)*3600</f>
        <v>0.81656276252105908</v>
      </c>
      <c r="O50" s="61">
        <f>(((PI()*(POWER(((VLOOKUP(I50,I$10:N$18,3,0))/1000),2)))/4)*1.5)*3600</f>
        <v>6.1242207189079423</v>
      </c>
      <c r="P50" s="151"/>
      <c r="Q50" s="68"/>
      <c r="R50" s="52">
        <f>R48+R49</f>
        <v>2.69</v>
      </c>
      <c r="S50" s="24" t="str">
        <f>IF(R50&lt;&gt;"",IF(R50&gt;=N50,IF(R50&lt;=O50,"OK","!PB!"),"!PB!"),IF(Q50&lt;&gt;"",IF(Q50&gt;=N50,IF(Q50&lt;=O50,"OK","!PB!"),"!PB!"),""))</f>
        <v>OK</v>
      </c>
      <c r="T50" s="155">
        <f>(4*R50/3600)/(PI()*((VLOOKUP(I50,$I$10:$K$18,3,0)/1000)^2))</f>
        <v>0.65885933659156437</v>
      </c>
      <c r="U50" s="148">
        <v>15.1964721023585</v>
      </c>
      <c r="V50" s="147">
        <f>U50*J50</f>
        <v>121.571776818868</v>
      </c>
      <c r="X50">
        <f>IF(ISBLANK(K50),"",VLOOKUP(K50,$J$10:N40,3,FALSE))</f>
        <v>40</v>
      </c>
    </row>
    <row r="51" spans="2:24" x14ac:dyDescent="0.2">
      <c r="C51" s="42" t="s">
        <v>66</v>
      </c>
      <c r="D51" s="85"/>
      <c r="E51" s="85"/>
      <c r="F51" s="56">
        <v>-9</v>
      </c>
      <c r="G51" s="156"/>
      <c r="H51" s="156"/>
      <c r="I51" s="86"/>
      <c r="J51" s="87"/>
      <c r="K51" s="59"/>
      <c r="L51" s="47"/>
      <c r="M51" s="60"/>
      <c r="N51" s="61"/>
      <c r="O51" s="61"/>
      <c r="P51" s="67"/>
      <c r="Q51" s="68"/>
      <c r="R51" s="69"/>
      <c r="S51" s="24"/>
      <c r="T51" s="24"/>
      <c r="U51" s="70"/>
      <c r="V51" s="53"/>
      <c r="X51" t="str">
        <f>IF(ISBLANK(K51),"",VLOOKUP(K51,$J$10:N39,3,FALSE))</f>
        <v/>
      </c>
    </row>
    <row r="52" spans="2:24" ht="13.5" thickBot="1" x14ac:dyDescent="0.25">
      <c r="C52" s="54" t="s">
        <v>67</v>
      </c>
      <c r="D52" s="64"/>
      <c r="E52" s="64"/>
      <c r="F52" s="56">
        <v>-9</v>
      </c>
      <c r="G52" s="156"/>
      <c r="H52" s="156"/>
      <c r="I52" s="65"/>
      <c r="J52" s="66"/>
      <c r="K52" s="59"/>
      <c r="L52" s="47"/>
      <c r="M52" s="60"/>
      <c r="N52" s="61"/>
      <c r="O52" s="61"/>
      <c r="P52" s="67"/>
      <c r="Q52" s="68"/>
      <c r="R52" s="69"/>
      <c r="S52" s="24" t="str">
        <f>IF(R52&lt;&gt;"",IF(R52&gt;=N52,IF(R52&lt;=O52,"OK","!PB!"),"!PB!"),IF(Q52&lt;&gt;"",IF(Q52&gt;=N52,IF(Q52&lt;=O52,"OK","!PB!"),"!PB!"),""))</f>
        <v/>
      </c>
      <c r="T52" s="24"/>
      <c r="U52" s="70"/>
      <c r="V52" s="53"/>
      <c r="X52" t="str">
        <f>IF(ISBLANK(K52),"",VLOOKUP(K52,$J$10:N44,3,FALSE))</f>
        <v/>
      </c>
    </row>
    <row r="53" spans="2:24" ht="14.25" thickTop="1" thickBot="1" x14ac:dyDescent="0.25">
      <c r="C53" s="71"/>
      <c r="D53" s="11"/>
      <c r="E53" s="11"/>
      <c r="F53" s="72"/>
      <c r="G53" s="72"/>
      <c r="H53" s="72"/>
      <c r="I53" s="73"/>
      <c r="J53" s="165" t="s">
        <v>54</v>
      </c>
      <c r="K53" s="166"/>
      <c r="L53" s="166"/>
      <c r="M53" s="74">
        <f>SUM(M24:M52)</f>
        <v>1734.6951828932815</v>
      </c>
      <c r="N53" s="167" t="s">
        <v>55</v>
      </c>
      <c r="O53" s="168"/>
      <c r="P53" s="168"/>
      <c r="Q53" s="75">
        <f>SUM(Q24:Q52)</f>
        <v>2.69</v>
      </c>
      <c r="R53" s="76"/>
      <c r="U53" s="77" t="s">
        <v>56</v>
      </c>
      <c r="V53" s="78">
        <f>(SUM(V24:V52))/1000</f>
        <v>2.3428462435241562</v>
      </c>
    </row>
    <row r="54" spans="2:24" ht="13.5" thickBot="1" x14ac:dyDescent="0.25">
      <c r="P54" s="79" t="s">
        <v>57</v>
      </c>
      <c r="Q54" s="80">
        <f>((M53/1.163)/5)/1000</f>
        <v>0.29831387496015155</v>
      </c>
      <c r="U54" s="81" t="s">
        <v>58</v>
      </c>
      <c r="V54" s="82">
        <v>0.15</v>
      </c>
    </row>
    <row r="55" spans="2:24" ht="14.25" thickTop="1" thickBot="1" x14ac:dyDescent="0.25">
      <c r="D55" s="157" t="s">
        <v>107</v>
      </c>
      <c r="U55" s="83" t="s">
        <v>56</v>
      </c>
      <c r="V55" s="84">
        <f>(V53*V54)+V53</f>
        <v>2.6942731800527797</v>
      </c>
    </row>
    <row r="56" spans="2:24" x14ac:dyDescent="0.2">
      <c r="K56"/>
      <c r="L56" s="79"/>
      <c r="M56" s="80"/>
    </row>
    <row r="57" spans="2:24" x14ac:dyDescent="0.2">
      <c r="K57"/>
      <c r="M57" s="80"/>
    </row>
    <row r="58" spans="2:24" x14ac:dyDescent="0.2">
      <c r="K58"/>
    </row>
    <row r="59" spans="2:24" x14ac:dyDescent="0.2">
      <c r="K59"/>
    </row>
    <row r="64" spans="2:24" x14ac:dyDescent="0.2">
      <c r="D64" t="s">
        <v>101</v>
      </c>
    </row>
    <row r="66" spans="4:4" x14ac:dyDescent="0.2">
      <c r="D66" s="157" t="s">
        <v>129</v>
      </c>
    </row>
  </sheetData>
  <mergeCells count="14">
    <mergeCell ref="U22:V22"/>
    <mergeCell ref="J53:L53"/>
    <mergeCell ref="N53:P53"/>
    <mergeCell ref="C4:R4"/>
    <mergeCell ref="I9:J9"/>
    <mergeCell ref="C22:C23"/>
    <mergeCell ref="D22:E22"/>
    <mergeCell ref="I22:I23"/>
    <mergeCell ref="J22:J23"/>
    <mergeCell ref="K22:K23"/>
    <mergeCell ref="L22:M22"/>
    <mergeCell ref="N22:O22"/>
    <mergeCell ref="P22:R22"/>
    <mergeCell ref="G21:H21"/>
  </mergeCells>
  <phoneticPr fontId="2" type="noConversion"/>
  <conditionalFormatting sqref="F14:H14 S24:T52">
    <cfRule type="cellIs" dxfId="3" priority="1" stopIfTrue="1" operator="equal">
      <formula>"OK"</formula>
    </cfRule>
    <cfRule type="cellIs" dxfId="2" priority="2" stopIfTrue="1" operator="equal">
      <formula>"!PB!"</formula>
    </cfRule>
  </conditionalFormatting>
  <pageMargins left="0.78740157480314965" right="0.78740157480314965" top="0.98425196850393704" bottom="0.98425196850393704" header="0.51181102362204722" footer="0.51181102362204722"/>
  <pageSetup paperSize="8" scale="6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otal">
                <anchor moveWithCells="1" sizeWithCells="1">
                  <from>
                    <xdr:col>20</xdr:col>
                    <xdr:colOff>552450</xdr:colOff>
                    <xdr:row>15</xdr:row>
                    <xdr:rowOff>0</xdr:rowOff>
                  </from>
                  <to>
                    <xdr:col>21</xdr:col>
                    <xdr:colOff>66675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8"/>
  </sheetPr>
  <dimension ref="B1:E37"/>
  <sheetViews>
    <sheetView showGridLines="0" workbookViewId="0">
      <selection activeCell="D22" sqref="D22"/>
    </sheetView>
  </sheetViews>
  <sheetFormatPr baseColWidth="10" defaultColWidth="10.28515625" defaultRowHeight="12.75" x14ac:dyDescent="0.2"/>
  <cols>
    <col min="1" max="1" width="3.85546875" style="89" customWidth="1"/>
    <col min="2" max="2" width="16.28515625" style="89" customWidth="1"/>
    <col min="3" max="3" width="16.7109375" style="89" customWidth="1"/>
    <col min="4" max="4" width="16" style="89" customWidth="1"/>
    <col min="5" max="5" width="17" style="89" customWidth="1"/>
    <col min="6" max="16384" width="10.28515625" style="89"/>
  </cols>
  <sheetData>
    <row r="1" spans="2:5" ht="24" thickBot="1" x14ac:dyDescent="0.4">
      <c r="B1" s="130" t="s">
        <v>92</v>
      </c>
    </row>
    <row r="2" spans="2:5" s="134" customFormat="1" ht="38.25" x14ac:dyDescent="0.2">
      <c r="B2" s="131" t="s">
        <v>93</v>
      </c>
      <c r="C2" s="132" t="s">
        <v>68</v>
      </c>
      <c r="D2" s="132" t="s">
        <v>94</v>
      </c>
      <c r="E2" s="133" t="s">
        <v>70</v>
      </c>
    </row>
    <row r="3" spans="2:5" x14ac:dyDescent="0.2">
      <c r="B3" s="135">
        <v>0</v>
      </c>
      <c r="C3" s="136">
        <v>999.8</v>
      </c>
      <c r="D3" s="136">
        <v>4217</v>
      </c>
      <c r="E3" s="137">
        <v>1.7900000000000001E-3</v>
      </c>
    </row>
    <row r="4" spans="2:5" x14ac:dyDescent="0.2">
      <c r="B4" s="135">
        <v>10</v>
      </c>
      <c r="C4" s="136">
        <v>999.7</v>
      </c>
      <c r="D4" s="136">
        <v>4191</v>
      </c>
      <c r="E4" s="137">
        <v>1.31E-3</v>
      </c>
    </row>
    <row r="5" spans="2:5" x14ac:dyDescent="0.2">
      <c r="B5" s="135">
        <v>20</v>
      </c>
      <c r="C5" s="136">
        <v>998.2</v>
      </c>
      <c r="D5" s="136">
        <v>4181</v>
      </c>
      <c r="E5" s="137">
        <v>1E-3</v>
      </c>
    </row>
    <row r="6" spans="2:5" x14ac:dyDescent="0.2">
      <c r="B6" s="135">
        <v>30</v>
      </c>
      <c r="C6" s="136">
        <v>995.7</v>
      </c>
      <c r="D6" s="136">
        <v>4178</v>
      </c>
      <c r="E6" s="137">
        <v>8.0000000000000004E-4</v>
      </c>
    </row>
    <row r="7" spans="2:5" x14ac:dyDescent="0.2">
      <c r="B7" s="135">
        <v>40</v>
      </c>
      <c r="C7" s="136">
        <v>992.2</v>
      </c>
      <c r="D7" s="136">
        <v>4178</v>
      </c>
      <c r="E7" s="137">
        <v>6.4999999999999997E-4</v>
      </c>
    </row>
    <row r="8" spans="2:5" x14ac:dyDescent="0.2">
      <c r="B8" s="135">
        <v>50</v>
      </c>
      <c r="C8" s="136">
        <v>988</v>
      </c>
      <c r="D8" s="136">
        <v>4180</v>
      </c>
      <c r="E8" s="137">
        <v>5.5000000000000003E-4</v>
      </c>
    </row>
    <row r="9" spans="2:5" x14ac:dyDescent="0.2">
      <c r="B9" s="135">
        <v>60</v>
      </c>
      <c r="C9" s="136">
        <v>983.2</v>
      </c>
      <c r="D9" s="136">
        <v>4183</v>
      </c>
      <c r="E9" s="137">
        <v>4.6999999999999999E-4</v>
      </c>
    </row>
    <row r="10" spans="2:5" x14ac:dyDescent="0.2">
      <c r="B10" s="135">
        <v>70</v>
      </c>
      <c r="C10" s="136">
        <v>977.8</v>
      </c>
      <c r="D10" s="136">
        <v>4189</v>
      </c>
      <c r="E10" s="137">
        <v>4.0000000000000002E-4</v>
      </c>
    </row>
    <row r="11" spans="2:5" x14ac:dyDescent="0.2">
      <c r="B11" s="135">
        <v>80</v>
      </c>
      <c r="C11" s="136">
        <v>971.8</v>
      </c>
      <c r="D11" s="136">
        <v>4196</v>
      </c>
      <c r="E11" s="137">
        <v>3.5999999999999997E-4</v>
      </c>
    </row>
    <row r="12" spans="2:5" x14ac:dyDescent="0.2">
      <c r="B12" s="135">
        <v>90</v>
      </c>
      <c r="C12" s="136">
        <v>965.3</v>
      </c>
      <c r="D12" s="136">
        <v>4204</v>
      </c>
      <c r="E12" s="137">
        <v>3.1E-4</v>
      </c>
    </row>
    <row r="13" spans="2:5" ht="13.5" thickBot="1" x14ac:dyDescent="0.25">
      <c r="B13" s="138">
        <v>100</v>
      </c>
      <c r="C13" s="139">
        <v>958.4</v>
      </c>
      <c r="D13" s="139">
        <v>4215</v>
      </c>
      <c r="E13" s="140">
        <v>2.8000000000000003E-4</v>
      </c>
    </row>
    <row r="16" spans="2:5" ht="24" thickBot="1" x14ac:dyDescent="0.4">
      <c r="B16" s="130" t="s">
        <v>95</v>
      </c>
    </row>
    <row r="17" spans="2:5" ht="38.25" x14ac:dyDescent="0.2">
      <c r="B17" s="131" t="s">
        <v>96</v>
      </c>
      <c r="C17" s="132" t="s">
        <v>68</v>
      </c>
      <c r="D17" s="132" t="s">
        <v>94</v>
      </c>
      <c r="E17" s="133" t="s">
        <v>70</v>
      </c>
    </row>
    <row r="18" spans="2:5" x14ac:dyDescent="0.2">
      <c r="B18" s="91"/>
      <c r="C18" s="91">
        <v>1086</v>
      </c>
      <c r="D18" s="91">
        <v>3000</v>
      </c>
      <c r="E18" s="91">
        <v>1.47E-3</v>
      </c>
    </row>
    <row r="20" spans="2:5" ht="15.75" thickBot="1" x14ac:dyDescent="0.25">
      <c r="B20" s="141" t="s">
        <v>97</v>
      </c>
      <c r="D20" s="142">
        <v>0</v>
      </c>
    </row>
    <row r="21" spans="2:5" ht="38.25" x14ac:dyDescent="0.2">
      <c r="B21" s="131" t="s">
        <v>93</v>
      </c>
      <c r="C21" s="132" t="s">
        <v>68</v>
      </c>
      <c r="D21" s="132" t="s">
        <v>94</v>
      </c>
      <c r="E21" s="133" t="s">
        <v>70</v>
      </c>
    </row>
    <row r="22" spans="2:5" x14ac:dyDescent="0.2">
      <c r="B22" s="135">
        <f>Bouclage!D13</f>
        <v>55</v>
      </c>
      <c r="C22" s="143">
        <f>$D$20*C18+(1-$D$20)*VLOOKUP($B$22,$B$3:$E$13,2)</f>
        <v>988</v>
      </c>
      <c r="D22" s="144">
        <f>$D$20*D18+(1-$D$20)*VLOOKUP($B$22,$B$3:$E$13,3)</f>
        <v>4180</v>
      </c>
      <c r="E22" s="145">
        <f>$D$20*E18+(1-$D$20)*VLOOKUP($B$22,$B$3:$E$13,4)</f>
        <v>5.5000000000000003E-4</v>
      </c>
    </row>
    <row r="25" spans="2:5" ht="13.5" thickBot="1" x14ac:dyDescent="0.25"/>
    <row r="26" spans="2:5" ht="29.25" customHeight="1" x14ac:dyDescent="0.2">
      <c r="B26" s="131" t="s">
        <v>98</v>
      </c>
      <c r="C26" s="132" t="s">
        <v>68</v>
      </c>
    </row>
    <row r="27" spans="2:5" x14ac:dyDescent="0.2">
      <c r="B27" s="135">
        <v>0</v>
      </c>
      <c r="C27" s="136">
        <v>0</v>
      </c>
    </row>
    <row r="28" spans="2:5" x14ac:dyDescent="0.2">
      <c r="B28" s="135">
        <v>5</v>
      </c>
      <c r="C28" s="136">
        <v>2</v>
      </c>
    </row>
    <row r="29" spans="2:5" x14ac:dyDescent="0.2">
      <c r="B29" s="135">
        <v>10</v>
      </c>
      <c r="C29" s="136">
        <v>4</v>
      </c>
    </row>
    <row r="30" spans="2:5" x14ac:dyDescent="0.2">
      <c r="B30" s="135">
        <v>15</v>
      </c>
      <c r="C30" s="136">
        <v>6.5</v>
      </c>
    </row>
    <row r="31" spans="2:5" x14ac:dyDescent="0.2">
      <c r="B31" s="135">
        <v>20</v>
      </c>
      <c r="C31" s="136">
        <v>9</v>
      </c>
    </row>
    <row r="32" spans="2:5" x14ac:dyDescent="0.2">
      <c r="B32" s="135">
        <v>25</v>
      </c>
      <c r="C32" s="136">
        <v>12.5</v>
      </c>
    </row>
    <row r="33" spans="2:3" x14ac:dyDescent="0.2">
      <c r="B33" s="135">
        <v>30</v>
      </c>
      <c r="C33" s="136">
        <v>17</v>
      </c>
    </row>
    <row r="34" spans="2:3" x14ac:dyDescent="0.2">
      <c r="B34" s="135">
        <v>35</v>
      </c>
      <c r="C34" s="136">
        <v>22</v>
      </c>
    </row>
    <row r="35" spans="2:3" x14ac:dyDescent="0.2">
      <c r="B35" s="135">
        <v>40</v>
      </c>
      <c r="C35" s="136">
        <v>28</v>
      </c>
    </row>
    <row r="36" spans="2:3" x14ac:dyDescent="0.2">
      <c r="B36" s="135">
        <v>45</v>
      </c>
      <c r="C36" s="136">
        <v>35.5</v>
      </c>
    </row>
    <row r="37" spans="2:3" ht="13.5" thickBot="1" x14ac:dyDescent="0.25">
      <c r="B37" s="135">
        <v>50</v>
      </c>
      <c r="C37" s="139"/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8"/>
  </sheetPr>
  <dimension ref="A1:Q36"/>
  <sheetViews>
    <sheetView showGridLines="0" showZeros="0" showOutlineSymbols="0" workbookViewId="0">
      <selection activeCell="G3" sqref="G3"/>
    </sheetView>
  </sheetViews>
  <sheetFormatPr baseColWidth="10" defaultColWidth="10.28515625" defaultRowHeight="12.75" x14ac:dyDescent="0.2"/>
  <cols>
    <col min="1" max="1" width="4.140625" style="97" customWidth="1"/>
    <col min="2" max="2" width="5.42578125" style="97" customWidth="1"/>
    <col min="3" max="3" width="8.42578125" style="97" customWidth="1"/>
    <col min="4" max="4" width="13.28515625" style="97" customWidth="1"/>
    <col min="5" max="5" width="10.85546875" style="97" customWidth="1"/>
    <col min="6" max="6" width="11.42578125" style="97" customWidth="1"/>
    <col min="7" max="7" width="8.140625" style="98" bestFit="1" customWidth="1"/>
    <col min="8" max="8" width="6.42578125" style="97" customWidth="1"/>
    <col min="9" max="9" width="11.42578125" style="97" customWidth="1"/>
    <col min="10" max="10" width="11.85546875" style="97" customWidth="1"/>
    <col min="11" max="11" width="11.42578125" style="97" customWidth="1"/>
    <col min="12" max="12" width="10.85546875" style="97" customWidth="1"/>
    <col min="13" max="13" width="11.7109375" style="97" customWidth="1"/>
    <col min="14" max="14" width="8.42578125" style="99" bestFit="1" customWidth="1"/>
    <col min="15" max="15" width="4.85546875" style="97" customWidth="1"/>
    <col min="16" max="17" width="10.28515625" style="99" customWidth="1"/>
    <col min="18" max="16384" width="10.28515625" style="97"/>
  </cols>
  <sheetData>
    <row r="1" spans="1:17" s="89" customFormat="1" x14ac:dyDescent="0.2">
      <c r="G1" s="90"/>
      <c r="N1" s="91"/>
      <c r="P1" s="91"/>
      <c r="Q1" s="91"/>
    </row>
    <row r="2" spans="1:17" s="89" customFormat="1" x14ac:dyDescent="0.2">
      <c r="G2" s="90"/>
      <c r="N2" s="91"/>
      <c r="P2" s="91"/>
      <c r="Q2" s="91"/>
    </row>
    <row r="3" spans="1:17" s="92" customFormat="1" ht="25.5" customHeight="1" x14ac:dyDescent="0.2">
      <c r="B3" s="184" t="s">
        <v>68</v>
      </c>
      <c r="C3" s="184"/>
      <c r="D3" s="93">
        <f>Eau!C22</f>
        <v>988</v>
      </c>
      <c r="F3" s="94" t="s">
        <v>69</v>
      </c>
      <c r="G3" s="95">
        <v>2.69</v>
      </c>
      <c r="N3" s="96"/>
      <c r="P3" s="96"/>
      <c r="Q3" s="96"/>
    </row>
    <row r="4" spans="1:17" s="92" customFormat="1" ht="25.5" customHeight="1" x14ac:dyDescent="0.2">
      <c r="B4" s="184" t="s">
        <v>70</v>
      </c>
      <c r="C4" s="184"/>
      <c r="D4" s="93">
        <f>Eau!E22</f>
        <v>5.5000000000000003E-4</v>
      </c>
      <c r="F4" s="94" t="s">
        <v>71</v>
      </c>
      <c r="G4" s="95">
        <v>250000</v>
      </c>
      <c r="N4" s="96"/>
      <c r="P4" s="96"/>
      <c r="Q4" s="96"/>
    </row>
    <row r="5" spans="1:17" s="89" customFormat="1" ht="25.5" customHeight="1" x14ac:dyDescent="0.2">
      <c r="B5" s="185" t="s">
        <v>72</v>
      </c>
      <c r="C5" s="185"/>
      <c r="D5" s="93">
        <v>1.5E-3</v>
      </c>
      <c r="F5" s="94" t="s">
        <v>73</v>
      </c>
      <c r="G5" s="95">
        <f>1.5</f>
        <v>1.5</v>
      </c>
      <c r="N5" s="91"/>
      <c r="P5" s="91"/>
      <c r="Q5" s="91"/>
    </row>
    <row r="6" spans="1:17" s="89" customFormat="1" ht="25.5" customHeight="1" x14ac:dyDescent="0.2">
      <c r="B6" s="185" t="s">
        <v>74</v>
      </c>
      <c r="C6" s="185"/>
      <c r="D6" s="93">
        <v>9.81</v>
      </c>
      <c r="G6" s="90"/>
      <c r="N6" s="91"/>
      <c r="P6" s="91"/>
      <c r="Q6" s="91"/>
    </row>
    <row r="9" spans="1:17" ht="13.5" thickBot="1" x14ac:dyDescent="0.25"/>
    <row r="10" spans="1:17" ht="38.25" x14ac:dyDescent="0.2">
      <c r="B10" s="100" t="s">
        <v>75</v>
      </c>
      <c r="C10" s="101" t="s">
        <v>76</v>
      </c>
      <c r="D10" s="101" t="s">
        <v>77</v>
      </c>
      <c r="E10" s="101" t="s">
        <v>78</v>
      </c>
      <c r="F10" s="101" t="s">
        <v>79</v>
      </c>
      <c r="G10" s="102" t="s">
        <v>80</v>
      </c>
      <c r="H10" s="101" t="s">
        <v>81</v>
      </c>
      <c r="I10" s="101" t="s">
        <v>82</v>
      </c>
      <c r="J10" s="103" t="s">
        <v>83</v>
      </c>
      <c r="K10" s="103" t="s">
        <v>84</v>
      </c>
      <c r="L10" s="101" t="s">
        <v>85</v>
      </c>
      <c r="M10" s="104" t="s">
        <v>86</v>
      </c>
    </row>
    <row r="11" spans="1:17" x14ac:dyDescent="0.2">
      <c r="A11" s="97">
        <v>10</v>
      </c>
      <c r="B11" s="105">
        <v>10</v>
      </c>
      <c r="C11" s="106"/>
      <c r="D11" s="107">
        <v>10</v>
      </c>
      <c r="E11" s="107">
        <v>1</v>
      </c>
      <c r="F11" s="108">
        <f t="shared" ref="F11:F21" si="0">D11-E11*2</f>
        <v>8</v>
      </c>
      <c r="G11" s="109">
        <f t="shared" ref="G11:G22" si="1">PI()*F11*F11/4</f>
        <v>50.26548245743669</v>
      </c>
      <c r="H11" s="110">
        <f>$G$3*1000/G11/3.6</f>
        <v>14.865513781847168</v>
      </c>
      <c r="I11" s="111">
        <f>$D$3*H11*F11/(1000*$D$4)</f>
        <v>213630.94714858185</v>
      </c>
      <c r="J11" s="112">
        <f>IF(I11&lt;2000,64/I11,IF(I11&lt;40000,0.316/(I11^(0.25)),0.79*($D$5/F11)^0.5))</f>
        <v>1.0817520510727031E-2</v>
      </c>
      <c r="K11" s="112">
        <v>1.743750445849444E-2</v>
      </c>
      <c r="L11" s="112">
        <f t="shared" ref="L11:L21" si="2">K11^(-0.5)+2*LOG10((2.51/(I11*J11^0.5))+($D$5/(3.71*F11)))</f>
        <v>-1.1683721339927899E-4</v>
      </c>
      <c r="M11" s="113">
        <f t="shared" ref="M11:M21" si="3">1000000*(K11/F11)*H11*H11/(2*$D$6)</f>
        <v>24550.208756841581</v>
      </c>
      <c r="O11" s="114"/>
      <c r="Q11" s="115" t="s">
        <v>87</v>
      </c>
    </row>
    <row r="12" spans="1:17" x14ac:dyDescent="0.2">
      <c r="A12" s="97">
        <v>12</v>
      </c>
      <c r="B12" s="105">
        <v>12</v>
      </c>
      <c r="C12" s="106"/>
      <c r="D12" s="107">
        <v>12</v>
      </c>
      <c r="E12" s="107">
        <v>1</v>
      </c>
      <c r="F12" s="108">
        <f t="shared" si="0"/>
        <v>10</v>
      </c>
      <c r="G12" s="109">
        <f t="shared" si="1"/>
        <v>78.539816339744831</v>
      </c>
      <c r="H12" s="110">
        <f t="shared" ref="H12:H22" si="4">$G$3*1000/G12/3.6</f>
        <v>9.513928820382187</v>
      </c>
      <c r="I12" s="111">
        <f t="shared" ref="I12:I22" si="5">$D$3*H12*F12/(1000*$D$4)</f>
        <v>170904.75771886544</v>
      </c>
      <c r="J12" s="112">
        <f t="shared" ref="J12:J22" si="6">IF(I12&lt;2000,64/I12,IF(I12&lt;40000,0.316/(I12^(0.25)),0.79*($D$5/F12)^0.5))</f>
        <v>9.6754844839935551E-3</v>
      </c>
      <c r="K12" s="112">
        <v>1.8049148046156697E-2</v>
      </c>
      <c r="L12" s="112">
        <f t="shared" si="2"/>
        <v>-2.8041827274183362E-4</v>
      </c>
      <c r="M12" s="113">
        <f t="shared" si="3"/>
        <v>8326.7878511731233</v>
      </c>
      <c r="O12" s="114"/>
      <c r="Q12" s="115" t="s">
        <v>87</v>
      </c>
    </row>
    <row r="13" spans="1:17" x14ac:dyDescent="0.2">
      <c r="A13" s="97">
        <v>14</v>
      </c>
      <c r="B13" s="105">
        <v>14</v>
      </c>
      <c r="C13" s="108"/>
      <c r="D13" s="107">
        <v>14</v>
      </c>
      <c r="E13" s="107">
        <v>1</v>
      </c>
      <c r="F13" s="108">
        <f t="shared" si="0"/>
        <v>12</v>
      </c>
      <c r="G13" s="109">
        <f t="shared" si="1"/>
        <v>113.09733552923255</v>
      </c>
      <c r="H13" s="110">
        <f t="shared" si="4"/>
        <v>6.606895014154297</v>
      </c>
      <c r="I13" s="111">
        <f t="shared" si="5"/>
        <v>142420.63143238789</v>
      </c>
      <c r="J13" s="112">
        <f t="shared" si="6"/>
        <v>8.8324685111241703E-3</v>
      </c>
      <c r="K13" s="112">
        <v>1.8714545627109155E-2</v>
      </c>
      <c r="L13" s="112">
        <f t="shared" si="2"/>
        <v>-4.7733304601482729E-4</v>
      </c>
      <c r="M13" s="113">
        <f t="shared" si="3"/>
        <v>3469.7153685927592</v>
      </c>
      <c r="O13" s="114"/>
      <c r="Q13" s="115" t="s">
        <v>87</v>
      </c>
    </row>
    <row r="14" spans="1:17" x14ac:dyDescent="0.2">
      <c r="A14" s="97">
        <v>16</v>
      </c>
      <c r="B14" s="105">
        <v>16</v>
      </c>
      <c r="C14" s="106"/>
      <c r="D14" s="107">
        <v>16</v>
      </c>
      <c r="E14" s="107">
        <v>1</v>
      </c>
      <c r="F14" s="108">
        <f t="shared" si="0"/>
        <v>14</v>
      </c>
      <c r="G14" s="109">
        <f t="shared" si="1"/>
        <v>153.93804002589985</v>
      </c>
      <c r="H14" s="110">
        <f t="shared" si="4"/>
        <v>4.8540453165215247</v>
      </c>
      <c r="I14" s="111">
        <f t="shared" si="5"/>
        <v>122074.82694204675</v>
      </c>
      <c r="J14" s="112">
        <f t="shared" si="6"/>
        <v>8.1772768782068985E-3</v>
      </c>
      <c r="K14" s="112">
        <v>1.9386047876884627E-2</v>
      </c>
      <c r="L14" s="112">
        <f t="shared" si="2"/>
        <v>-4.9142853902939265E-4</v>
      </c>
      <c r="M14" s="113">
        <f t="shared" si="3"/>
        <v>1662.91440445743</v>
      </c>
      <c r="O14" s="114"/>
      <c r="Q14" s="115" t="s">
        <v>87</v>
      </c>
    </row>
    <row r="15" spans="1:17" x14ac:dyDescent="0.2">
      <c r="A15" s="97">
        <v>18</v>
      </c>
      <c r="B15" s="105">
        <v>18</v>
      </c>
      <c r="C15" s="106"/>
      <c r="D15" s="107">
        <v>18</v>
      </c>
      <c r="E15" s="107">
        <v>1</v>
      </c>
      <c r="F15" s="108">
        <f t="shared" si="0"/>
        <v>16</v>
      </c>
      <c r="G15" s="109">
        <f t="shared" si="1"/>
        <v>201.06192982974676</v>
      </c>
      <c r="H15" s="110">
        <f t="shared" si="4"/>
        <v>3.7163784454617921</v>
      </c>
      <c r="I15" s="111">
        <f t="shared" si="5"/>
        <v>106815.47357429093</v>
      </c>
      <c r="J15" s="112">
        <f t="shared" si="6"/>
        <v>7.6491421087596483E-3</v>
      </c>
      <c r="K15" s="112">
        <v>2.0044956132512722E-2</v>
      </c>
      <c r="L15" s="112">
        <f t="shared" si="2"/>
        <v>-3.2437303377985671E-4</v>
      </c>
      <c r="M15" s="113">
        <f t="shared" si="3"/>
        <v>881.91349776113532</v>
      </c>
      <c r="O15" s="114"/>
      <c r="Q15" s="115" t="s">
        <v>87</v>
      </c>
    </row>
    <row r="16" spans="1:17" x14ac:dyDescent="0.2">
      <c r="A16" s="97">
        <v>20</v>
      </c>
      <c r="B16" s="105">
        <v>20</v>
      </c>
      <c r="C16" s="106"/>
      <c r="D16" s="107">
        <v>20</v>
      </c>
      <c r="E16" s="107">
        <v>1</v>
      </c>
      <c r="F16" s="108">
        <f t="shared" si="0"/>
        <v>18</v>
      </c>
      <c r="G16" s="109">
        <f t="shared" si="1"/>
        <v>254.46900494077323</v>
      </c>
      <c r="H16" s="110">
        <f t="shared" si="4"/>
        <v>2.9363977840685771</v>
      </c>
      <c r="I16" s="111">
        <f t="shared" si="5"/>
        <v>94947.087621591942</v>
      </c>
      <c r="J16" s="112">
        <f t="shared" si="6"/>
        <v>7.2116803404846871E-3</v>
      </c>
      <c r="K16" s="112">
        <v>2.0685343001467214E-2</v>
      </c>
      <c r="L16" s="112">
        <f t="shared" si="2"/>
        <v>-1.9407388770265044E-4</v>
      </c>
      <c r="M16" s="113">
        <f t="shared" si="3"/>
        <v>505.03443854249991</v>
      </c>
      <c r="O16" s="114"/>
      <c r="Q16" s="115"/>
    </row>
    <row r="17" spans="1:17" x14ac:dyDescent="0.2">
      <c r="A17" s="97">
        <v>22</v>
      </c>
      <c r="B17" s="105">
        <v>22</v>
      </c>
      <c r="C17" s="106"/>
      <c r="D17" s="116">
        <v>22</v>
      </c>
      <c r="E17" s="116">
        <v>1</v>
      </c>
      <c r="F17" s="108">
        <f t="shared" si="0"/>
        <v>20</v>
      </c>
      <c r="G17" s="109">
        <f t="shared" si="1"/>
        <v>314.15926535897933</v>
      </c>
      <c r="H17" s="110">
        <f t="shared" si="4"/>
        <v>2.3784822050955468</v>
      </c>
      <c r="I17" s="111">
        <f t="shared" si="5"/>
        <v>85452.37885943272</v>
      </c>
      <c r="J17" s="112">
        <f t="shared" si="6"/>
        <v>6.8416006898970655E-3</v>
      </c>
      <c r="K17" s="112">
        <v>2.1305100949024203E-2</v>
      </c>
      <c r="L17" s="112">
        <f t="shared" si="2"/>
        <v>-1.0199050597137216E-4</v>
      </c>
      <c r="M17" s="113">
        <f t="shared" si="3"/>
        <v>307.15275192055242</v>
      </c>
      <c r="O17" s="114"/>
      <c r="Q17" s="115"/>
    </row>
    <row r="18" spans="1:17" x14ac:dyDescent="0.2">
      <c r="A18" s="97">
        <v>28</v>
      </c>
      <c r="B18" s="105">
        <v>28</v>
      </c>
      <c r="C18" s="106"/>
      <c r="D18" s="116">
        <v>28</v>
      </c>
      <c r="E18" s="116">
        <v>1</v>
      </c>
      <c r="F18" s="108">
        <f t="shared" si="0"/>
        <v>26</v>
      </c>
      <c r="G18" s="109">
        <f t="shared" si="1"/>
        <v>530.92915845667505</v>
      </c>
      <c r="H18" s="110">
        <f t="shared" si="4"/>
        <v>1.4073859201748797</v>
      </c>
      <c r="I18" s="111">
        <f t="shared" si="5"/>
        <v>65732.599122640546</v>
      </c>
      <c r="J18" s="112">
        <f t="shared" si="6"/>
        <v>6.0004807499707252E-3</v>
      </c>
      <c r="K18" s="112">
        <v>2.3042839580447953E-2</v>
      </c>
      <c r="L18" s="112">
        <f t="shared" si="2"/>
        <v>2.494932901626612E-4</v>
      </c>
      <c r="M18" s="113">
        <f t="shared" si="3"/>
        <v>89.472598237521595</v>
      </c>
      <c r="O18" s="114"/>
      <c r="Q18" s="115"/>
    </row>
    <row r="19" spans="1:17" x14ac:dyDescent="0.2">
      <c r="A19" s="97">
        <v>32</v>
      </c>
      <c r="B19" s="105">
        <v>32</v>
      </c>
      <c r="C19" s="106"/>
      <c r="D19" s="116">
        <v>32</v>
      </c>
      <c r="E19" s="116">
        <v>1</v>
      </c>
      <c r="F19" s="108">
        <f t="shared" si="0"/>
        <v>30</v>
      </c>
      <c r="G19" s="109">
        <f t="shared" si="1"/>
        <v>706.85834705770344</v>
      </c>
      <c r="H19" s="110">
        <f t="shared" si="4"/>
        <v>1.0571032022646876</v>
      </c>
      <c r="I19" s="111">
        <f t="shared" si="5"/>
        <v>56968.252572955156</v>
      </c>
      <c r="J19" s="112">
        <f t="shared" si="6"/>
        <v>5.5861435713737261E-3</v>
      </c>
      <c r="K19" s="112">
        <v>2.4116338230167778E-2</v>
      </c>
      <c r="L19" s="112">
        <f t="shared" si="2"/>
        <v>-1.2595146055005557E-5</v>
      </c>
      <c r="M19" s="113">
        <f t="shared" si="3"/>
        <v>45.78528114124645</v>
      </c>
      <c r="O19" s="114"/>
      <c r="Q19" s="115"/>
    </row>
    <row r="20" spans="1:17" x14ac:dyDescent="0.2">
      <c r="A20" s="97">
        <v>36</v>
      </c>
      <c r="B20" s="105">
        <v>36</v>
      </c>
      <c r="C20" s="106"/>
      <c r="D20" s="116">
        <v>36</v>
      </c>
      <c r="E20" s="116">
        <v>1</v>
      </c>
      <c r="F20" s="108">
        <f t="shared" si="0"/>
        <v>34</v>
      </c>
      <c r="G20" s="109">
        <f t="shared" si="1"/>
        <v>907.92027688745031</v>
      </c>
      <c r="H20" s="110">
        <f t="shared" si="4"/>
        <v>0.82300422321645206</v>
      </c>
      <c r="I20" s="111">
        <f t="shared" si="5"/>
        <v>50266.105211431008</v>
      </c>
      <c r="J20" s="112">
        <f t="shared" si="6"/>
        <v>5.2472681968250643E-3</v>
      </c>
      <c r="K20" s="112">
        <v>2.5129218310588716E-2</v>
      </c>
      <c r="L20" s="112">
        <f t="shared" si="2"/>
        <v>-6.8576835685618676E-6</v>
      </c>
      <c r="M20" s="113">
        <f t="shared" si="3"/>
        <v>25.515564839521421</v>
      </c>
      <c r="O20" s="114"/>
      <c r="Q20" s="115"/>
    </row>
    <row r="21" spans="1:17" x14ac:dyDescent="0.2">
      <c r="A21" s="97">
        <v>40</v>
      </c>
      <c r="B21" s="105">
        <v>40</v>
      </c>
      <c r="C21" s="106"/>
      <c r="D21" s="116">
        <v>40</v>
      </c>
      <c r="E21" s="116">
        <v>1</v>
      </c>
      <c r="F21" s="108">
        <f t="shared" si="0"/>
        <v>38</v>
      </c>
      <c r="G21" s="109">
        <f t="shared" si="1"/>
        <v>1134.1149479459152</v>
      </c>
      <c r="H21" s="110">
        <f t="shared" si="4"/>
        <v>0.65885933659156426</v>
      </c>
      <c r="I21" s="111">
        <f t="shared" si="5"/>
        <v>44974.93624180671</v>
      </c>
      <c r="J21" s="112">
        <f t="shared" si="6"/>
        <v>4.9634188132565921E-3</v>
      </c>
      <c r="K21" s="112">
        <v>2.6099967558604737E-2</v>
      </c>
      <c r="L21" s="112">
        <f t="shared" si="2"/>
        <v>-9.3743310570904015E-4</v>
      </c>
      <c r="M21" s="113">
        <f t="shared" si="3"/>
        <v>15.1964721023585</v>
      </c>
      <c r="O21" s="114"/>
      <c r="Q21" s="115"/>
    </row>
    <row r="22" spans="1:17" x14ac:dyDescent="0.2">
      <c r="A22" s="97">
        <v>52</v>
      </c>
      <c r="B22" s="105">
        <v>52</v>
      </c>
      <c r="C22" s="106"/>
      <c r="D22" s="116">
        <v>52</v>
      </c>
      <c r="E22" s="116">
        <v>1</v>
      </c>
      <c r="F22" s="108">
        <f>D22-E22*2</f>
        <v>50</v>
      </c>
      <c r="G22" s="109">
        <f t="shared" si="1"/>
        <v>1963.4954084936207</v>
      </c>
      <c r="H22" s="110">
        <f t="shared" si="4"/>
        <v>0.38055715281528751</v>
      </c>
      <c r="I22" s="111">
        <f t="shared" si="5"/>
        <v>34180.951543773095</v>
      </c>
      <c r="J22" s="112">
        <f t="shared" si="6"/>
        <v>2.3240263374213994E-2</v>
      </c>
      <c r="K22" s="112">
        <v>2.2823023810483303E-2</v>
      </c>
      <c r="L22" s="112">
        <f>K22^(-0.5)+2*LOG10((2.51/(I22*J22^0.5))+($D$5/(3.71*F22)))</f>
        <v>-6.8127802010842231E-4</v>
      </c>
      <c r="M22" s="113">
        <f>1000000*(K22/F22)*H22*H22/(2*$D$6)</f>
        <v>3.369333145807007</v>
      </c>
    </row>
    <row r="23" spans="1:17" x14ac:dyDescent="0.2">
      <c r="B23" s="105"/>
      <c r="C23" s="106"/>
      <c r="D23" s="116"/>
      <c r="E23" s="116"/>
      <c r="F23" s="108"/>
      <c r="G23" s="109"/>
      <c r="H23" s="110"/>
      <c r="I23" s="111"/>
      <c r="J23" s="112"/>
      <c r="K23" s="112"/>
      <c r="L23" s="112"/>
      <c r="M23" s="113"/>
    </row>
    <row r="24" spans="1:17" x14ac:dyDescent="0.2">
      <c r="B24" s="105"/>
      <c r="C24" s="106"/>
      <c r="D24" s="116"/>
      <c r="E24" s="116"/>
      <c r="F24" s="108"/>
      <c r="G24" s="109"/>
      <c r="H24" s="110"/>
      <c r="I24" s="111"/>
      <c r="J24" s="112"/>
      <c r="K24" s="112"/>
      <c r="L24" s="112"/>
      <c r="M24" s="113"/>
    </row>
    <row r="25" spans="1:17" x14ac:dyDescent="0.2">
      <c r="A25" s="97">
        <f t="shared" ref="A25:A26" si="7">IF(AND(H25&lt;$G$5,M25&lt;$G$4),B25,"")</f>
        <v>0</v>
      </c>
      <c r="B25" s="105"/>
      <c r="C25" s="106"/>
      <c r="D25" s="116"/>
      <c r="E25" s="116"/>
      <c r="F25" s="108"/>
      <c r="G25" s="109"/>
      <c r="H25" s="110"/>
      <c r="I25" s="111"/>
      <c r="J25" s="112"/>
      <c r="K25" s="112"/>
      <c r="L25" s="112"/>
      <c r="M25" s="113"/>
    </row>
    <row r="26" spans="1:17" ht="13.5" thickBot="1" x14ac:dyDescent="0.25">
      <c r="A26" s="97">
        <f t="shared" si="7"/>
        <v>0</v>
      </c>
      <c r="B26" s="117"/>
      <c r="C26" s="118"/>
      <c r="D26" s="119"/>
      <c r="E26" s="119"/>
      <c r="F26" s="120"/>
      <c r="G26" s="121"/>
      <c r="H26" s="122"/>
      <c r="I26" s="123"/>
      <c r="J26" s="124"/>
      <c r="K26" s="124"/>
      <c r="L26" s="124"/>
      <c r="M26" s="125"/>
    </row>
    <row r="27" spans="1:17" x14ac:dyDescent="0.2">
      <c r="Q27" s="115"/>
    </row>
    <row r="28" spans="1:17" x14ac:dyDescent="0.2">
      <c r="A28" s="97">
        <v>40</v>
      </c>
      <c r="B28" s="126">
        <f>VLOOKUP(A28,A11:M22,8)</f>
        <v>0.65885933659156426</v>
      </c>
      <c r="C28" s="126">
        <f>VLOOKUP(A28,A11:M22,13)</f>
        <v>15.1964721023585</v>
      </c>
    </row>
    <row r="29" spans="1:17" x14ac:dyDescent="0.2">
      <c r="B29" s="127"/>
      <c r="C29" s="127"/>
      <c r="D29" s="127"/>
      <c r="E29" s="127"/>
      <c r="G29" s="97"/>
    </row>
    <row r="30" spans="1:17" x14ac:dyDescent="0.2">
      <c r="B30" s="127"/>
      <c r="C30" s="127" t="s">
        <v>88</v>
      </c>
      <c r="D30" s="127"/>
      <c r="E30" s="127"/>
    </row>
    <row r="31" spans="1:17" x14ac:dyDescent="0.2">
      <c r="B31" s="127"/>
      <c r="C31" s="127" t="s">
        <v>89</v>
      </c>
      <c r="D31" s="127"/>
      <c r="E31" s="127"/>
    </row>
    <row r="32" spans="1:17" x14ac:dyDescent="0.2">
      <c r="B32" s="127"/>
      <c r="C32" s="127"/>
      <c r="D32" s="127"/>
      <c r="E32" s="127"/>
    </row>
    <row r="33" spans="2:5" x14ac:dyDescent="0.2">
      <c r="B33" s="127"/>
      <c r="C33" s="127"/>
      <c r="D33" s="127"/>
      <c r="E33" s="127"/>
    </row>
    <row r="34" spans="2:5" x14ac:dyDescent="0.2">
      <c r="B34" s="127"/>
      <c r="C34" s="127" t="s">
        <v>90</v>
      </c>
      <c r="D34" s="128" t="s">
        <v>91</v>
      </c>
      <c r="E34" s="127"/>
    </row>
    <row r="35" spans="2:5" x14ac:dyDescent="0.2">
      <c r="B35" s="127"/>
      <c r="C35" s="127"/>
      <c r="D35" s="127"/>
      <c r="E35" s="127"/>
    </row>
    <row r="36" spans="2:5" x14ac:dyDescent="0.2">
      <c r="B36" s="129"/>
      <c r="C36" s="129"/>
      <c r="D36" s="129"/>
      <c r="E36" s="129"/>
    </row>
  </sheetData>
  <mergeCells count="4">
    <mergeCell ref="B3:C3"/>
    <mergeCell ref="B4:C4"/>
    <mergeCell ref="B5:C5"/>
    <mergeCell ref="B6:C6"/>
  </mergeCells>
  <conditionalFormatting sqref="H11:H26">
    <cfRule type="cellIs" dxfId="1" priority="2" stopIfTrue="1" operator="greaterThan">
      <formula>$G$5</formula>
    </cfRule>
  </conditionalFormatting>
  <conditionalFormatting sqref="M11:M26">
    <cfRule type="cellIs" dxfId="0" priority="1" stopIfTrue="1" operator="greaterThan">
      <formula>$G$4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Bouclage</vt:lpstr>
      <vt:lpstr>Eau</vt:lpstr>
      <vt:lpstr>Cuivre</vt:lpstr>
      <vt:lpstr>Bouclage!Zone_d_impression</vt:lpstr>
    </vt:vector>
  </TitlesOfParts>
  <Company>SNGC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BBOUCHER</dc:creator>
  <cp:lastModifiedBy>Eric</cp:lastModifiedBy>
  <cp:lastPrinted>2014-02-24T09:04:03Z</cp:lastPrinted>
  <dcterms:created xsi:type="dcterms:W3CDTF">2010-05-17T16:18:14Z</dcterms:created>
  <dcterms:modified xsi:type="dcterms:W3CDTF">2014-03-28T10:44:42Z</dcterms:modified>
</cp:coreProperties>
</file>