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persons/person1.xml" ContentType="application/vnd.ms-excel.person+xml"/>
  <Override PartName="/xl/persons/person0.xml" ContentType="application/vnd.ms-excel.person+xml"/>
  <Override PartName="/xl/persons/person2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016f7c0f7ede6b23/Projet appartements Boisdevesy/"/>
    </mc:Choice>
  </mc:AlternateContent>
  <xr:revisionPtr revIDLastSave="38" documentId="13_ncr:1_{8977D11E-34C0-4FC3-B2F2-E5B89D28900F}" xr6:coauthVersionLast="47" xr6:coauthVersionMax="47" xr10:uidLastSave="{EDA69186-82C1-44BA-A582-E00D0AF9FC61}"/>
  <bookViews>
    <workbookView xWindow="-108" yWindow="-108" windowWidth="23256" windowHeight="12456" xr2:uid="{00000000-000D-0000-FFFF-FFFF00000000}"/>
  </bookViews>
  <sheets>
    <sheet name="Menu" sheetId="1" r:id="rId1"/>
    <sheet name="Recherche" sheetId="10" r:id="rId2"/>
    <sheet name="Archives" sheetId="6" r:id="rId3"/>
    <sheet name="Lots" sheetId="2" r:id="rId4"/>
    <sheet name="Box" sheetId="3" r:id="rId5"/>
    <sheet name="Locataire" sheetId="9" r:id="rId6"/>
    <sheet name="Donnée" sheetId="4" r:id="rId7"/>
  </sheets>
  <definedNames>
    <definedName name="List_annee">Tableau9[List_Année]</definedName>
    <definedName name="List_Box">Tab_Box[Num_box]</definedName>
    <definedName name="List_Lot">Tab_Lot[Nom_Lot]</definedName>
  </definedName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6" l="1"/>
  <c r="C3" i="6"/>
  <c r="C13" i="10" s="1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14" i="10" l="1"/>
  <c r="C10" i="10"/>
  <c r="E4" i="10"/>
  <c r="E3" i="10"/>
  <c r="G23" i="6"/>
  <c r="G24" i="6"/>
  <c r="G25" i="6"/>
  <c r="F23" i="6"/>
  <c r="F24" i="6"/>
  <c r="F25" i="6"/>
  <c r="D25" i="6"/>
  <c r="E25" i="6"/>
  <c r="I25" i="6"/>
  <c r="J25" i="6" s="1"/>
  <c r="D24" i="6"/>
  <c r="E24" i="6"/>
  <c r="I24" i="6"/>
  <c r="J24" i="6" s="1"/>
  <c r="D23" i="6"/>
  <c r="E23" i="6"/>
  <c r="I23" i="6"/>
  <c r="J23" i="6" s="1"/>
  <c r="G22" i="6"/>
  <c r="F22" i="6"/>
  <c r="D22" i="6"/>
  <c r="E22" i="6"/>
  <c r="I22" i="6"/>
  <c r="J22" i="6" s="1"/>
  <c r="I2" i="6"/>
  <c r="J2" i="6" s="1"/>
  <c r="I4" i="6"/>
  <c r="J4" i="6" s="1"/>
  <c r="I6" i="6"/>
  <c r="J6" i="6" s="1"/>
  <c r="I8" i="6"/>
  <c r="J8" i="6" s="1"/>
  <c r="I10" i="6"/>
  <c r="J10" i="6" s="1"/>
  <c r="I3" i="6"/>
  <c r="J3" i="6" s="1"/>
  <c r="I5" i="6"/>
  <c r="J5" i="6" s="1"/>
  <c r="I7" i="6"/>
  <c r="J7" i="6" s="1"/>
  <c r="I9" i="6"/>
  <c r="J9" i="6" s="1"/>
  <c r="I11" i="6"/>
  <c r="J11" i="6" s="1"/>
  <c r="I12" i="6"/>
  <c r="J12" i="6" s="1"/>
  <c r="I14" i="6"/>
  <c r="J14" i="6" s="1"/>
  <c r="I16" i="6"/>
  <c r="J16" i="6" s="1"/>
  <c r="I18" i="6"/>
  <c r="J18" i="6" s="1"/>
  <c r="I20" i="6"/>
  <c r="J20" i="6" s="1"/>
  <c r="I13" i="6"/>
  <c r="J13" i="6" s="1"/>
  <c r="I15" i="6"/>
  <c r="J15" i="6" s="1"/>
  <c r="I17" i="6"/>
  <c r="J17" i="6" s="1"/>
  <c r="I19" i="6"/>
  <c r="J19" i="6" s="1"/>
  <c r="I21" i="6"/>
  <c r="J21" i="6" s="1"/>
  <c r="G4" i="6"/>
  <c r="G6" i="6"/>
  <c r="G8" i="6"/>
  <c r="G10" i="6"/>
  <c r="G3" i="6"/>
  <c r="G5" i="6"/>
  <c r="G7" i="6"/>
  <c r="G9" i="6"/>
  <c r="G11" i="6"/>
  <c r="G12" i="6"/>
  <c r="G14" i="6"/>
  <c r="G16" i="6"/>
  <c r="G18" i="6"/>
  <c r="G20" i="6"/>
  <c r="G13" i="6"/>
  <c r="G15" i="6"/>
  <c r="G17" i="6"/>
  <c r="G19" i="6"/>
  <c r="G21" i="6"/>
  <c r="G2" i="6"/>
  <c r="F4" i="6"/>
  <c r="F6" i="6"/>
  <c r="F8" i="6"/>
  <c r="F10" i="6"/>
  <c r="F3" i="6"/>
  <c r="F5" i="6"/>
  <c r="F7" i="6"/>
  <c r="F9" i="6"/>
  <c r="F11" i="6"/>
  <c r="F12" i="6"/>
  <c r="F14" i="6"/>
  <c r="F16" i="6"/>
  <c r="F18" i="6"/>
  <c r="F20" i="6"/>
  <c r="F13" i="6"/>
  <c r="F15" i="6"/>
  <c r="F17" i="6"/>
  <c r="F19" i="6"/>
  <c r="F21" i="6"/>
  <c r="F2" i="6"/>
  <c r="E2" i="6"/>
  <c r="D12" i="6"/>
  <c r="E12" i="6"/>
  <c r="D14" i="6"/>
  <c r="E14" i="6"/>
  <c r="D16" i="6"/>
  <c r="E16" i="6"/>
  <c r="D18" i="6"/>
  <c r="E18" i="6"/>
  <c r="D20" i="6"/>
  <c r="E20" i="6"/>
  <c r="D13" i="6"/>
  <c r="E13" i="6"/>
  <c r="D15" i="6"/>
  <c r="E15" i="6"/>
  <c r="D17" i="6"/>
  <c r="E17" i="6"/>
  <c r="D19" i="6"/>
  <c r="E19" i="6"/>
  <c r="D21" i="6"/>
  <c r="E21" i="6"/>
  <c r="E4" i="6"/>
  <c r="E6" i="6"/>
  <c r="E8" i="6"/>
  <c r="E10" i="6"/>
  <c r="E3" i="6"/>
  <c r="E5" i="6"/>
  <c r="E7" i="6"/>
  <c r="E9" i="6"/>
  <c r="E11" i="6"/>
  <c r="D2" i="6"/>
  <c r="D4" i="6"/>
  <c r="D6" i="6"/>
  <c r="D8" i="6"/>
  <c r="D10" i="6"/>
  <c r="D3" i="6"/>
  <c r="D5" i="6"/>
  <c r="D7" i="6"/>
  <c r="D9" i="6"/>
  <c r="D11" i="6"/>
  <c r="G6" i="2"/>
  <c r="G5" i="2"/>
  <c r="C11" i="10" l="1"/>
  <c r="C15" i="10" s="1"/>
  <c r="C9" i="10"/>
  <c r="C8" i="10"/>
  <c r="H19" i="6"/>
  <c r="K19" i="6" s="1"/>
  <c r="M19" i="6" s="1"/>
  <c r="H12" i="6"/>
  <c r="K12" i="6" s="1"/>
  <c r="M12" i="6" s="1"/>
  <c r="H6" i="6"/>
  <c r="K6" i="6" s="1"/>
  <c r="M6" i="6" s="1"/>
  <c r="H17" i="6"/>
  <c r="K17" i="6" s="1"/>
  <c r="M17" i="6" s="1"/>
  <c r="H23" i="6"/>
  <c r="K23" i="6" s="1"/>
  <c r="M23" i="6" s="1"/>
  <c r="H25" i="6"/>
  <c r="K25" i="6" s="1"/>
  <c r="M25" i="6" s="1"/>
  <c r="H24" i="6"/>
  <c r="K24" i="6" s="1"/>
  <c r="M24" i="6" s="1"/>
  <c r="H11" i="6"/>
  <c r="K11" i="6" s="1"/>
  <c r="M11" i="6" s="1"/>
  <c r="H4" i="6"/>
  <c r="K4" i="6" s="1"/>
  <c r="M4" i="6" s="1"/>
  <c r="H18" i="6"/>
  <c r="K18" i="6" s="1"/>
  <c r="M18" i="6" s="1"/>
  <c r="H22" i="6"/>
  <c r="K22" i="6" s="1"/>
  <c r="M22" i="6" s="1"/>
  <c r="H5" i="6"/>
  <c r="K5" i="6" s="1"/>
  <c r="M5" i="6" s="1"/>
  <c r="H13" i="6"/>
  <c r="K13" i="6" s="1"/>
  <c r="M13" i="6" s="1"/>
  <c r="H7" i="6"/>
  <c r="K7" i="6" s="1"/>
  <c r="M7" i="6" s="1"/>
  <c r="H8" i="6"/>
  <c r="K8" i="6" s="1"/>
  <c r="M8" i="6" s="1"/>
  <c r="H20" i="6"/>
  <c r="K20" i="6" s="1"/>
  <c r="M20" i="6" s="1"/>
  <c r="H14" i="6"/>
  <c r="K14" i="6" s="1"/>
  <c r="M14" i="6" s="1"/>
  <c r="H16" i="6"/>
  <c r="K16" i="6" s="1"/>
  <c r="M16" i="6" s="1"/>
  <c r="H10" i="6"/>
  <c r="K10" i="6" s="1"/>
  <c r="M10" i="6" s="1"/>
  <c r="H15" i="6"/>
  <c r="K15" i="6" s="1"/>
  <c r="M15" i="6" s="1"/>
  <c r="H9" i="6"/>
  <c r="K9" i="6" s="1"/>
  <c r="M9" i="6" s="1"/>
  <c r="H3" i="6"/>
  <c r="K3" i="6" s="1"/>
  <c r="M3" i="6" s="1"/>
  <c r="H21" i="6"/>
  <c r="K21" i="6" s="1"/>
  <c r="M21" i="6" s="1"/>
  <c r="H2" i="6"/>
  <c r="C12" i="10" l="1"/>
  <c r="D13" i="10"/>
  <c r="K2" i="6"/>
  <c r="M2" i="6" s="1"/>
</calcChain>
</file>

<file path=xl/sharedStrings.xml><?xml version="1.0" encoding="utf-8"?>
<sst xmlns="http://schemas.openxmlformats.org/spreadsheetml/2006/main" count="114" uniqueCount="71">
  <si>
    <t>Liste des lots</t>
  </si>
  <si>
    <t>Données des différentes listes déroulantes</t>
  </si>
  <si>
    <t>Liste des box</t>
  </si>
  <si>
    <t>Num_box</t>
  </si>
  <si>
    <t>Nom_Lot</t>
  </si>
  <si>
    <t>Lieu_Lot</t>
  </si>
  <si>
    <t>Nature_Lot</t>
  </si>
  <si>
    <t>Batiment_Lot</t>
  </si>
  <si>
    <t>Loyer_Lot</t>
  </si>
  <si>
    <t>Charges_Lot</t>
  </si>
  <si>
    <t>Total_Lot</t>
  </si>
  <si>
    <t>Lieu_Box</t>
  </si>
  <si>
    <t>Prix_Box</t>
  </si>
  <si>
    <t>List_Nat</t>
  </si>
  <si>
    <t>List_OuiNon</t>
  </si>
  <si>
    <t>T1</t>
  </si>
  <si>
    <t>T2</t>
  </si>
  <si>
    <t>T3</t>
  </si>
  <si>
    <t>F1</t>
  </si>
  <si>
    <t>F2</t>
  </si>
  <si>
    <t>Oui</t>
  </si>
  <si>
    <t>Non</t>
  </si>
  <si>
    <t>Nom_Loc</t>
  </si>
  <si>
    <t>Pren_Loc</t>
  </si>
  <si>
    <t>APL</t>
  </si>
  <si>
    <t>Versement</t>
  </si>
  <si>
    <t>List_Bat</t>
  </si>
  <si>
    <t>B1</t>
  </si>
  <si>
    <t>B2</t>
  </si>
  <si>
    <t>B3</t>
  </si>
  <si>
    <t>B4</t>
  </si>
  <si>
    <t>Lot_Loc</t>
  </si>
  <si>
    <t>Box_Loc</t>
  </si>
  <si>
    <t>Liste des locataires</t>
  </si>
  <si>
    <t xml:space="preserve">Date_Ent </t>
  </si>
  <si>
    <t>Loyer</t>
  </si>
  <si>
    <t>Charges</t>
  </si>
  <si>
    <t>Total_LC</t>
  </si>
  <si>
    <t>Box</t>
  </si>
  <si>
    <t>Total_LCB</t>
  </si>
  <si>
    <t>Date_Chaud</t>
  </si>
  <si>
    <t>Mont_Chaud</t>
  </si>
  <si>
    <t>Date_Encaisse</t>
  </si>
  <si>
    <t>Mont_Encaisse</t>
  </si>
  <si>
    <t>Date_Decaisse</t>
  </si>
  <si>
    <t>Mont_Decaisse</t>
  </si>
  <si>
    <t>Provision_Annuelle</t>
  </si>
  <si>
    <t>Num 1</t>
  </si>
  <si>
    <t>Total_APL</t>
  </si>
  <si>
    <t>Num 2</t>
  </si>
  <si>
    <t>Paris</t>
  </si>
  <si>
    <t>BOX1</t>
  </si>
  <si>
    <t>BOX2</t>
  </si>
  <si>
    <t>Jean</t>
  </si>
  <si>
    <t>Dupon</t>
  </si>
  <si>
    <t>Montant_Box</t>
  </si>
  <si>
    <t>Régularisation</t>
  </si>
  <si>
    <t>LOCATAIRE</t>
  </si>
  <si>
    <t xml:space="preserve">Nom :  </t>
  </si>
  <si>
    <t xml:space="preserve">Prénom :  </t>
  </si>
  <si>
    <t xml:space="preserve">LOT :  </t>
  </si>
  <si>
    <t xml:space="preserve">Année :  </t>
  </si>
  <si>
    <t>List_Année</t>
  </si>
  <si>
    <t>Annee</t>
  </si>
  <si>
    <t>Provision annuelle</t>
  </si>
  <si>
    <t>Total perçu :</t>
  </si>
  <si>
    <t>Date_provision</t>
  </si>
  <si>
    <t>Martin</t>
  </si>
  <si>
    <t>Robert</t>
  </si>
  <si>
    <t>Lyon</t>
  </si>
  <si>
    <t>FORULAIRE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</si>
</sst>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44" fontId="0" fillId="0" borderId="0" xfId="1" applyFont="1"/>
    <xf numFmtId="0" fontId="0" fillId="0" borderId="0" xfId="0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44" fontId="0" fillId="0" borderId="1" xfId="1" applyFont="1" applyBorder="1"/>
    <xf numFmtId="44" fontId="0" fillId="0" borderId="0" xfId="1" applyFont="1" applyBorder="1"/>
    <xf numFmtId="44" fontId="0" fillId="0" borderId="0" xfId="1" applyFont="1" applyAlignment="1">
      <alignment horizontal="center" vertical="center"/>
    </xf>
    <xf numFmtId="14" fontId="0" fillId="0" borderId="0" xfId="1" applyNumberFormat="1" applyFont="1" applyBorder="1"/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44" fontId="0" fillId="0" borderId="0" xfId="1" applyFont="1" applyAlignment="1">
      <alignment vertical="center"/>
    </xf>
    <xf numFmtId="4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right" vertical="top"/>
    </xf>
    <xf numFmtId="44" fontId="0" fillId="0" borderId="0" xfId="0" applyNumberFormat="1" applyAlignment="1">
      <alignment vertical="top"/>
    </xf>
    <xf numFmtId="0" fontId="0" fillId="0" borderId="0" xfId="0" applyAlignment="1">
      <alignment horizontal="left"/>
    </xf>
    <xf numFmtId="44" fontId="0" fillId="0" borderId="0" xfId="1" applyFont="1" applyAlignment="1"/>
    <xf numFmtId="0" fontId="0" fillId="0" borderId="0" xfId="0" applyAlignment="1">
      <alignment horizontal="center" vertical="center"/>
    </xf>
  </cellXfs>
  <cellStyles count="2">
    <cellStyle name="Monétaire" xfId="1" builtinId="4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border diagonalUp="0" diagonalDown="0">
        <left/>
        <right/>
        <top style="thin">
          <color theme="4"/>
        </top>
        <bottom style="thin">
          <color theme="4"/>
        </bottom>
        <vertical/>
        <horizontal/>
      </border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17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microsoft.com/office/2017/10/relationships/person" Target="persons/person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microsoft.com/office/2017/10/relationships/person" Target="persons/person0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microsoft.com/office/2017/10/relationships/person" Target="persons/person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5</xdr:row>
      <xdr:rowOff>30480</xdr:rowOff>
    </xdr:from>
    <xdr:to>
      <xdr:col>2</xdr:col>
      <xdr:colOff>701040</xdr:colOff>
      <xdr:row>6</xdr:row>
      <xdr:rowOff>152400</xdr:rowOff>
    </xdr:to>
    <xdr:sp macro="[0]!LanceFormeEntre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5F4CE91-B66E-6505-098F-24F77ACC59A3}"/>
            </a:ext>
          </a:extLst>
        </xdr:cNvPr>
        <xdr:cNvSpPr/>
      </xdr:nvSpPr>
      <xdr:spPr>
        <a:xfrm>
          <a:off x="982980" y="944880"/>
          <a:ext cx="1303020" cy="30480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NOUVELLE</a:t>
          </a:r>
          <a:r>
            <a:rPr lang="fr-FR" sz="1100" baseline="0"/>
            <a:t> ENTREE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99060</xdr:colOff>
      <xdr:row>0</xdr:row>
      <xdr:rowOff>144780</xdr:rowOff>
    </xdr:from>
    <xdr:to>
      <xdr:col>4</xdr:col>
      <xdr:colOff>91440</xdr:colOff>
      <xdr:row>2</xdr:row>
      <xdr:rowOff>38100</xdr:rowOff>
    </xdr:to>
    <xdr:sp macro="[0]!LanceFormLo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27C6CF2-6E42-9392-2C0B-2FB1E3EFE71A}"/>
            </a:ext>
          </a:extLst>
        </xdr:cNvPr>
        <xdr:cNvSpPr/>
      </xdr:nvSpPr>
      <xdr:spPr>
        <a:xfrm>
          <a:off x="1684020" y="144780"/>
          <a:ext cx="1691640" cy="25908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NOUVEAU</a:t>
          </a:r>
          <a:r>
            <a:rPr lang="fr-FR" sz="1100" baseline="0"/>
            <a:t> LOT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548640</xdr:colOff>
      <xdr:row>0</xdr:row>
      <xdr:rowOff>160020</xdr:rowOff>
    </xdr:from>
    <xdr:to>
      <xdr:col>3</xdr:col>
      <xdr:colOff>777240</xdr:colOff>
      <xdr:row>2</xdr:row>
      <xdr:rowOff>91440</xdr:rowOff>
    </xdr:to>
    <xdr:sp macro="[0]!LanceFormBox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55357CA-F260-6EC5-696A-A1AE2DCC8F22}"/>
            </a:ext>
          </a:extLst>
        </xdr:cNvPr>
        <xdr:cNvSpPr/>
      </xdr:nvSpPr>
      <xdr:spPr>
        <a:xfrm>
          <a:off x="1341120" y="160020"/>
          <a:ext cx="1813560" cy="2971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NOUVEAU</a:t>
          </a:r>
          <a:r>
            <a:rPr lang="fr-FR" sz="1100" baseline="0"/>
            <a:t> BOX</a:t>
          </a:r>
        </a:p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762000</xdr:colOff>
      <xdr:row>0</xdr:row>
      <xdr:rowOff>175260</xdr:rowOff>
    </xdr:from>
    <xdr:to>
      <xdr:col>4</xdr:col>
      <xdr:colOff>53340</xdr:colOff>
      <xdr:row>2</xdr:row>
      <xdr:rowOff>83820</xdr:rowOff>
    </xdr:to>
    <xdr:sp macro="[0]!LanceFormLoca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71EDDFA-3CAC-657D-8A3B-F9BDF3758F16}"/>
            </a:ext>
          </a:extLst>
        </xdr:cNvPr>
        <xdr:cNvSpPr/>
      </xdr:nvSpPr>
      <xdr:spPr>
        <a:xfrm>
          <a:off x="1554480" y="175260"/>
          <a:ext cx="1668780" cy="274320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NOUVEAU LOCATAIRE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6410C53-7348-499E-A3E1-319B420289AC}" name="Tab_Archive" displayName="Tab_Archive" ref="A1:V25" totalsRowShown="0" headerRowDxfId="15">
  <autoFilter ref="A1:V25" xr:uid="{66410C53-7348-499E-A3E1-319B420289AC}"/>
  <sortState xmlns:xlrd2="http://schemas.microsoft.com/office/spreadsheetml/2017/richdata2" ref="A2:V21">
    <sortCondition ref="B1:B21"/>
  </sortState>
  <tableColumns count="22">
    <tableColumn id="19" xr3:uid="{4434E38C-7CA0-421D-90AF-775D73301EFD}" name="Nom_Lot" dataDxfId="14"/>
    <tableColumn id="1" xr3:uid="{113385DC-B548-4615-BA12-E45D6562B72E}" name="Date_Ent " dataDxfId="13"/>
    <tableColumn id="22" xr3:uid="{40D58D50-82E0-4F03-98AA-028304959D9D}" name="Annee" dataDxfId="12">
      <calculatedColumnFormula>IF(Tab_Archive[[#This Row],[Date_Ent ]]="","",YEAR(Tab_Archive[[#This Row],[Date_Ent ]]))</calculatedColumnFormula>
    </tableColumn>
    <tableColumn id="2" xr3:uid="{569E54F4-5E3C-4C1A-A805-EFF26C3B060F}" name="Nom_Loc" dataDxfId="11">
      <calculatedColumnFormula>INDEX(Tab_Locataire[],MATCH(Tab_Archive[[#This Row],[Nom_Lot]],Tab_Locataire[Lot_Loc],0),1)</calculatedColumnFormula>
    </tableColumn>
    <tableColumn id="3" xr3:uid="{ED80930C-325C-489C-99CE-9B3990D58037}" name="Pren_Loc">
      <calculatedColumnFormula>INDEX(Tab_Locataire[],MATCH(Tab_Archive[[#This Row],[Nom_Lot]],Tab_Locataire[Lot_Loc],0),2)</calculatedColumnFormula>
    </tableColumn>
    <tableColumn id="4" xr3:uid="{CCD3AECF-860C-400C-8110-93651031C435}" name="Loyer" dataDxfId="10" dataCellStyle="Monétaire"/>
    <tableColumn id="5" xr3:uid="{589B7876-998A-4C0B-95A0-560FDBEFC900}" name="Charges" dataDxfId="9" dataCellStyle="Monétaire"/>
    <tableColumn id="6" xr3:uid="{4BE67482-8B1D-42C0-9A70-914F9F8068FA}" name="Total_LC" dataCellStyle="Monétaire">
      <calculatedColumnFormula>Tab_Archive[[#This Row],[Loyer]]+Tab_Archive[[#This Row],[Charges]]</calculatedColumnFormula>
    </tableColumn>
    <tableColumn id="20" xr3:uid="{4FBAE42C-37AA-44DC-AE35-1CFFD1D04895}" name="Box" dataDxfId="8" dataCellStyle="Monétaire">
      <calculatedColumnFormula>INDEX(Tab_Locataire[],MATCH(Tab_Archive[[#This Row],[Nom_Lot]],Tab_Locataire[Lot_Loc],0),4)</calculatedColumnFormula>
    </tableColumn>
    <tableColumn id="7" xr3:uid="{7AAD3D51-DA97-42E1-A277-56A07A2CF406}" name="Montant_Box" dataCellStyle="Monétaire">
      <calculatedColumnFormula>INDEX(Tab_Box[],MATCH(Tab_Archive[[#This Row],[Box]],Tab_Box[Num_box],0),3)</calculatedColumnFormula>
    </tableColumn>
    <tableColumn id="8" xr3:uid="{02F2F69C-9944-41A8-BB8F-DFF521324615}" name="Total_LCB" dataCellStyle="Monétaire">
      <calculatedColumnFormula>Tab_Archive[[#This Row],[Total_LC]]+Tab_Archive[[#This Row],[Montant_Box]]</calculatedColumnFormula>
    </tableColumn>
    <tableColumn id="9" xr3:uid="{A73BC2FF-B012-4E09-8BE5-73A890A0AD67}" name="APL" dataCellStyle="Monétaire"/>
    <tableColumn id="18" xr3:uid="{972157BD-1D4B-4345-AF51-DF4920FB9044}" name="Total_APL" dataDxfId="7" dataCellStyle="Monétaire">
      <calculatedColumnFormula>Tab_Archive[[#This Row],[Total_LCB]]-Tab_Archive[[#This Row],[APL]]</calculatedColumnFormula>
    </tableColumn>
    <tableColumn id="10" xr3:uid="{1B80B941-3924-4087-BFD0-1153D6B2CB57}" name="Versement" dataCellStyle="Monétaire"/>
    <tableColumn id="11" xr3:uid="{899BAFD2-F2FD-46E1-A4CB-84423BF757CB}" name="Date_Chaud" dataDxfId="6"/>
    <tableColumn id="12" xr3:uid="{0CE71938-BFCD-4787-B979-A97889D30AAE}" name="Mont_Chaud" dataCellStyle="Monétaire"/>
    <tableColumn id="13" xr3:uid="{90116C67-B3B4-4320-BED3-D53B5D8FE7A2}" name="Date_Encaisse" dataDxfId="5"/>
    <tableColumn id="14" xr3:uid="{49B4BBBA-8610-4237-B0F6-5C50C457BC61}" name="Mont_Encaisse" dataCellStyle="Monétaire"/>
    <tableColumn id="15" xr3:uid="{1F455B88-2687-473D-BA0C-0B23BB62B16F}" name="Date_Decaisse" dataDxfId="4"/>
    <tableColumn id="16" xr3:uid="{25A8B459-0EEB-4819-A2AE-8A4159776E37}" name="Mont_Decaisse" dataCellStyle="Monétaire"/>
    <tableColumn id="21" xr3:uid="{9CD45B70-AC74-4DE7-B174-2A7980CCA06D}" name="Date_provision" dataDxfId="0" dataCellStyle="Monétaire"/>
    <tableColumn id="17" xr3:uid="{D59190A8-88ED-448B-91AC-2916A4B8427C}" name="Provision_Annuelle" dataCellStyle="Monétair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_Lot" displayName="Tab_Lot" ref="A4:G6" totalsRowShown="0">
  <autoFilter ref="A4:G6" xr:uid="{00000000-0009-0000-0100-000001000000}"/>
  <tableColumns count="7">
    <tableColumn id="1" xr3:uid="{00000000-0010-0000-0000-000001000000}" name="Nom_Lot"/>
    <tableColumn id="2" xr3:uid="{00000000-0010-0000-0000-000002000000}" name="Lieu_Lot"/>
    <tableColumn id="3" xr3:uid="{00000000-0010-0000-0000-000003000000}" name="Nature_Lot"/>
    <tableColumn id="4" xr3:uid="{00000000-0010-0000-0000-000004000000}" name="Batiment_Lot"/>
    <tableColumn id="5" xr3:uid="{00000000-0010-0000-0000-000005000000}" name="Loyer_Lot" dataDxfId="3" dataCellStyle="Monétaire"/>
    <tableColumn id="6" xr3:uid="{00000000-0010-0000-0000-000006000000}" name="Charges_Lot" dataDxfId="2" dataCellStyle="Monétaire"/>
    <tableColumn id="7" xr3:uid="{00000000-0010-0000-0000-000007000000}" name="Total_Lot" dataDxfId="1" dataCellStyle="Monétaire">
      <calculatedColumnFormula>Tab_Lot[[#This Row],[Loyer_Lot]]+Tab_Lot[[#This Row],[Charges_Lot]]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_Box" displayName="Tab_Box" ref="A4:C6" totalsRowShown="0">
  <autoFilter ref="A4:C6" xr:uid="{00000000-0009-0000-0100-000005000000}"/>
  <tableColumns count="3">
    <tableColumn id="1" xr3:uid="{00000000-0010-0000-0100-000001000000}" name="Num_box"/>
    <tableColumn id="2" xr3:uid="{00000000-0010-0000-0100-000002000000}" name="Lieu_Box"/>
    <tableColumn id="3" xr3:uid="{00000000-0010-0000-0100-000003000000}" name="Prix_Box" dataCellStyle="Monétaire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DC3B2E1-FB0B-40C3-9DF7-C8ED1F3EE93C}" name="Tab_Locataire" displayName="Tab_Locataire" ref="A4:D6" totalsRowShown="0">
  <autoFilter ref="A4:D6" xr:uid="{6DC3B2E1-FB0B-40C3-9DF7-C8ED1F3EE93C}"/>
  <tableColumns count="4">
    <tableColumn id="1" xr3:uid="{9FD2593B-2780-4F27-9AFA-3D1A2360E349}" name="Nom_Loc"/>
    <tableColumn id="2" xr3:uid="{C1FD18D4-B691-4061-A95E-32F4807962BB}" name="Pren_Loc"/>
    <tableColumn id="3" xr3:uid="{07695835-33BB-4840-83F8-BD3BF0D153C3}" name="Lot_Loc"/>
    <tableColumn id="4" xr3:uid="{FBAD2811-82C5-4EF0-9627-8A219B8C1984}" name="Box_Loc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List_Nat" displayName="List_Nat" ref="B3:B8" totalsRowShown="0">
  <autoFilter ref="B3:B8" xr:uid="{00000000-0009-0000-0100-000003000000}"/>
  <tableColumns count="1">
    <tableColumn id="1" xr3:uid="{00000000-0010-0000-0300-000001000000}" name="List_Nat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List_OuiNon" displayName="List_OuiNon" ref="D3:D5" totalsRowShown="0">
  <autoFilter ref="D3:D5" xr:uid="{00000000-0009-0000-0100-000004000000}"/>
  <tableColumns count="1">
    <tableColumn id="1" xr3:uid="{00000000-0010-0000-0400-000001000000}" name="List_OuiNon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List_Bat" displayName="List_Bat" ref="F3:F7" totalsRowShown="0">
  <autoFilter ref="F3:F7" xr:uid="{00000000-0009-0000-0100-000006000000}"/>
  <tableColumns count="1">
    <tableColumn id="1" xr3:uid="{00000000-0010-0000-0500-000001000000}" name="List_Bat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567A723-2EB4-483D-B0E2-BDE78BBE0EB6}" name="Tableau9" displayName="Tableau9" ref="H3:H21" totalsRowShown="0">
  <autoFilter ref="H3:H21" xr:uid="{5567A723-2EB4-483D-B0E2-BDE78BBE0EB6}"/>
  <tableColumns count="1">
    <tableColumn id="1" xr3:uid="{757DB835-7F18-41E5-B17C-86E371DEE15D}" name="List_Anné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Relationship Id="rId4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6"/>
  <sheetViews>
    <sheetView tabSelected="1" topLeftCell="A2" workbookViewId="0">
      <selection activeCell="A7" sqref="A7"/>
    </sheetView>
  </sheetViews>
  <sheetFormatPr baseColWidth="10" defaultRowHeight="14.4" x14ac:dyDescent="0.3"/>
  <sheetData>
    <row r="6" spans="1:1" x14ac:dyDescent="0.3">
      <c r="A6" t="s">
        <v>70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865D4-E944-4647-805F-3C520DFD018A}">
  <sheetPr codeName="Feuil2"/>
  <dimension ref="B2:E17"/>
  <sheetViews>
    <sheetView zoomScale="184" zoomScaleNormal="184" workbookViewId="0">
      <selection activeCell="G6" sqref="G6"/>
    </sheetView>
  </sheetViews>
  <sheetFormatPr baseColWidth="10" defaultRowHeight="14.4" x14ac:dyDescent="0.3"/>
  <cols>
    <col min="1" max="1" width="5.88671875" customWidth="1"/>
    <col min="2" max="2" width="22.44140625" customWidth="1"/>
    <col min="3" max="3" width="13.77734375" customWidth="1"/>
    <col min="4" max="5" width="13.21875" customWidth="1"/>
    <col min="6" max="6" width="3.21875" customWidth="1"/>
    <col min="7" max="9" width="13.21875" customWidth="1"/>
  </cols>
  <sheetData>
    <row r="2" spans="2:5" ht="19.2" customHeight="1" x14ac:dyDescent="0.3">
      <c r="D2" s="19" t="s">
        <v>57</v>
      </c>
      <c r="E2" s="19"/>
    </row>
    <row r="3" spans="2:5" x14ac:dyDescent="0.3">
      <c r="B3" s="9" t="s">
        <v>60</v>
      </c>
      <c r="C3" s="10" t="s">
        <v>49</v>
      </c>
      <c r="D3" s="9" t="s">
        <v>58</v>
      </c>
      <c r="E3" t="str">
        <f>INDEX(Tab_Locataire[],MATCH(C3,Tab_Locataire[Lot_Loc],0),1)</f>
        <v>Dupon</v>
      </c>
    </row>
    <row r="4" spans="2:5" x14ac:dyDescent="0.3">
      <c r="D4" s="9" t="s">
        <v>59</v>
      </c>
      <c r="E4" t="str">
        <f>INDEX(Tab_Locataire[],MATCH(C3,Tab_Locataire[Lot_Loc],0),2)</f>
        <v>Jean</v>
      </c>
    </row>
    <row r="6" spans="2:5" x14ac:dyDescent="0.3">
      <c r="B6" s="9" t="s">
        <v>61</v>
      </c>
      <c r="C6" s="10">
        <v>2023</v>
      </c>
    </row>
    <row r="8" spans="2:5" ht="20.399999999999999" customHeight="1" x14ac:dyDescent="0.3">
      <c r="B8" s="13" t="s">
        <v>35</v>
      </c>
      <c r="C8" s="11">
        <f>SUMIFS(Tab_Archive[Loyer],Tab_Archive[Nom_Lot],C3,Tab_Archive[Annee],C6)</f>
        <v>5472</v>
      </c>
    </row>
    <row r="9" spans="2:5" ht="20.399999999999999" customHeight="1" x14ac:dyDescent="0.3">
      <c r="B9" s="13" t="s">
        <v>38</v>
      </c>
      <c r="C9" s="11">
        <f>SUMIFS(Tab_Archive[Montant_Box],Tab_Archive[Nom_Lot],C3,Tab_Archive[Annee],C6)</f>
        <v>756</v>
      </c>
    </row>
    <row r="10" spans="2:5" ht="20.399999999999999" customHeight="1" x14ac:dyDescent="0.3">
      <c r="B10" s="13" t="s">
        <v>24</v>
      </c>
      <c r="C10" s="11">
        <f>SUMIFS(Tab_Archive[APL],Tab_Archive[Nom_Lot],C3,Tab_Archive[Annee],C6)</f>
        <v>1476</v>
      </c>
    </row>
    <row r="11" spans="2:5" ht="20.399999999999999" customHeight="1" x14ac:dyDescent="0.3">
      <c r="B11" s="14" t="s">
        <v>36</v>
      </c>
      <c r="C11" s="11">
        <f>SUMIFS(Tab_Archive[Charges],Tab_Archive[Nom_Lot],C3,Tab_Archive[Annee],C6)</f>
        <v>1056</v>
      </c>
    </row>
    <row r="12" spans="2:5" ht="20.399999999999999" customHeight="1" x14ac:dyDescent="0.3">
      <c r="B12" s="15" t="s">
        <v>65</v>
      </c>
      <c r="C12" s="16">
        <f>SUM(C8:C11)</f>
        <v>8760</v>
      </c>
    </row>
    <row r="13" spans="2:5" ht="20.399999999999999" customHeight="1" x14ac:dyDescent="0.3">
      <c r="B13" s="17" t="s">
        <v>25</v>
      </c>
      <c r="C13" s="12">
        <f>SUMIFS(Tab_Archive[Versement],Tab_Archive[Nom_Lot],C3,Tab_Archive[Annee],C6)</f>
        <v>5808</v>
      </c>
      <c r="D13" s="12">
        <f>SUM(C8:C11)-C10</f>
        <v>7284</v>
      </c>
    </row>
    <row r="14" spans="2:5" ht="20.399999999999999" customHeight="1" x14ac:dyDescent="0.3">
      <c r="B14" s="17" t="s">
        <v>64</v>
      </c>
      <c r="C14" s="18">
        <f>SUMIFS(Tab_Archive[Provision_Annuelle],Tab_Archive[Nom_Lot],C3,Tab_Archive[Annee],C6)</f>
        <v>1500</v>
      </c>
    </row>
    <row r="15" spans="2:5" ht="20.399999999999999" customHeight="1" x14ac:dyDescent="0.3">
      <c r="B15" s="17" t="s">
        <v>56</v>
      </c>
      <c r="C15" s="18">
        <f>C11-C14</f>
        <v>-444</v>
      </c>
    </row>
    <row r="16" spans="2:5" ht="3" customHeight="1" x14ac:dyDescent="0.3"/>
    <row r="17" spans="2:3" x14ac:dyDescent="0.3">
      <c r="B17" s="9"/>
      <c r="C17" s="11"/>
    </row>
  </sheetData>
  <mergeCells count="1">
    <mergeCell ref="D2:E2"/>
  </mergeCells>
  <phoneticPr fontId="2" type="noConversion"/>
  <dataValidations count="2">
    <dataValidation type="list" allowBlank="1" showInputMessage="1" showErrorMessage="1" sqref="C3" xr:uid="{1F918DED-C53B-483D-91C3-9DE80325677D}">
      <formula1>List_Lot</formula1>
    </dataValidation>
    <dataValidation type="list" allowBlank="1" showInputMessage="1" showErrorMessage="1" sqref="C6" xr:uid="{C2ADF2A6-1CAF-4D9D-AB02-27CD1A848646}">
      <formula1>List_annee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V25"/>
  <sheetViews>
    <sheetView zoomScale="80" zoomScaleNormal="80" workbookViewId="0">
      <selection activeCell="E7" sqref="E7"/>
    </sheetView>
  </sheetViews>
  <sheetFormatPr baseColWidth="10" defaultColWidth="12.21875" defaultRowHeight="14.4" x14ac:dyDescent="0.3"/>
  <cols>
    <col min="1" max="1" width="14.88671875" style="3" bestFit="1" customWidth="1"/>
    <col min="2" max="2" width="14.88671875" style="3" customWidth="1"/>
    <col min="3" max="3" width="14.88671875" customWidth="1"/>
    <col min="4" max="4" width="14.44140625" bestFit="1" customWidth="1"/>
    <col min="5" max="5" width="14.33203125" bestFit="1" customWidth="1"/>
    <col min="6" max="6" width="11.109375" bestFit="1" customWidth="1"/>
    <col min="7" max="7" width="13" bestFit="1" customWidth="1"/>
    <col min="8" max="8" width="13.6640625" bestFit="1" customWidth="1"/>
    <col min="9" max="9" width="13.6640625" customWidth="1"/>
    <col min="10" max="10" width="11.44140625" customWidth="1"/>
    <col min="11" max="11" width="16.21875" style="1" bestFit="1" customWidth="1"/>
    <col min="12" max="12" width="9.5546875" bestFit="1" customWidth="1"/>
    <col min="13" max="13" width="15.109375" bestFit="1" customWidth="1"/>
    <col min="14" max="14" width="15.6640625" bestFit="1" customWidth="1"/>
    <col min="15" max="15" width="17" style="3" bestFit="1" customWidth="1"/>
    <col min="16" max="16" width="17.77734375" bestFit="1" customWidth="1"/>
    <col min="17" max="17" width="18.6640625" style="3" bestFit="1" customWidth="1"/>
    <col min="18" max="18" width="19.44140625" bestFit="1" customWidth="1"/>
    <col min="19" max="19" width="18.77734375" style="3" bestFit="1" customWidth="1"/>
    <col min="20" max="20" width="19.5546875" bestFit="1" customWidth="1"/>
    <col min="21" max="21" width="19.5546875" customWidth="1"/>
    <col min="22" max="22" width="23.6640625" bestFit="1" customWidth="1"/>
    <col min="23" max="23" width="26.109375" customWidth="1"/>
  </cols>
  <sheetData>
    <row r="1" spans="1:22" s="2" customFormat="1" x14ac:dyDescent="0.3">
      <c r="A1" s="4" t="s">
        <v>4</v>
      </c>
      <c r="B1" s="4" t="s">
        <v>34</v>
      </c>
      <c r="C1" s="2" t="s">
        <v>63</v>
      </c>
      <c r="D1" s="2" t="s">
        <v>22</v>
      </c>
      <c r="E1" s="2" t="s">
        <v>23</v>
      </c>
      <c r="F1" s="2" t="s">
        <v>35</v>
      </c>
      <c r="G1" s="2" t="s">
        <v>36</v>
      </c>
      <c r="H1" s="2" t="s">
        <v>37</v>
      </c>
      <c r="I1" s="2" t="s">
        <v>38</v>
      </c>
      <c r="J1" s="2" t="s">
        <v>55</v>
      </c>
      <c r="K1" s="7" t="s">
        <v>39</v>
      </c>
      <c r="L1" s="2" t="s">
        <v>24</v>
      </c>
      <c r="M1" s="2" t="s">
        <v>48</v>
      </c>
      <c r="N1" s="2" t="s">
        <v>25</v>
      </c>
      <c r="O1" s="4" t="s">
        <v>40</v>
      </c>
      <c r="P1" s="2" t="s">
        <v>41</v>
      </c>
      <c r="Q1" s="4" t="s">
        <v>42</v>
      </c>
      <c r="R1" s="2" t="s">
        <v>43</v>
      </c>
      <c r="S1" s="4" t="s">
        <v>44</v>
      </c>
      <c r="T1" s="2" t="s">
        <v>45</v>
      </c>
      <c r="U1" s="2" t="s">
        <v>66</v>
      </c>
      <c r="V1" s="2" t="s">
        <v>46</v>
      </c>
    </row>
    <row r="2" spans="1:22" x14ac:dyDescent="0.3">
      <c r="A2" s="3" t="s">
        <v>47</v>
      </c>
      <c r="B2" s="3">
        <v>44927</v>
      </c>
      <c r="C2">
        <f>IF(Tab_Archive[[#This Row],[Date_Ent ]]="","",YEAR(Tab_Archive[[#This Row],[Date_Ent ]]))</f>
        <v>2023</v>
      </c>
      <c r="D2" t="str">
        <f>INDEX(Tab_Locataire[],MATCH(Tab_Archive[[#This Row],[Nom_Lot]],Tab_Locataire[Lot_Loc],0),1)</f>
        <v>Martin</v>
      </c>
      <c r="E2" t="str">
        <f>INDEX(Tab_Locataire[],MATCH(Tab_Archive[[#This Row],[Nom_Lot]],Tab_Locataire[Lot_Loc],0),2)</f>
        <v>Robert</v>
      </c>
      <c r="F2" s="5">
        <f>INDEX(Tab_Lot[],MATCH(Tab_Archive[[#This Row],[Nom_Lot]],Tab_Lot[Nom_Lot],0),5)</f>
        <v>235</v>
      </c>
      <c r="G2" s="5">
        <f>INDEX(Tab_Lot[],MATCH(Tab_Archive[[#This Row],[Nom_Lot]],Tab_Lot[Nom_Lot],0),6)</f>
        <v>55</v>
      </c>
      <c r="H2" s="1">
        <f>Tab_Archive[[#This Row],[Loyer]]+Tab_Archive[[#This Row],[Charges]]</f>
        <v>290</v>
      </c>
      <c r="I2" s="1" t="str">
        <f>INDEX(Tab_Locataire[],MATCH(Tab_Archive[[#This Row],[Nom_Lot]],Tab_Locataire[Lot_Loc],0),4)</f>
        <v>BOX1</v>
      </c>
      <c r="J2" s="1">
        <f>INDEX(Tab_Box[],MATCH(Tab_Archive[[#This Row],[Box]],Tab_Box[Num_box],0),3)</f>
        <v>58</v>
      </c>
      <c r="K2" s="1">
        <f>Tab_Archive[[#This Row],[Total_LC]]+Tab_Archive[[#This Row],[Montant_Box]]</f>
        <v>348</v>
      </c>
      <c r="L2" s="1">
        <v>100</v>
      </c>
      <c r="M2" s="1">
        <f>Tab_Archive[[#This Row],[Total_LCB]]-Tab_Archive[[#This Row],[APL]]</f>
        <v>248</v>
      </c>
      <c r="N2" s="1">
        <v>248</v>
      </c>
      <c r="P2" s="1"/>
      <c r="Q2" s="3">
        <v>44927</v>
      </c>
      <c r="R2" s="1">
        <v>235</v>
      </c>
      <c r="T2" s="1"/>
      <c r="U2" s="1"/>
      <c r="V2" s="1"/>
    </row>
    <row r="3" spans="1:22" x14ac:dyDescent="0.3">
      <c r="A3" s="3" t="s">
        <v>49</v>
      </c>
      <c r="B3" s="3">
        <v>44927</v>
      </c>
      <c r="C3">
        <f>IF(Tab_Archive[[#This Row],[Date_Ent ]]="","",YEAR(Tab_Archive[[#This Row],[Date_Ent ]]))</f>
        <v>2023</v>
      </c>
      <c r="D3" t="str">
        <f>INDEX(Tab_Locataire[],MATCH(Tab_Archive[[#This Row],[Nom_Lot]],Tab_Locataire[Lot_Loc],0),1)</f>
        <v>Dupon</v>
      </c>
      <c r="E3" t="str">
        <f>INDEX(Tab_Locataire[],MATCH(Tab_Archive[[#This Row],[Nom_Lot]],Tab_Locataire[Lot_Loc],0),2)</f>
        <v>Jean</v>
      </c>
      <c r="F3" s="5">
        <f>INDEX(Tab_Lot[],MATCH(Tab_Archive[[#This Row],[Nom_Lot]],Tab_Lot[Nom_Lot],0),5)</f>
        <v>456</v>
      </c>
      <c r="G3" s="5">
        <f>INDEX(Tab_Lot[],MATCH(Tab_Archive[[#This Row],[Nom_Lot]],Tab_Lot[Nom_Lot],0),6)</f>
        <v>88</v>
      </c>
      <c r="H3" s="6">
        <f>Tab_Archive[[#This Row],[Loyer]]+Tab_Archive[[#This Row],[Charges]]</f>
        <v>544</v>
      </c>
      <c r="I3" s="6" t="str">
        <f>INDEX(Tab_Locataire[],MATCH(Tab_Archive[[#This Row],[Nom_Lot]],Tab_Locataire[Lot_Loc],0),4)</f>
        <v>BOX2</v>
      </c>
      <c r="J3" s="1">
        <f>INDEX(Tab_Box[],MATCH(Tab_Archive[[#This Row],[Box]],Tab_Box[Num_box],0),3)</f>
        <v>63</v>
      </c>
      <c r="K3" s="6">
        <f>Tab_Archive[[#This Row],[Total_LC]]+Tab_Archive[[#This Row],[Montant_Box]]</f>
        <v>607</v>
      </c>
      <c r="L3" s="6">
        <v>123</v>
      </c>
      <c r="M3" s="6">
        <f>Tab_Archive[[#This Row],[Total_LCB]]-Tab_Archive[[#This Row],[APL]]</f>
        <v>484</v>
      </c>
      <c r="N3" s="6">
        <v>484</v>
      </c>
      <c r="P3" s="6"/>
      <c r="Q3" s="3">
        <v>44927</v>
      </c>
      <c r="R3" s="6">
        <v>456</v>
      </c>
      <c r="T3" s="6"/>
      <c r="U3" s="6"/>
      <c r="V3" s="6"/>
    </row>
    <row r="4" spans="1:22" x14ac:dyDescent="0.3">
      <c r="A4" s="3" t="s">
        <v>47</v>
      </c>
      <c r="B4" s="3">
        <v>44958</v>
      </c>
      <c r="C4">
        <f>IF(Tab_Archive[[#This Row],[Date_Ent ]]="","",YEAR(Tab_Archive[[#This Row],[Date_Ent ]]))</f>
        <v>2023</v>
      </c>
      <c r="D4" t="str">
        <f>INDEX(Tab_Locataire[],MATCH(Tab_Archive[[#This Row],[Nom_Lot]],Tab_Locataire[Lot_Loc],0),1)</f>
        <v>Martin</v>
      </c>
      <c r="E4" t="str">
        <f>INDEX(Tab_Locataire[],MATCH(Tab_Archive[[#This Row],[Nom_Lot]],Tab_Locataire[Lot_Loc],0),2)</f>
        <v>Robert</v>
      </c>
      <c r="F4" s="5">
        <f>INDEX(Tab_Lot[],MATCH(Tab_Archive[[#This Row],[Nom_Lot]],Tab_Lot[Nom_Lot],0),5)</f>
        <v>235</v>
      </c>
      <c r="G4" s="5">
        <f>INDEX(Tab_Lot[],MATCH(Tab_Archive[[#This Row],[Nom_Lot]],Tab_Lot[Nom_Lot],0),6)</f>
        <v>55</v>
      </c>
      <c r="H4" s="6">
        <f>Tab_Archive[[#This Row],[Loyer]]+Tab_Archive[[#This Row],[Charges]]</f>
        <v>290</v>
      </c>
      <c r="I4" s="6" t="str">
        <f>INDEX(Tab_Locataire[],MATCH(Tab_Archive[[#This Row],[Nom_Lot]],Tab_Locataire[Lot_Loc],0),4)</f>
        <v>BOX1</v>
      </c>
      <c r="J4" s="1">
        <f>INDEX(Tab_Box[],MATCH(Tab_Archive[[#This Row],[Box]],Tab_Box[Num_box],0),3)</f>
        <v>58</v>
      </c>
      <c r="K4" s="6">
        <f>Tab_Archive[[#This Row],[Total_LC]]+Tab_Archive[[#This Row],[Montant_Box]]</f>
        <v>348</v>
      </c>
      <c r="L4" s="1">
        <v>100</v>
      </c>
      <c r="M4" s="6">
        <f>Tab_Archive[[#This Row],[Total_LCB]]-Tab_Archive[[#This Row],[APL]]</f>
        <v>248</v>
      </c>
      <c r="N4" s="1">
        <v>248</v>
      </c>
      <c r="P4" s="6"/>
      <c r="R4" s="6"/>
      <c r="T4" s="6"/>
      <c r="U4" s="6"/>
      <c r="V4" s="6"/>
    </row>
    <row r="5" spans="1:22" x14ac:dyDescent="0.3">
      <c r="A5" s="3" t="s">
        <v>49</v>
      </c>
      <c r="B5" s="3">
        <v>44958</v>
      </c>
      <c r="C5">
        <f>IF(Tab_Archive[[#This Row],[Date_Ent ]]="","",YEAR(Tab_Archive[[#This Row],[Date_Ent ]]))</f>
        <v>2023</v>
      </c>
      <c r="D5" t="str">
        <f>INDEX(Tab_Locataire[],MATCH(Tab_Archive[[#This Row],[Nom_Lot]],Tab_Locataire[Lot_Loc],0),1)</f>
        <v>Dupon</v>
      </c>
      <c r="E5" t="str">
        <f>INDEX(Tab_Locataire[],MATCH(Tab_Archive[[#This Row],[Nom_Lot]],Tab_Locataire[Lot_Loc],0),2)</f>
        <v>Jean</v>
      </c>
      <c r="F5" s="5">
        <f>INDEX(Tab_Lot[],MATCH(Tab_Archive[[#This Row],[Nom_Lot]],Tab_Lot[Nom_Lot],0),5)</f>
        <v>456</v>
      </c>
      <c r="G5" s="5">
        <f>INDEX(Tab_Lot[],MATCH(Tab_Archive[[#This Row],[Nom_Lot]],Tab_Lot[Nom_Lot],0),6)</f>
        <v>88</v>
      </c>
      <c r="H5" s="6">
        <f>Tab_Archive[[#This Row],[Loyer]]+Tab_Archive[[#This Row],[Charges]]</f>
        <v>544</v>
      </c>
      <c r="I5" s="6" t="str">
        <f>INDEX(Tab_Locataire[],MATCH(Tab_Archive[[#This Row],[Nom_Lot]],Tab_Locataire[Lot_Loc],0),4)</f>
        <v>BOX2</v>
      </c>
      <c r="J5" s="1">
        <f>INDEX(Tab_Box[],MATCH(Tab_Archive[[#This Row],[Box]],Tab_Box[Num_box],0),3)</f>
        <v>63</v>
      </c>
      <c r="K5" s="6">
        <f>Tab_Archive[[#This Row],[Total_LC]]+Tab_Archive[[#This Row],[Montant_Box]]</f>
        <v>607</v>
      </c>
      <c r="L5" s="6">
        <v>123</v>
      </c>
      <c r="M5" s="6">
        <f>Tab_Archive[[#This Row],[Total_LCB]]-Tab_Archive[[#This Row],[APL]]</f>
        <v>484</v>
      </c>
      <c r="N5" s="6">
        <v>484</v>
      </c>
      <c r="P5" s="6"/>
      <c r="R5" s="6"/>
      <c r="T5" s="6"/>
      <c r="U5" s="6"/>
      <c r="V5" s="6"/>
    </row>
    <row r="6" spans="1:22" x14ac:dyDescent="0.3">
      <c r="A6" s="3" t="s">
        <v>47</v>
      </c>
      <c r="B6" s="3">
        <v>44986</v>
      </c>
      <c r="C6">
        <f>IF(Tab_Archive[[#This Row],[Date_Ent ]]="","",YEAR(Tab_Archive[[#This Row],[Date_Ent ]]))</f>
        <v>2023</v>
      </c>
      <c r="D6" t="str">
        <f>INDEX(Tab_Locataire[],MATCH(Tab_Archive[[#This Row],[Nom_Lot]],Tab_Locataire[Lot_Loc],0),1)</f>
        <v>Martin</v>
      </c>
      <c r="E6" t="str">
        <f>INDEX(Tab_Locataire[],MATCH(Tab_Archive[[#This Row],[Nom_Lot]],Tab_Locataire[Lot_Loc],0),2)</f>
        <v>Robert</v>
      </c>
      <c r="F6" s="5">
        <f>INDEX(Tab_Lot[],MATCH(Tab_Archive[[#This Row],[Nom_Lot]],Tab_Lot[Nom_Lot],0),5)</f>
        <v>235</v>
      </c>
      <c r="G6" s="5">
        <f>INDEX(Tab_Lot[],MATCH(Tab_Archive[[#This Row],[Nom_Lot]],Tab_Lot[Nom_Lot],0),6)</f>
        <v>55</v>
      </c>
      <c r="H6" s="6">
        <f>Tab_Archive[[#This Row],[Loyer]]+Tab_Archive[[#This Row],[Charges]]</f>
        <v>290</v>
      </c>
      <c r="I6" s="6" t="str">
        <f>INDEX(Tab_Locataire[],MATCH(Tab_Archive[[#This Row],[Nom_Lot]],Tab_Locataire[Lot_Loc],0),4)</f>
        <v>BOX1</v>
      </c>
      <c r="J6" s="1">
        <f>INDEX(Tab_Box[],MATCH(Tab_Archive[[#This Row],[Box]],Tab_Box[Num_box],0),3)</f>
        <v>58</v>
      </c>
      <c r="K6" s="6">
        <f>Tab_Archive[[#This Row],[Total_LC]]+Tab_Archive[[#This Row],[Montant_Box]]</f>
        <v>348</v>
      </c>
      <c r="L6" s="1">
        <v>100</v>
      </c>
      <c r="M6" s="6">
        <f>Tab_Archive[[#This Row],[Total_LCB]]-Tab_Archive[[#This Row],[APL]]</f>
        <v>248</v>
      </c>
      <c r="N6" s="1">
        <v>248</v>
      </c>
      <c r="O6" s="3">
        <v>44972</v>
      </c>
      <c r="P6" s="6">
        <v>80</v>
      </c>
      <c r="R6" s="6"/>
      <c r="T6" s="6"/>
      <c r="U6" s="6"/>
      <c r="V6" s="6"/>
    </row>
    <row r="7" spans="1:22" x14ac:dyDescent="0.3">
      <c r="A7" s="3" t="s">
        <v>49</v>
      </c>
      <c r="B7" s="3">
        <v>44986</v>
      </c>
      <c r="C7">
        <f>IF(Tab_Archive[[#This Row],[Date_Ent ]]="","",YEAR(Tab_Archive[[#This Row],[Date_Ent ]]))</f>
        <v>2023</v>
      </c>
      <c r="D7" t="str">
        <f>INDEX(Tab_Locataire[],MATCH(Tab_Archive[[#This Row],[Nom_Lot]],Tab_Locataire[Lot_Loc],0),1)</f>
        <v>Dupon</v>
      </c>
      <c r="E7" t="str">
        <f>INDEX(Tab_Locataire[],MATCH(Tab_Archive[[#This Row],[Nom_Lot]],Tab_Locataire[Lot_Loc],0),2)</f>
        <v>Jean</v>
      </c>
      <c r="F7" s="5">
        <f>INDEX(Tab_Lot[],MATCH(Tab_Archive[[#This Row],[Nom_Lot]],Tab_Lot[Nom_Lot],0),5)</f>
        <v>456</v>
      </c>
      <c r="G7" s="5">
        <f>INDEX(Tab_Lot[],MATCH(Tab_Archive[[#This Row],[Nom_Lot]],Tab_Lot[Nom_Lot],0),6)</f>
        <v>88</v>
      </c>
      <c r="H7" s="6">
        <f>Tab_Archive[[#This Row],[Loyer]]+Tab_Archive[[#This Row],[Charges]]</f>
        <v>544</v>
      </c>
      <c r="I7" s="6" t="str">
        <f>INDEX(Tab_Locataire[],MATCH(Tab_Archive[[#This Row],[Nom_Lot]],Tab_Locataire[Lot_Loc],0),4)</f>
        <v>BOX2</v>
      </c>
      <c r="J7" s="1">
        <f>INDEX(Tab_Box[],MATCH(Tab_Archive[[#This Row],[Box]],Tab_Box[Num_box],0),3)</f>
        <v>63</v>
      </c>
      <c r="K7" s="6">
        <f>Tab_Archive[[#This Row],[Total_LC]]+Tab_Archive[[#This Row],[Montant_Box]]</f>
        <v>607</v>
      </c>
      <c r="L7" s="6">
        <v>123</v>
      </c>
      <c r="M7" s="6">
        <f>Tab_Archive[[#This Row],[Total_LCB]]-Tab_Archive[[#This Row],[APL]]</f>
        <v>484</v>
      </c>
      <c r="N7" s="6">
        <v>484</v>
      </c>
      <c r="P7" s="6"/>
      <c r="R7" s="6"/>
      <c r="T7" s="6"/>
      <c r="U7" s="6"/>
      <c r="V7" s="6"/>
    </row>
    <row r="8" spans="1:22" x14ac:dyDescent="0.3">
      <c r="A8" s="3" t="s">
        <v>47</v>
      </c>
      <c r="B8" s="3">
        <v>45017</v>
      </c>
      <c r="C8">
        <f>IF(Tab_Archive[[#This Row],[Date_Ent ]]="","",YEAR(Tab_Archive[[#This Row],[Date_Ent ]]))</f>
        <v>2023</v>
      </c>
      <c r="D8" t="str">
        <f>INDEX(Tab_Locataire[],MATCH(Tab_Archive[[#This Row],[Nom_Lot]],Tab_Locataire[Lot_Loc],0),1)</f>
        <v>Martin</v>
      </c>
      <c r="E8" t="str">
        <f>INDEX(Tab_Locataire[],MATCH(Tab_Archive[[#This Row],[Nom_Lot]],Tab_Locataire[Lot_Loc],0),2)</f>
        <v>Robert</v>
      </c>
      <c r="F8" s="5">
        <f>INDEX(Tab_Lot[],MATCH(Tab_Archive[[#This Row],[Nom_Lot]],Tab_Lot[Nom_Lot],0),5)</f>
        <v>235</v>
      </c>
      <c r="G8" s="5">
        <f>INDEX(Tab_Lot[],MATCH(Tab_Archive[[#This Row],[Nom_Lot]],Tab_Lot[Nom_Lot],0),6)</f>
        <v>55</v>
      </c>
      <c r="H8" s="6">
        <f>Tab_Archive[[#This Row],[Loyer]]+Tab_Archive[[#This Row],[Charges]]</f>
        <v>290</v>
      </c>
      <c r="I8" s="6" t="str">
        <f>INDEX(Tab_Locataire[],MATCH(Tab_Archive[[#This Row],[Nom_Lot]],Tab_Locataire[Lot_Loc],0),4)</f>
        <v>BOX1</v>
      </c>
      <c r="J8" s="1">
        <f>INDEX(Tab_Box[],MATCH(Tab_Archive[[#This Row],[Box]],Tab_Box[Num_box],0),3)</f>
        <v>58</v>
      </c>
      <c r="K8" s="6">
        <f>Tab_Archive[[#This Row],[Total_LC]]+Tab_Archive[[#This Row],[Montant_Box]]</f>
        <v>348</v>
      </c>
      <c r="L8" s="1">
        <v>100</v>
      </c>
      <c r="M8" s="6">
        <f>Tab_Archive[[#This Row],[Total_LCB]]-Tab_Archive[[#This Row],[APL]]</f>
        <v>248</v>
      </c>
      <c r="N8" s="1">
        <v>248</v>
      </c>
      <c r="O8" s="8"/>
      <c r="P8" s="6"/>
      <c r="R8" s="6"/>
      <c r="T8" s="6"/>
      <c r="U8" s="6"/>
      <c r="V8" s="6"/>
    </row>
    <row r="9" spans="1:22" x14ac:dyDescent="0.3">
      <c r="A9" s="3" t="s">
        <v>49</v>
      </c>
      <c r="B9" s="3">
        <v>45017</v>
      </c>
      <c r="C9">
        <f>IF(Tab_Archive[[#This Row],[Date_Ent ]]="","",YEAR(Tab_Archive[[#This Row],[Date_Ent ]]))</f>
        <v>2023</v>
      </c>
      <c r="D9" t="str">
        <f>INDEX(Tab_Locataire[],MATCH(Tab_Archive[[#This Row],[Nom_Lot]],Tab_Locataire[Lot_Loc],0),1)</f>
        <v>Dupon</v>
      </c>
      <c r="E9" t="str">
        <f>INDEX(Tab_Locataire[],MATCH(Tab_Archive[[#This Row],[Nom_Lot]],Tab_Locataire[Lot_Loc],0),2)</f>
        <v>Jean</v>
      </c>
      <c r="F9" s="5">
        <f>INDEX(Tab_Lot[],MATCH(Tab_Archive[[#This Row],[Nom_Lot]],Tab_Lot[Nom_Lot],0),5)</f>
        <v>456</v>
      </c>
      <c r="G9" s="5">
        <f>INDEX(Tab_Lot[],MATCH(Tab_Archive[[#This Row],[Nom_Lot]],Tab_Lot[Nom_Lot],0),6)</f>
        <v>88</v>
      </c>
      <c r="H9" s="6">
        <f>Tab_Archive[[#This Row],[Loyer]]+Tab_Archive[[#This Row],[Charges]]</f>
        <v>544</v>
      </c>
      <c r="I9" s="6" t="str">
        <f>INDEX(Tab_Locataire[],MATCH(Tab_Archive[[#This Row],[Nom_Lot]],Tab_Locataire[Lot_Loc],0),4)</f>
        <v>BOX2</v>
      </c>
      <c r="J9" s="1">
        <f>INDEX(Tab_Box[],MATCH(Tab_Archive[[#This Row],[Box]],Tab_Box[Num_box],0),3)</f>
        <v>63</v>
      </c>
      <c r="K9" s="6">
        <f>Tab_Archive[[#This Row],[Total_LC]]+Tab_Archive[[#This Row],[Montant_Box]]</f>
        <v>607</v>
      </c>
      <c r="L9" s="6">
        <v>123</v>
      </c>
      <c r="M9" s="6">
        <f>Tab_Archive[[#This Row],[Total_LCB]]-Tab_Archive[[#This Row],[APL]]</f>
        <v>484</v>
      </c>
      <c r="N9" s="6">
        <v>484</v>
      </c>
      <c r="P9" s="6"/>
      <c r="R9" s="6"/>
      <c r="T9" s="6"/>
      <c r="U9" s="6"/>
      <c r="V9" s="6"/>
    </row>
    <row r="10" spans="1:22" x14ac:dyDescent="0.3">
      <c r="A10" s="3" t="s">
        <v>47</v>
      </c>
      <c r="B10" s="3">
        <v>45047</v>
      </c>
      <c r="C10">
        <f>IF(Tab_Archive[[#This Row],[Date_Ent ]]="","",YEAR(Tab_Archive[[#This Row],[Date_Ent ]]))</f>
        <v>2023</v>
      </c>
      <c r="D10" t="str">
        <f>INDEX(Tab_Locataire[],MATCH(Tab_Archive[[#This Row],[Nom_Lot]],Tab_Locataire[Lot_Loc],0),1)</f>
        <v>Martin</v>
      </c>
      <c r="E10" t="str">
        <f>INDEX(Tab_Locataire[],MATCH(Tab_Archive[[#This Row],[Nom_Lot]],Tab_Locataire[Lot_Loc],0),2)</f>
        <v>Robert</v>
      </c>
      <c r="F10" s="5">
        <f>INDEX(Tab_Lot[],MATCH(Tab_Archive[[#This Row],[Nom_Lot]],Tab_Lot[Nom_Lot],0),5)</f>
        <v>235</v>
      </c>
      <c r="G10" s="5">
        <f>INDEX(Tab_Lot[],MATCH(Tab_Archive[[#This Row],[Nom_Lot]],Tab_Lot[Nom_Lot],0),6)</f>
        <v>55</v>
      </c>
      <c r="H10" s="6">
        <f>Tab_Archive[[#This Row],[Loyer]]+Tab_Archive[[#This Row],[Charges]]</f>
        <v>290</v>
      </c>
      <c r="I10" s="6" t="str">
        <f>INDEX(Tab_Locataire[],MATCH(Tab_Archive[[#This Row],[Nom_Lot]],Tab_Locataire[Lot_Loc],0),4)</f>
        <v>BOX1</v>
      </c>
      <c r="J10" s="1">
        <f>INDEX(Tab_Box[],MATCH(Tab_Archive[[#This Row],[Box]],Tab_Box[Num_box],0),3)</f>
        <v>58</v>
      </c>
      <c r="K10" s="6">
        <f>Tab_Archive[[#This Row],[Total_LC]]+Tab_Archive[[#This Row],[Montant_Box]]</f>
        <v>348</v>
      </c>
      <c r="L10" s="1">
        <v>100</v>
      </c>
      <c r="M10" s="6">
        <f>Tab_Archive[[#This Row],[Total_LCB]]-Tab_Archive[[#This Row],[APL]]</f>
        <v>248</v>
      </c>
      <c r="N10" s="1">
        <v>248</v>
      </c>
      <c r="P10" s="6"/>
      <c r="R10" s="6"/>
      <c r="T10" s="1"/>
      <c r="U10" s="1"/>
      <c r="V10" s="1"/>
    </row>
    <row r="11" spans="1:22" x14ac:dyDescent="0.3">
      <c r="A11" s="3" t="s">
        <v>49</v>
      </c>
      <c r="B11" s="3">
        <v>45047</v>
      </c>
      <c r="C11">
        <f>IF(Tab_Archive[[#This Row],[Date_Ent ]]="","",YEAR(Tab_Archive[[#This Row],[Date_Ent ]]))</f>
        <v>2023</v>
      </c>
      <c r="D11" t="str">
        <f>INDEX(Tab_Locataire[],MATCH(Tab_Archive[[#This Row],[Nom_Lot]],Tab_Locataire[Lot_Loc],0),1)</f>
        <v>Dupon</v>
      </c>
      <c r="E11" t="str">
        <f>INDEX(Tab_Locataire[],MATCH(Tab_Archive[[#This Row],[Nom_Lot]],Tab_Locataire[Lot_Loc],0),2)</f>
        <v>Jean</v>
      </c>
      <c r="F11" s="5">
        <f>INDEX(Tab_Lot[],MATCH(Tab_Archive[[#This Row],[Nom_Lot]],Tab_Lot[Nom_Lot],0),5)</f>
        <v>456</v>
      </c>
      <c r="G11" s="5">
        <f>INDEX(Tab_Lot[],MATCH(Tab_Archive[[#This Row],[Nom_Lot]],Tab_Lot[Nom_Lot],0),6)</f>
        <v>88</v>
      </c>
      <c r="H11" s="6">
        <f>Tab_Archive[[#This Row],[Loyer]]+Tab_Archive[[#This Row],[Charges]]</f>
        <v>544</v>
      </c>
      <c r="I11" s="6" t="str">
        <f>INDEX(Tab_Locataire[],MATCH(Tab_Archive[[#This Row],[Nom_Lot]],Tab_Locataire[Lot_Loc],0),4)</f>
        <v>BOX2</v>
      </c>
      <c r="J11" s="1">
        <f>INDEX(Tab_Box[],MATCH(Tab_Archive[[#This Row],[Box]],Tab_Box[Num_box],0),3)</f>
        <v>63</v>
      </c>
      <c r="K11" s="6">
        <f>Tab_Archive[[#This Row],[Total_LC]]+Tab_Archive[[#This Row],[Montant_Box]]</f>
        <v>607</v>
      </c>
      <c r="L11" s="6">
        <v>123</v>
      </c>
      <c r="M11" s="6">
        <f>Tab_Archive[[#This Row],[Total_LCB]]-Tab_Archive[[#This Row],[APL]]</f>
        <v>484</v>
      </c>
      <c r="N11" s="6">
        <v>484</v>
      </c>
      <c r="P11" s="6"/>
      <c r="R11" s="6"/>
      <c r="T11" s="1"/>
      <c r="U11" s="1"/>
      <c r="V11" s="1"/>
    </row>
    <row r="12" spans="1:22" x14ac:dyDescent="0.3">
      <c r="A12" s="3" t="s">
        <v>47</v>
      </c>
      <c r="B12" s="3">
        <v>45078</v>
      </c>
      <c r="C12">
        <f>IF(Tab_Archive[[#This Row],[Date_Ent ]]="","",YEAR(Tab_Archive[[#This Row],[Date_Ent ]]))</f>
        <v>2023</v>
      </c>
      <c r="D12" t="str">
        <f>INDEX(Tab_Locataire[],MATCH(Tab_Archive[[#This Row],[Nom_Lot]],Tab_Locataire[Lot_Loc],0),1)</f>
        <v>Martin</v>
      </c>
      <c r="E12" t="str">
        <f>INDEX(Tab_Locataire[],MATCH(Tab_Archive[[#This Row],[Nom_Lot]],Tab_Locataire[Lot_Loc],0),2)</f>
        <v>Robert</v>
      </c>
      <c r="F12" s="5">
        <f>INDEX(Tab_Lot[],MATCH(Tab_Archive[[#This Row],[Nom_Lot]],Tab_Lot[Nom_Lot],0),5)</f>
        <v>235</v>
      </c>
      <c r="G12" s="5">
        <f>INDEX(Tab_Lot[],MATCH(Tab_Archive[[#This Row],[Nom_Lot]],Tab_Lot[Nom_Lot],0),6)</f>
        <v>55</v>
      </c>
      <c r="H12" s="1">
        <f>Tab_Archive[[#This Row],[Loyer]]+Tab_Archive[[#This Row],[Charges]]</f>
        <v>290</v>
      </c>
      <c r="I12" s="1" t="str">
        <f>INDEX(Tab_Locataire[],MATCH(Tab_Archive[[#This Row],[Nom_Lot]],Tab_Locataire[Lot_Loc],0),4)</f>
        <v>BOX1</v>
      </c>
      <c r="J12" s="1">
        <f>INDEX(Tab_Box[],MATCH(Tab_Archive[[#This Row],[Box]],Tab_Box[Num_box],0),3)</f>
        <v>58</v>
      </c>
      <c r="K12" s="1">
        <f>Tab_Archive[[#This Row],[Total_LC]]+Tab_Archive[[#This Row],[Montant_Box]]</f>
        <v>348</v>
      </c>
      <c r="L12" s="1">
        <v>100</v>
      </c>
      <c r="M12" s="1">
        <f>Tab_Archive[[#This Row],[Total_LCB]]-Tab_Archive[[#This Row],[APL]]</f>
        <v>248</v>
      </c>
      <c r="N12" s="1">
        <v>248</v>
      </c>
      <c r="P12" s="1"/>
      <c r="R12" s="1"/>
      <c r="T12" s="1"/>
      <c r="U12" s="1"/>
      <c r="V12" s="1"/>
    </row>
    <row r="13" spans="1:22" x14ac:dyDescent="0.3">
      <c r="A13" s="3" t="s">
        <v>49</v>
      </c>
      <c r="B13" s="3">
        <v>45078</v>
      </c>
      <c r="C13">
        <f>IF(Tab_Archive[[#This Row],[Date_Ent ]]="","",YEAR(Tab_Archive[[#This Row],[Date_Ent ]]))</f>
        <v>2023</v>
      </c>
      <c r="D13" t="str">
        <f>INDEX(Tab_Locataire[],MATCH(Tab_Archive[[#This Row],[Nom_Lot]],Tab_Locataire[Lot_Loc],0),1)</f>
        <v>Dupon</v>
      </c>
      <c r="E13" t="str">
        <f>INDEX(Tab_Locataire[],MATCH(Tab_Archive[[#This Row],[Nom_Lot]],Tab_Locataire[Lot_Loc],0),2)</f>
        <v>Jean</v>
      </c>
      <c r="F13" s="5">
        <f>INDEX(Tab_Lot[],MATCH(Tab_Archive[[#This Row],[Nom_Lot]],Tab_Lot[Nom_Lot],0),5)</f>
        <v>456</v>
      </c>
      <c r="G13" s="5">
        <f>INDEX(Tab_Lot[],MATCH(Tab_Archive[[#This Row],[Nom_Lot]],Tab_Lot[Nom_Lot],0),6)</f>
        <v>88</v>
      </c>
      <c r="H13" s="6">
        <f>Tab_Archive[[#This Row],[Loyer]]+Tab_Archive[[#This Row],[Charges]]</f>
        <v>544</v>
      </c>
      <c r="I13" s="6" t="str">
        <f>INDEX(Tab_Locataire[],MATCH(Tab_Archive[[#This Row],[Nom_Lot]],Tab_Locataire[Lot_Loc],0),4)</f>
        <v>BOX2</v>
      </c>
      <c r="J13" s="1">
        <f>INDEX(Tab_Box[],MATCH(Tab_Archive[[#This Row],[Box]],Tab_Box[Num_box],0),3)</f>
        <v>63</v>
      </c>
      <c r="K13" s="6">
        <f>Tab_Archive[[#This Row],[Total_LC]]+Tab_Archive[[#This Row],[Montant_Box]]</f>
        <v>607</v>
      </c>
      <c r="L13" s="6">
        <v>123</v>
      </c>
      <c r="M13" s="6">
        <f>Tab_Archive[[#This Row],[Total_LCB]]-Tab_Archive[[#This Row],[APL]]</f>
        <v>484</v>
      </c>
      <c r="N13" s="6">
        <v>484</v>
      </c>
      <c r="P13" s="6"/>
      <c r="R13" s="6"/>
      <c r="T13" s="6"/>
      <c r="U13" s="6"/>
      <c r="V13" s="6"/>
    </row>
    <row r="14" spans="1:22" x14ac:dyDescent="0.3">
      <c r="A14" s="3" t="s">
        <v>47</v>
      </c>
      <c r="B14" s="3">
        <v>45108</v>
      </c>
      <c r="C14">
        <f>IF(Tab_Archive[[#This Row],[Date_Ent ]]="","",YEAR(Tab_Archive[[#This Row],[Date_Ent ]]))</f>
        <v>2023</v>
      </c>
      <c r="D14" t="str">
        <f>INDEX(Tab_Locataire[],MATCH(Tab_Archive[[#This Row],[Nom_Lot]],Tab_Locataire[Lot_Loc],0),1)</f>
        <v>Martin</v>
      </c>
      <c r="E14" t="str">
        <f>INDEX(Tab_Locataire[],MATCH(Tab_Archive[[#This Row],[Nom_Lot]],Tab_Locataire[Lot_Loc],0),2)</f>
        <v>Robert</v>
      </c>
      <c r="F14" s="5">
        <f>INDEX(Tab_Lot[],MATCH(Tab_Archive[[#This Row],[Nom_Lot]],Tab_Lot[Nom_Lot],0),5)</f>
        <v>235</v>
      </c>
      <c r="G14" s="5">
        <f>INDEX(Tab_Lot[],MATCH(Tab_Archive[[#This Row],[Nom_Lot]],Tab_Lot[Nom_Lot],0),6)</f>
        <v>55</v>
      </c>
      <c r="H14" s="6">
        <f>Tab_Archive[[#This Row],[Loyer]]+Tab_Archive[[#This Row],[Charges]]</f>
        <v>290</v>
      </c>
      <c r="I14" s="6" t="str">
        <f>INDEX(Tab_Locataire[],MATCH(Tab_Archive[[#This Row],[Nom_Lot]],Tab_Locataire[Lot_Loc],0),4)</f>
        <v>BOX1</v>
      </c>
      <c r="J14" s="1">
        <f>INDEX(Tab_Box[],MATCH(Tab_Archive[[#This Row],[Box]],Tab_Box[Num_box],0),3)</f>
        <v>58</v>
      </c>
      <c r="K14" s="6">
        <f>Tab_Archive[[#This Row],[Total_LC]]+Tab_Archive[[#This Row],[Montant_Box]]</f>
        <v>348</v>
      </c>
      <c r="L14" s="1">
        <v>100</v>
      </c>
      <c r="M14" s="6">
        <f>Tab_Archive[[#This Row],[Total_LCB]]-Tab_Archive[[#This Row],[APL]]</f>
        <v>248</v>
      </c>
      <c r="N14" s="1">
        <v>248</v>
      </c>
      <c r="P14" s="6"/>
      <c r="R14" s="6"/>
      <c r="T14" s="6"/>
      <c r="U14" s="6"/>
      <c r="V14" s="6"/>
    </row>
    <row r="15" spans="1:22" x14ac:dyDescent="0.3">
      <c r="A15" s="3" t="s">
        <v>49</v>
      </c>
      <c r="B15" s="3">
        <v>45108</v>
      </c>
      <c r="C15">
        <f>IF(Tab_Archive[[#This Row],[Date_Ent ]]="","",YEAR(Tab_Archive[[#This Row],[Date_Ent ]]))</f>
        <v>2023</v>
      </c>
      <c r="D15" t="str">
        <f>INDEX(Tab_Locataire[],MATCH(Tab_Archive[[#This Row],[Nom_Lot]],Tab_Locataire[Lot_Loc],0),1)</f>
        <v>Dupon</v>
      </c>
      <c r="E15" t="str">
        <f>INDEX(Tab_Locataire[],MATCH(Tab_Archive[[#This Row],[Nom_Lot]],Tab_Locataire[Lot_Loc],0),2)</f>
        <v>Jean</v>
      </c>
      <c r="F15" s="5">
        <f>INDEX(Tab_Lot[],MATCH(Tab_Archive[[#This Row],[Nom_Lot]],Tab_Lot[Nom_Lot],0),5)</f>
        <v>456</v>
      </c>
      <c r="G15" s="5">
        <f>INDEX(Tab_Lot[],MATCH(Tab_Archive[[#This Row],[Nom_Lot]],Tab_Lot[Nom_Lot],0),6)</f>
        <v>88</v>
      </c>
      <c r="H15" s="6">
        <f>Tab_Archive[[#This Row],[Loyer]]+Tab_Archive[[#This Row],[Charges]]</f>
        <v>544</v>
      </c>
      <c r="I15" s="6" t="str">
        <f>INDEX(Tab_Locataire[],MATCH(Tab_Archive[[#This Row],[Nom_Lot]],Tab_Locataire[Lot_Loc],0),4)</f>
        <v>BOX2</v>
      </c>
      <c r="J15" s="1">
        <f>INDEX(Tab_Box[],MATCH(Tab_Archive[[#This Row],[Box]],Tab_Box[Num_box],0),3)</f>
        <v>63</v>
      </c>
      <c r="K15" s="6">
        <f>Tab_Archive[[#This Row],[Total_LC]]+Tab_Archive[[#This Row],[Montant_Box]]</f>
        <v>607</v>
      </c>
      <c r="L15" s="6">
        <v>123</v>
      </c>
      <c r="M15" s="6">
        <f>Tab_Archive[[#This Row],[Total_LCB]]-Tab_Archive[[#This Row],[APL]]</f>
        <v>484</v>
      </c>
      <c r="N15" s="6">
        <v>484</v>
      </c>
      <c r="P15" s="6"/>
      <c r="R15" s="6"/>
      <c r="T15" s="6"/>
      <c r="U15" s="6"/>
      <c r="V15" s="6"/>
    </row>
    <row r="16" spans="1:22" x14ac:dyDescent="0.3">
      <c r="A16" s="3" t="s">
        <v>47</v>
      </c>
      <c r="B16" s="3">
        <v>45139</v>
      </c>
      <c r="C16">
        <f>IF(Tab_Archive[[#This Row],[Date_Ent ]]="","",YEAR(Tab_Archive[[#This Row],[Date_Ent ]]))</f>
        <v>2023</v>
      </c>
      <c r="D16" t="str">
        <f>INDEX(Tab_Locataire[],MATCH(Tab_Archive[[#This Row],[Nom_Lot]],Tab_Locataire[Lot_Loc],0),1)</f>
        <v>Martin</v>
      </c>
      <c r="E16" t="str">
        <f>INDEX(Tab_Locataire[],MATCH(Tab_Archive[[#This Row],[Nom_Lot]],Tab_Locataire[Lot_Loc],0),2)</f>
        <v>Robert</v>
      </c>
      <c r="F16" s="5">
        <f>INDEX(Tab_Lot[],MATCH(Tab_Archive[[#This Row],[Nom_Lot]],Tab_Lot[Nom_Lot],0),5)</f>
        <v>235</v>
      </c>
      <c r="G16" s="5">
        <f>INDEX(Tab_Lot[],MATCH(Tab_Archive[[#This Row],[Nom_Lot]],Tab_Lot[Nom_Lot],0),6)</f>
        <v>55</v>
      </c>
      <c r="H16" s="6">
        <f>Tab_Archive[[#This Row],[Loyer]]+Tab_Archive[[#This Row],[Charges]]</f>
        <v>290</v>
      </c>
      <c r="I16" s="6" t="str">
        <f>INDEX(Tab_Locataire[],MATCH(Tab_Archive[[#This Row],[Nom_Lot]],Tab_Locataire[Lot_Loc],0),4)</f>
        <v>BOX1</v>
      </c>
      <c r="J16" s="1">
        <f>INDEX(Tab_Box[],MATCH(Tab_Archive[[#This Row],[Box]],Tab_Box[Num_box],0),3)</f>
        <v>58</v>
      </c>
      <c r="K16" s="6">
        <f>Tab_Archive[[#This Row],[Total_LC]]+Tab_Archive[[#This Row],[Montant_Box]]</f>
        <v>348</v>
      </c>
      <c r="L16" s="1">
        <v>100</v>
      </c>
      <c r="M16" s="6">
        <f>Tab_Archive[[#This Row],[Total_LCB]]-Tab_Archive[[#This Row],[APL]]</f>
        <v>248</v>
      </c>
      <c r="N16" s="1">
        <v>248</v>
      </c>
      <c r="P16" s="6"/>
      <c r="R16" s="6"/>
      <c r="T16" s="6"/>
      <c r="U16" s="6"/>
      <c r="V16" s="6"/>
    </row>
    <row r="17" spans="1:22" x14ac:dyDescent="0.3">
      <c r="A17" s="3" t="s">
        <v>49</v>
      </c>
      <c r="B17" s="3">
        <v>45139</v>
      </c>
      <c r="C17">
        <f>IF(Tab_Archive[[#This Row],[Date_Ent ]]="","",YEAR(Tab_Archive[[#This Row],[Date_Ent ]]))</f>
        <v>2023</v>
      </c>
      <c r="D17" t="str">
        <f>INDEX(Tab_Locataire[],MATCH(Tab_Archive[[#This Row],[Nom_Lot]],Tab_Locataire[Lot_Loc],0),1)</f>
        <v>Dupon</v>
      </c>
      <c r="E17" t="str">
        <f>INDEX(Tab_Locataire[],MATCH(Tab_Archive[[#This Row],[Nom_Lot]],Tab_Locataire[Lot_Loc],0),2)</f>
        <v>Jean</v>
      </c>
      <c r="F17" s="5">
        <f>INDEX(Tab_Lot[],MATCH(Tab_Archive[[#This Row],[Nom_Lot]],Tab_Lot[Nom_Lot],0),5)</f>
        <v>456</v>
      </c>
      <c r="G17" s="5">
        <f>INDEX(Tab_Lot[],MATCH(Tab_Archive[[#This Row],[Nom_Lot]],Tab_Lot[Nom_Lot],0),6)</f>
        <v>88</v>
      </c>
      <c r="H17" s="6">
        <f>Tab_Archive[[#This Row],[Loyer]]+Tab_Archive[[#This Row],[Charges]]</f>
        <v>544</v>
      </c>
      <c r="I17" s="6" t="str">
        <f>INDEX(Tab_Locataire[],MATCH(Tab_Archive[[#This Row],[Nom_Lot]],Tab_Locataire[Lot_Loc],0),4)</f>
        <v>BOX2</v>
      </c>
      <c r="J17" s="1">
        <f>INDEX(Tab_Box[],MATCH(Tab_Archive[[#This Row],[Box]],Tab_Box[Num_box],0),3)</f>
        <v>63</v>
      </c>
      <c r="K17" s="6">
        <f>Tab_Archive[[#This Row],[Total_LC]]+Tab_Archive[[#This Row],[Montant_Box]]</f>
        <v>607</v>
      </c>
      <c r="L17" s="6">
        <v>123</v>
      </c>
      <c r="M17" s="6">
        <f>Tab_Archive[[#This Row],[Total_LCB]]-Tab_Archive[[#This Row],[APL]]</f>
        <v>484</v>
      </c>
      <c r="N17" s="6">
        <v>484</v>
      </c>
      <c r="P17" s="6"/>
      <c r="R17" s="6"/>
      <c r="T17" s="6"/>
      <c r="U17" s="6"/>
      <c r="V17" s="6"/>
    </row>
    <row r="18" spans="1:22" x14ac:dyDescent="0.3">
      <c r="A18" s="3" t="s">
        <v>47</v>
      </c>
      <c r="B18" s="3">
        <v>45170</v>
      </c>
      <c r="C18">
        <f>IF(Tab_Archive[[#This Row],[Date_Ent ]]="","",YEAR(Tab_Archive[[#This Row],[Date_Ent ]]))</f>
        <v>2023</v>
      </c>
      <c r="D18" t="str">
        <f>INDEX(Tab_Locataire[],MATCH(Tab_Archive[[#This Row],[Nom_Lot]],Tab_Locataire[Lot_Loc],0),1)</f>
        <v>Martin</v>
      </c>
      <c r="E18" t="str">
        <f>INDEX(Tab_Locataire[],MATCH(Tab_Archive[[#This Row],[Nom_Lot]],Tab_Locataire[Lot_Loc],0),2)</f>
        <v>Robert</v>
      </c>
      <c r="F18" s="5">
        <f>INDEX(Tab_Lot[],MATCH(Tab_Archive[[#This Row],[Nom_Lot]],Tab_Lot[Nom_Lot],0),5)</f>
        <v>235</v>
      </c>
      <c r="G18" s="5">
        <f>INDEX(Tab_Lot[],MATCH(Tab_Archive[[#This Row],[Nom_Lot]],Tab_Lot[Nom_Lot],0),6)</f>
        <v>55</v>
      </c>
      <c r="H18" s="6">
        <f>Tab_Archive[[#This Row],[Loyer]]+Tab_Archive[[#This Row],[Charges]]</f>
        <v>290</v>
      </c>
      <c r="I18" s="6" t="str">
        <f>INDEX(Tab_Locataire[],MATCH(Tab_Archive[[#This Row],[Nom_Lot]],Tab_Locataire[Lot_Loc],0),4)</f>
        <v>BOX1</v>
      </c>
      <c r="J18" s="1">
        <f>INDEX(Tab_Box[],MATCH(Tab_Archive[[#This Row],[Box]],Tab_Box[Num_box],0),3)</f>
        <v>58</v>
      </c>
      <c r="K18" s="6">
        <f>Tab_Archive[[#This Row],[Total_LC]]+Tab_Archive[[#This Row],[Montant_Box]]</f>
        <v>348</v>
      </c>
      <c r="L18" s="1">
        <v>100</v>
      </c>
      <c r="M18" s="6">
        <f>Tab_Archive[[#This Row],[Total_LCB]]-Tab_Archive[[#This Row],[APL]]</f>
        <v>248</v>
      </c>
      <c r="N18" s="1">
        <v>248</v>
      </c>
      <c r="O18" s="8"/>
      <c r="P18" s="6"/>
      <c r="R18" s="6"/>
      <c r="T18" s="6"/>
      <c r="U18" s="6"/>
      <c r="V18" s="6"/>
    </row>
    <row r="19" spans="1:22" x14ac:dyDescent="0.3">
      <c r="A19" s="3" t="s">
        <v>49</v>
      </c>
      <c r="B19" s="3">
        <v>45170</v>
      </c>
      <c r="C19">
        <f>IF(Tab_Archive[[#This Row],[Date_Ent ]]="","",YEAR(Tab_Archive[[#This Row],[Date_Ent ]]))</f>
        <v>2023</v>
      </c>
      <c r="D19" t="str">
        <f>INDEX(Tab_Locataire[],MATCH(Tab_Archive[[#This Row],[Nom_Lot]],Tab_Locataire[Lot_Loc],0),1)</f>
        <v>Dupon</v>
      </c>
      <c r="E19" t="str">
        <f>INDEX(Tab_Locataire[],MATCH(Tab_Archive[[#This Row],[Nom_Lot]],Tab_Locataire[Lot_Loc],0),2)</f>
        <v>Jean</v>
      </c>
      <c r="F19" s="5">
        <f>INDEX(Tab_Lot[],MATCH(Tab_Archive[[#This Row],[Nom_Lot]],Tab_Lot[Nom_Lot],0),5)</f>
        <v>456</v>
      </c>
      <c r="G19" s="5">
        <f>INDEX(Tab_Lot[],MATCH(Tab_Archive[[#This Row],[Nom_Lot]],Tab_Lot[Nom_Lot],0),6)</f>
        <v>88</v>
      </c>
      <c r="H19" s="6">
        <f>Tab_Archive[[#This Row],[Loyer]]+Tab_Archive[[#This Row],[Charges]]</f>
        <v>544</v>
      </c>
      <c r="I19" s="6" t="str">
        <f>INDEX(Tab_Locataire[],MATCH(Tab_Archive[[#This Row],[Nom_Lot]],Tab_Locataire[Lot_Loc],0),4)</f>
        <v>BOX2</v>
      </c>
      <c r="J19" s="1">
        <f>INDEX(Tab_Box[],MATCH(Tab_Archive[[#This Row],[Box]],Tab_Box[Num_box],0),3)</f>
        <v>63</v>
      </c>
      <c r="K19" s="6">
        <f>Tab_Archive[[#This Row],[Total_LC]]+Tab_Archive[[#This Row],[Montant_Box]]</f>
        <v>607</v>
      </c>
      <c r="L19" s="6">
        <v>123</v>
      </c>
      <c r="M19" s="6">
        <f>Tab_Archive[[#This Row],[Total_LCB]]-Tab_Archive[[#This Row],[APL]]</f>
        <v>484</v>
      </c>
      <c r="N19" s="6">
        <v>484</v>
      </c>
      <c r="O19" s="3">
        <v>45020</v>
      </c>
      <c r="P19" s="6">
        <v>125</v>
      </c>
      <c r="R19" s="6"/>
      <c r="T19" s="6"/>
      <c r="U19" s="6"/>
      <c r="V19" s="6"/>
    </row>
    <row r="20" spans="1:22" x14ac:dyDescent="0.3">
      <c r="A20" s="3" t="s">
        <v>47</v>
      </c>
      <c r="B20" s="3">
        <v>45200</v>
      </c>
      <c r="C20">
        <f>IF(Tab_Archive[[#This Row],[Date_Ent ]]="","",YEAR(Tab_Archive[[#This Row],[Date_Ent ]]))</f>
        <v>2023</v>
      </c>
      <c r="D20" t="str">
        <f>INDEX(Tab_Locataire[],MATCH(Tab_Archive[[#This Row],[Nom_Lot]],Tab_Locataire[Lot_Loc],0),1)</f>
        <v>Martin</v>
      </c>
      <c r="E20" t="str">
        <f>INDEX(Tab_Locataire[],MATCH(Tab_Archive[[#This Row],[Nom_Lot]],Tab_Locataire[Lot_Loc],0),2)</f>
        <v>Robert</v>
      </c>
      <c r="F20" s="5">
        <f>INDEX(Tab_Lot[],MATCH(Tab_Archive[[#This Row],[Nom_Lot]],Tab_Lot[Nom_Lot],0),5)</f>
        <v>235</v>
      </c>
      <c r="G20" s="5">
        <f>INDEX(Tab_Lot[],MATCH(Tab_Archive[[#This Row],[Nom_Lot]],Tab_Lot[Nom_Lot],0),6)</f>
        <v>55</v>
      </c>
      <c r="H20" s="6">
        <f>Tab_Archive[[#This Row],[Loyer]]+Tab_Archive[[#This Row],[Charges]]</f>
        <v>290</v>
      </c>
      <c r="I20" s="6" t="str">
        <f>INDEX(Tab_Locataire[],MATCH(Tab_Archive[[#This Row],[Nom_Lot]],Tab_Locataire[Lot_Loc],0),4)</f>
        <v>BOX1</v>
      </c>
      <c r="J20" s="1">
        <f>INDEX(Tab_Box[],MATCH(Tab_Archive[[#This Row],[Box]],Tab_Box[Num_box],0),3)</f>
        <v>58</v>
      </c>
      <c r="K20" s="6">
        <f>Tab_Archive[[#This Row],[Total_LC]]+Tab_Archive[[#This Row],[Montant_Box]]</f>
        <v>348</v>
      </c>
      <c r="L20" s="1">
        <v>100</v>
      </c>
      <c r="M20" s="6">
        <f>Tab_Archive[[#This Row],[Total_LCB]]-Tab_Archive[[#This Row],[APL]]</f>
        <v>248</v>
      </c>
      <c r="N20" s="1">
        <v>248</v>
      </c>
      <c r="P20" s="6"/>
      <c r="R20" s="6"/>
      <c r="T20" s="6"/>
      <c r="U20" s="6"/>
      <c r="V20" s="6"/>
    </row>
    <row r="21" spans="1:22" x14ac:dyDescent="0.3">
      <c r="A21" s="3" t="s">
        <v>49</v>
      </c>
      <c r="B21" s="3">
        <v>45200</v>
      </c>
      <c r="C21">
        <f>IF(Tab_Archive[[#This Row],[Date_Ent ]]="","",YEAR(Tab_Archive[[#This Row],[Date_Ent ]]))</f>
        <v>2023</v>
      </c>
      <c r="D21" t="str">
        <f>INDEX(Tab_Locataire[],MATCH(Tab_Archive[[#This Row],[Nom_Lot]],Tab_Locataire[Lot_Loc],0),1)</f>
        <v>Dupon</v>
      </c>
      <c r="E21" t="str">
        <f>INDEX(Tab_Locataire[],MATCH(Tab_Archive[[#This Row],[Nom_Lot]],Tab_Locataire[Lot_Loc],0),2)</f>
        <v>Jean</v>
      </c>
      <c r="F21" s="5">
        <f>INDEX(Tab_Lot[],MATCH(Tab_Archive[[#This Row],[Nom_Lot]],Tab_Lot[Nom_Lot],0),5)</f>
        <v>456</v>
      </c>
      <c r="G21" s="5">
        <f>INDEX(Tab_Lot[],MATCH(Tab_Archive[[#This Row],[Nom_Lot]],Tab_Lot[Nom_Lot],0),6)</f>
        <v>88</v>
      </c>
      <c r="H21" s="6">
        <f>Tab_Archive[[#This Row],[Loyer]]+Tab_Archive[[#This Row],[Charges]]</f>
        <v>544</v>
      </c>
      <c r="I21" s="6" t="str">
        <f>INDEX(Tab_Locataire[],MATCH(Tab_Archive[[#This Row],[Nom_Lot]],Tab_Locataire[Lot_Loc],0),4)</f>
        <v>BOX2</v>
      </c>
      <c r="J21" s="1">
        <f>INDEX(Tab_Box[],MATCH(Tab_Archive[[#This Row],[Box]],Tab_Box[Num_box],0),3)</f>
        <v>63</v>
      </c>
      <c r="K21" s="6">
        <f>Tab_Archive[[#This Row],[Total_LC]]+Tab_Archive[[#This Row],[Montant_Box]]</f>
        <v>607</v>
      </c>
      <c r="L21" s="6">
        <v>123</v>
      </c>
      <c r="M21" s="6">
        <f>Tab_Archive[[#This Row],[Total_LCB]]-Tab_Archive[[#This Row],[APL]]</f>
        <v>484</v>
      </c>
      <c r="N21" s="6">
        <v>484</v>
      </c>
      <c r="P21" s="6"/>
      <c r="R21" s="6"/>
      <c r="T21" s="6"/>
      <c r="U21" s="6"/>
      <c r="V21" s="6"/>
    </row>
    <row r="22" spans="1:22" x14ac:dyDescent="0.3">
      <c r="A22" s="3" t="s">
        <v>47</v>
      </c>
      <c r="B22" s="3">
        <v>45231</v>
      </c>
      <c r="C22">
        <f>IF(Tab_Archive[[#This Row],[Date_Ent ]]="","",YEAR(Tab_Archive[[#This Row],[Date_Ent ]]))</f>
        <v>2023</v>
      </c>
      <c r="D22" t="str">
        <f>INDEX(Tab_Locataire[],MATCH(Tab_Archive[[#This Row],[Nom_Lot]],Tab_Locataire[Lot_Loc],0),1)</f>
        <v>Martin</v>
      </c>
      <c r="E22" t="str">
        <f>INDEX(Tab_Locataire[],MATCH(Tab_Archive[[#This Row],[Nom_Lot]],Tab_Locataire[Lot_Loc],0),2)</f>
        <v>Robert</v>
      </c>
      <c r="F22" s="5">
        <f>INDEX(Tab_Lot[],MATCH(Tab_Archive[[#This Row],[Nom_Lot]],Tab_Lot[Nom_Lot],0),5)</f>
        <v>235</v>
      </c>
      <c r="G22" s="5">
        <f>INDEX(Tab_Lot[],MATCH(Tab_Archive[[#This Row],[Nom_Lot]],Tab_Lot[Nom_Lot],0),6)</f>
        <v>55</v>
      </c>
      <c r="H22" s="6">
        <f>Tab_Archive[[#This Row],[Loyer]]+Tab_Archive[[#This Row],[Charges]]</f>
        <v>290</v>
      </c>
      <c r="I22" s="6" t="str">
        <f>INDEX(Tab_Locataire[],MATCH(Tab_Archive[[#This Row],[Nom_Lot]],Tab_Locataire[Lot_Loc],0),4)</f>
        <v>BOX1</v>
      </c>
      <c r="J22" s="6">
        <f>INDEX(Tab_Box[],MATCH(Tab_Archive[[#This Row],[Box]],Tab_Box[Num_box],0),3)</f>
        <v>58</v>
      </c>
      <c r="K22" s="6">
        <f>Tab_Archive[[#This Row],[Total_LC]]+Tab_Archive[[#This Row],[Montant_Box]]</f>
        <v>348</v>
      </c>
      <c r="L22" s="6">
        <v>100</v>
      </c>
      <c r="M22" s="6">
        <f>Tab_Archive[[#This Row],[Total_LCB]]-Tab_Archive[[#This Row],[APL]]</f>
        <v>248</v>
      </c>
      <c r="N22" s="1">
        <v>248</v>
      </c>
      <c r="P22" s="6"/>
      <c r="R22" s="6"/>
      <c r="T22" s="6"/>
      <c r="U22" s="6"/>
      <c r="V22" s="6"/>
    </row>
    <row r="23" spans="1:22" x14ac:dyDescent="0.3">
      <c r="A23" s="3" t="s">
        <v>49</v>
      </c>
      <c r="B23" s="3">
        <v>45231</v>
      </c>
      <c r="C23">
        <f>IF(Tab_Archive[[#This Row],[Date_Ent ]]="","",YEAR(Tab_Archive[[#This Row],[Date_Ent ]]))</f>
        <v>2023</v>
      </c>
      <c r="D23" t="str">
        <f>INDEX(Tab_Locataire[],MATCH(Tab_Archive[[#This Row],[Nom_Lot]],Tab_Locataire[Lot_Loc],0),1)</f>
        <v>Dupon</v>
      </c>
      <c r="E23" t="str">
        <f>INDEX(Tab_Locataire[],MATCH(Tab_Archive[[#This Row],[Nom_Lot]],Tab_Locataire[Lot_Loc],0),2)</f>
        <v>Jean</v>
      </c>
      <c r="F23" s="5">
        <f>INDEX(Tab_Lot[],MATCH(Tab_Archive[[#This Row],[Nom_Lot]],Tab_Lot[Nom_Lot],0),5)</f>
        <v>456</v>
      </c>
      <c r="G23" s="5">
        <f>INDEX(Tab_Lot[],MATCH(Tab_Archive[[#This Row],[Nom_Lot]],Tab_Lot[Nom_Lot],0),6)</f>
        <v>88</v>
      </c>
      <c r="H23" s="6">
        <f>Tab_Archive[[#This Row],[Loyer]]+Tab_Archive[[#This Row],[Charges]]</f>
        <v>544</v>
      </c>
      <c r="I23" s="6" t="str">
        <f>INDEX(Tab_Locataire[],MATCH(Tab_Archive[[#This Row],[Nom_Lot]],Tab_Locataire[Lot_Loc],0),4)</f>
        <v>BOX2</v>
      </c>
      <c r="J23" s="6">
        <f>INDEX(Tab_Box[],MATCH(Tab_Archive[[#This Row],[Box]],Tab_Box[Num_box],0),3)</f>
        <v>63</v>
      </c>
      <c r="K23" s="6">
        <f>Tab_Archive[[#This Row],[Total_LC]]+Tab_Archive[[#This Row],[Montant_Box]]</f>
        <v>607</v>
      </c>
      <c r="L23" s="6">
        <v>123</v>
      </c>
      <c r="M23" s="6">
        <f>Tab_Archive[[#This Row],[Total_LCB]]-Tab_Archive[[#This Row],[APL]]</f>
        <v>484</v>
      </c>
      <c r="N23" s="6">
        <v>484</v>
      </c>
      <c r="P23" s="6"/>
      <c r="R23" s="6"/>
      <c r="T23" s="6"/>
      <c r="U23" s="6"/>
      <c r="V23" s="6"/>
    </row>
    <row r="24" spans="1:22" x14ac:dyDescent="0.3">
      <c r="A24" s="3" t="s">
        <v>47</v>
      </c>
      <c r="B24" s="3">
        <v>45261</v>
      </c>
      <c r="C24">
        <f>IF(Tab_Archive[[#This Row],[Date_Ent ]]="","",YEAR(Tab_Archive[[#This Row],[Date_Ent ]]))</f>
        <v>2023</v>
      </c>
      <c r="D24" t="str">
        <f>INDEX(Tab_Locataire[],MATCH(Tab_Archive[[#This Row],[Nom_Lot]],Tab_Locataire[Lot_Loc],0),1)</f>
        <v>Martin</v>
      </c>
      <c r="E24" t="str">
        <f>INDEX(Tab_Locataire[],MATCH(Tab_Archive[[#This Row],[Nom_Lot]],Tab_Locataire[Lot_Loc],0),2)</f>
        <v>Robert</v>
      </c>
      <c r="F24" s="5">
        <f>INDEX(Tab_Lot[],MATCH(Tab_Archive[[#This Row],[Nom_Lot]],Tab_Lot[Nom_Lot],0),5)</f>
        <v>235</v>
      </c>
      <c r="G24" s="5">
        <f>INDEX(Tab_Lot[],MATCH(Tab_Archive[[#This Row],[Nom_Lot]],Tab_Lot[Nom_Lot],0),6)</f>
        <v>55</v>
      </c>
      <c r="H24" s="6">
        <f>Tab_Archive[[#This Row],[Loyer]]+Tab_Archive[[#This Row],[Charges]]</f>
        <v>290</v>
      </c>
      <c r="I24" s="6" t="str">
        <f>INDEX(Tab_Locataire[],MATCH(Tab_Archive[[#This Row],[Nom_Lot]],Tab_Locataire[Lot_Loc],0),4)</f>
        <v>BOX1</v>
      </c>
      <c r="J24" s="6">
        <f>INDEX(Tab_Box[],MATCH(Tab_Archive[[#This Row],[Box]],Tab_Box[Num_box],0),3)</f>
        <v>58</v>
      </c>
      <c r="K24" s="6">
        <f>Tab_Archive[[#This Row],[Total_LC]]+Tab_Archive[[#This Row],[Montant_Box]]</f>
        <v>348</v>
      </c>
      <c r="L24" s="6">
        <v>100</v>
      </c>
      <c r="M24" s="6">
        <f>Tab_Archive[[#This Row],[Total_LCB]]-Tab_Archive[[#This Row],[APL]]</f>
        <v>248</v>
      </c>
      <c r="N24" s="1">
        <v>248</v>
      </c>
      <c r="P24" s="6"/>
      <c r="R24" s="6"/>
      <c r="S24" s="3">
        <v>45289</v>
      </c>
      <c r="T24" s="6">
        <v>235</v>
      </c>
      <c r="U24" s="8">
        <v>45261</v>
      </c>
      <c r="V24" s="6">
        <v>400</v>
      </c>
    </row>
    <row r="25" spans="1:22" x14ac:dyDescent="0.3">
      <c r="A25" s="3" t="s">
        <v>49</v>
      </c>
      <c r="B25" s="3">
        <v>45261</v>
      </c>
      <c r="C25">
        <f>IF(Tab_Archive[[#This Row],[Date_Ent ]]="","",YEAR(Tab_Archive[[#This Row],[Date_Ent ]]))</f>
        <v>2023</v>
      </c>
      <c r="D25" t="str">
        <f>INDEX(Tab_Locataire[],MATCH(Tab_Archive[[#This Row],[Nom_Lot]],Tab_Locataire[Lot_Loc],0),1)</f>
        <v>Dupon</v>
      </c>
      <c r="E25" t="str">
        <f>INDEX(Tab_Locataire[],MATCH(Tab_Archive[[#This Row],[Nom_Lot]],Tab_Locataire[Lot_Loc],0),2)</f>
        <v>Jean</v>
      </c>
      <c r="F25" s="5">
        <f>INDEX(Tab_Lot[],MATCH(Tab_Archive[[#This Row],[Nom_Lot]],Tab_Lot[Nom_Lot],0),5)</f>
        <v>456</v>
      </c>
      <c r="G25" s="5">
        <f>INDEX(Tab_Lot[],MATCH(Tab_Archive[[#This Row],[Nom_Lot]],Tab_Lot[Nom_Lot],0),6)</f>
        <v>88</v>
      </c>
      <c r="H25" s="6">
        <f>Tab_Archive[[#This Row],[Loyer]]+Tab_Archive[[#This Row],[Charges]]</f>
        <v>544</v>
      </c>
      <c r="I25" s="6" t="str">
        <f>INDEX(Tab_Locataire[],MATCH(Tab_Archive[[#This Row],[Nom_Lot]],Tab_Locataire[Lot_Loc],0),4)</f>
        <v>BOX2</v>
      </c>
      <c r="J25" s="6">
        <f>INDEX(Tab_Box[],MATCH(Tab_Archive[[#This Row],[Box]],Tab_Box[Num_box],0),3)</f>
        <v>63</v>
      </c>
      <c r="K25" s="6">
        <f>Tab_Archive[[#This Row],[Total_LC]]+Tab_Archive[[#This Row],[Montant_Box]]</f>
        <v>607</v>
      </c>
      <c r="L25" s="6">
        <v>123</v>
      </c>
      <c r="M25" s="6">
        <f>Tab_Archive[[#This Row],[Total_LCB]]-Tab_Archive[[#This Row],[APL]]</f>
        <v>484</v>
      </c>
      <c r="N25" s="6">
        <v>484</v>
      </c>
      <c r="P25" s="6"/>
      <c r="R25" s="6"/>
      <c r="S25" s="3">
        <v>45285</v>
      </c>
      <c r="T25" s="6">
        <v>456</v>
      </c>
      <c r="U25" s="8">
        <v>45261</v>
      </c>
      <c r="V25" s="6">
        <v>1500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G6"/>
  <sheetViews>
    <sheetView zoomScale="140" zoomScaleNormal="140" workbookViewId="0">
      <selection activeCell="B6" sqref="B6"/>
    </sheetView>
  </sheetViews>
  <sheetFormatPr baseColWidth="10" defaultRowHeight="14.4" x14ac:dyDescent="0.3"/>
  <cols>
    <col min="1" max="7" width="12.5546875" customWidth="1"/>
  </cols>
  <sheetData>
    <row r="1" spans="1:7" x14ac:dyDescent="0.3">
      <c r="A1" t="s">
        <v>0</v>
      </c>
    </row>
    <row r="4" spans="1:7" x14ac:dyDescent="0.3">
      <c r="A4" t="s">
        <v>4</v>
      </c>
      <c r="B4" t="s">
        <v>5</v>
      </c>
      <c r="C4" t="s">
        <v>6</v>
      </c>
      <c r="D4" t="s">
        <v>7</v>
      </c>
      <c r="E4" t="s">
        <v>8</v>
      </c>
      <c r="F4" t="s">
        <v>9</v>
      </c>
      <c r="G4" t="s">
        <v>10</v>
      </c>
    </row>
    <row r="5" spans="1:7" x14ac:dyDescent="0.3">
      <c r="A5" t="s">
        <v>47</v>
      </c>
      <c r="B5" t="s">
        <v>69</v>
      </c>
      <c r="C5" t="s">
        <v>18</v>
      </c>
      <c r="D5" t="s">
        <v>27</v>
      </c>
      <c r="E5" s="1">
        <v>235</v>
      </c>
      <c r="F5" s="1">
        <v>55</v>
      </c>
      <c r="G5" s="1">
        <f>Tab_Lot[[#This Row],[Loyer_Lot]]+Tab_Lot[[#This Row],[Charges_Lot]]</f>
        <v>290</v>
      </c>
    </row>
    <row r="6" spans="1:7" x14ac:dyDescent="0.3">
      <c r="A6" t="s">
        <v>49</v>
      </c>
      <c r="B6" t="s">
        <v>50</v>
      </c>
      <c r="C6" t="s">
        <v>19</v>
      </c>
      <c r="D6" t="s">
        <v>28</v>
      </c>
      <c r="E6" s="1">
        <v>456</v>
      </c>
      <c r="F6" s="1">
        <v>88</v>
      </c>
      <c r="G6" s="1">
        <f>Tab_Lot[[#This Row],[Loyer_Lot]]+Tab_Lot[[#This Row],[Charges_Lot]]</f>
        <v>544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C6"/>
  <sheetViews>
    <sheetView workbookViewId="0">
      <selection activeCell="D28" sqref="D28"/>
    </sheetView>
  </sheetViews>
  <sheetFormatPr baseColWidth="10" defaultRowHeight="14.4" x14ac:dyDescent="0.3"/>
  <sheetData>
    <row r="1" spans="1:3" x14ac:dyDescent="0.3">
      <c r="A1" t="s">
        <v>2</v>
      </c>
    </row>
    <row r="4" spans="1:3" x14ac:dyDescent="0.3">
      <c r="A4" t="s">
        <v>3</v>
      </c>
      <c r="B4" t="s">
        <v>11</v>
      </c>
      <c r="C4" t="s">
        <v>12</v>
      </c>
    </row>
    <row r="5" spans="1:3" x14ac:dyDescent="0.3">
      <c r="A5" t="s">
        <v>51</v>
      </c>
      <c r="B5" t="s">
        <v>69</v>
      </c>
      <c r="C5" s="1">
        <v>58</v>
      </c>
    </row>
    <row r="6" spans="1:3" x14ac:dyDescent="0.3">
      <c r="A6" t="s">
        <v>52</v>
      </c>
      <c r="B6" t="s">
        <v>50</v>
      </c>
      <c r="C6" s="1">
        <v>63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D6"/>
  <sheetViews>
    <sheetView workbookViewId="0">
      <selection activeCell="B6" sqref="B6"/>
    </sheetView>
  </sheetViews>
  <sheetFormatPr baseColWidth="10" defaultRowHeight="14.4" x14ac:dyDescent="0.3"/>
  <sheetData>
    <row r="1" spans="1:4" x14ac:dyDescent="0.3">
      <c r="A1" t="s">
        <v>33</v>
      </c>
    </row>
    <row r="4" spans="1:4" x14ac:dyDescent="0.3">
      <c r="A4" t="s">
        <v>22</v>
      </c>
      <c r="B4" t="s">
        <v>23</v>
      </c>
      <c r="C4" t="s">
        <v>31</v>
      </c>
      <c r="D4" t="s">
        <v>32</v>
      </c>
    </row>
    <row r="5" spans="1:4" x14ac:dyDescent="0.3">
      <c r="A5" t="s">
        <v>67</v>
      </c>
      <c r="B5" t="s">
        <v>68</v>
      </c>
      <c r="C5" t="s">
        <v>47</v>
      </c>
      <c r="D5" t="s">
        <v>51</v>
      </c>
    </row>
    <row r="6" spans="1:4" x14ac:dyDescent="0.3">
      <c r="A6" t="s">
        <v>54</v>
      </c>
      <c r="B6" t="s">
        <v>53</v>
      </c>
      <c r="C6" t="s">
        <v>49</v>
      </c>
      <c r="D6" t="s">
        <v>52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B1:H21"/>
  <sheetViews>
    <sheetView zoomScale="118" zoomScaleNormal="118" workbookViewId="0">
      <selection activeCell="L5" sqref="L5"/>
    </sheetView>
  </sheetViews>
  <sheetFormatPr baseColWidth="10" defaultRowHeight="14.4" x14ac:dyDescent="0.3"/>
  <cols>
    <col min="1" max="1" width="1.44140625" customWidth="1"/>
    <col min="3" max="3" width="1.44140625" customWidth="1"/>
    <col min="4" max="4" width="12.88671875" customWidth="1"/>
    <col min="5" max="5" width="1.44140625" customWidth="1"/>
    <col min="6" max="6" width="11.5546875" customWidth="1"/>
    <col min="7" max="7" width="1.44140625" customWidth="1"/>
    <col min="8" max="8" width="12.5546875" customWidth="1"/>
  </cols>
  <sheetData>
    <row r="1" spans="2:8" ht="25.8" customHeight="1" x14ac:dyDescent="0.3">
      <c r="D1" t="s">
        <v>1</v>
      </c>
    </row>
    <row r="3" spans="2:8" x14ac:dyDescent="0.3">
      <c r="B3" t="s">
        <v>13</v>
      </c>
      <c r="D3" t="s">
        <v>14</v>
      </c>
      <c r="F3" t="s">
        <v>26</v>
      </c>
      <c r="H3" t="s">
        <v>62</v>
      </c>
    </row>
    <row r="4" spans="2:8" x14ac:dyDescent="0.3">
      <c r="B4" t="s">
        <v>15</v>
      </c>
      <c r="D4" t="s">
        <v>20</v>
      </c>
      <c r="F4" t="s">
        <v>27</v>
      </c>
      <c r="H4">
        <v>2023</v>
      </c>
    </row>
    <row r="5" spans="2:8" x14ac:dyDescent="0.3">
      <c r="B5" t="s">
        <v>16</v>
      </c>
      <c r="D5" t="s">
        <v>21</v>
      </c>
      <c r="F5" t="s">
        <v>28</v>
      </c>
      <c r="H5">
        <v>2024</v>
      </c>
    </row>
    <row r="6" spans="2:8" x14ac:dyDescent="0.3">
      <c r="B6" t="s">
        <v>17</v>
      </c>
      <c r="F6" t="s">
        <v>29</v>
      </c>
      <c r="H6">
        <v>2025</v>
      </c>
    </row>
    <row r="7" spans="2:8" x14ac:dyDescent="0.3">
      <c r="B7" t="s">
        <v>18</v>
      </c>
      <c r="F7" t="s">
        <v>30</v>
      </c>
      <c r="H7">
        <v>2026</v>
      </c>
    </row>
    <row r="8" spans="2:8" x14ac:dyDescent="0.3">
      <c r="B8" t="s">
        <v>19</v>
      </c>
      <c r="H8">
        <v>2027</v>
      </c>
    </row>
    <row r="9" spans="2:8" x14ac:dyDescent="0.3">
      <c r="H9">
        <v>2028</v>
      </c>
    </row>
    <row r="10" spans="2:8" x14ac:dyDescent="0.3">
      <c r="H10">
        <v>2029</v>
      </c>
    </row>
    <row r="11" spans="2:8" x14ac:dyDescent="0.3">
      <c r="H11">
        <v>2030</v>
      </c>
    </row>
    <row r="12" spans="2:8" x14ac:dyDescent="0.3">
      <c r="H12">
        <v>2031</v>
      </c>
    </row>
    <row r="13" spans="2:8" x14ac:dyDescent="0.3">
      <c r="H13">
        <v>2032</v>
      </c>
    </row>
    <row r="14" spans="2:8" x14ac:dyDescent="0.3">
      <c r="H14">
        <v>2033</v>
      </c>
    </row>
    <row r="15" spans="2:8" x14ac:dyDescent="0.3">
      <c r="H15">
        <v>2034</v>
      </c>
    </row>
    <row r="16" spans="2:8" x14ac:dyDescent="0.3">
      <c r="H16">
        <v>2035</v>
      </c>
    </row>
    <row r="17" spans="8:8" x14ac:dyDescent="0.3">
      <c r="H17">
        <v>2036</v>
      </c>
    </row>
    <row r="18" spans="8:8" x14ac:dyDescent="0.3">
      <c r="H18">
        <v>2037</v>
      </c>
    </row>
    <row r="19" spans="8:8" x14ac:dyDescent="0.3">
      <c r="H19">
        <v>2038</v>
      </c>
    </row>
    <row r="20" spans="8:8" x14ac:dyDescent="0.3">
      <c r="H20">
        <v>2039</v>
      </c>
    </row>
    <row r="21" spans="8:8" x14ac:dyDescent="0.3">
      <c r="H21">
        <v>2040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Menu</vt:lpstr>
      <vt:lpstr>Recherche</vt:lpstr>
      <vt:lpstr>Archives</vt:lpstr>
      <vt:lpstr>Lots</vt:lpstr>
      <vt:lpstr>Box</vt:lpstr>
      <vt:lpstr>Locataire</vt:lpstr>
      <vt:lpstr>Donnée</vt:lpstr>
      <vt:lpstr>List_annee</vt:lpstr>
      <vt:lpstr>List_Box</vt:lpstr>
      <vt:lpstr>List_Lot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Enzo PUISSANT</dc:creator>
  <cp:lastModifiedBy>Amélie Anouilh</cp:lastModifiedBy>
  <dcterms:created xsi:type="dcterms:W3CDTF">2023-08-05T14:44:19Z</dcterms:created>
  <dcterms:modified xsi:type="dcterms:W3CDTF">2023-10-12T09:36:05Z</dcterms:modified>
</cp:coreProperties>
</file>