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C:\Users\slaoum01\Desktop\"/>
    </mc:Choice>
  </mc:AlternateContent>
  <xr:revisionPtr revIDLastSave="0" documentId="8_{EE520215-55E4-4244-B328-A82F67B4B7BB}" xr6:coauthVersionLast="41" xr6:coauthVersionMax="41" xr10:uidLastSave="{00000000-0000-0000-0000-000000000000}"/>
  <bookViews>
    <workbookView xWindow="-110" yWindow="-110" windowWidth="19420" windowHeight="10420" activeTab="1" xr2:uid="{9E8C3084-4072-47C2-8CC6-0F6745FF5729}"/>
  </bookViews>
  <sheets>
    <sheet name="DONNEES" sheetId="2" r:id="rId1"/>
    <sheet name="PROJECTION" sheetId="3" r:id="rId2"/>
    <sheet name="T°" sheetId="4" r:id="rId3"/>
    <sheet name="Feuil2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" i="5" l="1"/>
  <c r="E6" i="5" s="1"/>
  <c r="G6" i="5" s="1"/>
  <c r="H6" i="5" s="1"/>
  <c r="I6" i="5" s="1"/>
  <c r="D4" i="5"/>
  <c r="D5" i="5"/>
  <c r="D7" i="5"/>
  <c r="E7" i="5" s="1"/>
  <c r="G7" i="5" s="1"/>
  <c r="H7" i="5" s="1"/>
  <c r="I7" i="5" s="1"/>
  <c r="D8" i="5"/>
  <c r="E8" i="5" s="1"/>
  <c r="G8" i="5" s="1"/>
  <c r="H8" i="5" s="1"/>
  <c r="I8" i="5" s="1"/>
  <c r="E5" i="5"/>
  <c r="G5" i="5" s="1"/>
  <c r="H5" i="5" s="1"/>
  <c r="I5" i="5" s="1"/>
  <c r="E4" i="5"/>
  <c r="G4" i="5" s="1"/>
  <c r="H4" i="5" s="1"/>
  <c r="I4" i="5" s="1"/>
  <c r="D3" i="5"/>
  <c r="E3" i="5" s="1"/>
  <c r="G3" i="5" l="1"/>
  <c r="H3" i="5" s="1"/>
  <c r="I3" i="5" s="1"/>
  <c r="E9" i="3"/>
  <c r="F9" i="3" l="1"/>
  <c r="G9" i="3"/>
  <c r="D10" i="3" s="1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9" i="3"/>
  <c r="M12" i="3" l="1"/>
  <c r="M53" i="3"/>
  <c r="M13" i="3"/>
  <c r="M60" i="3"/>
  <c r="M56" i="3"/>
  <c r="M48" i="3"/>
  <c r="M44" i="3"/>
  <c r="M36" i="3"/>
  <c r="M32" i="3"/>
  <c r="M24" i="3"/>
  <c r="M20" i="3"/>
  <c r="M16" i="3"/>
  <c r="M59" i="3"/>
  <c r="M51" i="3"/>
  <c r="M47" i="3"/>
  <c r="M43" i="3"/>
  <c r="M35" i="3"/>
  <c r="M31" i="3"/>
  <c r="M27" i="3"/>
  <c r="M23" i="3"/>
  <c r="M19" i="3"/>
  <c r="M15" i="3"/>
  <c r="M11" i="3"/>
  <c r="M10" i="3"/>
  <c r="M58" i="3"/>
  <c r="M54" i="3"/>
  <c r="M50" i="3"/>
  <c r="M46" i="3"/>
  <c r="M42" i="3"/>
  <c r="M38" i="3"/>
  <c r="M34" i="3"/>
  <c r="M30" i="3"/>
  <c r="M26" i="3"/>
  <c r="M22" i="3"/>
  <c r="M18" i="3"/>
  <c r="M14" i="3"/>
  <c r="M52" i="3"/>
  <c r="M40" i="3"/>
  <c r="M28" i="3"/>
  <c r="M55" i="3"/>
  <c r="M39" i="3"/>
  <c r="M61" i="3"/>
  <c r="M57" i="3"/>
  <c r="M49" i="3"/>
  <c r="M45" i="3"/>
  <c r="M41" i="3"/>
  <c r="M37" i="3"/>
  <c r="M33" i="3"/>
  <c r="M29" i="3"/>
  <c r="M25" i="3"/>
  <c r="M21" i="3"/>
  <c r="M17" i="3"/>
  <c r="H9" i="3"/>
  <c r="E10" i="3"/>
  <c r="G10" i="3" s="1"/>
  <c r="D11" i="3" l="1"/>
  <c r="F11" i="3" s="1"/>
  <c r="F10" i="3"/>
  <c r="E11" i="3" l="1"/>
  <c r="G11" i="3" s="1"/>
  <c r="D12" i="3" s="1"/>
  <c r="E12" i="3" s="1"/>
  <c r="G12" i="3" s="1"/>
  <c r="H10" i="3"/>
  <c r="D13" i="3" l="1"/>
  <c r="F13" i="3" s="1"/>
  <c r="F12" i="3"/>
  <c r="H11" i="3"/>
  <c r="E13" i="3" l="1"/>
  <c r="G13" i="3" s="1"/>
  <c r="H12" i="3"/>
  <c r="D14" i="3" l="1"/>
  <c r="F14" i="3" s="1"/>
  <c r="H13" i="3"/>
  <c r="E14" i="3" l="1"/>
  <c r="G14" i="3" s="1"/>
  <c r="D15" i="3" s="1"/>
  <c r="H14" i="3" l="1"/>
  <c r="F15" i="3"/>
  <c r="E15" i="3"/>
  <c r="G15" i="3" s="1"/>
  <c r="D16" i="3" s="1"/>
  <c r="F16" i="3" l="1"/>
  <c r="E16" i="3"/>
  <c r="G16" i="3" s="1"/>
  <c r="D17" i="3" s="1"/>
  <c r="H15" i="3"/>
  <c r="F17" i="3" l="1"/>
  <c r="E17" i="3"/>
  <c r="G17" i="3" s="1"/>
  <c r="D18" i="3" s="1"/>
  <c r="H16" i="3"/>
  <c r="F18" i="3" l="1"/>
  <c r="E18" i="3"/>
  <c r="G18" i="3" s="1"/>
  <c r="D19" i="3" s="1"/>
  <c r="H17" i="3"/>
  <c r="E19" i="3" l="1"/>
  <c r="G19" i="3" s="1"/>
  <c r="D20" i="3" s="1"/>
  <c r="F19" i="3"/>
  <c r="H18" i="3"/>
  <c r="H19" i="3" l="1"/>
  <c r="F20" i="3"/>
  <c r="E20" i="3"/>
  <c r="G20" i="3" s="1"/>
  <c r="D21" i="3" s="1"/>
  <c r="F21" i="3" l="1"/>
  <c r="E21" i="3"/>
  <c r="G21" i="3" s="1"/>
  <c r="D22" i="3" s="1"/>
  <c r="H20" i="3"/>
  <c r="F22" i="3" l="1"/>
  <c r="E22" i="3"/>
  <c r="G22" i="3" s="1"/>
  <c r="D23" i="3" s="1"/>
  <c r="H21" i="3"/>
  <c r="F23" i="3" l="1"/>
  <c r="E23" i="3"/>
  <c r="G23" i="3" s="1"/>
  <c r="D24" i="3" s="1"/>
  <c r="H22" i="3"/>
  <c r="E24" i="3" l="1"/>
  <c r="G24" i="3" s="1"/>
  <c r="D25" i="3" s="1"/>
  <c r="F24" i="3"/>
  <c r="H23" i="3"/>
  <c r="H24" i="3" l="1"/>
  <c r="F25" i="3"/>
  <c r="E25" i="3"/>
  <c r="G25" i="3" s="1"/>
  <c r="D26" i="3" s="1"/>
  <c r="H25" i="3" l="1"/>
  <c r="F26" i="3"/>
  <c r="E26" i="3"/>
  <c r="G26" i="3" s="1"/>
  <c r="D27" i="3" s="1"/>
  <c r="F27" i="3" l="1"/>
  <c r="E27" i="3"/>
  <c r="G27" i="3" s="1"/>
  <c r="D28" i="3" s="1"/>
  <c r="H26" i="3"/>
  <c r="E28" i="3" l="1"/>
  <c r="G28" i="3" s="1"/>
  <c r="D29" i="3" s="1"/>
  <c r="F28" i="3"/>
  <c r="H28" i="3" s="1"/>
  <c r="H27" i="3"/>
  <c r="F29" i="3" l="1"/>
  <c r="E29" i="3"/>
  <c r="G29" i="3" s="1"/>
  <c r="D30" i="3" s="1"/>
  <c r="H29" i="3" l="1"/>
  <c r="F30" i="3"/>
  <c r="E30" i="3"/>
  <c r="G30" i="3" s="1"/>
  <c r="D31" i="3" s="1"/>
  <c r="F31" i="3" l="1"/>
  <c r="E31" i="3"/>
  <c r="G31" i="3" s="1"/>
  <c r="D32" i="3" s="1"/>
  <c r="H30" i="3"/>
  <c r="F32" i="3" l="1"/>
  <c r="E32" i="3"/>
  <c r="G32" i="3" s="1"/>
  <c r="D33" i="3" s="1"/>
  <c r="H31" i="3"/>
  <c r="E33" i="3" l="1"/>
  <c r="G33" i="3" s="1"/>
  <c r="D34" i="3" s="1"/>
  <c r="F33" i="3"/>
  <c r="H32" i="3"/>
  <c r="H33" i="3" l="1"/>
  <c r="F34" i="3"/>
  <c r="E34" i="3"/>
  <c r="G34" i="3" s="1"/>
  <c r="D35" i="3" s="1"/>
  <c r="F35" i="3" l="1"/>
  <c r="E35" i="3"/>
  <c r="G35" i="3" s="1"/>
  <c r="D36" i="3" s="1"/>
  <c r="H34" i="3"/>
  <c r="F36" i="3" l="1"/>
  <c r="E36" i="3"/>
  <c r="G36" i="3" s="1"/>
  <c r="D37" i="3" s="1"/>
  <c r="H35" i="3"/>
  <c r="H36" i="3" l="1"/>
  <c r="F37" i="3"/>
  <c r="E37" i="3"/>
  <c r="G37" i="3" s="1"/>
  <c r="D38" i="3" s="1"/>
  <c r="E38" i="3" l="1"/>
  <c r="G38" i="3" s="1"/>
  <c r="D39" i="3" s="1"/>
  <c r="F38" i="3"/>
  <c r="H37" i="3"/>
  <c r="H38" i="3" l="1"/>
  <c r="F39" i="3"/>
  <c r="E39" i="3"/>
  <c r="G39" i="3" s="1"/>
  <c r="D40" i="3" s="1"/>
  <c r="H39" i="3" l="1"/>
  <c r="F40" i="3"/>
  <c r="E40" i="3"/>
  <c r="G40" i="3" s="1"/>
  <c r="D41" i="3" s="1"/>
  <c r="F41" i="3" l="1"/>
  <c r="E41" i="3"/>
  <c r="G41" i="3" s="1"/>
  <c r="D42" i="3" s="1"/>
  <c r="H40" i="3"/>
  <c r="E42" i="3" l="1"/>
  <c r="G42" i="3" s="1"/>
  <c r="D43" i="3" s="1"/>
  <c r="F42" i="3"/>
  <c r="H41" i="3"/>
  <c r="H42" i="3" l="1"/>
  <c r="F43" i="3"/>
  <c r="E43" i="3"/>
  <c r="G43" i="3" s="1"/>
  <c r="D44" i="3" s="1"/>
  <c r="F44" i="3" l="1"/>
  <c r="E44" i="3"/>
  <c r="G44" i="3" s="1"/>
  <c r="D45" i="3" s="1"/>
  <c r="H43" i="3"/>
  <c r="H44" i="3" l="1"/>
  <c r="E45" i="3"/>
  <c r="G45" i="3" s="1"/>
  <c r="D46" i="3" s="1"/>
  <c r="F45" i="3"/>
  <c r="H45" i="3" l="1"/>
  <c r="F46" i="3"/>
  <c r="E46" i="3"/>
  <c r="G46" i="3" s="1"/>
  <c r="D47" i="3" s="1"/>
  <c r="F47" i="3" l="1"/>
  <c r="E47" i="3"/>
  <c r="G47" i="3" s="1"/>
  <c r="D48" i="3" s="1"/>
  <c r="H46" i="3"/>
  <c r="H47" i="3" l="1"/>
  <c r="F48" i="3"/>
  <c r="E48" i="3"/>
  <c r="G48" i="3" s="1"/>
  <c r="D49" i="3" s="1"/>
  <c r="F49" i="3" l="1"/>
  <c r="E49" i="3"/>
  <c r="G49" i="3" s="1"/>
  <c r="D50" i="3" s="1"/>
  <c r="H48" i="3"/>
  <c r="H49" i="3" l="1"/>
  <c r="F50" i="3"/>
  <c r="E50" i="3"/>
  <c r="G50" i="3" s="1"/>
  <c r="D51" i="3" s="1"/>
  <c r="F51" i="3" l="1"/>
  <c r="E51" i="3"/>
  <c r="G51" i="3" s="1"/>
  <c r="D52" i="3" s="1"/>
  <c r="H50" i="3"/>
  <c r="E52" i="3" l="1"/>
  <c r="G52" i="3" s="1"/>
  <c r="D53" i="3" s="1"/>
  <c r="F52" i="3"/>
  <c r="H51" i="3"/>
  <c r="H52" i="3" l="1"/>
  <c r="F53" i="3"/>
  <c r="E53" i="3"/>
  <c r="G53" i="3" s="1"/>
  <c r="D54" i="3" s="1"/>
  <c r="F54" i="3" l="1"/>
  <c r="E54" i="3"/>
  <c r="G54" i="3" s="1"/>
  <c r="H53" i="3"/>
  <c r="H54" i="3" l="1"/>
</calcChain>
</file>

<file path=xl/sharedStrings.xml><?xml version="1.0" encoding="utf-8"?>
<sst xmlns="http://schemas.openxmlformats.org/spreadsheetml/2006/main" count="49" uniqueCount="45">
  <si>
    <t>Coopérative</t>
  </si>
  <si>
    <t xml:space="preserve">Semaine  </t>
  </si>
  <si>
    <t>Date</t>
  </si>
  <si>
    <t>Aboncourt</t>
  </si>
  <si>
    <t>Bozieux</t>
  </si>
  <si>
    <t>Trévillers</t>
  </si>
  <si>
    <t>LISTES DEROULANTES:</t>
  </si>
  <si>
    <t>COOP:</t>
  </si>
  <si>
    <t>Les Plains</t>
  </si>
  <si>
    <t>Lavigney</t>
  </si>
  <si>
    <t>ORDRE DES CAVES:</t>
  </si>
  <si>
    <t>CAPACITE DES CAVES:</t>
  </si>
  <si>
    <t>Places dispo instant t1</t>
  </si>
  <si>
    <t>Places restantes</t>
  </si>
  <si>
    <t>N° de Cave</t>
  </si>
  <si>
    <t>données à saisir manuellement</t>
  </si>
  <si>
    <t>Nb place max</t>
  </si>
  <si>
    <t>% de places restantes</t>
  </si>
  <si>
    <t>Cumul à la semaine</t>
  </si>
  <si>
    <t>N° de semaine</t>
  </si>
  <si>
    <t>Total</t>
  </si>
  <si>
    <t>Nbre de meule</t>
  </si>
  <si>
    <t>insérer fichier indications changement  température</t>
  </si>
  <si>
    <t xml:space="preserve">par exemple: </t>
  </si>
  <si>
    <t>température de 10/12°C: remplissage +28 jours préaffinage</t>
  </si>
  <si>
    <t>16°C: + 4 jours (montée de 1°C par jour) + 40 jours (refroidissement)</t>
  </si>
  <si>
    <t>plus 6 jours de descente de température</t>
  </si>
  <si>
    <t>et donc la on obtient la date de la 1ère sortie et de la 1ere entrée en cave</t>
  </si>
  <si>
    <t>Cave</t>
  </si>
  <si>
    <t xml:space="preserve">Fin remplissage </t>
  </si>
  <si>
    <t>date de fin de remplissage/passage à la cave suivante</t>
  </si>
  <si>
    <t>n° de cave, après passage à une autre</t>
  </si>
  <si>
    <t>J</t>
  </si>
  <si>
    <t>28 jours</t>
  </si>
  <si>
    <t>montée à 16°C</t>
  </si>
  <si>
    <t>plus 4 jours (1°/jour)</t>
  </si>
  <si>
    <t>Plus 40 jours pour le refroidissement</t>
  </si>
  <si>
    <t>descente °C</t>
  </si>
  <si>
    <t>plus 6 jours</t>
  </si>
  <si>
    <t>Nbre de J</t>
  </si>
  <si>
    <t>Montée °C</t>
  </si>
  <si>
    <t>arrivée à 16°C</t>
  </si>
  <si>
    <t>N° de cave</t>
  </si>
  <si>
    <t>fin remplissage</t>
  </si>
  <si>
    <t>Fin    Refroidissement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</si>
</sst>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%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theme="4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54">
    <xf numFmtId="0" fontId="0" fillId="0" borderId="0" xfId="0"/>
    <xf numFmtId="0" fontId="1" fillId="4" borderId="0" xfId="0" applyFont="1" applyFill="1" applyBorder="1"/>
    <xf numFmtId="0" fontId="0" fillId="4" borderId="0" xfId="0" applyFont="1" applyFill="1" applyBorder="1"/>
    <xf numFmtId="1" fontId="0" fillId="4" borderId="0" xfId="0" applyNumberFormat="1" applyFont="1" applyFill="1" applyBorder="1"/>
    <xf numFmtId="1" fontId="2" fillId="4" borderId="0" xfId="0" applyNumberFormat="1" applyFont="1" applyFill="1" applyBorder="1" applyAlignment="1">
      <alignment horizontal="left"/>
    </xf>
    <xf numFmtId="0" fontId="2" fillId="4" borderId="0" xfId="0" applyFont="1" applyFill="1" applyBorder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4" fontId="0" fillId="6" borderId="1" xfId="0" applyNumberFormat="1" applyFont="1" applyFill="1" applyBorder="1" applyAlignment="1">
      <alignment horizontal="center" vertical="center"/>
    </xf>
    <xf numFmtId="14" fontId="0" fillId="4" borderId="0" xfId="0" applyNumberFormat="1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1" fontId="0" fillId="4" borderId="0" xfId="0" applyNumberFormat="1" applyFont="1" applyFill="1" applyBorder="1" applyAlignment="1">
      <alignment horizontal="center" vertical="center"/>
    </xf>
    <xf numFmtId="164" fontId="0" fillId="4" borderId="0" xfId="1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164" fontId="0" fillId="4" borderId="0" xfId="1" applyNumberFormat="1" applyFont="1" applyFill="1" applyAlignment="1">
      <alignment horizontal="center"/>
    </xf>
    <xf numFmtId="14" fontId="0" fillId="4" borderId="0" xfId="0" applyNumberFormat="1" applyFill="1" applyAlignment="1">
      <alignment horizontal="center"/>
    </xf>
    <xf numFmtId="14" fontId="0" fillId="5" borderId="2" xfId="0" applyNumberForma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4" fontId="0" fillId="5" borderId="0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8" borderId="1" xfId="0" applyFont="1" applyFill="1" applyBorder="1"/>
    <xf numFmtId="0" fontId="0" fillId="3" borderId="1" xfId="0" applyNumberFormat="1" applyFont="1" applyFill="1" applyBorder="1"/>
    <xf numFmtId="1" fontId="2" fillId="9" borderId="1" xfId="0" applyNumberFormat="1" applyFont="1" applyFill="1" applyBorder="1"/>
    <xf numFmtId="1" fontId="0" fillId="7" borderId="1" xfId="0" applyNumberFormat="1" applyFont="1" applyFill="1" applyBorder="1" applyAlignment="1">
      <alignment horizontal="center" vertical="center"/>
    </xf>
    <xf numFmtId="0" fontId="2" fillId="10" borderId="1" xfId="0" applyFont="1" applyFill="1" applyBorder="1"/>
    <xf numFmtId="0" fontId="0" fillId="2" borderId="1" xfId="0" applyFont="1" applyFill="1" applyBorder="1"/>
    <xf numFmtId="0" fontId="6" fillId="4" borderId="0" xfId="0" applyFont="1" applyFill="1" applyBorder="1"/>
    <xf numFmtId="10" fontId="0" fillId="0" borderId="1" xfId="1" applyNumberFormat="1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7" fillId="11" borderId="8" xfId="0" applyFont="1" applyFill="1" applyBorder="1" applyAlignment="1">
      <alignment horizontal="center" vertical="center" wrapText="1"/>
    </xf>
    <xf numFmtId="0" fontId="7" fillId="11" borderId="9" xfId="0" applyFont="1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NumberFormat="1" applyFill="1" applyBorder="1" applyAlignment="1">
      <alignment horizontal="center" vertical="center"/>
    </xf>
    <xf numFmtId="0" fontId="0" fillId="4" borderId="14" xfId="0" applyNumberFormat="1" applyFill="1" applyBorder="1" applyAlignment="1">
      <alignment horizontal="center" vertical="center"/>
    </xf>
    <xf numFmtId="0" fontId="0" fillId="4" borderId="15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7" fillId="11" borderId="6" xfId="0" applyFont="1" applyFill="1" applyBorder="1" applyAlignment="1">
      <alignment horizontal="center" vertical="center" wrapText="1"/>
    </xf>
    <xf numFmtId="0" fontId="7" fillId="11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21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7" tint="-0.24994659260841701"/>
        </patternFill>
      </fill>
    </dxf>
  </dxfs>
  <tableStyles count="2" defaultTableStyle="TableStyleMedium2" defaultPivotStyle="PivotStyleLight16">
    <tableStyle name="Style de tableau 1" pivot="0" count="0" xr9:uid="{5D0A39AF-677C-4A2D-B95D-198ED62B2485}"/>
    <tableStyle name="Style de tableau 2" pivot="0" count="1" xr9:uid="{0BD5DCA2-BE43-41A6-96B3-7EAED712D1C6}">
      <tableStyleElement type="totalRow" dxfId="2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771073</xdr:colOff>
      <xdr:row>0</xdr:row>
      <xdr:rowOff>90714</xdr:rowOff>
    </xdr:from>
    <xdr:ext cx="9147654" cy="843757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6EB51DC-936A-40AE-82EC-9F8CAF943BC1}"/>
            </a:ext>
          </a:extLst>
        </xdr:cNvPr>
        <xdr:cNvSpPr/>
      </xdr:nvSpPr>
      <xdr:spPr>
        <a:xfrm>
          <a:off x="3383644" y="90714"/>
          <a:ext cx="9147654" cy="84375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4800" b="1" u="sng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PROJECTION PLACES GRUYERES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219075</xdr:colOff>
      <xdr:row>1</xdr:row>
      <xdr:rowOff>219075</xdr:rowOff>
    </xdr:from>
    <xdr:to>
      <xdr:col>16</xdr:col>
      <xdr:colOff>76200</xdr:colOff>
      <xdr:row>12</xdr:row>
      <xdr:rowOff>60325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C466E13-0606-4C2C-B3AC-EFAD71A00036}"/>
            </a:ext>
          </a:extLst>
        </xdr:cNvPr>
        <xdr:cNvSpPr txBox="1"/>
      </xdr:nvSpPr>
      <xdr:spPr>
        <a:xfrm>
          <a:off x="10334625" y="409575"/>
          <a:ext cx="2905125" cy="218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insérer  indications changement  température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exemple: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température de 10/12°C: remplissage +28 jours préaffinage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16°C: + 4 jours (montée de 1°C par jour) + 40 jours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(refroidissement)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plus 6 jours de descente de température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donc la on obtient: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date de la 1ère sortie et de la 1ere entrée en cave</a:t>
          </a:r>
          <a:r>
            <a:rPr lang="fr-FR" b="1"/>
            <a:t> 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9C19A5-4ED9-49C1-8599-848312493CD7}" name="Tableau1" displayName="Tableau1" ref="B8:J54" totalsRowShown="0" headerRowDxfId="19" dataDxfId="17" headerRowBorderDxfId="18" tableBorderDxfId="16" totalsRowBorderDxfId="15">
  <autoFilter ref="B8:J54" xr:uid="{6BC649B3-4EA1-41BD-AE02-FE49241ABC50}"/>
  <tableColumns count="9">
    <tableColumn id="1" xr3:uid="{8359F92D-9927-4FCC-9423-F37C811FCF26}" name="Semaine  " dataDxfId="14">
      <calculatedColumnFormula>IF(Tableau1[[#This Row],[Date]]="","",_xlfn.ISOWEEKNUM(C9))</calculatedColumnFormula>
    </tableColumn>
    <tableColumn id="2" xr3:uid="{85AFD335-7A72-4AB6-BF41-6441CB1EE271}" name="Date" dataDxfId="13"/>
    <tableColumn id="3" xr3:uid="{D8311906-79F4-445F-9E0F-9FCEC4BE5991}" name="N° de Cave" dataDxfId="12">
      <calculatedColumnFormula array="1">IF(G8-#REF!&lt;0,INDEX(DONNEES!E3:$E$13,MATCH(PROJECTION!D8,DONNEES!E3:$E$13,0)+1),D8)</calculatedColumnFormula>
    </tableColumn>
    <tableColumn id="4" xr3:uid="{ADDCD077-0B99-4B47-9AB9-51BC8661AB01}" name="Places restantes" dataDxfId="11">
      <calculatedColumnFormula>IF($D9&lt;&gt;$D8,VLOOKUP($D9,DONNEES!$E$5:$F$12,2,0)+IF(G8&lt;J9,E8,0)-SUM(J8),E8-J8)</calculatedColumnFormula>
    </tableColumn>
    <tableColumn id="9" xr3:uid="{ED0AFD49-C9EF-4BE5-A7AB-8AF705750DCB}" name="Nb place max" dataDxfId="10">
      <calculatedColumnFormula>VLOOKUP(Tableau1[[#This Row],[N° de Cave]],DONNEES!$E$5:$F$12,2,0)</calculatedColumnFormula>
    </tableColumn>
    <tableColumn id="5" xr3:uid="{187F7039-5668-4585-BE94-027FF47194EB}" name="Places dispo instant t1" dataDxfId="9">
      <calculatedColumnFormula>E9-J9</calculatedColumnFormula>
    </tableColumn>
    <tableColumn id="6" xr3:uid="{EE3C5EA3-739E-440C-8741-0C8D98F2ED03}" name="% de places restantes" dataDxfId="8" dataCellStyle="Pourcentage">
      <calculatedColumnFormula>(G9/F9)</calculatedColumnFormula>
    </tableColumn>
    <tableColumn id="7" xr3:uid="{E1ED2972-FF6C-438D-9575-340E10E79BAB}" name="Coopérative" dataDxfId="7"/>
    <tableColumn id="10" xr3:uid="{4CB0DE77-6305-47C9-AC61-1DB163CC6170}" name="Nbre de meule" dataDxfId="6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81B5179-41BB-448A-94F8-35BAEAD4158B}" name="Tableau2" displayName="Tableau2" ref="B2:I9" totalsRowCount="1" headerRowDxfId="5">
  <autoFilter ref="B2:I8" xr:uid="{7461CBED-5CAA-4109-8DCD-BA03CE12D150}"/>
  <tableColumns count="8">
    <tableColumn id="1" xr3:uid="{E875F582-A778-40CA-B211-E55CB11622A3}" name="Cave"/>
    <tableColumn id="3" xr3:uid="{BE20CD3F-7E93-4C42-AA93-C98D3E798C5A}" name="Fin remplissage "/>
    <tableColumn id="2" xr3:uid="{E524C85C-0B46-4C28-9FA2-ABF95A346E00}" name="N° de cave" dataDxfId="4">
      <calculatedColumnFormula>INDEX(Tableau1[N° de Cave],MATCH(MAX(Tableau1[Date]),Tableau1[Date],0)-1)</calculatedColumnFormula>
    </tableColumn>
    <tableColumn id="7" xr3:uid="{01068B3B-F70D-4176-A0B9-07A776E408E8}" name="fin remplissage" dataDxfId="3">
      <calculatedColumnFormula>IFERROR(INDEX(Tableau1[Date],MATCH(Tableau2[[#This Row],[N° de cave]],Tableau1[N° de Cave],0)+1),"")</calculatedColumnFormula>
    </tableColumn>
    <tableColumn id="4" xr3:uid="{0C4B514D-53E9-4C77-9814-40297622985B}" name="Nbre de J"/>
    <tableColumn id="5" xr3:uid="{D8D51EE2-77FF-4E07-A2C6-02587FA09D45}" name="Montée °C" dataDxfId="2">
      <calculatedColumnFormula>Tableau2[[#This Row],[fin remplissage]]+Tableau2[[#This Row],[Nbre de J]]</calculatedColumnFormula>
    </tableColumn>
    <tableColumn id="6" xr3:uid="{67E5FD21-6F79-4581-9680-C99B49BA7500}" name="arrivée à 16°C" dataDxfId="1">
      <calculatedColumnFormula>Tableau2[[#This Row],[Montée °C]]+4</calculatedColumnFormula>
    </tableColumn>
    <tableColumn id="8" xr3:uid="{3C434861-2EA7-4124-9630-402923E8F84E}" name="Fin    Refroidissement" dataDxfId="0">
      <calculatedColumnFormula>Tableau2[[#This Row],[arrivée à 16°C]]+40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F09A-A42E-4F8F-91CE-243B5C6254F3}">
  <sheetPr>
    <tabColor theme="7" tint="0.39997558519241921"/>
  </sheetPr>
  <dimension ref="B2:F13"/>
  <sheetViews>
    <sheetView workbookViewId="0">
      <selection activeCell="F13" sqref="F13"/>
    </sheetView>
  </sheetViews>
  <sheetFormatPr baseColWidth="10" defaultColWidth="10.81640625" defaultRowHeight="14.5" x14ac:dyDescent="0.35"/>
  <cols>
    <col min="1" max="4" width="10.81640625" style="2"/>
    <col min="5" max="5" width="16.7265625" style="3" bestFit="1" customWidth="1"/>
    <col min="6" max="6" width="19.1796875" style="2" bestFit="1" customWidth="1"/>
    <col min="7" max="16384" width="10.81640625" style="2"/>
  </cols>
  <sheetData>
    <row r="2" spans="2:6" ht="18.5" x14ac:dyDescent="0.45">
      <c r="B2" s="33" t="s">
        <v>6</v>
      </c>
    </row>
    <row r="3" spans="2:6" x14ac:dyDescent="0.35">
      <c r="B3" s="1"/>
      <c r="D3" s="4"/>
      <c r="F3" s="5"/>
    </row>
    <row r="4" spans="2:6" x14ac:dyDescent="0.35">
      <c r="B4" s="27" t="s">
        <v>7</v>
      </c>
      <c r="E4" s="29" t="s">
        <v>10</v>
      </c>
      <c r="F4" s="31" t="s">
        <v>11</v>
      </c>
    </row>
    <row r="5" spans="2:6" x14ac:dyDescent="0.35">
      <c r="B5" s="28" t="s">
        <v>3</v>
      </c>
      <c r="E5" s="30">
        <v>29</v>
      </c>
      <c r="F5" s="32">
        <v>1728</v>
      </c>
    </row>
    <row r="6" spans="2:6" x14ac:dyDescent="0.35">
      <c r="B6" s="28" t="s">
        <v>4</v>
      </c>
      <c r="E6" s="30">
        <v>31</v>
      </c>
      <c r="F6" s="32">
        <v>1728</v>
      </c>
    </row>
    <row r="7" spans="2:6" x14ac:dyDescent="0.35">
      <c r="B7" s="28" t="s">
        <v>5</v>
      </c>
      <c r="E7" s="30">
        <v>51</v>
      </c>
      <c r="F7" s="32">
        <v>1824</v>
      </c>
    </row>
    <row r="8" spans="2:6" x14ac:dyDescent="0.35">
      <c r="B8" s="28" t="s">
        <v>8</v>
      </c>
      <c r="E8" s="30">
        <v>49</v>
      </c>
      <c r="F8" s="32">
        <v>1824</v>
      </c>
    </row>
    <row r="9" spans="2:6" x14ac:dyDescent="0.35">
      <c r="B9" s="28" t="s">
        <v>9</v>
      </c>
      <c r="E9" s="30">
        <v>53</v>
      </c>
      <c r="F9" s="32">
        <v>2108</v>
      </c>
    </row>
    <row r="10" spans="2:6" x14ac:dyDescent="0.35">
      <c r="E10" s="30">
        <v>57</v>
      </c>
      <c r="F10" s="32">
        <v>2108</v>
      </c>
    </row>
    <row r="11" spans="2:6" x14ac:dyDescent="0.35">
      <c r="E11" s="30">
        <v>55</v>
      </c>
      <c r="F11" s="32">
        <v>2108</v>
      </c>
    </row>
    <row r="12" spans="2:6" x14ac:dyDescent="0.35">
      <c r="E12" s="30">
        <v>59</v>
      </c>
      <c r="F12" s="32">
        <v>2108</v>
      </c>
    </row>
    <row r="13" spans="2:6" x14ac:dyDescent="0.35">
      <c r="E13" s="30">
        <v>29</v>
      </c>
      <c r="F13" s="32">
        <v>1728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C011A-A9E7-42EA-8023-63896E461F04}">
  <sheetPr>
    <tabColor theme="8" tint="0.59999389629810485"/>
  </sheetPr>
  <dimension ref="B3:M67"/>
  <sheetViews>
    <sheetView tabSelected="1" topLeftCell="B1" zoomScale="95" zoomScaleNormal="95" workbookViewId="0">
      <selection activeCell="J13" sqref="J13"/>
    </sheetView>
  </sheetViews>
  <sheetFormatPr baseColWidth="10" defaultColWidth="18.54296875" defaultRowHeight="14.5" outlineLevelCol="1" x14ac:dyDescent="0.35"/>
  <cols>
    <col min="1" max="1" width="18.54296875" style="14"/>
    <col min="2" max="2" width="18.54296875" style="14" customWidth="1"/>
    <col min="3" max="3" width="18.54296875" style="16"/>
    <col min="4" max="4" width="18.54296875" style="14"/>
    <col min="5" max="5" width="18.54296875" style="14" customWidth="1"/>
    <col min="6" max="7" width="18.54296875" style="14" customWidth="1" outlineLevel="1"/>
    <col min="8" max="8" width="27.453125" style="15" customWidth="1"/>
    <col min="9" max="11" width="18.54296875" style="14"/>
    <col min="12" max="12" width="18.54296875" style="38"/>
    <col min="13" max="13" width="18.54296875" style="37"/>
    <col min="14" max="16384" width="18.54296875" style="14"/>
  </cols>
  <sheetData>
    <row r="3" spans="2:13" x14ac:dyDescent="0.35">
      <c r="L3" s="21"/>
      <c r="M3" s="37" t="s">
        <v>15</v>
      </c>
    </row>
    <row r="7" spans="2:13" ht="15" thickBot="1" x14ac:dyDescent="0.4"/>
    <row r="8" spans="2:13" s="22" customFormat="1" ht="35.15" customHeight="1" thickBot="1" x14ac:dyDescent="0.4">
      <c r="B8" s="23" t="s">
        <v>1</v>
      </c>
      <c r="C8" s="24" t="s">
        <v>2</v>
      </c>
      <c r="D8" s="25" t="s">
        <v>14</v>
      </c>
      <c r="E8" s="25" t="s">
        <v>13</v>
      </c>
      <c r="F8" s="25" t="s">
        <v>16</v>
      </c>
      <c r="G8" s="25" t="s">
        <v>12</v>
      </c>
      <c r="H8" s="25" t="s">
        <v>17</v>
      </c>
      <c r="I8" s="26" t="s">
        <v>0</v>
      </c>
      <c r="J8" s="25" t="s">
        <v>21</v>
      </c>
      <c r="L8" s="52" t="s">
        <v>18</v>
      </c>
      <c r="M8" s="53"/>
    </row>
    <row r="9" spans="2:13" ht="14.5" customHeight="1" thickBot="1" x14ac:dyDescent="0.4">
      <c r="B9" s="18">
        <f>IF(Tableau1[[#This Row],[Date]]="","",_xlfn.ISOWEEKNUM(C9))</f>
        <v>3</v>
      </c>
      <c r="C9" s="8">
        <v>44580</v>
      </c>
      <c r="D9" s="19">
        <v>29</v>
      </c>
      <c r="E9" s="20">
        <f>IF($D9&lt;&gt;$D8,VLOOKUP($D9,DONNEES!$E$5:$F$12,2,0)+IF(G8&lt;J9,E8,0)-SUM(J8),E8-J8)</f>
        <v>1728</v>
      </c>
      <c r="F9" s="20">
        <f>VLOOKUP(Tableau1[[#This Row],[N° de Cave]],DONNEES!$E$5:$F$12,2,0)</f>
        <v>1728</v>
      </c>
      <c r="G9" s="20">
        <f>E9-J9</f>
        <v>1319</v>
      </c>
      <c r="H9" s="34">
        <f>(G9/F9)</f>
        <v>0.76331018518518523</v>
      </c>
      <c r="I9" s="6" t="s">
        <v>4</v>
      </c>
      <c r="J9" s="35">
        <v>409</v>
      </c>
      <c r="L9" s="39" t="s">
        <v>19</v>
      </c>
      <c r="M9" s="40" t="s">
        <v>20</v>
      </c>
    </row>
    <row r="10" spans="2:13" x14ac:dyDescent="0.35">
      <c r="B10" s="18">
        <f>IF(Tableau1[[#This Row],[Date]]="","",_xlfn.ISOWEEKNUM(C10))</f>
        <v>3</v>
      </c>
      <c r="C10" s="8">
        <v>44581</v>
      </c>
      <c r="D10" s="19">
        <f>IF(G9-J10&lt;0,INDEX(DONNEES!$E$5:$E$393,MATCH(PROJECTION!D9,DONNEES!$E$5:$E$12,0)+1),D9)</f>
        <v>31</v>
      </c>
      <c r="E10" s="20">
        <f>IF($D10&lt;&gt;$D9,VLOOKUP($D10,DONNEES!$E$5:$F$12,2,0)+IF(G9&lt;J10,E9,0)-SUM(J9),E9-J9)</f>
        <v>3047</v>
      </c>
      <c r="F10" s="20">
        <f>VLOOKUP(Tableau1[[#This Row],[N° de Cave]],DONNEES!$E$5:$F$12,2,0)</f>
        <v>1728</v>
      </c>
      <c r="G10" s="20">
        <f t="shared" ref="G10:G54" si="0">E10-J10</f>
        <v>1647</v>
      </c>
      <c r="H10" s="34">
        <f t="shared" ref="H10:H13" si="1">(G10/F10)</f>
        <v>0.953125</v>
      </c>
      <c r="I10" s="6" t="s">
        <v>4</v>
      </c>
      <c r="J10" s="35">
        <v>1400</v>
      </c>
      <c r="L10" s="41">
        <v>1</v>
      </c>
      <c r="M10" s="44">
        <f>SUMIF(Tableau1[[Semaine  ]],L10,Tableau1[Nbre de meule])</f>
        <v>0</v>
      </c>
    </row>
    <row r="11" spans="2:13" x14ac:dyDescent="0.35">
      <c r="B11" s="18">
        <f>IF(Tableau1[[#This Row],[Date]]="","",_xlfn.ISOWEEKNUM(C11))</f>
        <v>8</v>
      </c>
      <c r="C11" s="9">
        <v>44617</v>
      </c>
      <c r="D11" s="19">
        <f>IF(G10-J11&lt;0,INDEX(DONNEES!$E$5:$E$393,MATCH(PROJECTION!D10,DONNEES!$E$5:$E$12,0)+1),D10)</f>
        <v>51</v>
      </c>
      <c r="E11" s="20">
        <f>IF($D11&lt;&gt;$D10,VLOOKUP($D11,DONNEES!$E$5:$F$12,2,0)+IF(G10&lt;J11,E10,0)-SUM(J10),E10-J10)</f>
        <v>3471</v>
      </c>
      <c r="F11" s="20">
        <f>VLOOKUP(Tableau1[[#This Row],[N° de Cave]],DONNEES!$E$5:$F$12,2,0)</f>
        <v>1824</v>
      </c>
      <c r="G11" s="20">
        <f t="shared" si="0"/>
        <v>1471</v>
      </c>
      <c r="H11" s="34">
        <f t="shared" si="1"/>
        <v>0.80646929824561409</v>
      </c>
      <c r="I11" s="6"/>
      <c r="J11" s="35">
        <v>2000</v>
      </c>
      <c r="L11" s="42">
        <v>2</v>
      </c>
      <c r="M11" s="45">
        <f>SUMIF(Tableau1[[Semaine  ]],L11,Tableau1[Nbre de meule])</f>
        <v>0</v>
      </c>
    </row>
    <row r="12" spans="2:13" x14ac:dyDescent="0.35">
      <c r="B12" s="18" t="str">
        <f>IF(Tableau1[[#This Row],[Date]]="","",_xlfn.ISOWEEKNUM(C12))</f>
        <v/>
      </c>
      <c r="C12" s="9"/>
      <c r="D12" s="19">
        <f>IF(G11-J12&lt;0,INDEX(DONNEES!$E$5:$E$393,MATCH(PROJECTION!D11,DONNEES!$E$5:$E$12,0)+1),D11)</f>
        <v>49</v>
      </c>
      <c r="E12" s="20">
        <f>IF($D12&lt;&gt;$D11,VLOOKUP($D12,DONNEES!$E$5:$F$12,2,0)+IF(G11&lt;J12,E11,0)-SUM(J11),E11-J11)</f>
        <v>3295</v>
      </c>
      <c r="F12" s="20">
        <f>VLOOKUP(Tableau1[[#This Row],[N° de Cave]],DONNEES!$E$5:$F$12,2,0)</f>
        <v>1824</v>
      </c>
      <c r="G12" s="20">
        <f t="shared" si="0"/>
        <v>1795</v>
      </c>
      <c r="H12" s="34">
        <f t="shared" si="1"/>
        <v>0.98410087719298245</v>
      </c>
      <c r="I12" s="6"/>
      <c r="J12" s="35">
        <v>1500</v>
      </c>
      <c r="L12" s="42">
        <v>3</v>
      </c>
      <c r="M12" s="45">
        <f>SUMIF(Tableau1[[Semaine  ]],L12,Tableau1[Nbre de meule])</f>
        <v>1809</v>
      </c>
    </row>
    <row r="13" spans="2:13" x14ac:dyDescent="0.35">
      <c r="B13" s="18" t="str">
        <f>IF(Tableau1[[#This Row],[Date]]="","",_xlfn.ISOWEEKNUM(C13))</f>
        <v/>
      </c>
      <c r="C13" s="9"/>
      <c r="D13" s="19">
        <f>IF(G12-J13&lt;0,INDEX(DONNEES!$E$5:$E$393,MATCH(PROJECTION!D12,DONNEES!$E$5:$E$12,0)+1),D12)</f>
        <v>49</v>
      </c>
      <c r="E13" s="20">
        <f>IF($D13&lt;&gt;$D12,VLOOKUP($D13,DONNEES!$E$5:$F$12,2,0)+IF(G12&lt;J13,E12,0)-SUM(J12),E12-J12)</f>
        <v>1795</v>
      </c>
      <c r="F13" s="20">
        <f>VLOOKUP(Tableau1[[#This Row],[N° de Cave]],DONNEES!$E$5:$F$12,2,0)</f>
        <v>1824</v>
      </c>
      <c r="G13" s="20">
        <f t="shared" si="0"/>
        <v>1795</v>
      </c>
      <c r="H13" s="34">
        <f t="shared" si="1"/>
        <v>0.98410087719298245</v>
      </c>
      <c r="I13" s="6"/>
      <c r="J13" s="35"/>
      <c r="L13" s="42">
        <v>4</v>
      </c>
      <c r="M13" s="45">
        <f>SUMIF(Tableau1[[Semaine  ]],L13,Tableau1[Nbre de meule])</f>
        <v>0</v>
      </c>
    </row>
    <row r="14" spans="2:13" x14ac:dyDescent="0.35">
      <c r="B14" s="18" t="str">
        <f>IF(Tableau1[[#This Row],[Date]]="","",_xlfn.ISOWEEKNUM(C14))</f>
        <v/>
      </c>
      <c r="C14" s="8"/>
      <c r="D14" s="19">
        <f>IF(G13-J14&lt;0,INDEX(DONNEES!$E$5:$E$393,MATCH(PROJECTION!D13,DONNEES!$E$5:$E$12,0)+1),D13)</f>
        <v>49</v>
      </c>
      <c r="E14" s="20">
        <f>IF($D14&lt;&gt;$D13,VLOOKUP($D14,DONNEES!$E$5:$F$12,2,0)+IF(G13&lt;J14,E13,0)-SUM(J13),E13-J13)</f>
        <v>1795</v>
      </c>
      <c r="F14" s="20">
        <f>VLOOKUP(Tableau1[[#This Row],[N° de Cave]],DONNEES!$E$5:$F$12,2,0)</f>
        <v>1824</v>
      </c>
      <c r="G14" s="20">
        <f t="shared" si="0"/>
        <v>1795</v>
      </c>
      <c r="H14" s="34">
        <f>(G14/F14)</f>
        <v>0.98410087719298245</v>
      </c>
      <c r="I14" s="6"/>
      <c r="J14" s="35"/>
      <c r="L14" s="42">
        <v>5</v>
      </c>
      <c r="M14" s="45">
        <f>SUMIF(Tableau1[[Semaine  ]],L14,Tableau1[Nbre de meule])</f>
        <v>0</v>
      </c>
    </row>
    <row r="15" spans="2:13" x14ac:dyDescent="0.35">
      <c r="B15" s="18" t="str">
        <f>IF(Tableau1[[#This Row],[Date]]="","",_xlfn.ISOWEEKNUM(C15))</f>
        <v/>
      </c>
      <c r="C15" s="17"/>
      <c r="D15" s="19">
        <f>IF(G14-J15&lt;0,INDEX(DONNEES!$E$5:$E$393,MATCH(PROJECTION!D14,DONNEES!$E$5:$E$12,0)+1),D14)</f>
        <v>49</v>
      </c>
      <c r="E15" s="20">
        <f>IF($D15&lt;&gt;$D14,VLOOKUP($D15,DONNEES!$E$5:$F$12,2,0)+IF(G14&lt;J15,E14,0)-SUM(J14),E14-J14)</f>
        <v>1795</v>
      </c>
      <c r="F15" s="20">
        <f>VLOOKUP(Tableau1[[#This Row],[N° de Cave]],DONNEES!$E$5:$F$12,2,0)</f>
        <v>1824</v>
      </c>
      <c r="G15" s="20">
        <f t="shared" si="0"/>
        <v>1795</v>
      </c>
      <c r="H15" s="34">
        <f t="shared" ref="H15:H54" si="2">(G15/F15)</f>
        <v>0.98410087719298245</v>
      </c>
      <c r="I15" s="7"/>
      <c r="J15" s="36"/>
      <c r="L15" s="42">
        <v>6</v>
      </c>
      <c r="M15" s="45">
        <f>SUMIF(Tableau1[[Semaine  ]],L15,Tableau1[Nbre de meule])</f>
        <v>0</v>
      </c>
    </row>
    <row r="16" spans="2:13" x14ac:dyDescent="0.35">
      <c r="B16" s="18" t="str">
        <f>IF(Tableau1[[#This Row],[Date]]="","",_xlfn.ISOWEEKNUM(C16))</f>
        <v/>
      </c>
      <c r="C16" s="8"/>
      <c r="D16" s="19">
        <f>IF(G15-J16&lt;0,INDEX(DONNEES!$E$5:$E$393,MATCH(PROJECTION!D15,DONNEES!$E$5:$E$12,0)+1),D15)</f>
        <v>49</v>
      </c>
      <c r="E16" s="20">
        <f>IF($D16&lt;&gt;$D15,VLOOKUP($D16,DONNEES!$E$5:$F$12,2,0)+IF(G15&lt;J16,E15,0)-SUM(J15),E15-J15)</f>
        <v>1795</v>
      </c>
      <c r="F16" s="20">
        <f>VLOOKUP(Tableau1[[#This Row],[N° de Cave]],DONNEES!$E$5:$F$12,2,0)</f>
        <v>1824</v>
      </c>
      <c r="G16" s="20">
        <f t="shared" si="0"/>
        <v>1795</v>
      </c>
      <c r="H16" s="34">
        <f t="shared" si="2"/>
        <v>0.98410087719298245</v>
      </c>
      <c r="I16" s="6"/>
      <c r="J16" s="6"/>
      <c r="L16" s="42">
        <v>7</v>
      </c>
      <c r="M16" s="45">
        <f>SUMIF(Tableau1[[Semaine  ]],L16,Tableau1[Nbre de meule])</f>
        <v>0</v>
      </c>
    </row>
    <row r="17" spans="2:13" x14ac:dyDescent="0.35">
      <c r="B17" s="18" t="str">
        <f>IF(Tableau1[[#This Row],[Date]]="","",_xlfn.ISOWEEKNUM(C17))</f>
        <v/>
      </c>
      <c r="C17" s="8"/>
      <c r="D17" s="19">
        <f>IF(G16-J17&lt;0,INDEX(DONNEES!$E$5:$E$393,MATCH(PROJECTION!D16,DONNEES!$E$5:$E$12,0)+1),D16)</f>
        <v>49</v>
      </c>
      <c r="E17" s="20">
        <f>IF($D17&lt;&gt;$D16,VLOOKUP($D17,DONNEES!$E$5:$F$12,2,0)+IF(G16&lt;J17,E16,0)-SUM(J16),E16-J16)</f>
        <v>1795</v>
      </c>
      <c r="F17" s="20">
        <f>VLOOKUP(Tableau1[[#This Row],[N° de Cave]],DONNEES!$E$5:$F$12,2,0)</f>
        <v>1824</v>
      </c>
      <c r="G17" s="20">
        <f t="shared" si="0"/>
        <v>1795</v>
      </c>
      <c r="H17" s="34">
        <f t="shared" si="2"/>
        <v>0.98410087719298245</v>
      </c>
      <c r="I17" s="6"/>
      <c r="J17" s="6"/>
      <c r="L17" s="42">
        <v>8</v>
      </c>
      <c r="M17" s="45">
        <f>SUMIF(Tableau1[[Semaine  ]],L17,Tableau1[Nbre de meule])</f>
        <v>2000</v>
      </c>
    </row>
    <row r="18" spans="2:13" x14ac:dyDescent="0.35">
      <c r="B18" s="18" t="str">
        <f>IF(Tableau1[[#This Row],[Date]]="","",_xlfn.ISOWEEKNUM(C18))</f>
        <v/>
      </c>
      <c r="C18" s="8"/>
      <c r="D18" s="19">
        <f>IF(G17-J18&lt;0,INDEX(DONNEES!$E$5:$E$393,MATCH(PROJECTION!D17,DONNEES!$E$5:$E$12,0)+1),D17)</f>
        <v>49</v>
      </c>
      <c r="E18" s="20">
        <f>IF($D18&lt;&gt;$D17,VLOOKUP($D18,DONNEES!$E$5:$F$12,2,0)+IF(G17&lt;J18,E17,0)-SUM(J17),E17-J17)</f>
        <v>1795</v>
      </c>
      <c r="F18" s="20">
        <f>VLOOKUP(Tableau1[[#This Row],[N° de Cave]],DONNEES!$E$5:$F$12,2,0)</f>
        <v>1824</v>
      </c>
      <c r="G18" s="20">
        <f t="shared" si="0"/>
        <v>1795</v>
      </c>
      <c r="H18" s="34">
        <f t="shared" si="2"/>
        <v>0.98410087719298245</v>
      </c>
      <c r="I18" s="6"/>
      <c r="J18" s="6"/>
      <c r="L18" s="42">
        <v>9</v>
      </c>
      <c r="M18" s="45">
        <f>SUMIF(Tableau1[[Semaine  ]],L18,Tableau1[Nbre de meule])</f>
        <v>0</v>
      </c>
    </row>
    <row r="19" spans="2:13" x14ac:dyDescent="0.35">
      <c r="B19" s="18" t="str">
        <f>IF(Tableau1[[#This Row],[Date]]="","",_xlfn.ISOWEEKNUM(C19))</f>
        <v/>
      </c>
      <c r="C19" s="8"/>
      <c r="D19" s="19">
        <f>IF(G18-J19&lt;0,INDEX(DONNEES!$E$5:$E$393,MATCH(PROJECTION!D18,DONNEES!$E$5:$E$12,0)+1),D18)</f>
        <v>49</v>
      </c>
      <c r="E19" s="20">
        <f>IF($D19&lt;&gt;$D18,VLOOKUP($D19,DONNEES!$E$5:$F$12,2,0)+IF(G18&lt;J19,E18,0)-SUM(J18),E18-J18)</f>
        <v>1795</v>
      </c>
      <c r="F19" s="20">
        <f>VLOOKUP(Tableau1[[#This Row],[N° de Cave]],DONNEES!$E$5:$F$12,2,0)</f>
        <v>1824</v>
      </c>
      <c r="G19" s="20">
        <f t="shared" si="0"/>
        <v>1795</v>
      </c>
      <c r="H19" s="34">
        <f t="shared" si="2"/>
        <v>0.98410087719298245</v>
      </c>
      <c r="I19" s="6"/>
      <c r="J19" s="6"/>
      <c r="L19" s="42">
        <v>10</v>
      </c>
      <c r="M19" s="45">
        <f>SUMIF(Tableau1[[Semaine  ]],L19,Tableau1[Nbre de meule])</f>
        <v>0</v>
      </c>
    </row>
    <row r="20" spans="2:13" x14ac:dyDescent="0.35">
      <c r="B20" s="18" t="str">
        <f>IF(Tableau1[[#This Row],[Date]]="","",_xlfn.ISOWEEKNUM(C20))</f>
        <v/>
      </c>
      <c r="C20" s="8"/>
      <c r="D20" s="19">
        <f>IF(G19-J20&lt;0,INDEX(DONNEES!$E$5:$E$393,MATCH(PROJECTION!D19,DONNEES!$E$5:$E$12,0)+1),D19)</f>
        <v>49</v>
      </c>
      <c r="E20" s="20">
        <f>IF($D20&lt;&gt;$D19,VLOOKUP($D20,DONNEES!$E$5:$F$12,2,0)+IF(G19&lt;J20,E19,0)-SUM(J19),E19-J19)</f>
        <v>1795</v>
      </c>
      <c r="F20" s="20">
        <f>VLOOKUP(Tableau1[[#This Row],[N° de Cave]],DONNEES!$E$5:$F$12,2,0)</f>
        <v>1824</v>
      </c>
      <c r="G20" s="20">
        <f t="shared" si="0"/>
        <v>1795</v>
      </c>
      <c r="H20" s="34">
        <f t="shared" si="2"/>
        <v>0.98410087719298245</v>
      </c>
      <c r="I20" s="6"/>
      <c r="J20" s="6"/>
      <c r="L20" s="42">
        <v>11</v>
      </c>
      <c r="M20" s="45">
        <f>SUMIF(Tableau1[[Semaine  ]],L20,Tableau1[Nbre de meule])</f>
        <v>0</v>
      </c>
    </row>
    <row r="21" spans="2:13" x14ac:dyDescent="0.35">
      <c r="B21" s="18" t="str">
        <f>IF(Tableau1[[#This Row],[Date]]="","",_xlfn.ISOWEEKNUM(C21))</f>
        <v/>
      </c>
      <c r="C21" s="8"/>
      <c r="D21" s="19">
        <f>IF(G20-J21&lt;0,INDEX(DONNEES!$E$5:$E$393,MATCH(PROJECTION!D20,DONNEES!$E$5:$E$12,0)+1),D20)</f>
        <v>49</v>
      </c>
      <c r="E21" s="20">
        <f>IF($D21&lt;&gt;$D20,VLOOKUP($D21,DONNEES!$E$5:$F$12,2,0)+IF(G20&lt;J21,E20,0)-SUM(J20),E20-J20)</f>
        <v>1795</v>
      </c>
      <c r="F21" s="20">
        <f>VLOOKUP(Tableau1[[#This Row],[N° de Cave]],DONNEES!$E$5:$F$12,2,0)</f>
        <v>1824</v>
      </c>
      <c r="G21" s="20">
        <f t="shared" si="0"/>
        <v>1795</v>
      </c>
      <c r="H21" s="34">
        <f t="shared" si="2"/>
        <v>0.98410087719298245</v>
      </c>
      <c r="I21" s="6"/>
      <c r="J21" s="6"/>
      <c r="L21" s="42">
        <v>12</v>
      </c>
      <c r="M21" s="45">
        <f>SUMIF(Tableau1[[Semaine  ]],L21,Tableau1[Nbre de meule])</f>
        <v>0</v>
      </c>
    </row>
    <row r="22" spans="2:13" x14ac:dyDescent="0.35">
      <c r="B22" s="18" t="str">
        <f>IF(Tableau1[[#This Row],[Date]]="","",_xlfn.ISOWEEKNUM(C22))</f>
        <v/>
      </c>
      <c r="C22" s="8"/>
      <c r="D22" s="19">
        <f>IF(G21-J22&lt;0,INDEX(DONNEES!$E$5:$E$393,MATCH(PROJECTION!D21,DONNEES!$E$5:$E$12,0)+1),D21)</f>
        <v>49</v>
      </c>
      <c r="E22" s="20">
        <f>IF($D22&lt;&gt;$D21,VLOOKUP($D22,DONNEES!$E$5:$F$12,2,0)+IF(G21&lt;J22,E21,0)-SUM(J21),E21-J21)</f>
        <v>1795</v>
      </c>
      <c r="F22" s="20">
        <f>VLOOKUP(Tableau1[[#This Row],[N° de Cave]],DONNEES!$E$5:$F$12,2,0)</f>
        <v>1824</v>
      </c>
      <c r="G22" s="20">
        <f t="shared" si="0"/>
        <v>1795</v>
      </c>
      <c r="H22" s="34">
        <f t="shared" si="2"/>
        <v>0.98410087719298245</v>
      </c>
      <c r="I22" s="6"/>
      <c r="J22" s="6"/>
      <c r="L22" s="42">
        <v>13</v>
      </c>
      <c r="M22" s="45">
        <f>SUMIF(Tableau1[[Semaine  ]],L22,Tableau1[Nbre de meule])</f>
        <v>0</v>
      </c>
    </row>
    <row r="23" spans="2:13" x14ac:dyDescent="0.35">
      <c r="B23" s="18" t="str">
        <f>IF(Tableau1[[#This Row],[Date]]="","",_xlfn.ISOWEEKNUM(C23))</f>
        <v/>
      </c>
      <c r="C23" s="8"/>
      <c r="D23" s="19">
        <f>IF(G22-J23&lt;0,INDEX(DONNEES!$E$5:$E$393,MATCH(PROJECTION!D22,DONNEES!$E$5:$E$12,0)+1),D22)</f>
        <v>49</v>
      </c>
      <c r="E23" s="20">
        <f>IF($D23&lt;&gt;$D22,VLOOKUP($D23,DONNEES!$E$5:$F$12,2,0)+IF(G22&lt;J23,E22,0)-SUM(J22),E22-J22)</f>
        <v>1795</v>
      </c>
      <c r="F23" s="20">
        <f>VLOOKUP(Tableau1[[#This Row],[N° de Cave]],DONNEES!$E$5:$F$12,2,0)</f>
        <v>1824</v>
      </c>
      <c r="G23" s="20">
        <f t="shared" si="0"/>
        <v>1795</v>
      </c>
      <c r="H23" s="34">
        <f t="shared" si="2"/>
        <v>0.98410087719298245</v>
      </c>
      <c r="I23" s="6"/>
      <c r="J23" s="6"/>
      <c r="L23" s="42">
        <v>14</v>
      </c>
      <c r="M23" s="45">
        <f>SUMIF(Tableau1[[Semaine  ]],L23,Tableau1[Nbre de meule])</f>
        <v>0</v>
      </c>
    </row>
    <row r="24" spans="2:13" x14ac:dyDescent="0.35">
      <c r="B24" s="18" t="str">
        <f>IF(Tableau1[[#This Row],[Date]]="","",_xlfn.ISOWEEKNUM(C24))</f>
        <v/>
      </c>
      <c r="C24" s="8"/>
      <c r="D24" s="19">
        <f>IF(G23-J24&lt;0,INDEX(DONNEES!$E$5:$E$393,MATCH(PROJECTION!D23,DONNEES!$E$5:$E$12,0)+1),D23)</f>
        <v>49</v>
      </c>
      <c r="E24" s="20">
        <f>IF($D24&lt;&gt;$D23,VLOOKUP($D24,DONNEES!$E$5:$F$12,2,0)+IF(G23&lt;J24,E23,0)-SUM(J23),E23-J23)</f>
        <v>1795</v>
      </c>
      <c r="F24" s="20">
        <f>VLOOKUP(Tableau1[[#This Row],[N° de Cave]],DONNEES!$E$5:$F$12,2,0)</f>
        <v>1824</v>
      </c>
      <c r="G24" s="20">
        <f t="shared" si="0"/>
        <v>1795</v>
      </c>
      <c r="H24" s="34">
        <f t="shared" si="2"/>
        <v>0.98410087719298245</v>
      </c>
      <c r="I24" s="6"/>
      <c r="J24" s="6"/>
      <c r="L24" s="42">
        <v>15</v>
      </c>
      <c r="M24" s="45">
        <f>SUMIF(Tableau1[[Semaine  ]],L24,Tableau1[Nbre de meule])</f>
        <v>0</v>
      </c>
    </row>
    <row r="25" spans="2:13" x14ac:dyDescent="0.35">
      <c r="B25" s="18" t="str">
        <f>IF(Tableau1[[#This Row],[Date]]="","",_xlfn.ISOWEEKNUM(C25))</f>
        <v/>
      </c>
      <c r="C25" s="8"/>
      <c r="D25" s="19">
        <f>IF(G24-J25&lt;0,INDEX(DONNEES!$E$5:$E$393,MATCH(PROJECTION!D24,DONNEES!$E$5:$E$12,0)+1),D24)</f>
        <v>49</v>
      </c>
      <c r="E25" s="20">
        <f>IF($D25&lt;&gt;$D24,VLOOKUP($D25,DONNEES!$E$5:$F$12,2,0)+IF(G24&lt;J25,E24,0)-SUM(J24),E24-J24)</f>
        <v>1795</v>
      </c>
      <c r="F25" s="20">
        <f>VLOOKUP(Tableau1[[#This Row],[N° de Cave]],DONNEES!$E$5:$F$12,2,0)</f>
        <v>1824</v>
      </c>
      <c r="G25" s="20">
        <f t="shared" si="0"/>
        <v>1795</v>
      </c>
      <c r="H25" s="34">
        <f t="shared" si="2"/>
        <v>0.98410087719298245</v>
      </c>
      <c r="I25" s="6"/>
      <c r="J25" s="6"/>
      <c r="L25" s="42">
        <v>16</v>
      </c>
      <c r="M25" s="45">
        <f>SUMIF(Tableau1[[Semaine  ]],L25,Tableau1[Nbre de meule])</f>
        <v>0</v>
      </c>
    </row>
    <row r="26" spans="2:13" x14ac:dyDescent="0.35">
      <c r="B26" s="18" t="str">
        <f>IF(Tableau1[[#This Row],[Date]]="","",_xlfn.ISOWEEKNUM(C26))</f>
        <v/>
      </c>
      <c r="C26" s="8"/>
      <c r="D26" s="19">
        <f>IF(G25-J26&lt;0,INDEX(DONNEES!$E$5:$E$393,MATCH(PROJECTION!D25,DONNEES!$E$5:$E$12,0)+1),D25)</f>
        <v>49</v>
      </c>
      <c r="E26" s="20">
        <f>IF($D26&lt;&gt;$D25,VLOOKUP($D26,DONNEES!$E$5:$F$12,2,0)+IF(G25&lt;J26,E25,0)-SUM(J25),E25-J25)</f>
        <v>1795</v>
      </c>
      <c r="F26" s="20">
        <f>VLOOKUP(Tableau1[[#This Row],[N° de Cave]],DONNEES!$E$5:$F$12,2,0)</f>
        <v>1824</v>
      </c>
      <c r="G26" s="20">
        <f t="shared" si="0"/>
        <v>1795</v>
      </c>
      <c r="H26" s="34">
        <f t="shared" si="2"/>
        <v>0.98410087719298245</v>
      </c>
      <c r="I26" s="6"/>
      <c r="J26" s="6"/>
      <c r="L26" s="42">
        <v>17</v>
      </c>
      <c r="M26" s="45">
        <f>SUMIF(Tableau1[[Semaine  ]],L26,Tableau1[Nbre de meule])</f>
        <v>0</v>
      </c>
    </row>
    <row r="27" spans="2:13" x14ac:dyDescent="0.35">
      <c r="B27" s="18" t="str">
        <f>IF(Tableau1[[#This Row],[Date]]="","",_xlfn.ISOWEEKNUM(C27))</f>
        <v/>
      </c>
      <c r="C27" s="8"/>
      <c r="D27" s="19">
        <f>IF(G26-J27&lt;0,INDEX(DONNEES!$E$5:$E$393,MATCH(PROJECTION!D26,DONNEES!$E$5:$E$12,0)+1),D26)</f>
        <v>49</v>
      </c>
      <c r="E27" s="20">
        <f>IF($D27&lt;&gt;$D26,VLOOKUP($D27,DONNEES!$E$5:$F$12,2,0)+IF(G26&lt;J27,E26,0)-SUM(J26),E26-J26)</f>
        <v>1795</v>
      </c>
      <c r="F27" s="20">
        <f>VLOOKUP(Tableau1[[#This Row],[N° de Cave]],DONNEES!$E$5:$F$12,2,0)</f>
        <v>1824</v>
      </c>
      <c r="G27" s="20">
        <f t="shared" si="0"/>
        <v>1795</v>
      </c>
      <c r="H27" s="34">
        <f t="shared" si="2"/>
        <v>0.98410087719298245</v>
      </c>
      <c r="I27" s="6"/>
      <c r="J27" s="6"/>
      <c r="L27" s="42">
        <v>18</v>
      </c>
      <c r="M27" s="45">
        <f>SUMIF(Tableau1[[Semaine  ]],L27,Tableau1[Nbre de meule])</f>
        <v>0</v>
      </c>
    </row>
    <row r="28" spans="2:13" x14ac:dyDescent="0.35">
      <c r="B28" s="18" t="str">
        <f>IF(Tableau1[[#This Row],[Date]]="","",_xlfn.ISOWEEKNUM(C28))</f>
        <v/>
      </c>
      <c r="C28" s="8"/>
      <c r="D28" s="19">
        <f>IF(G27-J28&lt;0,INDEX(DONNEES!$E$5:$E$393,MATCH(PROJECTION!D27,DONNEES!$E$5:$E$12,0)+1),D27)</f>
        <v>49</v>
      </c>
      <c r="E28" s="20">
        <f>IF($D28&lt;&gt;$D27,VLOOKUP($D28,DONNEES!$E$5:$F$12,2,0)+IF(G27&lt;J28,E27,0)-SUM(J27),E27-J27)</f>
        <v>1795</v>
      </c>
      <c r="F28" s="20">
        <f>VLOOKUP(Tableau1[[#This Row],[N° de Cave]],DONNEES!$E$5:$F$12,2,0)</f>
        <v>1824</v>
      </c>
      <c r="G28" s="20">
        <f t="shared" si="0"/>
        <v>1795</v>
      </c>
      <c r="H28" s="34">
        <f t="shared" si="2"/>
        <v>0.98410087719298245</v>
      </c>
      <c r="I28" s="6"/>
      <c r="J28" s="6"/>
      <c r="L28" s="42">
        <v>19</v>
      </c>
      <c r="M28" s="45">
        <f>SUMIF(Tableau1[[Semaine  ]],L28,Tableau1[Nbre de meule])</f>
        <v>0</v>
      </c>
    </row>
    <row r="29" spans="2:13" x14ac:dyDescent="0.35">
      <c r="B29" s="18" t="str">
        <f>IF(Tableau1[[#This Row],[Date]]="","",_xlfn.ISOWEEKNUM(C29))</f>
        <v/>
      </c>
      <c r="C29" s="8"/>
      <c r="D29" s="19">
        <f>IF(G28-J29&lt;0,INDEX(DONNEES!$E$5:$E$393,MATCH(PROJECTION!D28,DONNEES!$E$5:$E$12,0)+1),D28)</f>
        <v>49</v>
      </c>
      <c r="E29" s="20">
        <f>IF($D29&lt;&gt;$D28,VLOOKUP($D29,DONNEES!$E$5:$F$12,2,0)+IF(G28&lt;J29,E28,0)-SUM(J28),E28-J28)</f>
        <v>1795</v>
      </c>
      <c r="F29" s="20">
        <f>VLOOKUP(Tableau1[[#This Row],[N° de Cave]],DONNEES!$E$5:$F$12,2,0)</f>
        <v>1824</v>
      </c>
      <c r="G29" s="20">
        <f t="shared" si="0"/>
        <v>1795</v>
      </c>
      <c r="H29" s="34">
        <f t="shared" si="2"/>
        <v>0.98410087719298245</v>
      </c>
      <c r="I29" s="6"/>
      <c r="J29" s="6"/>
      <c r="L29" s="42">
        <v>20</v>
      </c>
      <c r="M29" s="45">
        <f>SUMIF(Tableau1[[Semaine  ]],L29,Tableau1[Nbre de meule])</f>
        <v>0</v>
      </c>
    </row>
    <row r="30" spans="2:13" x14ac:dyDescent="0.35">
      <c r="B30" s="18" t="str">
        <f>IF(Tableau1[[#This Row],[Date]]="","",_xlfn.ISOWEEKNUM(C30))</f>
        <v/>
      </c>
      <c r="C30" s="8"/>
      <c r="D30" s="19">
        <f>IF(G29-J30&lt;0,INDEX(DONNEES!$E$5:$E$393,MATCH(PROJECTION!D29,DONNEES!$E$5:$E$12,0)+1),D29)</f>
        <v>49</v>
      </c>
      <c r="E30" s="20">
        <f>IF($D30&lt;&gt;$D29,VLOOKUP($D30,DONNEES!$E$5:$F$12,2,0)+IF(G29&lt;J30,E29,0)-SUM(J29),E29-J29)</f>
        <v>1795</v>
      </c>
      <c r="F30" s="20">
        <f>VLOOKUP(Tableau1[[#This Row],[N° de Cave]],DONNEES!$E$5:$F$12,2,0)</f>
        <v>1824</v>
      </c>
      <c r="G30" s="20">
        <f t="shared" si="0"/>
        <v>1795</v>
      </c>
      <c r="H30" s="34">
        <f t="shared" si="2"/>
        <v>0.98410087719298245</v>
      </c>
      <c r="I30" s="6"/>
      <c r="J30" s="6"/>
      <c r="L30" s="42">
        <v>21</v>
      </c>
      <c r="M30" s="45">
        <f>SUMIF(Tableau1[[Semaine  ]],L30,Tableau1[Nbre de meule])</f>
        <v>0</v>
      </c>
    </row>
    <row r="31" spans="2:13" x14ac:dyDescent="0.35">
      <c r="B31" s="18" t="str">
        <f>IF(Tableau1[[#This Row],[Date]]="","",_xlfn.ISOWEEKNUM(C31))</f>
        <v/>
      </c>
      <c r="C31" s="8"/>
      <c r="D31" s="19">
        <f>IF(G30-J31&lt;0,INDEX(DONNEES!$E$5:$E$393,MATCH(PROJECTION!D30,DONNEES!$E$5:$E$12,0)+1),D30)</f>
        <v>49</v>
      </c>
      <c r="E31" s="20">
        <f>IF($D31&lt;&gt;$D30,VLOOKUP($D31,DONNEES!$E$5:$F$12,2,0)+IF(G30&lt;J31,E30,0)-SUM(J30),E30-J30)</f>
        <v>1795</v>
      </c>
      <c r="F31" s="20">
        <f>VLOOKUP(Tableau1[[#This Row],[N° de Cave]],DONNEES!$E$5:$F$12,2,0)</f>
        <v>1824</v>
      </c>
      <c r="G31" s="20">
        <f t="shared" si="0"/>
        <v>1795</v>
      </c>
      <c r="H31" s="34">
        <f t="shared" si="2"/>
        <v>0.98410087719298245</v>
      </c>
      <c r="I31" s="6"/>
      <c r="J31" s="6"/>
      <c r="L31" s="42">
        <v>22</v>
      </c>
      <c r="M31" s="45">
        <f>SUMIF(Tableau1[[Semaine  ]],L31,Tableau1[Nbre de meule])</f>
        <v>0</v>
      </c>
    </row>
    <row r="32" spans="2:13" x14ac:dyDescent="0.35">
      <c r="B32" s="18" t="str">
        <f>IF(Tableau1[[#This Row],[Date]]="","",_xlfn.ISOWEEKNUM(C32))</f>
        <v/>
      </c>
      <c r="C32" s="8"/>
      <c r="D32" s="19">
        <f>IF(G31-J32&lt;0,INDEX(DONNEES!$E$5:$E$393,MATCH(PROJECTION!D31,DONNEES!$E$5:$E$12,0)+1),D31)</f>
        <v>49</v>
      </c>
      <c r="E32" s="20">
        <f>IF($D32&lt;&gt;$D31,VLOOKUP($D32,DONNEES!$E$5:$F$12,2,0)+IF(G31&lt;J32,E31,0)-SUM(J31),E31-J31)</f>
        <v>1795</v>
      </c>
      <c r="F32" s="20">
        <f>VLOOKUP(Tableau1[[#This Row],[N° de Cave]],DONNEES!$E$5:$F$12,2,0)</f>
        <v>1824</v>
      </c>
      <c r="G32" s="20">
        <f t="shared" si="0"/>
        <v>1795</v>
      </c>
      <c r="H32" s="34">
        <f t="shared" si="2"/>
        <v>0.98410087719298245</v>
      </c>
      <c r="I32" s="6"/>
      <c r="J32" s="6"/>
      <c r="L32" s="42">
        <v>23</v>
      </c>
      <c r="M32" s="45">
        <f>SUMIF(Tableau1[[Semaine  ]],L32,Tableau1[Nbre de meule])</f>
        <v>0</v>
      </c>
    </row>
    <row r="33" spans="2:13" x14ac:dyDescent="0.35">
      <c r="B33" s="18" t="str">
        <f>IF(Tableau1[[#This Row],[Date]]="","",_xlfn.ISOWEEKNUM(C33))</f>
        <v/>
      </c>
      <c r="C33" s="8"/>
      <c r="D33" s="19">
        <f>IF(G32-J33&lt;0,INDEX(DONNEES!$E$5:$E$393,MATCH(PROJECTION!D32,DONNEES!$E$5:$E$12,0)+1),D32)</f>
        <v>49</v>
      </c>
      <c r="E33" s="20">
        <f>IF($D33&lt;&gt;$D32,VLOOKUP($D33,DONNEES!$E$5:$F$12,2,0)+IF(G32&lt;J33,E32,0)-SUM(J32),E32-J32)</f>
        <v>1795</v>
      </c>
      <c r="F33" s="20">
        <f>VLOOKUP(Tableau1[[#This Row],[N° de Cave]],DONNEES!$E$5:$F$12,2,0)</f>
        <v>1824</v>
      </c>
      <c r="G33" s="20">
        <f t="shared" si="0"/>
        <v>1795</v>
      </c>
      <c r="H33" s="34">
        <f t="shared" si="2"/>
        <v>0.98410087719298245</v>
      </c>
      <c r="I33" s="6"/>
      <c r="J33" s="6"/>
      <c r="L33" s="42">
        <v>24</v>
      </c>
      <c r="M33" s="45">
        <f>SUMIF(Tableau1[[Semaine  ]],L33,Tableau1[Nbre de meule])</f>
        <v>0</v>
      </c>
    </row>
    <row r="34" spans="2:13" x14ac:dyDescent="0.35">
      <c r="B34" s="18" t="str">
        <f>IF(Tableau1[[#This Row],[Date]]="","",_xlfn.ISOWEEKNUM(C34))</f>
        <v/>
      </c>
      <c r="C34" s="8"/>
      <c r="D34" s="19">
        <f>IF(G33-J34&lt;0,INDEX(DONNEES!$E$5:$E$393,MATCH(PROJECTION!D33,DONNEES!$E$5:$E$12,0)+1),D33)</f>
        <v>49</v>
      </c>
      <c r="E34" s="20">
        <f>IF($D34&lt;&gt;$D33,VLOOKUP($D34,DONNEES!$E$5:$F$12,2,0)+IF(G33&lt;J34,E33,0)-SUM(J33),E33-J33)</f>
        <v>1795</v>
      </c>
      <c r="F34" s="20">
        <f>VLOOKUP(Tableau1[[#This Row],[N° de Cave]],DONNEES!$E$5:$F$12,2,0)</f>
        <v>1824</v>
      </c>
      <c r="G34" s="20">
        <f t="shared" si="0"/>
        <v>1795</v>
      </c>
      <c r="H34" s="34">
        <f t="shared" si="2"/>
        <v>0.98410087719298245</v>
      </c>
      <c r="I34" s="6"/>
      <c r="J34" s="6"/>
      <c r="L34" s="42">
        <v>25</v>
      </c>
      <c r="M34" s="45">
        <f>SUMIF(Tableau1[[Semaine  ]],L34,Tableau1[Nbre de meule])</f>
        <v>0</v>
      </c>
    </row>
    <row r="35" spans="2:13" x14ac:dyDescent="0.35">
      <c r="B35" s="18" t="str">
        <f>IF(Tableau1[[#This Row],[Date]]="","",_xlfn.ISOWEEKNUM(C35))</f>
        <v/>
      </c>
      <c r="C35" s="8"/>
      <c r="D35" s="19">
        <f>IF(G34-J35&lt;0,INDEX(DONNEES!$E$5:$E$393,MATCH(PROJECTION!D34,DONNEES!$E$5:$E$12,0)+1),D34)</f>
        <v>49</v>
      </c>
      <c r="E35" s="20">
        <f>IF($D35&lt;&gt;$D34,VLOOKUP($D35,DONNEES!$E$5:$F$12,2,0)+IF(G34&lt;J35,E34,0)-SUM(J34),E34-J34)</f>
        <v>1795</v>
      </c>
      <c r="F35" s="20">
        <f>VLOOKUP(Tableau1[[#This Row],[N° de Cave]],DONNEES!$E$5:$F$12,2,0)</f>
        <v>1824</v>
      </c>
      <c r="G35" s="20">
        <f t="shared" si="0"/>
        <v>1795</v>
      </c>
      <c r="H35" s="34">
        <f t="shared" si="2"/>
        <v>0.98410087719298245</v>
      </c>
      <c r="I35" s="6"/>
      <c r="J35" s="6"/>
      <c r="L35" s="42">
        <v>26</v>
      </c>
      <c r="M35" s="45">
        <f>SUMIF(Tableau1[[Semaine  ]],L35,Tableau1[Nbre de meule])</f>
        <v>0</v>
      </c>
    </row>
    <row r="36" spans="2:13" x14ac:dyDescent="0.35">
      <c r="B36" s="18" t="str">
        <f>IF(Tableau1[[#This Row],[Date]]="","",_xlfn.ISOWEEKNUM(C36))</f>
        <v/>
      </c>
      <c r="C36" s="8"/>
      <c r="D36" s="19">
        <f>IF(G35-J36&lt;0,INDEX(DONNEES!$E$5:$E$393,MATCH(PROJECTION!D35,DONNEES!$E$5:$E$12,0)+1),D35)</f>
        <v>49</v>
      </c>
      <c r="E36" s="20">
        <f>IF($D36&lt;&gt;$D35,VLOOKUP($D36,DONNEES!$E$5:$F$12,2,0)+IF(G35&lt;J36,E35,0)-SUM(J35),E35-J35)</f>
        <v>1795</v>
      </c>
      <c r="F36" s="20">
        <f>VLOOKUP(Tableau1[[#This Row],[N° de Cave]],DONNEES!$E$5:$F$12,2,0)</f>
        <v>1824</v>
      </c>
      <c r="G36" s="20">
        <f t="shared" si="0"/>
        <v>1795</v>
      </c>
      <c r="H36" s="34">
        <f t="shared" si="2"/>
        <v>0.98410087719298245</v>
      </c>
      <c r="I36" s="6"/>
      <c r="J36" s="6"/>
      <c r="L36" s="42">
        <v>27</v>
      </c>
      <c r="M36" s="45">
        <f>SUMIF(Tableau1[[Semaine  ]],L36,Tableau1[Nbre de meule])</f>
        <v>0</v>
      </c>
    </row>
    <row r="37" spans="2:13" x14ac:dyDescent="0.35">
      <c r="B37" s="18" t="str">
        <f>IF(Tableau1[[#This Row],[Date]]="","",_xlfn.ISOWEEKNUM(C37))</f>
        <v/>
      </c>
      <c r="C37" s="8"/>
      <c r="D37" s="19">
        <f>IF(G36-J37&lt;0,INDEX(DONNEES!$E$5:$E$393,MATCH(PROJECTION!D36,DONNEES!$E$5:$E$12,0)+1),D36)</f>
        <v>49</v>
      </c>
      <c r="E37" s="20">
        <f>IF($D37&lt;&gt;$D36,VLOOKUP($D37,DONNEES!$E$5:$F$12,2,0)+IF(G36&lt;J37,E36,0)-SUM(J36),E36-J36)</f>
        <v>1795</v>
      </c>
      <c r="F37" s="20">
        <f>VLOOKUP(Tableau1[[#This Row],[N° de Cave]],DONNEES!$E$5:$F$12,2,0)</f>
        <v>1824</v>
      </c>
      <c r="G37" s="20">
        <f t="shared" si="0"/>
        <v>1795</v>
      </c>
      <c r="H37" s="34">
        <f t="shared" si="2"/>
        <v>0.98410087719298245</v>
      </c>
      <c r="I37" s="6"/>
      <c r="J37" s="6"/>
      <c r="L37" s="42">
        <v>28</v>
      </c>
      <c r="M37" s="45">
        <f>SUMIF(Tableau1[[Semaine  ]],L37,Tableau1[Nbre de meule])</f>
        <v>0</v>
      </c>
    </row>
    <row r="38" spans="2:13" x14ac:dyDescent="0.35">
      <c r="B38" s="18" t="str">
        <f>IF(Tableau1[[#This Row],[Date]]="","",_xlfn.ISOWEEKNUM(C38))</f>
        <v/>
      </c>
      <c r="C38" s="8"/>
      <c r="D38" s="19">
        <f>IF(G37-J38&lt;0,INDEX(DONNEES!$E$5:$E$393,MATCH(PROJECTION!D37,DONNEES!$E$5:$E$12,0)+1),D37)</f>
        <v>49</v>
      </c>
      <c r="E38" s="20">
        <f>IF($D38&lt;&gt;$D37,VLOOKUP($D38,DONNEES!$E$5:$F$12,2,0)+IF(G37&lt;J38,E37,0)-SUM(J37),E37-J37)</f>
        <v>1795</v>
      </c>
      <c r="F38" s="20">
        <f>VLOOKUP(Tableau1[[#This Row],[N° de Cave]],DONNEES!$E$5:$F$12,2,0)</f>
        <v>1824</v>
      </c>
      <c r="G38" s="20">
        <f t="shared" si="0"/>
        <v>1795</v>
      </c>
      <c r="H38" s="34">
        <f t="shared" si="2"/>
        <v>0.98410087719298245</v>
      </c>
      <c r="I38" s="6"/>
      <c r="J38" s="6"/>
      <c r="L38" s="42">
        <v>29</v>
      </c>
      <c r="M38" s="45">
        <f>SUMIF(Tableau1[[Semaine  ]],L38,Tableau1[Nbre de meule])</f>
        <v>0</v>
      </c>
    </row>
    <row r="39" spans="2:13" x14ac:dyDescent="0.35">
      <c r="B39" s="18" t="str">
        <f>IF(Tableau1[[#This Row],[Date]]="","",_xlfn.ISOWEEKNUM(C39))</f>
        <v/>
      </c>
      <c r="C39" s="8"/>
      <c r="D39" s="19">
        <f>IF(G38-J39&lt;0,INDEX(DONNEES!$E$5:$E$393,MATCH(PROJECTION!D38,DONNEES!$E$5:$E$12,0)+1),D38)</f>
        <v>49</v>
      </c>
      <c r="E39" s="20">
        <f>IF($D39&lt;&gt;$D38,VLOOKUP($D39,DONNEES!$E$5:$F$12,2,0)+IF(G38&lt;J39,E38,0)-SUM(J38),E38-J38)</f>
        <v>1795</v>
      </c>
      <c r="F39" s="20">
        <f>VLOOKUP(Tableau1[[#This Row],[N° de Cave]],DONNEES!$E$5:$F$12,2,0)</f>
        <v>1824</v>
      </c>
      <c r="G39" s="20">
        <f t="shared" si="0"/>
        <v>1795</v>
      </c>
      <c r="H39" s="34">
        <f t="shared" si="2"/>
        <v>0.98410087719298245</v>
      </c>
      <c r="I39" s="6"/>
      <c r="J39" s="6"/>
      <c r="L39" s="42">
        <v>30</v>
      </c>
      <c r="M39" s="45">
        <f>SUMIF(Tableau1[[Semaine  ]],L39,Tableau1[Nbre de meule])</f>
        <v>0</v>
      </c>
    </row>
    <row r="40" spans="2:13" x14ac:dyDescent="0.35">
      <c r="B40" s="18" t="str">
        <f>IF(Tableau1[[#This Row],[Date]]="","",_xlfn.ISOWEEKNUM(C40))</f>
        <v/>
      </c>
      <c r="C40" s="8"/>
      <c r="D40" s="19">
        <f>IF(G39-J40&lt;0,INDEX(DONNEES!$E$5:$E$393,MATCH(PROJECTION!D39,DONNEES!$E$5:$E$12,0)+1),D39)</f>
        <v>49</v>
      </c>
      <c r="E40" s="20">
        <f>IF($D40&lt;&gt;$D39,VLOOKUP($D40,DONNEES!$E$5:$F$12,2,0)+IF(G39&lt;J40,E39,0)-SUM(J39),E39-J39)</f>
        <v>1795</v>
      </c>
      <c r="F40" s="20">
        <f>VLOOKUP(Tableau1[[#This Row],[N° de Cave]],DONNEES!$E$5:$F$12,2,0)</f>
        <v>1824</v>
      </c>
      <c r="G40" s="20">
        <f t="shared" si="0"/>
        <v>1795</v>
      </c>
      <c r="H40" s="34">
        <f t="shared" si="2"/>
        <v>0.98410087719298245</v>
      </c>
      <c r="I40" s="6"/>
      <c r="J40" s="6"/>
      <c r="L40" s="42">
        <v>31</v>
      </c>
      <c r="M40" s="45">
        <f>SUMIF(Tableau1[[Semaine  ]],L40,Tableau1[Nbre de meule])</f>
        <v>0</v>
      </c>
    </row>
    <row r="41" spans="2:13" x14ac:dyDescent="0.35">
      <c r="B41" s="18" t="str">
        <f>IF(Tableau1[[#This Row],[Date]]="","",_xlfn.ISOWEEKNUM(C41))</f>
        <v/>
      </c>
      <c r="C41" s="8"/>
      <c r="D41" s="19">
        <f>IF(G40-J41&lt;0,INDEX(DONNEES!$E$5:$E$393,MATCH(PROJECTION!D40,DONNEES!$E$5:$E$12,0)+1),D40)</f>
        <v>49</v>
      </c>
      <c r="E41" s="20">
        <f>IF($D41&lt;&gt;$D40,VLOOKUP($D41,DONNEES!$E$5:$F$12,2,0)+IF(G40&lt;J41,E40,0)-SUM(J40),E40-J40)</f>
        <v>1795</v>
      </c>
      <c r="F41" s="20">
        <f>VLOOKUP(Tableau1[[#This Row],[N° de Cave]],DONNEES!$E$5:$F$12,2,0)</f>
        <v>1824</v>
      </c>
      <c r="G41" s="20">
        <f t="shared" si="0"/>
        <v>1795</v>
      </c>
      <c r="H41" s="34">
        <f t="shared" si="2"/>
        <v>0.98410087719298245</v>
      </c>
      <c r="I41" s="6"/>
      <c r="J41" s="6"/>
      <c r="L41" s="42">
        <v>32</v>
      </c>
      <c r="M41" s="45">
        <f>SUMIF(Tableau1[[Semaine  ]],L41,Tableau1[Nbre de meule])</f>
        <v>0</v>
      </c>
    </row>
    <row r="42" spans="2:13" x14ac:dyDescent="0.35">
      <c r="B42" s="18" t="str">
        <f>IF(Tableau1[[#This Row],[Date]]="","",_xlfn.ISOWEEKNUM(C42))</f>
        <v/>
      </c>
      <c r="C42" s="8"/>
      <c r="D42" s="19">
        <f>IF(G41-J42&lt;0,INDEX(DONNEES!$E$5:$E$393,MATCH(PROJECTION!D41,DONNEES!$E$5:$E$12,0)+1),D41)</f>
        <v>49</v>
      </c>
      <c r="E42" s="20">
        <f>IF($D42&lt;&gt;$D41,VLOOKUP($D42,DONNEES!$E$5:$F$12,2,0)+IF(G41&lt;J42,E41,0)-SUM(J41),E41-J41)</f>
        <v>1795</v>
      </c>
      <c r="F42" s="20">
        <f>VLOOKUP(Tableau1[[#This Row],[N° de Cave]],DONNEES!$E$5:$F$12,2,0)</f>
        <v>1824</v>
      </c>
      <c r="G42" s="20">
        <f t="shared" si="0"/>
        <v>1795</v>
      </c>
      <c r="H42" s="34">
        <f t="shared" si="2"/>
        <v>0.98410087719298245</v>
      </c>
      <c r="I42" s="6"/>
      <c r="J42" s="6"/>
      <c r="L42" s="42">
        <v>33</v>
      </c>
      <c r="M42" s="45">
        <f>SUMIF(Tableau1[[Semaine  ]],L42,Tableau1[Nbre de meule])</f>
        <v>0</v>
      </c>
    </row>
    <row r="43" spans="2:13" x14ac:dyDescent="0.35">
      <c r="B43" s="18" t="str">
        <f>IF(Tableau1[[#This Row],[Date]]="","",_xlfn.ISOWEEKNUM(C43))</f>
        <v/>
      </c>
      <c r="C43" s="8"/>
      <c r="D43" s="19">
        <f>IF(G42-J43&lt;0,INDEX(DONNEES!$E$5:$E$393,MATCH(PROJECTION!D42,DONNEES!$E$5:$E$12,0)+1),D42)</f>
        <v>49</v>
      </c>
      <c r="E43" s="20">
        <f>IF($D43&lt;&gt;$D42,VLOOKUP($D43,DONNEES!$E$5:$F$12,2,0)+IF(G42&lt;J43,E42,0)-SUM(J42),E42-J42)</f>
        <v>1795</v>
      </c>
      <c r="F43" s="20">
        <f>VLOOKUP(Tableau1[[#This Row],[N° de Cave]],DONNEES!$E$5:$F$12,2,0)</f>
        <v>1824</v>
      </c>
      <c r="G43" s="20">
        <f t="shared" si="0"/>
        <v>1795</v>
      </c>
      <c r="H43" s="34">
        <f t="shared" si="2"/>
        <v>0.98410087719298245</v>
      </c>
      <c r="I43" s="6"/>
      <c r="J43" s="6"/>
      <c r="L43" s="42">
        <v>34</v>
      </c>
      <c r="M43" s="45">
        <f>SUMIF(Tableau1[[Semaine  ]],L43,Tableau1[Nbre de meule])</f>
        <v>0</v>
      </c>
    </row>
    <row r="44" spans="2:13" x14ac:dyDescent="0.35">
      <c r="B44" s="18" t="str">
        <f>IF(Tableau1[[#This Row],[Date]]="","",_xlfn.ISOWEEKNUM(C44))</f>
        <v/>
      </c>
      <c r="C44" s="8"/>
      <c r="D44" s="19">
        <f>IF(G43-J44&lt;0,INDEX(DONNEES!$E$5:$E$393,MATCH(PROJECTION!D43,DONNEES!$E$5:$E$12,0)+1),D43)</f>
        <v>49</v>
      </c>
      <c r="E44" s="20">
        <f>IF($D44&lt;&gt;$D43,VLOOKUP($D44,DONNEES!$E$5:$F$12,2,0)+IF(G43&lt;J44,E43,0)-SUM(J43),E43-J43)</f>
        <v>1795</v>
      </c>
      <c r="F44" s="20">
        <f>VLOOKUP(Tableau1[[#This Row],[N° de Cave]],DONNEES!$E$5:$F$12,2,0)</f>
        <v>1824</v>
      </c>
      <c r="G44" s="20">
        <f t="shared" si="0"/>
        <v>1795</v>
      </c>
      <c r="H44" s="34">
        <f t="shared" si="2"/>
        <v>0.98410087719298245</v>
      </c>
      <c r="I44" s="6"/>
      <c r="J44" s="6"/>
      <c r="L44" s="42">
        <v>35</v>
      </c>
      <c r="M44" s="45">
        <f>SUMIF(Tableau1[[Semaine  ]],L44,Tableau1[Nbre de meule])</f>
        <v>0</v>
      </c>
    </row>
    <row r="45" spans="2:13" x14ac:dyDescent="0.35">
      <c r="B45" s="18" t="str">
        <f>IF(Tableau1[[#This Row],[Date]]="","",_xlfn.ISOWEEKNUM(C45))</f>
        <v/>
      </c>
      <c r="C45" s="8"/>
      <c r="D45" s="19">
        <f>IF(G44-J45&lt;0,INDEX(DONNEES!$E$5:$E$393,MATCH(PROJECTION!D44,DONNEES!$E$5:$E$12,0)+1),D44)</f>
        <v>49</v>
      </c>
      <c r="E45" s="20">
        <f>IF($D45&lt;&gt;$D44,VLOOKUP($D45,DONNEES!$E$5:$F$12,2,0)+IF(G44&lt;J45,E44,0)-SUM(J44),E44-J44)</f>
        <v>1795</v>
      </c>
      <c r="F45" s="20">
        <f>VLOOKUP(Tableau1[[#This Row],[N° de Cave]],DONNEES!$E$5:$F$12,2,0)</f>
        <v>1824</v>
      </c>
      <c r="G45" s="20">
        <f t="shared" si="0"/>
        <v>1795</v>
      </c>
      <c r="H45" s="34">
        <f t="shared" si="2"/>
        <v>0.98410087719298245</v>
      </c>
      <c r="I45" s="6"/>
      <c r="J45" s="6"/>
      <c r="L45" s="42">
        <v>36</v>
      </c>
      <c r="M45" s="45">
        <f>SUMIF(Tableau1[[Semaine  ]],L45,Tableau1[Nbre de meule])</f>
        <v>0</v>
      </c>
    </row>
    <row r="46" spans="2:13" x14ac:dyDescent="0.35">
      <c r="B46" s="18" t="str">
        <f>IF(Tableau1[[#This Row],[Date]]="","",_xlfn.ISOWEEKNUM(C46))</f>
        <v/>
      </c>
      <c r="C46" s="8"/>
      <c r="D46" s="19">
        <f>IF(G45-J46&lt;0,INDEX(DONNEES!$E$5:$E$393,MATCH(PROJECTION!D45,DONNEES!$E$5:$E$12,0)+1),D45)</f>
        <v>49</v>
      </c>
      <c r="E46" s="20">
        <f>IF($D46&lt;&gt;$D45,VLOOKUP($D46,DONNEES!$E$5:$F$12,2,0)+IF(G45&lt;J46,E45,0)-SUM(J45),E45-J45)</f>
        <v>1795</v>
      </c>
      <c r="F46" s="20">
        <f>VLOOKUP(Tableau1[[#This Row],[N° de Cave]],DONNEES!$E$5:$F$12,2,0)</f>
        <v>1824</v>
      </c>
      <c r="G46" s="20">
        <f t="shared" si="0"/>
        <v>1795</v>
      </c>
      <c r="H46" s="34">
        <f t="shared" si="2"/>
        <v>0.98410087719298245</v>
      </c>
      <c r="I46" s="6"/>
      <c r="J46" s="6"/>
      <c r="L46" s="42">
        <v>37</v>
      </c>
      <c r="M46" s="45">
        <f>SUMIF(Tableau1[[Semaine  ]],L46,Tableau1[Nbre de meule])</f>
        <v>0</v>
      </c>
    </row>
    <row r="47" spans="2:13" x14ac:dyDescent="0.35">
      <c r="B47" s="18" t="str">
        <f>IF(Tableau1[[#This Row],[Date]]="","",_xlfn.ISOWEEKNUM(C47))</f>
        <v/>
      </c>
      <c r="C47" s="8"/>
      <c r="D47" s="19">
        <f>IF(G46-J47&lt;0,INDEX(DONNEES!$E$5:$E$393,MATCH(PROJECTION!D46,DONNEES!$E$5:$E$12,0)+1),D46)</f>
        <v>49</v>
      </c>
      <c r="E47" s="20">
        <f>IF($D47&lt;&gt;$D46,VLOOKUP($D47,DONNEES!$E$5:$F$12,2,0)+IF(G46&lt;J47,E46,0)-SUM(J46),E46-J46)</f>
        <v>1795</v>
      </c>
      <c r="F47" s="20">
        <f>VLOOKUP(Tableau1[[#This Row],[N° de Cave]],DONNEES!$E$5:$F$12,2,0)</f>
        <v>1824</v>
      </c>
      <c r="G47" s="20">
        <f t="shared" si="0"/>
        <v>1795</v>
      </c>
      <c r="H47" s="34">
        <f t="shared" si="2"/>
        <v>0.98410087719298245</v>
      </c>
      <c r="I47" s="6"/>
      <c r="J47" s="6"/>
      <c r="L47" s="42">
        <v>38</v>
      </c>
      <c r="M47" s="45">
        <f>SUMIF(Tableau1[[Semaine  ]],L47,Tableau1[Nbre de meule])</f>
        <v>0</v>
      </c>
    </row>
    <row r="48" spans="2:13" x14ac:dyDescent="0.35">
      <c r="B48" s="18" t="str">
        <f>IF(Tableau1[[#This Row],[Date]]="","",_xlfn.ISOWEEKNUM(C48))</f>
        <v/>
      </c>
      <c r="C48" s="8"/>
      <c r="D48" s="19">
        <f>IF(G47-J48&lt;0,INDEX(DONNEES!$E$5:$E$393,MATCH(PROJECTION!D47,DONNEES!$E$5:$E$12,0)+1),D47)</f>
        <v>49</v>
      </c>
      <c r="E48" s="20">
        <f>IF($D48&lt;&gt;$D47,VLOOKUP($D48,DONNEES!$E$5:$F$12,2,0)+IF(G47&lt;J48,E47,0)-SUM(J47),E47-J47)</f>
        <v>1795</v>
      </c>
      <c r="F48" s="20">
        <f>VLOOKUP(Tableau1[[#This Row],[N° de Cave]],DONNEES!$E$5:$F$12,2,0)</f>
        <v>1824</v>
      </c>
      <c r="G48" s="20">
        <f t="shared" si="0"/>
        <v>1795</v>
      </c>
      <c r="H48" s="34">
        <f t="shared" si="2"/>
        <v>0.98410087719298245</v>
      </c>
      <c r="I48" s="6"/>
      <c r="J48" s="6"/>
      <c r="L48" s="42">
        <v>39</v>
      </c>
      <c r="M48" s="45">
        <f>SUMIF(Tableau1[[Semaine  ]],L48,Tableau1[Nbre de meule])</f>
        <v>0</v>
      </c>
    </row>
    <row r="49" spans="2:13" x14ac:dyDescent="0.35">
      <c r="B49" s="18" t="str">
        <f>IF(Tableau1[[#This Row],[Date]]="","",_xlfn.ISOWEEKNUM(C49))</f>
        <v/>
      </c>
      <c r="C49" s="8"/>
      <c r="D49" s="19">
        <f>IF(G48-J49&lt;0,INDEX(DONNEES!$E$5:$E$393,MATCH(PROJECTION!D48,DONNEES!$E$5:$E$12,0)+1),D48)</f>
        <v>49</v>
      </c>
      <c r="E49" s="20">
        <f>IF($D49&lt;&gt;$D48,VLOOKUP($D49,DONNEES!$E$5:$F$12,2,0)+IF(G48&lt;J49,E48,0)-SUM(J48),E48-J48)</f>
        <v>1795</v>
      </c>
      <c r="F49" s="20">
        <f>VLOOKUP(Tableau1[[#This Row],[N° de Cave]],DONNEES!$E$5:$F$12,2,0)</f>
        <v>1824</v>
      </c>
      <c r="G49" s="20">
        <f t="shared" si="0"/>
        <v>1795</v>
      </c>
      <c r="H49" s="34">
        <f t="shared" si="2"/>
        <v>0.98410087719298245</v>
      </c>
      <c r="I49" s="6"/>
      <c r="J49" s="6"/>
      <c r="L49" s="42">
        <v>40</v>
      </c>
      <c r="M49" s="45">
        <f>SUMIF(Tableau1[[Semaine  ]],L49,Tableau1[Nbre de meule])</f>
        <v>0</v>
      </c>
    </row>
    <row r="50" spans="2:13" x14ac:dyDescent="0.35">
      <c r="B50" s="18" t="str">
        <f>IF(Tableau1[[#This Row],[Date]]="","",_xlfn.ISOWEEKNUM(C50))</f>
        <v/>
      </c>
      <c r="C50" s="8"/>
      <c r="D50" s="19">
        <f>IF(G49-J50&lt;0,INDEX(DONNEES!$E$5:$E$393,MATCH(PROJECTION!D49,DONNEES!$E$5:$E$12,0)+1),D49)</f>
        <v>49</v>
      </c>
      <c r="E50" s="20">
        <f>IF($D50&lt;&gt;$D49,VLOOKUP($D50,DONNEES!$E$5:$F$12,2,0)+IF(G49&lt;J50,E49,0)-SUM(J49),E49-J49)</f>
        <v>1795</v>
      </c>
      <c r="F50" s="20">
        <f>VLOOKUP(Tableau1[[#This Row],[N° de Cave]],DONNEES!$E$5:$F$12,2,0)</f>
        <v>1824</v>
      </c>
      <c r="G50" s="20">
        <f t="shared" si="0"/>
        <v>1795</v>
      </c>
      <c r="H50" s="34">
        <f t="shared" si="2"/>
        <v>0.98410087719298245</v>
      </c>
      <c r="I50" s="6"/>
      <c r="J50" s="6"/>
      <c r="L50" s="42">
        <v>41</v>
      </c>
      <c r="M50" s="45">
        <f>SUMIF(Tableau1[[Semaine  ]],L50,Tableau1[Nbre de meule])</f>
        <v>0</v>
      </c>
    </row>
    <row r="51" spans="2:13" x14ac:dyDescent="0.35">
      <c r="B51" s="18" t="str">
        <f>IF(Tableau1[[#This Row],[Date]]="","",_xlfn.ISOWEEKNUM(C51))</f>
        <v/>
      </c>
      <c r="C51" s="8"/>
      <c r="D51" s="19">
        <f>IF(G50-J51&lt;0,INDEX(DONNEES!$E$5:$E$393,MATCH(PROJECTION!D50,DONNEES!$E$5:$E$12,0)+1),D50)</f>
        <v>49</v>
      </c>
      <c r="E51" s="20">
        <f>IF($D51&lt;&gt;$D50,VLOOKUP($D51,DONNEES!$E$5:$F$12,2,0)+IF(G50&lt;J51,E50,0)-SUM(J50),E50-J50)</f>
        <v>1795</v>
      </c>
      <c r="F51" s="20">
        <f>VLOOKUP(Tableau1[[#This Row],[N° de Cave]],DONNEES!$E$5:$F$12,2,0)</f>
        <v>1824</v>
      </c>
      <c r="G51" s="20">
        <f t="shared" si="0"/>
        <v>1795</v>
      </c>
      <c r="H51" s="34">
        <f t="shared" si="2"/>
        <v>0.98410087719298245</v>
      </c>
      <c r="I51" s="6"/>
      <c r="J51" s="6"/>
      <c r="L51" s="42">
        <v>42</v>
      </c>
      <c r="M51" s="45">
        <f>SUMIF(Tableau1[[Semaine  ]],L51,Tableau1[Nbre de meule])</f>
        <v>0</v>
      </c>
    </row>
    <row r="52" spans="2:13" x14ac:dyDescent="0.35">
      <c r="B52" s="18" t="str">
        <f>IF(Tableau1[[#This Row],[Date]]="","",_xlfn.ISOWEEKNUM(C52))</f>
        <v/>
      </c>
      <c r="C52" s="8"/>
      <c r="D52" s="19">
        <f>IF(G51-J52&lt;0,INDEX(DONNEES!$E$5:$E$393,MATCH(PROJECTION!D51,DONNEES!$E$5:$E$12,0)+1),D51)</f>
        <v>49</v>
      </c>
      <c r="E52" s="20">
        <f>IF($D52&lt;&gt;$D51,VLOOKUP($D52,DONNEES!$E$5:$F$12,2,0)+IF(G51&lt;J52,E51,0)-SUM(J51),E51-J51)</f>
        <v>1795</v>
      </c>
      <c r="F52" s="20">
        <f>VLOOKUP(Tableau1[[#This Row],[N° de Cave]],DONNEES!$E$5:$F$12,2,0)</f>
        <v>1824</v>
      </c>
      <c r="G52" s="20">
        <f t="shared" si="0"/>
        <v>1795</v>
      </c>
      <c r="H52" s="34">
        <f t="shared" si="2"/>
        <v>0.98410087719298245</v>
      </c>
      <c r="I52" s="6"/>
      <c r="J52" s="6"/>
      <c r="L52" s="42">
        <v>43</v>
      </c>
      <c r="M52" s="45">
        <f>SUMIF(Tableau1[[Semaine  ]],L52,Tableau1[Nbre de meule])</f>
        <v>0</v>
      </c>
    </row>
    <row r="53" spans="2:13" x14ac:dyDescent="0.35">
      <c r="B53" s="18" t="str">
        <f>IF(Tableau1[[#This Row],[Date]]="","",_xlfn.ISOWEEKNUM(C53))</f>
        <v/>
      </c>
      <c r="C53" s="8"/>
      <c r="D53" s="19">
        <f>IF(G52-J53&lt;0,INDEX(DONNEES!$E$5:$E$393,MATCH(PROJECTION!D52,DONNEES!$E$5:$E$12,0)+1),D52)</f>
        <v>49</v>
      </c>
      <c r="E53" s="20">
        <f>IF($D53&lt;&gt;$D52,VLOOKUP($D53,DONNEES!$E$5:$F$12,2,0)+IF(G52&lt;J53,E52,0)-SUM(J52),E52-J52)</f>
        <v>1795</v>
      </c>
      <c r="F53" s="20">
        <f>VLOOKUP(Tableau1[[#This Row],[N° de Cave]],DONNEES!$E$5:$F$12,2,0)</f>
        <v>1824</v>
      </c>
      <c r="G53" s="20">
        <f t="shared" si="0"/>
        <v>1795</v>
      </c>
      <c r="H53" s="34">
        <f t="shared" si="2"/>
        <v>0.98410087719298245</v>
      </c>
      <c r="I53" s="6"/>
      <c r="J53" s="6"/>
      <c r="L53" s="42">
        <v>44</v>
      </c>
      <c r="M53" s="45">
        <f>SUMIF(Tableau1[[Semaine  ]],L53,Tableau1[Nbre de meule])</f>
        <v>0</v>
      </c>
    </row>
    <row r="54" spans="2:13" x14ac:dyDescent="0.35">
      <c r="B54" s="18" t="str">
        <f>IF(Tableau1[[#This Row],[Date]]="","",_xlfn.ISOWEEKNUM(C54))</f>
        <v/>
      </c>
      <c r="C54" s="8"/>
      <c r="D54" s="19">
        <f>IF(G53-J54&lt;0,INDEX(DONNEES!$E$5:$E$393,MATCH(PROJECTION!D53,DONNEES!$E$5:$E$12,0)+1),D53)</f>
        <v>49</v>
      </c>
      <c r="E54" s="20">
        <f>IF($D54&lt;&gt;$D53,VLOOKUP($D54,DONNEES!$E$5:$F$12,2,0)+IF(G53&lt;J54,E53,0)-SUM(J53),E53-J53)</f>
        <v>1795</v>
      </c>
      <c r="F54" s="20">
        <f>VLOOKUP(Tableau1[[#This Row],[N° de Cave]],DONNEES!$E$5:$F$12,2,0)</f>
        <v>1824</v>
      </c>
      <c r="G54" s="20">
        <f t="shared" si="0"/>
        <v>1795</v>
      </c>
      <c r="H54" s="34">
        <f t="shared" si="2"/>
        <v>0.98410087719298245</v>
      </c>
      <c r="I54" s="6"/>
      <c r="J54" s="7"/>
      <c r="L54" s="42">
        <v>45</v>
      </c>
      <c r="M54" s="45">
        <f>SUMIF(Tableau1[[Semaine  ]],L54,Tableau1[Nbre de meule])</f>
        <v>0</v>
      </c>
    </row>
    <row r="55" spans="2:13" x14ac:dyDescent="0.35">
      <c r="L55" s="42">
        <v>46</v>
      </c>
      <c r="M55" s="45">
        <f>SUMIF(Tableau1[[Semaine  ]],L55,Tableau1[Nbre de meule])</f>
        <v>0</v>
      </c>
    </row>
    <row r="56" spans="2:13" x14ac:dyDescent="0.35">
      <c r="L56" s="42">
        <v>47</v>
      </c>
      <c r="M56" s="45">
        <f>SUMIF(Tableau1[[Semaine  ]],L56,Tableau1[Nbre de meule])</f>
        <v>0</v>
      </c>
    </row>
    <row r="57" spans="2:13" x14ac:dyDescent="0.35">
      <c r="L57" s="42">
        <v>48</v>
      </c>
      <c r="M57" s="45">
        <f>SUMIF(Tableau1[[Semaine  ]],L57,Tableau1[Nbre de meule])</f>
        <v>0</v>
      </c>
    </row>
    <row r="58" spans="2:13" x14ac:dyDescent="0.35">
      <c r="L58" s="42">
        <v>49</v>
      </c>
      <c r="M58" s="45">
        <f>SUMIF(Tableau1[[Semaine  ]],L58,Tableau1[Nbre de meule])</f>
        <v>0</v>
      </c>
    </row>
    <row r="59" spans="2:13" x14ac:dyDescent="0.35">
      <c r="L59" s="42">
        <v>50</v>
      </c>
      <c r="M59" s="45">
        <f>SUMIF(Tableau1[[Semaine  ]],L59,Tableau1[Nbre de meule])</f>
        <v>0</v>
      </c>
    </row>
    <row r="60" spans="2:13" x14ac:dyDescent="0.35">
      <c r="L60" s="42">
        <v>51</v>
      </c>
      <c r="M60" s="45">
        <f>SUMIF(Tableau1[[Semaine  ]],L60,Tableau1[Nbre de meule])</f>
        <v>0</v>
      </c>
    </row>
    <row r="61" spans="2:13" ht="15" thickBot="1" x14ac:dyDescent="0.4">
      <c r="L61" s="43">
        <v>52</v>
      </c>
      <c r="M61" s="46">
        <f>SUMIF(Tableau1[[Semaine  ]],L61,Tableau1[Nbre de meule])</f>
        <v>0</v>
      </c>
    </row>
    <row r="62" spans="2:13" x14ac:dyDescent="0.35">
      <c r="B62" s="11"/>
      <c r="C62" s="10"/>
      <c r="D62" s="11"/>
      <c r="E62" s="12"/>
      <c r="F62" s="12"/>
      <c r="G62" s="11"/>
      <c r="H62" s="13"/>
      <c r="I62" s="11"/>
    </row>
    <row r="63" spans="2:13" x14ac:dyDescent="0.35">
      <c r="B63" s="11"/>
      <c r="C63" s="10"/>
      <c r="D63" s="11"/>
      <c r="E63" s="12"/>
      <c r="F63" s="12"/>
      <c r="G63" s="13"/>
      <c r="H63" s="11"/>
      <c r="I63" s="11"/>
    </row>
    <row r="64" spans="2:13" x14ac:dyDescent="0.35">
      <c r="B64" s="11"/>
      <c r="C64" s="10"/>
      <c r="D64" s="11"/>
      <c r="E64" s="12"/>
      <c r="F64" s="12"/>
      <c r="G64" s="13"/>
      <c r="H64" s="11"/>
      <c r="I64" s="11"/>
    </row>
    <row r="65" spans="2:9" x14ac:dyDescent="0.35">
      <c r="B65" s="11"/>
      <c r="C65" s="10"/>
      <c r="D65" s="11"/>
      <c r="E65" s="12"/>
      <c r="F65" s="12"/>
      <c r="G65" s="13"/>
      <c r="H65" s="11"/>
      <c r="I65" s="11"/>
    </row>
    <row r="66" spans="2:9" x14ac:dyDescent="0.35">
      <c r="G66" s="15"/>
      <c r="H66" s="14"/>
    </row>
    <row r="67" spans="2:9" x14ac:dyDescent="0.35">
      <c r="G67" s="15"/>
      <c r="H67" s="14"/>
    </row>
  </sheetData>
  <dataConsolidate/>
  <mergeCells count="1">
    <mergeCell ref="L8:M8"/>
  </mergeCells>
  <conditionalFormatting sqref="H9:H54">
    <cfRule type="dataBar" priority="3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{8FB8755D-88F7-4C4D-A5D8-7CC5B1DA8A1C}</x14:id>
        </ext>
      </extLst>
    </cfRule>
  </conditionalFormatting>
  <pageMargins left="0.7" right="0.7" top="0.75" bottom="0.75" header="0.3" footer="0.3"/>
  <pageSetup paperSize="9" orientation="portrait" r:id="rId1"/>
  <ignoredErrors>
    <ignoredError sqref="E1429:E1048576" formulaRange="1"/>
    <ignoredError sqref="D9:D54" calculatedColumn="1"/>
  </ignoredErrors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FB8755D-88F7-4C4D-A5D8-7CC5B1DA8A1C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H9:H54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C1BFC144-5485-49C7-B937-F8EB27B03BDA}">
          <x14:formula1>
            <xm:f>DONNEES!$B$5:$B$9</xm:f>
          </x14:formula1>
          <xm:sqref>I68:I1048576 H63:H67 I9:I62</xm:sqref>
        </x14:dataValidation>
      </x14:dataValidations>
    </ex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8DFD2F24-A051-446B-8702-B1348C7990A4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PROJECTION!H9:H9</xm:f>
              <xm:sqref>H9</xm:sqref>
            </x14:sparkline>
            <x14:sparkline>
              <xm:f>PROJECTION!H10:H10</xm:f>
              <xm:sqref>H10</xm:sqref>
            </x14:sparkline>
            <x14:sparkline>
              <xm:f>PROJECTION!H11:H11</xm:f>
              <xm:sqref>H11</xm:sqref>
            </x14:sparkline>
            <x14:sparkline>
              <xm:f>PROJECTION!H12:H12</xm:f>
              <xm:sqref>H12</xm:sqref>
            </x14:sparkline>
            <x14:sparkline>
              <xm:f>PROJECTION!H13:H13</xm:f>
              <xm:sqref>H13</xm:sqref>
            </x14:sparkline>
            <x14:sparkline>
              <xm:f>PROJECTION!H14:H14</xm:f>
              <xm:sqref>H14</xm:sqref>
            </x14:sparkline>
            <x14:sparkline>
              <xm:f>PROJECTION!H15:H15</xm:f>
              <xm:sqref>H15</xm:sqref>
            </x14:sparkline>
            <x14:sparkline>
              <xm:f>PROJECTION!H16:H16</xm:f>
              <xm:sqref>H16</xm:sqref>
            </x14:sparkline>
            <x14:sparkline>
              <xm:f>PROJECTION!H17:H17</xm:f>
              <xm:sqref>H17</xm:sqref>
            </x14:sparkline>
            <x14:sparkline>
              <xm:f>PROJECTION!H18:H18</xm:f>
              <xm:sqref>H18</xm:sqref>
            </x14:sparkline>
            <x14:sparkline>
              <xm:f>PROJECTION!H19:H19</xm:f>
              <xm:sqref>H19</xm:sqref>
            </x14:sparkline>
            <x14:sparkline>
              <xm:f>PROJECTION!H20:H20</xm:f>
              <xm:sqref>H20</xm:sqref>
            </x14:sparkline>
            <x14:sparkline>
              <xm:f>PROJECTION!H21:H21</xm:f>
              <xm:sqref>H21</xm:sqref>
            </x14:sparkline>
            <x14:sparkline>
              <xm:f>PROJECTION!H22:H22</xm:f>
              <xm:sqref>H22</xm:sqref>
            </x14:sparkline>
            <x14:sparkline>
              <xm:f>PROJECTION!H23:H23</xm:f>
              <xm:sqref>H23</xm:sqref>
            </x14:sparkline>
            <x14:sparkline>
              <xm:f>PROJECTION!H24:H24</xm:f>
              <xm:sqref>H24</xm:sqref>
            </x14:sparkline>
            <x14:sparkline>
              <xm:f>PROJECTION!H25:H25</xm:f>
              <xm:sqref>H25</xm:sqref>
            </x14:sparkline>
            <x14:sparkline>
              <xm:f>PROJECTION!H26:H26</xm:f>
              <xm:sqref>H26</xm:sqref>
            </x14:sparkline>
            <x14:sparkline>
              <xm:f>PROJECTION!H27:H27</xm:f>
              <xm:sqref>H27</xm:sqref>
            </x14:sparkline>
            <x14:sparkline>
              <xm:f>PROJECTION!H28:H28</xm:f>
              <xm:sqref>H28</xm:sqref>
            </x14:sparkline>
            <x14:sparkline>
              <xm:f>PROJECTION!H29:H29</xm:f>
              <xm:sqref>H29</xm:sqref>
            </x14:sparkline>
            <x14:sparkline>
              <xm:f>PROJECTION!H30:H30</xm:f>
              <xm:sqref>H30</xm:sqref>
            </x14:sparkline>
            <x14:sparkline>
              <xm:f>PROJECTION!H31:H31</xm:f>
              <xm:sqref>H31</xm:sqref>
            </x14:sparkline>
            <x14:sparkline>
              <xm:f>PROJECTION!H32:H32</xm:f>
              <xm:sqref>H32</xm:sqref>
            </x14:sparkline>
            <x14:sparkline>
              <xm:f>PROJECTION!H33:H33</xm:f>
              <xm:sqref>H33</xm:sqref>
            </x14:sparkline>
            <x14:sparkline>
              <xm:f>PROJECTION!H34:H34</xm:f>
              <xm:sqref>H34</xm:sqref>
            </x14:sparkline>
            <x14:sparkline>
              <xm:f>PROJECTION!H35:H35</xm:f>
              <xm:sqref>H35</xm:sqref>
            </x14:sparkline>
            <x14:sparkline>
              <xm:f>PROJECTION!H36:H36</xm:f>
              <xm:sqref>H36</xm:sqref>
            </x14:sparkline>
            <x14:sparkline>
              <xm:f>PROJECTION!H37:H37</xm:f>
              <xm:sqref>H37</xm:sqref>
            </x14:sparkline>
            <x14:sparkline>
              <xm:f>PROJECTION!H38:H38</xm:f>
              <xm:sqref>H38</xm:sqref>
            </x14:sparkline>
            <x14:sparkline>
              <xm:f>PROJECTION!H39:H39</xm:f>
              <xm:sqref>H39</xm:sqref>
            </x14:sparkline>
            <x14:sparkline>
              <xm:f>PROJECTION!H40:H40</xm:f>
              <xm:sqref>H40</xm:sqref>
            </x14:sparkline>
            <x14:sparkline>
              <xm:f>PROJECTION!H41:H41</xm:f>
              <xm:sqref>H41</xm:sqref>
            </x14:sparkline>
            <x14:sparkline>
              <xm:f>PROJECTION!H42:H42</xm:f>
              <xm:sqref>H42</xm:sqref>
            </x14:sparkline>
            <x14:sparkline>
              <xm:f>PROJECTION!H43:H43</xm:f>
              <xm:sqref>H43</xm:sqref>
            </x14:sparkline>
            <x14:sparkline>
              <xm:f>PROJECTION!H44:H44</xm:f>
              <xm:sqref>H44</xm:sqref>
            </x14:sparkline>
            <x14:sparkline>
              <xm:f>PROJECTION!H45:H45</xm:f>
              <xm:sqref>H45</xm:sqref>
            </x14:sparkline>
            <x14:sparkline>
              <xm:f>PROJECTION!H46:H46</xm:f>
              <xm:sqref>H46</xm:sqref>
            </x14:sparkline>
            <x14:sparkline>
              <xm:f>PROJECTION!H47:H47</xm:f>
              <xm:sqref>H47</xm:sqref>
            </x14:sparkline>
            <x14:sparkline>
              <xm:f>PROJECTION!H48:H48</xm:f>
              <xm:sqref>H48</xm:sqref>
            </x14:sparkline>
            <x14:sparkline>
              <xm:f>PROJECTION!H49:H49</xm:f>
              <xm:sqref>H49</xm:sqref>
            </x14:sparkline>
            <x14:sparkline>
              <xm:f>PROJECTION!H50:H50</xm:f>
              <xm:sqref>H50</xm:sqref>
            </x14:sparkline>
            <x14:sparkline>
              <xm:f>PROJECTION!H51:H51</xm:f>
              <xm:sqref>H51</xm:sqref>
            </x14:sparkline>
            <x14:sparkline>
              <xm:f>PROJECTION!H52:H52</xm:f>
              <xm:sqref>H52</xm:sqref>
            </x14:sparkline>
            <x14:sparkline>
              <xm:f>PROJECTION!H53:H53</xm:f>
              <xm:sqref>H53</xm:sqref>
            </x14:sparkline>
            <x14:sparkline>
              <xm:f>PROJECTION!H54:H54</xm:f>
              <xm:sqref>H54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6E4DD-08FE-4CD8-824E-D453F32A60CA}">
  <dimension ref="A3:E14"/>
  <sheetViews>
    <sheetView workbookViewId="0">
      <selection activeCell="A13" sqref="A13"/>
    </sheetView>
  </sheetViews>
  <sheetFormatPr baseColWidth="10" defaultRowHeight="14.5" x14ac:dyDescent="0.35"/>
  <sheetData>
    <row r="3" spans="1:5" x14ac:dyDescent="0.35">
      <c r="D3" t="s">
        <v>22</v>
      </c>
    </row>
    <row r="4" spans="1:5" x14ac:dyDescent="0.35">
      <c r="D4" t="s">
        <v>23</v>
      </c>
    </row>
    <row r="5" spans="1:5" x14ac:dyDescent="0.35">
      <c r="D5" t="s">
        <v>24</v>
      </c>
    </row>
    <row r="6" spans="1:5" x14ac:dyDescent="0.35">
      <c r="D6" t="s">
        <v>25</v>
      </c>
    </row>
    <row r="7" spans="1:5" x14ac:dyDescent="0.35">
      <c r="D7" t="s">
        <v>26</v>
      </c>
    </row>
    <row r="9" spans="1:5" x14ac:dyDescent="0.35">
      <c r="D9" t="s">
        <v>27</v>
      </c>
    </row>
    <row r="12" spans="1:5" x14ac:dyDescent="0.35">
      <c r="A12" t="s">
        <v>28</v>
      </c>
      <c r="B12" t="s">
        <v>29</v>
      </c>
      <c r="C12" t="s">
        <v>32</v>
      </c>
      <c r="D12" t="s">
        <v>34</v>
      </c>
      <c r="E12" t="s">
        <v>37</v>
      </c>
    </row>
    <row r="13" spans="1:5" s="47" customFormat="1" ht="87" x14ac:dyDescent="0.35">
      <c r="A13" s="47" t="s">
        <v>31</v>
      </c>
      <c r="B13" s="47" t="s">
        <v>30</v>
      </c>
      <c r="C13" s="47" t="s">
        <v>33</v>
      </c>
      <c r="D13" s="47" t="s">
        <v>35</v>
      </c>
      <c r="E13" s="47" t="s">
        <v>38</v>
      </c>
    </row>
    <row r="14" spans="1:5" x14ac:dyDescent="0.35">
      <c r="D14" t="s">
        <v>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4DF2F-3BC1-41D2-B5CD-D94C75B8F779}">
  <dimension ref="B2:I8"/>
  <sheetViews>
    <sheetView topLeftCell="D1" workbookViewId="0">
      <selection activeCell="D6" sqref="D6"/>
    </sheetView>
  </sheetViews>
  <sheetFormatPr baseColWidth="10" defaultRowHeight="14.5" x14ac:dyDescent="0.35"/>
  <cols>
    <col min="2" max="2" width="7.1796875" bestFit="1" customWidth="1"/>
    <col min="3" max="3" width="16.453125" bestFit="1" customWidth="1"/>
    <col min="4" max="5" width="16.453125" customWidth="1"/>
    <col min="6" max="6" width="16.26953125" customWidth="1"/>
    <col min="7" max="7" width="12" bestFit="1" customWidth="1"/>
    <col min="8" max="8" width="14.54296875" bestFit="1" customWidth="1"/>
    <col min="9" max="9" width="16.7265625" bestFit="1" customWidth="1"/>
  </cols>
  <sheetData>
    <row r="2" spans="2:9" s="48" customFormat="1" ht="35.15" customHeight="1" x14ac:dyDescent="0.35">
      <c r="B2" s="48" t="s">
        <v>28</v>
      </c>
      <c r="C2" s="48" t="s">
        <v>29</v>
      </c>
      <c r="D2" s="48" t="s">
        <v>42</v>
      </c>
      <c r="E2" s="48" t="s">
        <v>43</v>
      </c>
      <c r="F2" s="48" t="s">
        <v>39</v>
      </c>
      <c r="G2" s="48" t="s">
        <v>40</v>
      </c>
      <c r="H2" s="48" t="s">
        <v>41</v>
      </c>
      <c r="I2" s="49" t="s">
        <v>44</v>
      </c>
    </row>
    <row r="3" spans="2:9" x14ac:dyDescent="0.35">
      <c r="D3" s="51">
        <f>INDEX(Tableau1[N° de Cave],MATCH(MAX(Tableau1[Date]),Tableau1[Date],0)-1)</f>
        <v>31</v>
      </c>
      <c r="E3" s="50">
        <f>IFERROR(INDEX(Tableau1[Date],MATCH(Tableau2[[#This Row],[N° de cave]],Tableau1[N° de Cave],0)+1),"")</f>
        <v>44617</v>
      </c>
      <c r="F3">
        <v>28</v>
      </c>
      <c r="G3" s="50">
        <f>Tableau2[[#This Row],[fin remplissage]]+Tableau2[[#This Row],[Nbre de J]]</f>
        <v>44645</v>
      </c>
      <c r="H3" s="50">
        <f>Tableau2[[#This Row],[Montée °C]]+4</f>
        <v>44649</v>
      </c>
      <c r="I3" s="50">
        <f>Tableau2[[#This Row],[arrivée à 16°C]]+40</f>
        <v>44689</v>
      </c>
    </row>
    <row r="4" spans="2:9" x14ac:dyDescent="0.35">
      <c r="D4" s="51">
        <f>INDEX(Tableau1[N° de Cave],MATCH(MAX(Tableau1[Date]),Tableau1[Date],0)-1)</f>
        <v>31</v>
      </c>
      <c r="E4" s="50">
        <f>IFERROR(INDEX(Tableau1[Date],MATCH(Tableau2[[#This Row],[N° de cave]],Tableau1[N° de Cave],0)+1),"")</f>
        <v>44617</v>
      </c>
      <c r="G4" s="50">
        <f>Tableau2[[#This Row],[fin remplissage]]+Tableau2[[#This Row],[Nbre de J]]</f>
        <v>44617</v>
      </c>
      <c r="H4" s="50">
        <f>Tableau2[[#This Row],[Montée °C]]+4</f>
        <v>44621</v>
      </c>
      <c r="I4" s="50">
        <f>Tableau2[[#This Row],[arrivée à 16°C]]+40</f>
        <v>44661</v>
      </c>
    </row>
    <row r="5" spans="2:9" x14ac:dyDescent="0.35">
      <c r="D5" s="51">
        <f>INDEX(Tableau1[N° de Cave],MATCH(MAX(Tableau1[Date]),Tableau1[Date],0)-1)</f>
        <v>31</v>
      </c>
      <c r="E5" s="50">
        <f>IFERROR(INDEX(Tableau1[Date],MATCH(Tableau2[[#This Row],[N° de cave]],Tableau1[N° de Cave],0)+1),"")</f>
        <v>44617</v>
      </c>
      <c r="G5" s="50">
        <f>Tableau2[[#This Row],[fin remplissage]]+Tableau2[[#This Row],[Nbre de J]]</f>
        <v>44617</v>
      </c>
      <c r="H5" s="50">
        <f>Tableau2[[#This Row],[Montée °C]]+4</f>
        <v>44621</v>
      </c>
      <c r="I5" s="50">
        <f>Tableau2[[#This Row],[arrivée à 16°C]]+40</f>
        <v>44661</v>
      </c>
    </row>
    <row r="6" spans="2:9" x14ac:dyDescent="0.35">
      <c r="D6" s="51">
        <f>INDEX(Tableau1[N° de Cave],MATCH(MAX(Tableau1[Date]),Tableau1[Date],0)-1)</f>
        <v>31</v>
      </c>
      <c r="E6" s="50">
        <f>IFERROR(INDEX(Tableau1[Date],MATCH(Tableau2[[#This Row],[N° de cave]],Tableau1[N° de Cave],0)+1),"")</f>
        <v>44617</v>
      </c>
      <c r="G6" s="50">
        <f>Tableau2[[#This Row],[fin remplissage]]+Tableau2[[#This Row],[Nbre de J]]</f>
        <v>44617</v>
      </c>
      <c r="H6" s="50">
        <f>Tableau2[[#This Row],[Montée °C]]+4</f>
        <v>44621</v>
      </c>
      <c r="I6" s="50">
        <f>Tableau2[[#This Row],[arrivée à 16°C]]+40</f>
        <v>44661</v>
      </c>
    </row>
    <row r="7" spans="2:9" x14ac:dyDescent="0.35">
      <c r="D7" s="51">
        <f>INDEX(Tableau1[N° de Cave],MATCH(MAX(Tableau1[Date]),Tableau1[Date],0)-1)</f>
        <v>31</v>
      </c>
      <c r="E7" s="50">
        <f>IFERROR(INDEX(Tableau1[Date],MATCH(Tableau2[[#This Row],[N° de cave]],Tableau1[N° de Cave],0)+1),"")</f>
        <v>44617</v>
      </c>
      <c r="G7" s="50">
        <f>Tableau2[[#This Row],[fin remplissage]]+Tableau2[[#This Row],[Nbre de J]]</f>
        <v>44617</v>
      </c>
      <c r="H7" s="50">
        <f>Tableau2[[#This Row],[Montée °C]]+4</f>
        <v>44621</v>
      </c>
      <c r="I7" s="50">
        <f>Tableau2[[#This Row],[arrivée à 16°C]]+40</f>
        <v>44661</v>
      </c>
    </row>
    <row r="8" spans="2:9" x14ac:dyDescent="0.35">
      <c r="D8" s="51">
        <f>INDEX(Tableau1[N° de Cave],MATCH(MAX(Tableau1[Date]),Tableau1[Date],0)-1)</f>
        <v>31</v>
      </c>
      <c r="E8" s="50">
        <f>IFERROR(INDEX(Tableau1[Date],MATCH(Tableau2[[#This Row],[N° de cave]],Tableau1[N° de Cave],0)+1),"")</f>
        <v>44617</v>
      </c>
      <c r="G8" s="50">
        <f>Tableau2[[#This Row],[fin remplissage]]+Tableau2[[#This Row],[Nbre de J]]</f>
        <v>44617</v>
      </c>
      <c r="H8" s="50">
        <f>Tableau2[[#This Row],[Montée °C]]+4</f>
        <v>44621</v>
      </c>
      <c r="I8" s="50">
        <f>Tableau2[[#This Row],[arrivée à 16°C]]+40</f>
        <v>44661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</vt:lpstr>
      <vt:lpstr>PROJECTION</vt:lpstr>
      <vt:lpstr>T°</vt:lpstr>
      <vt:lpstr>Feuil2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MOUROT Lionel</dc:creator>
  <cp:lastModifiedBy>SLAOUI Myriam</cp:lastModifiedBy>
  <dcterms:created xsi:type="dcterms:W3CDTF">2022-01-19T13:25:46Z</dcterms:created>
  <dcterms:modified xsi:type="dcterms:W3CDTF">2022-01-28T07:19:43Z</dcterms:modified>
</cp:coreProperties>
</file>