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Nouveau dossier (2)\"/>
    </mc:Choice>
  </mc:AlternateContent>
  <xr:revisionPtr revIDLastSave="0" documentId="8_{84DB96F7-47A5-4788-A1D8-DC1C2D6C9E76}" xr6:coauthVersionLast="47" xr6:coauthVersionMax="47" xr10:uidLastSave="{00000000-0000-0000-0000-000000000000}"/>
  <bookViews>
    <workbookView xWindow="-110" yWindow="-110" windowWidth="19420" windowHeight="11020" xr2:uid="{A7A77088-BE98-43B1-8261-C12E516A8C9C}"/>
  </bookViews>
  <sheets>
    <sheet name="Feuil1" sheetId="1" r:id="rId1"/>
    <sheet name="Feuil2" sheetId="2" r:id="rId2"/>
    <sheet name="DATA" sheetId="3" r:id="rId3"/>
  </sheets>
  <definedNames>
    <definedName name="Indemnite">INDEX(DATA!$C$2:$D$6,MATCH(Feuil2!A2,DATA!$C$2:$C$6,),2)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G14" i="1"/>
  <c r="I14" i="1"/>
  <c r="F13" i="1"/>
  <c r="G13" i="1"/>
  <c r="I13" i="1"/>
  <c r="H2" i="2"/>
  <c r="G2" i="2"/>
  <c r="F12" i="1"/>
  <c r="G12" i="1"/>
  <c r="I12" i="1"/>
  <c r="F2" i="2"/>
  <c r="E2" i="2"/>
  <c r="D2" i="2"/>
  <c r="C2" i="2"/>
  <c r="F11" i="1"/>
  <c r="G11" i="1"/>
  <c r="I11" i="1"/>
  <c r="F10" i="1"/>
  <c r="G10" i="1"/>
  <c r="I10" i="1"/>
  <c r="F9" i="1"/>
  <c r="G9" i="1"/>
  <c r="I9" i="1"/>
  <c r="F8" i="1"/>
  <c r="G8" i="1"/>
  <c r="I8" i="1"/>
  <c r="F7" i="1"/>
  <c r="G7" i="1"/>
  <c r="I7" i="1"/>
  <c r="F6" i="1"/>
  <c r="G6" i="1"/>
  <c r="I6" i="1"/>
  <c r="H15" i="1"/>
  <c r="C13" i="2"/>
  <c r="D13" i="2"/>
  <c r="G13" i="2"/>
  <c r="E13" i="2"/>
  <c r="H13" i="2"/>
  <c r="F13" i="2"/>
  <c r="C12" i="2"/>
  <c r="D12" i="2"/>
  <c r="G12" i="2"/>
  <c r="E12" i="2"/>
  <c r="H12" i="2"/>
  <c r="F12" i="2"/>
  <c r="H7" i="2"/>
  <c r="H8" i="2"/>
  <c r="G9" i="2"/>
  <c r="G11" i="2"/>
  <c r="G5" i="2"/>
  <c r="H11" i="2"/>
  <c r="H5" i="2"/>
  <c r="G6" i="2"/>
  <c r="G8" i="2"/>
  <c r="H9" i="2"/>
  <c r="H6" i="2"/>
  <c r="G10" i="2"/>
  <c r="H10" i="2"/>
  <c r="G7" i="2"/>
  <c r="C11" i="2"/>
  <c r="D11" i="2"/>
  <c r="E11" i="2"/>
  <c r="F11" i="2"/>
  <c r="F7" i="2"/>
  <c r="F9" i="2"/>
  <c r="F10" i="2"/>
  <c r="F8" i="2"/>
  <c r="F5" i="2"/>
  <c r="F6" i="2"/>
  <c r="E5" i="2"/>
  <c r="E9" i="2"/>
  <c r="E6" i="2"/>
  <c r="E10" i="2"/>
  <c r="E7" i="2"/>
  <c r="E8" i="2"/>
  <c r="D5" i="2"/>
  <c r="D9" i="2"/>
  <c r="D10" i="2"/>
  <c r="D6" i="2"/>
  <c r="D7" i="2"/>
  <c r="D8" i="2"/>
  <c r="C7" i="2"/>
  <c r="C8" i="2"/>
  <c r="C5" i="2"/>
  <c r="C9" i="2"/>
  <c r="C6" i="2"/>
  <c r="C10" i="2"/>
  <c r="I15" i="1" l="1"/>
  <c r="G15" i="1"/>
  <c r="J15" i="1"/>
  <c r="E15" i="1"/>
  <c r="G11" i="3"/>
  <c r="B14" i="2"/>
  <c r="B15" i="1"/>
  <c r="D15" i="1"/>
  <c r="I14" i="2"/>
  <c r="H9" i="3" l="1"/>
  <c r="H10" i="3"/>
  <c r="K13" i="1"/>
  <c r="L13" i="1" s="1"/>
  <c r="N13" i="1" s="1"/>
  <c r="K14" i="1"/>
  <c r="K12" i="1"/>
  <c r="M12" i="1" s="1"/>
  <c r="H8" i="3"/>
  <c r="H3" i="3"/>
  <c r="K7" i="1" s="1"/>
  <c r="H7" i="3"/>
  <c r="K11" i="1" s="1"/>
  <c r="H4" i="3"/>
  <c r="K8" i="1" s="1"/>
  <c r="L8" i="1" s="1"/>
  <c r="N8" i="1" s="1"/>
  <c r="H5" i="3"/>
  <c r="H2" i="3"/>
  <c r="K6" i="1" s="1"/>
  <c r="L6" i="1" s="1"/>
  <c r="H6" i="3"/>
  <c r="K10" i="1" s="1"/>
  <c r="M10" i="1" s="1"/>
  <c r="K9" i="1"/>
  <c r="F15" i="1"/>
  <c r="M13" i="1" l="1"/>
  <c r="N6" i="1"/>
  <c r="L14" i="1"/>
  <c r="N14" i="1" s="1"/>
  <c r="M14" i="1"/>
  <c r="L12" i="1"/>
  <c r="N12" i="1" s="1"/>
  <c r="L10" i="1"/>
  <c r="N10" i="1" s="1"/>
  <c r="L11" i="1"/>
  <c r="N11" i="1" s="1"/>
  <c r="M11" i="1"/>
  <c r="L9" i="1"/>
  <c r="N9" i="1" s="1"/>
  <c r="M9" i="1"/>
  <c r="M8" i="1"/>
  <c r="L7" i="1"/>
  <c r="N7" i="1" s="1"/>
  <c r="M7" i="1"/>
  <c r="M6" i="1"/>
  <c r="H11" i="3"/>
  <c r="L15" i="1" l="1"/>
  <c r="N15" i="1"/>
  <c r="K15" i="1"/>
  <c r="M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J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<sst xmlns="http://schemas.openxmlformats.org/spreadsheetml/2006/main" count="88" uniqueCount="51">
  <si>
    <t>NOM</t>
  </si>
  <si>
    <t>à injecter dans la cagnotte (NET)</t>
  </si>
  <si>
    <t>pourcentage de perte avant cagnotte de gréve</t>
  </si>
  <si>
    <t>montant reçu</t>
  </si>
  <si>
    <t>redristribution</t>
  </si>
  <si>
    <t>à ré-injecter dans le pot commun</t>
  </si>
  <si>
    <t xml:space="preserve">% perte finale </t>
  </si>
  <si>
    <t>CE</t>
  </si>
  <si>
    <t>CED</t>
  </si>
  <si>
    <t>OP</t>
  </si>
  <si>
    <t>PT</t>
  </si>
  <si>
    <t>AGT</t>
  </si>
  <si>
    <t>DSE</t>
  </si>
  <si>
    <t>AM</t>
  </si>
  <si>
    <t>Nuit</t>
  </si>
  <si>
    <t>1h</t>
  </si>
  <si>
    <t>Indemnité</t>
  </si>
  <si>
    <t>Type de quart</t>
  </si>
  <si>
    <t>Fonction</t>
  </si>
  <si>
    <t>Total</t>
  </si>
  <si>
    <t>Taux Horaire</t>
  </si>
  <si>
    <t>2h</t>
  </si>
  <si>
    <t xml:space="preserve"> </t>
  </si>
  <si>
    <t>nom</t>
  </si>
  <si>
    <t>th</t>
  </si>
  <si>
    <t>QT</t>
  </si>
  <si>
    <t>matin</t>
  </si>
  <si>
    <t>perte par agent sur paye (NET)</t>
  </si>
  <si>
    <t>Synthèse de grève</t>
  </si>
  <si>
    <t>Taux de convertion</t>
  </si>
  <si>
    <t>Perte si gréviste tous les jours (net)</t>
  </si>
  <si>
    <t>Taux horaire</t>
  </si>
  <si>
    <t>Poste</t>
  </si>
  <si>
    <t>Perte fin de grève</t>
  </si>
  <si>
    <t>participation à la perte collective(net)</t>
  </si>
  <si>
    <t>à rembourser à l'agent (net)</t>
  </si>
  <si>
    <t>AGENT1</t>
  </si>
  <si>
    <t>AGENT2</t>
  </si>
  <si>
    <t>AGENT3</t>
  </si>
  <si>
    <t>AGENT4</t>
  </si>
  <si>
    <t>AGENT5</t>
  </si>
  <si>
    <t>AGENT6</t>
  </si>
  <si>
    <t>21/02/2024/ma</t>
  </si>
  <si>
    <t>22/02/2024/AM</t>
  </si>
  <si>
    <t>23/02/2024/AM</t>
  </si>
  <si>
    <t>24/02/2024/AM</t>
  </si>
  <si>
    <t>AGENT7</t>
  </si>
  <si>
    <t>26/02/2024/Nu</t>
  </si>
  <si>
    <t>27/02/2024/ma</t>
  </si>
  <si>
    <t>AGENT8</t>
  </si>
  <si>
    <t>AGENT9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</si>
</sst>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12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1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6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2" fontId="8" fillId="4" borderId="0" xfId="0" applyNumberFormat="1" applyFont="1" applyFill="1" applyAlignment="1">
      <alignment horizontal="center"/>
    </xf>
    <xf numFmtId="0" fontId="1" fillId="3" borderId="4" xfId="0" applyFont="1" applyFill="1" applyBorder="1" applyAlignment="1">
      <alignment horizontal="center" vertical="center" wrapText="1" shrinkToFit="1"/>
    </xf>
    <xf numFmtId="0" fontId="1" fillId="3" borderId="5" xfId="0" applyFont="1" applyFill="1" applyBorder="1" applyAlignment="1">
      <alignment horizontal="center" vertical="center" wrapText="1" shrinkToFit="1"/>
    </xf>
    <xf numFmtId="0" fontId="1" fillId="3" borderId="6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10" fontId="8" fillId="0" borderId="0" xfId="0" applyNumberFormat="1" applyFont="1" applyAlignment="1">
      <alignment horizontal="center" vertical="center"/>
    </xf>
    <xf numFmtId="10" fontId="8" fillId="4" borderId="0" xfId="0" applyNumberFormat="1" applyFont="1" applyFill="1" applyAlignment="1">
      <alignment horizontal="center"/>
    </xf>
    <xf numFmtId="2" fontId="6" fillId="5" borderId="0" xfId="0" applyNumberFormat="1" applyFont="1" applyFill="1" applyAlignment="1">
      <alignment horizontal="center" vertical="center"/>
    </xf>
    <xf numFmtId="2" fontId="10" fillId="6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2" fontId="1" fillId="0" borderId="3" xfId="0" applyNumberFormat="1" applyFont="1" applyFill="1" applyBorder="1" applyAlignment="1">
      <alignment horizontal="center" vertical="center" wrapText="1" shrinkToFit="1"/>
    </xf>
    <xf numFmtId="2" fontId="2" fillId="0" borderId="3" xfId="0" applyNumberFormat="1" applyFont="1" applyFill="1" applyBorder="1" applyAlignment="1">
      <alignment horizontal="center" vertical="center" wrapText="1" shrinkToFit="1"/>
    </xf>
    <xf numFmtId="10" fontId="2" fillId="0" borderId="3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 vertical="center" wrapText="1" shrinkToFit="1"/>
    </xf>
    <xf numFmtId="0" fontId="8" fillId="0" borderId="0" xfId="0" applyFont="1" applyAlignment="1">
      <alignment vertical="center"/>
    </xf>
    <xf numFmtId="0" fontId="8" fillId="0" borderId="0" xfId="0" applyFont="1"/>
    <xf numFmtId="9" fontId="8" fillId="0" borderId="0" xfId="1" applyFont="1"/>
    <xf numFmtId="0" fontId="8" fillId="2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2" fontId="8" fillId="0" borderId="3" xfId="0" applyNumberFormat="1" applyFont="1" applyFill="1" applyBorder="1" applyAlignment="1">
      <alignment horizontal="center" vertical="center"/>
    </xf>
    <xf numFmtId="10" fontId="8" fillId="0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 tint="-0.34998626667073579"/>
        </patternFill>
      </fill>
    </dxf>
    <dxf>
      <font>
        <b val="0"/>
      </font>
      <alignment horizont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6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medium">
          <color indexed="64"/>
        </top>
      </border>
    </dxf>
    <dxf>
      <border>
        <bottom style="medium">
          <color indexed="64"/>
        </bottom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57150</xdr:rowOff>
    </xdr:from>
    <xdr:to>
      <xdr:col>6</xdr:col>
      <xdr:colOff>447675</xdr:colOff>
      <xdr:row>0</xdr:row>
      <xdr:rowOff>400050</xdr:rowOff>
    </xdr:to>
    <xdr:sp macro="[0]!OuvrirUSF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48200" y="57150"/>
          <a:ext cx="1485900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Ajouter Agent</a:t>
          </a:r>
        </a:p>
      </xdr:txBody>
    </xdr:sp>
    <xdr:clientData/>
  </xdr:twoCellAnchor>
  <xdr:twoCellAnchor>
    <xdr:from>
      <xdr:col>6</xdr:col>
      <xdr:colOff>504825</xdr:colOff>
      <xdr:row>0</xdr:row>
      <xdr:rowOff>57150</xdr:rowOff>
    </xdr:from>
    <xdr:to>
      <xdr:col>7</xdr:col>
      <xdr:colOff>971550</xdr:colOff>
      <xdr:row>0</xdr:row>
      <xdr:rowOff>400050</xdr:rowOff>
    </xdr:to>
    <xdr:sp macro="[0]!RAZ_Synthe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191250" y="57150"/>
          <a:ext cx="1485900" cy="3429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RAZ Tableau</a:t>
          </a:r>
        </a:p>
      </xdr:txBody>
    </xdr:sp>
    <xdr:clientData/>
  </xdr:twoCellAnchor>
  <xdr:twoCellAnchor>
    <xdr:from>
      <xdr:col>0</xdr:col>
      <xdr:colOff>1123950</xdr:colOff>
      <xdr:row>14</xdr:row>
      <xdr:rowOff>0</xdr:rowOff>
    </xdr:from>
    <xdr:to>
      <xdr:col>11</xdr:col>
      <xdr:colOff>152401</xdr:colOff>
      <xdr:row>27</xdr:row>
      <xdr:rowOff>163513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390BCAE4-74D0-59FD-9AB0-21A34513EA2B}"/>
            </a:ext>
          </a:extLst>
        </xdr:cNvPr>
        <xdr:cNvGrpSpPr/>
      </xdr:nvGrpSpPr>
      <xdr:grpSpPr>
        <a:xfrm>
          <a:off x="1123950" y="3214688"/>
          <a:ext cx="9950451" cy="2536825"/>
          <a:chOff x="1117600" y="4848226"/>
          <a:chExt cx="9963151" cy="2414587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2641601" y="4854576"/>
            <a:ext cx="2092325" cy="1155699"/>
            <a:chOff x="2543176" y="4800601"/>
            <a:chExt cx="2057400" cy="1009649"/>
          </a:xfrm>
        </xdr:grpSpPr>
        <xdr:sp macro="" textlink="">
          <xdr:nvSpPr>
            <xdr:cNvPr id="4" name="Rectangle : coins arrondis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2543176" y="4800601"/>
              <a:ext cx="2057400" cy="266700"/>
            </a:xfrm>
            <a:prstGeom prst="roundRect">
              <a:avLst/>
            </a:prstGeom>
            <a:noFill/>
            <a:ln w="19050">
              <a:solidFill>
                <a:srgbClr val="FF0000"/>
              </a:solidFill>
              <a:prstDash val="soli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ZoneText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2847976" y="5343525"/>
              <a:ext cx="1485900" cy="466725"/>
            </a:xfrm>
            <a:prstGeom prst="rect">
              <a:avLst/>
            </a:prstGeom>
            <a:solidFill>
              <a:schemeClr val="lt1"/>
            </a:solidFill>
            <a:ln w="19050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100"/>
                <a:t>ces 2 colonnes doivent être égales</a:t>
              </a:r>
            </a:p>
          </xdr:txBody>
        </xdr:sp>
        <xdr:cxnSp macro="">
          <xdr:nvCxnSpPr>
            <xdr:cNvPr id="7" name="Connecteur droit avec flèch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CxnSpPr/>
          </xdr:nvCxnSpPr>
          <xdr:spPr>
            <a:xfrm flipH="1" flipV="1">
              <a:off x="3009900" y="5067300"/>
              <a:ext cx="190500" cy="238125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3">
              <a:schemeClr val="dk1"/>
            </a:lnRef>
            <a:fillRef idx="0">
              <a:schemeClr val="dk1"/>
            </a:fillRef>
            <a:effectRef idx="2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" name="Connecteur droit avec flèch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CxnSpPr/>
          </xdr:nvCxnSpPr>
          <xdr:spPr>
            <a:xfrm flipV="1">
              <a:off x="3790950" y="5067300"/>
              <a:ext cx="180975" cy="266700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3">
              <a:schemeClr val="dk1"/>
            </a:lnRef>
            <a:fillRef idx="0">
              <a:schemeClr val="dk1"/>
            </a:fillRef>
            <a:effectRef idx="2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4892676" y="4848226"/>
            <a:ext cx="2155825" cy="1155699"/>
            <a:chOff x="2543176" y="4800601"/>
            <a:chExt cx="2057400" cy="1009649"/>
          </a:xfrm>
        </xdr:grpSpPr>
        <xdr:sp macro="" textlink="">
          <xdr:nvSpPr>
            <xdr:cNvPr id="12" name="Rectangle : coins arrondis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2543176" y="4800601"/>
              <a:ext cx="2057400" cy="266700"/>
            </a:xfrm>
            <a:prstGeom prst="roundRect">
              <a:avLst/>
            </a:prstGeom>
            <a:noFill/>
            <a:ln w="19050">
              <a:solidFill>
                <a:srgbClr val="FF0000"/>
              </a:solidFill>
              <a:prstDash val="soli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3" name="ZoneText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/>
          </xdr:nvSpPr>
          <xdr:spPr>
            <a:xfrm>
              <a:off x="2847976" y="5343525"/>
              <a:ext cx="1485900" cy="466725"/>
            </a:xfrm>
            <a:prstGeom prst="rect">
              <a:avLst/>
            </a:prstGeom>
            <a:solidFill>
              <a:schemeClr val="lt1"/>
            </a:solidFill>
            <a:ln w="19050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100"/>
                <a:t>ces 2 colonnes doivent être égales</a:t>
              </a:r>
            </a:p>
          </xdr:txBody>
        </xdr:sp>
        <xdr:cxnSp macro="">
          <xdr:nvCxnSpPr>
            <xdr:cNvPr id="14" name="Connecteur droit avec flèch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CxnSpPr/>
          </xdr:nvCxnSpPr>
          <xdr:spPr>
            <a:xfrm flipH="1" flipV="1">
              <a:off x="3009900" y="5067300"/>
              <a:ext cx="190500" cy="238125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3">
              <a:schemeClr val="dk1"/>
            </a:lnRef>
            <a:fillRef idx="0">
              <a:schemeClr val="dk1"/>
            </a:fillRef>
            <a:effectRef idx="2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5" name="Connecteur droit avec flèch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CxnSpPr/>
          </xdr:nvCxnSpPr>
          <xdr:spPr>
            <a:xfrm flipV="1">
              <a:off x="3790950" y="5067300"/>
              <a:ext cx="180975" cy="266700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3">
              <a:schemeClr val="dk1"/>
            </a:lnRef>
            <a:fillRef idx="0">
              <a:schemeClr val="dk1"/>
            </a:fillRef>
            <a:effectRef idx="2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GrpSpPr/>
        </xdr:nvGrpSpPr>
        <xdr:grpSpPr>
          <a:xfrm>
            <a:off x="8893176" y="4851401"/>
            <a:ext cx="2187575" cy="977899"/>
            <a:chOff x="2543176" y="4800601"/>
            <a:chExt cx="2057400" cy="1009649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2543176" y="4800601"/>
              <a:ext cx="2057400" cy="266700"/>
            </a:xfrm>
            <a:prstGeom prst="roundRect">
              <a:avLst/>
            </a:prstGeom>
            <a:noFill/>
            <a:ln w="19050">
              <a:solidFill>
                <a:srgbClr val="FF0000"/>
              </a:solidFill>
              <a:prstDash val="soli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8" name="ZoneTexte 17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 txBox="1"/>
          </xdr:nvSpPr>
          <xdr:spPr>
            <a:xfrm>
              <a:off x="2847976" y="5343525"/>
              <a:ext cx="1485900" cy="466725"/>
            </a:xfrm>
            <a:prstGeom prst="rect">
              <a:avLst/>
            </a:prstGeom>
            <a:solidFill>
              <a:schemeClr val="lt1"/>
            </a:solidFill>
            <a:ln w="19050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100"/>
                <a:t>ces 2 colonnes doivent être égales</a:t>
              </a:r>
            </a:p>
          </xdr:txBody>
        </xdr:sp>
        <xdr:cxnSp macro="">
          <xdr:nvCxnSpPr>
            <xdr:cNvPr id="19" name="Connecteur droit avec flèch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CxnSpPr/>
          </xdr:nvCxnSpPr>
          <xdr:spPr>
            <a:xfrm flipH="1" flipV="1">
              <a:off x="3009900" y="5067300"/>
              <a:ext cx="190500" cy="238125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3">
              <a:schemeClr val="dk1"/>
            </a:lnRef>
            <a:fillRef idx="0">
              <a:schemeClr val="dk1"/>
            </a:fillRef>
            <a:effectRef idx="2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0" name="Connecteur droit avec flèche 19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CxnSpPr/>
          </xdr:nvCxnSpPr>
          <xdr:spPr>
            <a:xfrm flipV="1">
              <a:off x="3790950" y="5067300"/>
              <a:ext cx="180975" cy="266700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3">
              <a:schemeClr val="dk1"/>
            </a:lnRef>
            <a:fillRef idx="0">
              <a:schemeClr val="dk1"/>
            </a:fillRef>
            <a:effectRef idx="2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21" name="Rectangle : coins arrondis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1117600" y="4857750"/>
            <a:ext cx="908050" cy="279400"/>
          </a:xfrm>
          <a:prstGeom prst="roundRect">
            <a:avLst/>
          </a:prstGeom>
          <a:noFill/>
          <a:ln w="19050"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Rectangle : coins arrondis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7178675" y="4851400"/>
            <a:ext cx="784225" cy="304800"/>
          </a:xfrm>
          <a:prstGeom prst="roundRect">
            <a:avLst/>
          </a:prstGeom>
          <a:noFill/>
          <a:ln w="19050"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4" name="Connecteur droit avec flèche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stCxn id="28" idx="1"/>
          </xdr:cNvCxnSpPr>
        </xdr:nvCxnSpPr>
        <xdr:spPr>
          <a:xfrm flipH="1" flipV="1">
            <a:off x="1778000" y="5222875"/>
            <a:ext cx="1930400" cy="2039938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avec flèche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CxnSpPr>
            <a:stCxn id="28" idx="3"/>
          </xdr:cNvCxnSpPr>
        </xdr:nvCxnSpPr>
        <xdr:spPr>
          <a:xfrm flipV="1">
            <a:off x="4470400" y="5264150"/>
            <a:ext cx="3035300" cy="1998663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190500</xdr:colOff>
      <xdr:row>26</xdr:row>
      <xdr:rowOff>0</xdr:rowOff>
    </xdr:from>
    <xdr:to>
      <xdr:col>4</xdr:col>
      <xdr:colOff>952500</xdr:colOff>
      <xdr:row>27</xdr:row>
      <xdr:rowOff>123825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3581400" y="7096125"/>
          <a:ext cx="76200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moyenne 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241300</xdr:colOff>
          <xdr:row>0</xdr:row>
          <xdr:rowOff>107950</xdr:rowOff>
        </xdr:from>
        <xdr:to>
          <xdr:col>3</xdr:col>
          <xdr:colOff>914400</xdr:colOff>
          <xdr:row>0</xdr:row>
          <xdr:rowOff>393700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N15" totalsRowCount="1" headerRowDxfId="36" dataDxfId="34" totalsRowDxfId="35" headerRowBorderDxfId="70" totalsRowBorderDxfId="69">
  <autoFilter ref="A5:N14" xr:uid="{5AAD8581-930E-4E88-96B8-703B8C800685}"/>
  <sortState xmlns:xlrd2="http://schemas.microsoft.com/office/spreadsheetml/2017/richdata2" ref="A5:N5">
    <sortCondition ref="A5:A6"/>
  </sortState>
  <tableColumns count="14">
    <tableColumn id="1" xr3:uid="{6F52F7A4-FFA6-49FA-A400-41CDC9ED484A}" name="NOM" totalsRowLabel="Total" dataDxfId="50" totalsRowDxfId="13"/>
    <tableColumn id="2" xr3:uid="{01E972DF-C31E-4BDB-96B7-690011960EA9}" name="Taux horaire" totalsRowFunction="average" dataDxfId="49" totalsRowDxfId="12"/>
    <tableColumn id="3" xr3:uid="{7CF7ABD8-A170-4ACD-B803-1BDC4EB4A62D}" name="Poste" dataDxfId="48" totalsRowDxfId="11"/>
    <tableColumn id="4" xr3:uid="{37664AB7-3ECB-4094-A1DB-B9FAB49482E2}" name="perte par agent sur paye (NET)" totalsRowFunction="sum" dataDxfId="47" totalsRowDxfId="10"/>
    <tableColumn id="5" xr3:uid="{F1F4CFB6-6824-412C-8C1F-074F9CCA6516}" name="participation à la perte collective(net)" totalsRowFunction="sum" dataDxfId="46" totalsRowDxfId="9"/>
    <tableColumn id="7" xr3:uid="{8BF9C544-C033-4D66-920F-D8B9C18F92E0}" name="à injecter dans la cagnotte (NET)" totalsRowFunction="sum" dataDxfId="45" totalsRowDxfId="8">
      <calculatedColumnFormula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calculatedColumnFormula>
    </tableColumn>
    <tableColumn id="8" xr3:uid="{3E229217-9823-4683-9AD3-E9CBBCC57D64}" name="à rembourser à l'agent (net)" totalsRowFunction="sum" dataDxfId="44" totalsRowDxfId="7">
      <calculatedColumnFormula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calculatedColumnFormula>
    </tableColumn>
    <tableColumn id="12" xr3:uid="{6B68B0D9-DF50-4FB0-8FAA-2078BD33AA56}" name="Perte si gréviste tous les jours (net)" totalsRowFunction="average" dataDxfId="43" totalsRowDxfId="6"/>
    <tableColumn id="13" xr3:uid="{F3B91320-72A5-4023-84B4-C5205C77DE64}" name="pourcentage de perte avant cagnotte de gréve" totalsRowFunction="average" dataDxfId="42" totalsRowDxfId="5">
      <calculatedColumnFormula>(Tableau1[[#This Row],[participation à la perte collective(net)]]/Tableau1[[#This Row],[Perte si gréviste tous les jours (net)]])</calculatedColumnFormula>
    </tableColumn>
    <tableColumn id="14" xr3:uid="{3B848551-E8A2-45B5-AF31-5E4480AC91BD}" name="montant reçu" totalsRowFunction="sum" dataDxfId="41" totalsRowDxfId="4"/>
    <tableColumn id="15" xr3:uid="{4C34F8A7-F79E-4259-BDC7-29ED02C1296D}" name="redristribution" totalsRowFunction="sum" dataDxfId="40" totalsRowDxfId="3">
      <calculatedColumnFormula>INDEX(Tableau2[],MATCH(Tableau1[[#This Row],[NOM]],Tableau2[nom],),3)*Tableau1[[#Totals],[montant reçu]]</calculatedColumnFormula>
    </tableColumn>
    <tableColumn id="16" xr3:uid="{E1A8505F-4853-46E2-9CDB-B90F71BFE7B7}" name="Perte fin de grève" totalsRowFunction="sum" dataDxfId="39" totalsRowDxfId="2">
      <calculatedColumnFormula>Tableau1[[#This Row],[participation à la perte collective(net)]]-Tableau1[[#This Row],[redristribution]]</calculatedColumnFormula>
    </tableColumn>
    <tableColumn id="17" xr3:uid="{5E34D7FA-055A-4F9B-9C48-44AA22A79B3B}" name="à ré-injecter dans le pot commun" totalsRowFunction="sum" dataDxfId="38" totalsRowDxfId="1">
      <calculatedColumnFormula>IF(Tableau1[[#This Row],[montant reçu]]-Tableau1[[#This Row],[redristribution]]&lt;0,0,Tableau1[[#This Row],[montant reçu]]-Tableau1[[#This Row],[redristribution]])</calculatedColumnFormula>
    </tableColumn>
    <tableColumn id="19" xr3:uid="{0DAD77EB-8FF6-4B4E-8313-2078DB8F9734}" name="% perte finale " totalsRowFunction="average" dataDxfId="37" totalsRowDxfId="0">
      <calculatedColumnFormula>(Tableau1[[#This Row],[Perte fin de grève]]/Tableau1[[#This Row],[Perte si gréviste tous les jours (net)]])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I14" totalsRowCount="1" headerRowDxfId="68" dataDxfId="67" totalsRowDxfId="66" totalsRowBorderDxfId="65">
  <autoFilter ref="A4:I13" xr:uid="{BD88BF76-C292-4AE3-B6C2-C04AB1629E17}"/>
  <tableColumns count="9">
    <tableColumn id="1" xr3:uid="{D6E64F4A-8D51-4E0A-BF09-B2633AA3D6E4}" name="NOM" totalsRowLabel="Total" dataDxfId="64" totalsRowDxfId="22"/>
    <tableColumn id="2" xr3:uid="{2FF86CA1-3362-4E12-8084-EA55D8407C23}" name="Taux Horaire" totalsRowFunction="average" dataDxfId="51" totalsRowDxfId="21"/>
    <tableColumn id="13" xr3:uid="{71E83939-9946-44ED-863A-273C313A091B}" name="21/02/2024/ma" dataDxfId="33" totalsRowDxfId="20">
      <calculatedColumnFormula>calcul_cout_greve(C$2,$B5)</calculatedColumnFormula>
    </tableColumn>
    <tableColumn id="14" xr3:uid="{570A6FED-9285-4DFB-A21E-B2127C42646D}" name="22/02/2024/AM" dataDxfId="32" totalsRowDxfId="19">
      <calculatedColumnFormula>calcul_cout_greve(D$2,$B5)</calculatedColumnFormula>
    </tableColumn>
    <tableColumn id="15" xr3:uid="{DA367971-6273-4AD8-9CBE-BCFC768869E2}" name="23/02/2024/AM" dataDxfId="31" totalsRowDxfId="18">
      <calculatedColumnFormula>calcul_cout_greve(E$2,$B5)</calculatedColumnFormula>
    </tableColumn>
    <tableColumn id="16" xr3:uid="{D4F842BB-39D4-4485-86C8-89D5BD872864}" name="24/02/2024/AM" dataDxfId="30" totalsRowDxfId="17">
      <calculatedColumnFormula>calcul_cout_greve(F$2,$B5)</calculatedColumnFormula>
    </tableColumn>
    <tableColumn id="18" xr3:uid="{D3CA5BB7-470A-45EC-A68D-AA0846DC048F}" name="26/02/2024/Nu" dataDxfId="28" totalsRowDxfId="16">
      <calculatedColumnFormula>calcul_cout_greve(G$2,$B5)</calculatedColumnFormula>
    </tableColumn>
    <tableColumn id="19" xr3:uid="{CFFD81B2-945E-4060-9619-3C2B6854921B}" name="27/02/2024/ma" dataDxfId="26" totalsRowDxfId="15">
      <calculatedColumnFormula>calcul_cout_greve(H$2,$B5)</calculatedColumnFormula>
    </tableColumn>
    <tableColumn id="5" xr3:uid="{B57BA3E9-442C-49E4-B690-D09D93DDD7F2}" name="Total" totalsRowFunction="sum" dataDxfId="27" totalsRowDxfId="14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 headerRowDxfId="63" dataDxfId="62">
  <autoFilter ref="A1:A7" xr:uid="{DEF7031B-84D1-404D-9E9C-F88BA489AA6D}"/>
  <sortState xmlns:xlrd2="http://schemas.microsoft.com/office/spreadsheetml/2017/richdata2" ref="A2:A7">
    <sortCondition ref="A1:A7"/>
  </sortState>
  <tableColumns count="1">
    <tableColumn id="1" xr3:uid="{C2319759-4E3B-4B74-BA64-889476DBFDB5}" name="Fonction" dataDxfId="6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60" dataDxfId="59">
  <autoFilter ref="C1:D6" xr:uid="{0175AE58-C0BE-4818-96BD-E7D4811F41F8}"/>
  <tableColumns count="2">
    <tableColumn id="1" xr3:uid="{2575185C-576D-4D70-8401-07DABE468DAB}" name="Type de quart" dataDxfId="58"/>
    <tableColumn id="2" xr3:uid="{0CB48604-B1EF-4475-85A2-2C89734B90D2}" name="Indemnité" dataDxfId="5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CD2B3-56B3-4A74-B708-BD1DD501C869}" name="Tableau2" displayName="Tableau2" ref="F1:H11" totalsRowCount="1" headerRowDxfId="56" dataDxfId="55" totalsRowDxfId="54">
  <autoFilter ref="F1:H10" xr:uid="{F75CD2B3-56B3-4A74-B708-BD1DD501C869}"/>
  <tableColumns count="3">
    <tableColumn id="1" xr3:uid="{7C1BDA3F-6A83-4F5B-BEC6-0E6D403C8057}" name="nom" totalsRowLabel="Total" dataDxfId="53" totalsRowDxfId="25"/>
    <tableColumn id="2" xr3:uid="{90821D66-C7A0-4037-B479-8755EE87304F}" name="th" totalsRowFunction="sum" dataDxfId="52" totalsRowDxfId="24"/>
    <tableColumn id="3" xr3:uid="{2AC6E452-9404-437F-A254-5497C3320920}" name="QT" totalsRowFunction="sum" dataDxfId="29" totalsRowDxfId="23">
      <calculatedColumnFormula>G2/Tableau2[[#Totals],[th]]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N16"/>
  <sheetViews>
    <sheetView tabSelected="1" zoomScale="80" zoomScaleNormal="80" workbookViewId="0">
      <selection activeCell="B5" sqref="B5"/>
    </sheetView>
  </sheetViews>
  <sheetFormatPr baseColWidth="10" defaultRowHeight="14.5" x14ac:dyDescent="0.35"/>
  <cols>
    <col min="1" max="1" width="17.26953125" style="38" customWidth="1"/>
    <col min="2" max="2" width="11.1796875" style="38" customWidth="1"/>
    <col min="3" max="3" width="10.90625" style="38"/>
    <col min="4" max="4" width="11" style="38" customWidth="1"/>
    <col min="5" max="5" width="18.453125" style="38" customWidth="1"/>
    <col min="6" max="6" width="16" style="38" customWidth="1"/>
    <col min="7" max="7" width="15.26953125" style="38" customWidth="1"/>
    <col min="8" max="8" width="15.453125" style="38" customWidth="1"/>
    <col min="9" max="9" width="15.26953125" style="38" customWidth="1"/>
    <col min="10" max="10" width="13.1796875" style="38" customWidth="1"/>
    <col min="11" max="11" width="12.54296875" style="38" customWidth="1"/>
    <col min="12" max="12" width="10.26953125" style="38" customWidth="1"/>
    <col min="13" max="13" width="16.54296875" style="38" customWidth="1"/>
    <col min="14" max="14" width="13.81640625" style="38" customWidth="1"/>
    <col min="15" max="16384" width="10.90625" style="38"/>
  </cols>
  <sheetData>
    <row r="1" spans="1:14" ht="33.75" customHeight="1" x14ac:dyDescent="0.35">
      <c r="A1" s="29" t="s">
        <v>28</v>
      </c>
      <c r="B1" s="29"/>
      <c r="C1" s="29"/>
      <c r="D1" s="29"/>
      <c r="E1" s="29"/>
      <c r="F1" s="10"/>
      <c r="G1" s="37"/>
      <c r="H1" s="37"/>
      <c r="I1" s="37"/>
      <c r="J1" s="37"/>
      <c r="K1" s="37"/>
      <c r="L1" s="37"/>
      <c r="M1" s="37"/>
      <c r="N1" s="37"/>
    </row>
    <row r="2" spans="1:14" ht="15" customHeight="1" x14ac:dyDescent="0.35">
      <c r="E2" s="9"/>
      <c r="F2" s="9"/>
      <c r="H2" s="39"/>
    </row>
    <row r="3" spans="1:14" ht="15" thickBot="1" x14ac:dyDescent="0.4"/>
    <row r="4" spans="1:14" ht="15" thickBot="1" x14ac:dyDescent="0.4">
      <c r="A4" s="40" t="s">
        <v>29</v>
      </c>
      <c r="B4" s="28">
        <v>0.8</v>
      </c>
    </row>
    <row r="5" spans="1:14" s="1" customFormat="1" ht="44.25" customHeight="1" x14ac:dyDescent="0.35">
      <c r="A5" s="20" t="s">
        <v>0</v>
      </c>
      <c r="B5" s="21" t="s">
        <v>31</v>
      </c>
      <c r="C5" s="22" t="s">
        <v>32</v>
      </c>
      <c r="D5" s="22" t="s">
        <v>27</v>
      </c>
      <c r="E5" s="22" t="s">
        <v>34</v>
      </c>
      <c r="F5" s="22" t="s">
        <v>1</v>
      </c>
      <c r="G5" s="22" t="s">
        <v>35</v>
      </c>
      <c r="H5" s="22" t="s">
        <v>30</v>
      </c>
      <c r="I5" s="22" t="s">
        <v>2</v>
      </c>
      <c r="J5" s="23" t="s">
        <v>3</v>
      </c>
      <c r="K5" s="22" t="s">
        <v>4</v>
      </c>
      <c r="L5" s="22" t="s">
        <v>33</v>
      </c>
      <c r="M5" s="24" t="s">
        <v>5</v>
      </c>
      <c r="N5" s="23" t="s">
        <v>6</v>
      </c>
    </row>
    <row r="6" spans="1:14" s="1" customFormat="1" ht="16" customHeight="1" x14ac:dyDescent="0.35">
      <c r="A6" s="30" t="s">
        <v>36</v>
      </c>
      <c r="B6" s="30">
        <v>13</v>
      </c>
      <c r="C6" s="30" t="s">
        <v>11</v>
      </c>
      <c r="D6" s="31">
        <v>172.64000000000001</v>
      </c>
      <c r="E6" s="31">
        <v>105.29532934131737</v>
      </c>
      <c r="F6" s="31" t="str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/>
      </c>
      <c r="G6" s="31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>67.344670658682645</v>
      </c>
      <c r="H6" s="31">
        <v>410.8</v>
      </c>
      <c r="I6" s="36">
        <f>(Tableau1[[#This Row],[participation à la perte collective(net)]]/Tableau1[[#This Row],[Perte si gréviste tous les jours (net)]])</f>
        <v>0.25631774425831882</v>
      </c>
      <c r="J6" s="32">
        <v>45</v>
      </c>
      <c r="K6" s="31">
        <f>INDEX(Tableau2[],MATCH(Tableau1[[#This Row],[NOM]],Tableau2[nom],),3)*Tableau1[[#Totals],[montant reçu]]</f>
        <v>36.041916167664674</v>
      </c>
      <c r="L6" s="31">
        <f>Tableau1[[#This Row],[participation à la perte collective(net)]]-Tableau1[[#This Row],[redristribution]]</f>
        <v>69.253413173652689</v>
      </c>
      <c r="M6" s="32">
        <f>IF(Tableau1[[#This Row],[montant reçu]]-Tableau1[[#This Row],[redristribution]]&lt;0,0,Tableau1[[#This Row],[montant reçu]]-Tableau1[[#This Row],[redristribution]])</f>
        <v>8.9580838323353262</v>
      </c>
      <c r="N6" s="33">
        <f>(Tableau1[[#This Row],[Perte fin de grève]]/Tableau1[[#This Row],[Perte si gréviste tous les jours (net)]])</f>
        <v>0.16858182369438338</v>
      </c>
    </row>
    <row r="7" spans="1:14" ht="13.5" customHeight="1" x14ac:dyDescent="0.35">
      <c r="A7" s="30" t="s">
        <v>37</v>
      </c>
      <c r="B7" s="30">
        <v>15</v>
      </c>
      <c r="C7" s="30" t="s">
        <v>9</v>
      </c>
      <c r="D7" s="31">
        <v>120</v>
      </c>
      <c r="E7" s="31">
        <v>121.49461077844313</v>
      </c>
      <c r="F7" s="31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>1.4946107784431319</v>
      </c>
      <c r="G7" s="31" t="str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/>
      </c>
      <c r="H7" s="31">
        <v>474</v>
      </c>
      <c r="I7" s="36">
        <f>(Tableau1[[#This Row],[participation à la perte collective(net)]]/Tableau1[[#This Row],[Perte si gréviste tous les jours (net)]])</f>
        <v>0.25631774425831882</v>
      </c>
      <c r="J7" s="32">
        <v>51</v>
      </c>
      <c r="K7" s="31">
        <f>INDEX(Tableau2[],MATCH(Tableau1[[#This Row],[NOM]],Tableau2[nom],),3)*Tableau1[[#Totals],[montant reçu]]</f>
        <v>41.58682634730539</v>
      </c>
      <c r="L7" s="31">
        <f>Tableau1[[#This Row],[participation à la perte collective(net)]]-Tableau1[[#This Row],[redristribution]]</f>
        <v>79.907784431137742</v>
      </c>
      <c r="M7" s="32">
        <f>IF(Tableau1[[#This Row],[montant reçu]]-Tableau1[[#This Row],[redristribution]]&lt;0,0,Tableau1[[#This Row],[montant reçu]]-Tableau1[[#This Row],[redristribution]])</f>
        <v>9.4131736526946099</v>
      </c>
      <c r="N7" s="33">
        <f>(Tableau1[[#This Row],[Perte fin de grève]]/Tableau1[[#This Row],[Perte si gréviste tous les jours (net)]])</f>
        <v>0.16858182369438343</v>
      </c>
    </row>
    <row r="8" spans="1:14" x14ac:dyDescent="0.35">
      <c r="A8" s="30" t="s">
        <v>38</v>
      </c>
      <c r="B8" s="30">
        <v>17</v>
      </c>
      <c r="C8" s="30" t="s">
        <v>12</v>
      </c>
      <c r="D8" s="31">
        <v>204</v>
      </c>
      <c r="E8" s="31">
        <v>137.69389221556887</v>
      </c>
      <c r="F8" s="31" t="str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/>
      </c>
      <c r="G8" s="31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>66.306107784431134</v>
      </c>
      <c r="H8" s="31">
        <v>537.20000000000005</v>
      </c>
      <c r="I8" s="36">
        <f>(Tableau1[[#This Row],[participation à la perte collective(net)]]/Tableau1[[#This Row],[Perte si gréviste tous les jours (net)]])</f>
        <v>0.25631774425831877</v>
      </c>
      <c r="J8" s="32">
        <v>59</v>
      </c>
      <c r="K8" s="31">
        <f>INDEX(Tableau2[],MATCH(Tableau1[[#This Row],[NOM]],Tableau2[nom],),3)*Tableau1[[#Totals],[montant reçu]]</f>
        <v>47.131736526946106</v>
      </c>
      <c r="L8" s="31">
        <f>Tableau1[[#This Row],[participation à la perte collective(net)]]-Tableau1[[#This Row],[redristribution]]</f>
        <v>90.562155688622767</v>
      </c>
      <c r="M8" s="32">
        <f>IF(Tableau1[[#This Row],[montant reçu]]-Tableau1[[#This Row],[redristribution]]&lt;0,0,Tableau1[[#This Row],[montant reçu]]-Tableau1[[#This Row],[redristribution]])</f>
        <v>11.868263473053894</v>
      </c>
      <c r="N8" s="33">
        <f>(Tableau1[[#This Row],[Perte fin de grève]]/Tableau1[[#This Row],[Perte si gréviste tous les jours (net)]])</f>
        <v>0.1685818236943834</v>
      </c>
    </row>
    <row r="9" spans="1:14" x14ac:dyDescent="0.35">
      <c r="A9" s="30" t="s">
        <v>39</v>
      </c>
      <c r="B9" s="30">
        <v>18</v>
      </c>
      <c r="C9" s="30" t="s">
        <v>10</v>
      </c>
      <c r="D9" s="31">
        <v>216</v>
      </c>
      <c r="E9" s="31">
        <v>145.79353293413175</v>
      </c>
      <c r="F9" s="31" t="str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/>
      </c>
      <c r="G9" s="31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>70.206467065868253</v>
      </c>
      <c r="H9" s="31">
        <v>568.79999999999995</v>
      </c>
      <c r="I9" s="36">
        <f>(Tableau1[[#This Row],[participation à la perte collective(net)]]/Tableau1[[#This Row],[Perte si gréviste tous les jours (net)]])</f>
        <v>0.25631774425831882</v>
      </c>
      <c r="J9" s="32">
        <v>61</v>
      </c>
      <c r="K9" s="31">
        <f>INDEX(Tableau2[],MATCH(Tableau1[[#This Row],[NOM]],Tableau2[nom],),3)*Tableau1[[#Totals],[montant reçu]]</f>
        <v>49.904191616766468</v>
      </c>
      <c r="L9" s="31">
        <f>Tableau1[[#This Row],[participation à la perte collective(net)]]-Tableau1[[#This Row],[redristribution]]</f>
        <v>95.889341317365279</v>
      </c>
      <c r="M9" s="32">
        <f>IF(Tableau1[[#This Row],[montant reçu]]-Tableau1[[#This Row],[redristribution]]&lt;0,0,Tableau1[[#This Row],[montant reçu]]-Tableau1[[#This Row],[redristribution]])</f>
        <v>11.095808383233532</v>
      </c>
      <c r="N9" s="33">
        <f>(Tableau1[[#This Row],[Perte fin de grève]]/Tableau1[[#This Row],[Perte si gréviste tous les jours (net)]])</f>
        <v>0.1685818236943834</v>
      </c>
    </row>
    <row r="10" spans="1:14" x14ac:dyDescent="0.35">
      <c r="A10" s="30" t="s">
        <v>40</v>
      </c>
      <c r="B10" s="30">
        <v>20</v>
      </c>
      <c r="C10" s="30" t="s">
        <v>8</v>
      </c>
      <c r="D10" s="31">
        <v>240</v>
      </c>
      <c r="E10" s="31">
        <v>161.99281437125751</v>
      </c>
      <c r="F10" s="31" t="str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/>
      </c>
      <c r="G10" s="31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>78.007185628742491</v>
      </c>
      <c r="H10" s="31">
        <v>632</v>
      </c>
      <c r="I10" s="36">
        <f>(Tableau1[[#This Row],[participation à la perte collective(net)]]/Tableau1[[#This Row],[Perte si gréviste tous les jours (net)]])</f>
        <v>0.25631774425831882</v>
      </c>
      <c r="J10" s="32">
        <v>64</v>
      </c>
      <c r="K10" s="31">
        <f>INDEX(Tableau2[],MATCH(Tableau1[[#This Row],[NOM]],Tableau2[nom],),3)*Tableau1[[#Totals],[montant reçu]]</f>
        <v>55.449101796407184</v>
      </c>
      <c r="L10" s="31">
        <f>Tableau1[[#This Row],[participation à la perte collective(net)]]-Tableau1[[#This Row],[redristribution]]</f>
        <v>106.54371257485033</v>
      </c>
      <c r="M10" s="32">
        <f>IF(Tableau1[[#This Row],[montant reçu]]-Tableau1[[#This Row],[redristribution]]&lt;0,0,Tableau1[[#This Row],[montant reçu]]-Tableau1[[#This Row],[redristribution]])</f>
        <v>8.5508982035928156</v>
      </c>
      <c r="N10" s="33">
        <f>(Tableau1[[#This Row],[Perte fin de grève]]/Tableau1[[#This Row],[Perte si gréviste tous les jours (net)]])</f>
        <v>0.16858182369438343</v>
      </c>
    </row>
    <row r="11" spans="1:14" x14ac:dyDescent="0.35">
      <c r="A11" s="30" t="s">
        <v>41</v>
      </c>
      <c r="B11" s="30">
        <v>22</v>
      </c>
      <c r="C11" s="30" t="s">
        <v>7</v>
      </c>
      <c r="D11" s="31">
        <v>352</v>
      </c>
      <c r="E11" s="31">
        <v>178.19209580838324</v>
      </c>
      <c r="F11" s="31" t="str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/>
      </c>
      <c r="G11" s="31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>173.80790419161676</v>
      </c>
      <c r="H11" s="31">
        <v>695.2</v>
      </c>
      <c r="I11" s="36">
        <f>(Tableau1[[#This Row],[participation à la perte collective(net)]]/Tableau1[[#This Row],[Perte si gréviste tous les jours (net)]])</f>
        <v>0.25631774425831882</v>
      </c>
      <c r="J11" s="32">
        <v>68</v>
      </c>
      <c r="K11" s="31">
        <f>INDEX(Tableau2[],MATCH(Tableau1[[#This Row],[NOM]],Tableau2[nom],),3)*Tableau1[[#Totals],[montant reçu]]</f>
        <v>60.994011976047908</v>
      </c>
      <c r="L11" s="31">
        <f>Tableau1[[#This Row],[participation à la perte collective(net)]]-Tableau1[[#This Row],[redristribution]]</f>
        <v>117.19808383233533</v>
      </c>
      <c r="M11" s="32">
        <f>IF(Tableau1[[#This Row],[montant reçu]]-Tableau1[[#This Row],[redristribution]]&lt;0,0,Tableau1[[#This Row],[montant reçu]]-Tableau1[[#This Row],[redristribution]])</f>
        <v>7.0059880239520922</v>
      </c>
      <c r="N11" s="33">
        <f>(Tableau1[[#This Row],[Perte fin de grève]]/Tableau1[[#This Row],[Perte si gréviste tous les jours (net)]])</f>
        <v>0.16858182369438338</v>
      </c>
    </row>
    <row r="12" spans="1:14" s="14" customFormat="1" x14ac:dyDescent="0.35">
      <c r="A12" s="30" t="s">
        <v>46</v>
      </c>
      <c r="B12" s="30">
        <v>12</v>
      </c>
      <c r="C12" s="30" t="s">
        <v>11</v>
      </c>
      <c r="D12" s="31">
        <v>48</v>
      </c>
      <c r="E12" s="31">
        <v>97.195688622754489</v>
      </c>
      <c r="F12" s="31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>49.195688622754489</v>
      </c>
      <c r="G12" s="31" t="str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/>
      </c>
      <c r="H12" s="31">
        <v>379.2</v>
      </c>
      <c r="I12" s="36">
        <f>(Tableau1[[#This Row],[participation à la perte collective(net)]]/Tableau1[[#This Row],[Perte si gréviste tous les jours (net)]])</f>
        <v>0.25631774425831882</v>
      </c>
      <c r="J12" s="32">
        <v>39</v>
      </c>
      <c r="K12" s="31">
        <f>INDEX(Tableau2[],MATCH(Tableau1[[#This Row],[NOM]],Tableau2[nom],),3)*Tableau1[[#Totals],[montant reçu]]</f>
        <v>33.269461077844312</v>
      </c>
      <c r="L12" s="31">
        <f>Tableau1[[#This Row],[participation à la perte collective(net)]]-Tableau1[[#This Row],[redristribution]]</f>
        <v>63.926227544910176</v>
      </c>
      <c r="M12" s="32">
        <f>IF(Tableau1[[#This Row],[montant reçu]]-Tableau1[[#This Row],[redristribution]]&lt;0,0,Tableau1[[#This Row],[montant reçu]]-Tableau1[[#This Row],[redristribution]])</f>
        <v>5.7305389221556879</v>
      </c>
      <c r="N12" s="33">
        <f>(Tableau1[[#This Row],[Perte fin de grève]]/Tableau1[[#This Row],[Perte si gréviste tous les jours (net)]])</f>
        <v>0.16858182369438338</v>
      </c>
    </row>
    <row r="13" spans="1:14" x14ac:dyDescent="0.35">
      <c r="A13" s="30" t="s">
        <v>49</v>
      </c>
      <c r="B13" s="30">
        <v>20</v>
      </c>
      <c r="C13" s="30" t="s">
        <v>9</v>
      </c>
      <c r="D13" s="31"/>
      <c r="E13" s="31">
        <v>161.99281437125751</v>
      </c>
      <c r="F13" s="31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>161.99281437125751</v>
      </c>
      <c r="G13" s="31" t="str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/>
      </c>
      <c r="H13" s="31">
        <v>632</v>
      </c>
      <c r="I13" s="36">
        <f>(Tableau1[[#This Row],[participation à la perte collective(net)]]/Tableau1[[#This Row],[Perte si gréviste tous les jours (net)]])</f>
        <v>0.25631774425831882</v>
      </c>
      <c r="J13" s="32">
        <v>76</v>
      </c>
      <c r="K13" s="31">
        <f>INDEX(Tableau2[],MATCH(Tableau1[[#This Row],[NOM]],Tableau2[nom],),3)*Tableau1[[#Totals],[montant reçu]]</f>
        <v>55.449101796407184</v>
      </c>
      <c r="L13" s="31">
        <f>Tableau1[[#This Row],[participation à la perte collective(net)]]-Tableau1[[#This Row],[redristribution]]</f>
        <v>106.54371257485033</v>
      </c>
      <c r="M13" s="32">
        <f>IF(Tableau1[[#This Row],[montant reçu]]-Tableau1[[#This Row],[redristribution]]&lt;0,0,Tableau1[[#This Row],[montant reçu]]-Tableau1[[#This Row],[redristribution]])</f>
        <v>20.550898203592816</v>
      </c>
      <c r="N13" s="33">
        <f>(Tableau1[[#This Row],[Perte fin de grève]]/Tableau1[[#This Row],[Perte si gréviste tous les jours (net)]])</f>
        <v>0.16858182369438343</v>
      </c>
    </row>
    <row r="14" spans="1:14" x14ac:dyDescent="0.35">
      <c r="A14" s="30" t="s">
        <v>50</v>
      </c>
      <c r="B14" s="30">
        <v>30</v>
      </c>
      <c r="C14" s="30" t="s">
        <v>8</v>
      </c>
      <c r="D14" s="31"/>
      <c r="E14" s="31">
        <v>242.98922155688626</v>
      </c>
      <c r="F14" s="31">
        <f>IF(AND(Tableau1[[#This Row],[perte par agent sur paye (NET)]]&lt;&gt;"",Tableau1[[#This Row],[perte par agent sur paye (NET)]]&lt;Tableau1[[#This Row],[participation à la perte collective(net)]]),Tableau1[[#This Row],[participation à la perte collective(net)]]-Tableau1[[#This Row],[perte par agent sur paye (NET)]],IF(Tableau1[[#This Row],[perte par agent sur paye (NET)]]&lt;Tableau1[[#This Row],[participation à la perte collective(net)]],Tableau1[[#This Row],[participation à la perte collective(net)]]-Tableau1[[#This Row],[perte par agent sur paye (NET)]],""))</f>
        <v>242.98922155688626</v>
      </c>
      <c r="G14" s="31" t="str">
        <f>IF((Tableau1[[#This Row],[perte par agent sur paye (NET)]]&lt;&gt;""), IF((Tableau1[[#This Row],[perte par agent sur paye (NET)]]-Tableau1[[#This Row],[participation à la perte collective(net)]])&gt;0, (Tableau1[[#This Row],[perte par agent sur paye (NET)]]-Tableau1[[#This Row],[participation à la perte collective(net)]]), ""), "")</f>
        <v/>
      </c>
      <c r="H14" s="31">
        <v>948</v>
      </c>
      <c r="I14" s="36">
        <f>(Tableau1[[#This Row],[participation à la perte collective(net)]]/Tableau1[[#This Row],[Perte si gréviste tous les jours (net)]])</f>
        <v>0.25631774425831882</v>
      </c>
      <c r="J14" s="32"/>
      <c r="K14" s="31">
        <f>INDEX(Tableau2[],MATCH(Tableau1[[#This Row],[NOM]],Tableau2[nom],),3)*Tableau1[[#Totals],[montant reçu]]</f>
        <v>83.17365269461078</v>
      </c>
      <c r="L14" s="31">
        <f>Tableau1[[#This Row],[participation à la perte collective(net)]]-Tableau1[[#This Row],[redristribution]]</f>
        <v>159.81556886227548</v>
      </c>
      <c r="M14" s="32">
        <f>IF(Tableau1[[#This Row],[montant reçu]]-Tableau1[[#This Row],[redristribution]]&lt;0,0,Tableau1[[#This Row],[montant reçu]]-Tableau1[[#This Row],[redristribution]])</f>
        <v>0</v>
      </c>
      <c r="N14" s="33">
        <f>(Tableau1[[#This Row],[Perte fin de grève]]/Tableau1[[#This Row],[Perte si gréviste tous les jours (net)]])</f>
        <v>0.16858182369438343</v>
      </c>
    </row>
    <row r="15" spans="1:14" x14ac:dyDescent="0.35">
      <c r="A15" s="41" t="s">
        <v>19</v>
      </c>
      <c r="B15" s="42">
        <f>SUBTOTAL(101,Tableau1[Taux horaire])</f>
        <v>18.555555555555557</v>
      </c>
      <c r="C15" s="41"/>
      <c r="D15" s="42">
        <f>SUBTOTAL(109,Tableau1[perte par agent sur paye (NET)])</f>
        <v>1352.6399999999999</v>
      </c>
      <c r="E15" s="42">
        <f>SUBTOTAL(109,Tableau1[participation à la perte collective(net)])</f>
        <v>1352.6399999999999</v>
      </c>
      <c r="F15" s="42">
        <f>SUBTOTAL(109,Tableau1[à injecter dans la cagnotte (NET)])</f>
        <v>455.67233532934142</v>
      </c>
      <c r="G15" s="42">
        <f>SUBTOTAL(109,Tableau1[à rembourser à l''agent (net)])</f>
        <v>455.67233532934131</v>
      </c>
      <c r="H15" s="42">
        <f>SUBTOTAL(101,Tableau1[Perte si gréviste tous les jours (net)])</f>
        <v>586.3555555555555</v>
      </c>
      <c r="I15" s="43">
        <f>SUBTOTAL(101,Tableau1[pourcentage de perte avant cagnotte de gréve])</f>
        <v>0.25631774425831882</v>
      </c>
      <c r="J15" s="42">
        <f>SUBTOTAL(109,Tableau1[montant reçu])</f>
        <v>463</v>
      </c>
      <c r="K15" s="42">
        <f>SUBTOTAL(109,Tableau1[redristribution])</f>
        <v>463</v>
      </c>
      <c r="L15" s="42">
        <f>SUBTOTAL(109,Tableau1[Perte fin de grève])</f>
        <v>889.6400000000001</v>
      </c>
      <c r="M15" s="42">
        <f>SUBTOTAL(109,Tableau1[à ré-injecter dans le pot commun])</f>
        <v>83.17365269461078</v>
      </c>
      <c r="N15" s="43">
        <f>SUBTOTAL(101,Tableau1[% perte finale ])</f>
        <v>0.16858182369438343</v>
      </c>
    </row>
    <row r="16" spans="1:14" x14ac:dyDescent="0.35">
      <c r="H16" s="44"/>
    </row>
  </sheetData>
  <mergeCells count="1">
    <mergeCell ref="A1:E1"/>
  </mergeCells>
  <pageMargins left="0.7" right="0.7" top="0.75" bottom="0.75" header="0.3" footer="0.3"/>
  <pageSetup paperSize="11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Q38"/>
  <sheetViews>
    <sheetView workbookViewId="0">
      <selection activeCell="J13" sqref="J13"/>
    </sheetView>
  </sheetViews>
  <sheetFormatPr baseColWidth="10" defaultColWidth="10.81640625" defaultRowHeight="14.5" x14ac:dyDescent="0.35"/>
  <cols>
    <col min="1" max="1" width="13.26953125" style="3" customWidth="1"/>
    <col min="2" max="2" width="12.81640625" style="4" customWidth="1"/>
    <col min="3" max="3" width="16.81640625" style="3" customWidth="1"/>
    <col min="4" max="5" width="16.26953125" style="3" customWidth="1"/>
    <col min="6" max="6" width="12.26953125" style="3" customWidth="1"/>
    <col min="7" max="7" width="10.81640625" style="3"/>
    <col min="8" max="8" width="13.453125" style="4" customWidth="1"/>
    <col min="9" max="16384" width="10.81640625" style="3"/>
  </cols>
  <sheetData>
    <row r="1" spans="1:17" ht="33" customHeight="1" x14ac:dyDescent="0.35"/>
    <row r="2" spans="1:17" x14ac:dyDescent="0.35">
      <c r="C2" s="3">
        <f>Indemnite</f>
        <v>7.25</v>
      </c>
      <c r="D2" s="3">
        <f>Indemnite</f>
        <v>7.25</v>
      </c>
      <c r="E2" s="3">
        <f>Indemnite</f>
        <v>7.25</v>
      </c>
      <c r="F2" s="3">
        <f>Indemnite</f>
        <v>7.25</v>
      </c>
      <c r="G2" s="3">
        <f>Indemnite</f>
        <v>9.25</v>
      </c>
      <c r="H2" s="3">
        <f>Indemnite</f>
        <v>7.25</v>
      </c>
    </row>
    <row r="3" spans="1:17" x14ac:dyDescent="0.35">
      <c r="C3" s="3" t="s">
        <v>26</v>
      </c>
      <c r="D3" s="3" t="s">
        <v>13</v>
      </c>
      <c r="E3" s="3" t="s">
        <v>13</v>
      </c>
      <c r="F3" s="3" t="s">
        <v>13</v>
      </c>
      <c r="G3" s="3" t="s">
        <v>14</v>
      </c>
      <c r="H3" s="3" t="s">
        <v>26</v>
      </c>
    </row>
    <row r="4" spans="1:17" x14ac:dyDescent="0.35">
      <c r="A4" s="2" t="s">
        <v>0</v>
      </c>
      <c r="B4" s="5" t="s">
        <v>20</v>
      </c>
      <c r="C4" s="5" t="s">
        <v>42</v>
      </c>
      <c r="D4" s="5" t="s">
        <v>43</v>
      </c>
      <c r="E4" s="5" t="s">
        <v>44</v>
      </c>
      <c r="F4" s="5" t="s">
        <v>45</v>
      </c>
      <c r="G4" s="5" t="s">
        <v>47</v>
      </c>
      <c r="H4" s="5" t="s">
        <v>48</v>
      </c>
      <c r="I4" s="5" t="s">
        <v>19</v>
      </c>
      <c r="Q4" s="7"/>
    </row>
    <row r="5" spans="1:17" s="6" customFormat="1" x14ac:dyDescent="0.35">
      <c r="A5" s="34" t="s">
        <v>36</v>
      </c>
      <c r="B5" s="35">
        <v>13</v>
      </c>
      <c r="C5" s="27">
        <f t="shared" ref="C5:C10" si="0">calcul_cout_greve(C$2,$B5)</f>
        <v>65</v>
      </c>
      <c r="D5" s="27">
        <f t="shared" ref="D5:D10" si="1">calcul_cout_greve(D$2,$B5)</f>
        <v>65</v>
      </c>
      <c r="E5" s="35">
        <f t="shared" ref="E5:E10" si="2">calcul_cout_greve(E$2,$B5)</f>
        <v>65</v>
      </c>
      <c r="F5" s="35">
        <f t="shared" ref="F5:F10" si="3">calcul_cout_greve(F$2,$B5)</f>
        <v>65</v>
      </c>
      <c r="G5" s="27">
        <f>calcul_cout_greve(G$2,$B5)</f>
        <v>85.8</v>
      </c>
      <c r="H5" s="35">
        <f>calcul_cout_greve(H$2,$B5)</f>
        <v>65</v>
      </c>
      <c r="I5" s="5">
        <v>215.8</v>
      </c>
      <c r="L5" s="3"/>
      <c r="Q5" s="8"/>
    </row>
    <row r="6" spans="1:17" x14ac:dyDescent="0.35">
      <c r="A6" s="34" t="s">
        <v>37</v>
      </c>
      <c r="B6" s="35">
        <v>15</v>
      </c>
      <c r="C6" s="27">
        <f t="shared" si="0"/>
        <v>75</v>
      </c>
      <c r="D6" s="27">
        <f t="shared" si="1"/>
        <v>75</v>
      </c>
      <c r="E6" s="35">
        <f t="shared" si="2"/>
        <v>75</v>
      </c>
      <c r="F6" s="35">
        <f t="shared" si="3"/>
        <v>75</v>
      </c>
      <c r="G6" s="35">
        <f>calcul_cout_greve(G$2,$B6)</f>
        <v>99</v>
      </c>
      <c r="H6" s="35">
        <f>calcul_cout_greve(H$2,$B6)</f>
        <v>75</v>
      </c>
      <c r="I6" s="5">
        <v>150</v>
      </c>
    </row>
    <row r="7" spans="1:17" x14ac:dyDescent="0.35">
      <c r="A7" s="34" t="s">
        <v>38</v>
      </c>
      <c r="B7" s="35">
        <v>17</v>
      </c>
      <c r="C7" s="27">
        <f t="shared" si="0"/>
        <v>85</v>
      </c>
      <c r="D7" s="35">
        <f t="shared" si="1"/>
        <v>85</v>
      </c>
      <c r="E7" s="27">
        <f t="shared" si="2"/>
        <v>85</v>
      </c>
      <c r="F7" s="27">
        <f t="shared" si="3"/>
        <v>85</v>
      </c>
      <c r="G7" s="35">
        <f>calcul_cout_greve(G$2,$B7)</f>
        <v>112.2</v>
      </c>
      <c r="H7" s="35">
        <f>calcul_cout_greve(H$2,$B7)</f>
        <v>85</v>
      </c>
      <c r="I7" s="5">
        <v>255</v>
      </c>
    </row>
    <row r="8" spans="1:17" x14ac:dyDescent="0.35">
      <c r="A8" s="34" t="s">
        <v>39</v>
      </c>
      <c r="B8" s="35">
        <v>18</v>
      </c>
      <c r="C8" s="27">
        <f t="shared" si="0"/>
        <v>90</v>
      </c>
      <c r="D8" s="35">
        <f t="shared" si="1"/>
        <v>90</v>
      </c>
      <c r="E8" s="27">
        <f t="shared" si="2"/>
        <v>90</v>
      </c>
      <c r="F8" s="27">
        <f t="shared" si="3"/>
        <v>90</v>
      </c>
      <c r="G8" s="35">
        <f>calcul_cout_greve(G$2,$B8)</f>
        <v>118.8</v>
      </c>
      <c r="H8" s="35">
        <f>calcul_cout_greve(H$2,$B8)</f>
        <v>90</v>
      </c>
      <c r="I8" s="5">
        <v>270</v>
      </c>
      <c r="O8" s="11"/>
    </row>
    <row r="9" spans="1:17" x14ac:dyDescent="0.35">
      <c r="A9" s="34" t="s">
        <v>40</v>
      </c>
      <c r="B9" s="35">
        <v>20</v>
      </c>
      <c r="C9" s="27">
        <f t="shared" si="0"/>
        <v>100</v>
      </c>
      <c r="D9" s="35">
        <f t="shared" si="1"/>
        <v>100</v>
      </c>
      <c r="E9" s="27">
        <f t="shared" si="2"/>
        <v>100</v>
      </c>
      <c r="F9" s="27">
        <f t="shared" si="3"/>
        <v>100</v>
      </c>
      <c r="G9" s="35">
        <f>calcul_cout_greve(G$2,$B9)</f>
        <v>132</v>
      </c>
      <c r="H9" s="35">
        <f>calcul_cout_greve(H$2,$B9)</f>
        <v>100</v>
      </c>
      <c r="I9" s="5">
        <v>300</v>
      </c>
    </row>
    <row r="10" spans="1:17" x14ac:dyDescent="0.35">
      <c r="A10" s="34" t="s">
        <v>41</v>
      </c>
      <c r="B10" s="35">
        <v>22</v>
      </c>
      <c r="C10" s="27">
        <f t="shared" si="0"/>
        <v>110</v>
      </c>
      <c r="D10" s="35">
        <f t="shared" si="1"/>
        <v>110</v>
      </c>
      <c r="E10" s="27">
        <f t="shared" si="2"/>
        <v>110</v>
      </c>
      <c r="F10" s="27">
        <f t="shared" si="3"/>
        <v>110</v>
      </c>
      <c r="G10" s="35">
        <f>calcul_cout_greve(G$2,$B10)</f>
        <v>145.19999999999999</v>
      </c>
      <c r="H10" s="27">
        <f>calcul_cout_greve(H$2,$B10)</f>
        <v>110</v>
      </c>
      <c r="I10" s="5">
        <v>440</v>
      </c>
    </row>
    <row r="11" spans="1:17" x14ac:dyDescent="0.35">
      <c r="A11" s="34" t="s">
        <v>46</v>
      </c>
      <c r="B11" s="35">
        <v>12</v>
      </c>
      <c r="C11" s="35">
        <f>calcul_cout_greve(C$2,$B11)</f>
        <v>60</v>
      </c>
      <c r="D11" s="35">
        <f>calcul_cout_greve(D$2,$B11)</f>
        <v>60</v>
      </c>
      <c r="E11" s="35">
        <f>calcul_cout_greve(E$2,$B11)</f>
        <v>60</v>
      </c>
      <c r="F11" s="35">
        <f>calcul_cout_greve(F$2,$B11)</f>
        <v>60</v>
      </c>
      <c r="G11" s="35">
        <f>calcul_cout_greve(G$2,$B11)</f>
        <v>79.2</v>
      </c>
      <c r="H11" s="27">
        <f>calcul_cout_greve(H$2,$B11)</f>
        <v>60</v>
      </c>
      <c r="I11" s="5">
        <v>60</v>
      </c>
    </row>
    <row r="12" spans="1:17" x14ac:dyDescent="0.35">
      <c r="A12" s="34" t="s">
        <v>49</v>
      </c>
      <c r="B12" s="35">
        <v>20</v>
      </c>
      <c r="C12" s="35">
        <f>calcul_cout_greve(C$2,$B12)</f>
        <v>100</v>
      </c>
      <c r="D12" s="35">
        <f>calcul_cout_greve(D$2,$B12)</f>
        <v>100</v>
      </c>
      <c r="E12" s="35">
        <f>calcul_cout_greve(E$2,$B12)</f>
        <v>100</v>
      </c>
      <c r="F12" s="35">
        <f>calcul_cout_greve(F$2,$B12)</f>
        <v>100</v>
      </c>
      <c r="G12" s="35">
        <f>calcul_cout_greve(G$2,$B12)</f>
        <v>132</v>
      </c>
      <c r="H12" s="35">
        <f>calcul_cout_greve(H$2,$B12)</f>
        <v>100</v>
      </c>
      <c r="I12" s="5">
        <v>0</v>
      </c>
    </row>
    <row r="13" spans="1:17" x14ac:dyDescent="0.35">
      <c r="A13" s="34" t="s">
        <v>50</v>
      </c>
      <c r="B13" s="35">
        <v>30</v>
      </c>
      <c r="C13" s="35">
        <f>calcul_cout_greve(C$2,$B13)</f>
        <v>150</v>
      </c>
      <c r="D13" s="35">
        <f>calcul_cout_greve(D$2,$B13)</f>
        <v>150</v>
      </c>
      <c r="E13" s="35">
        <f>calcul_cout_greve(E$2,$B13)</f>
        <v>150</v>
      </c>
      <c r="F13" s="35">
        <f>calcul_cout_greve(F$2,$B13)</f>
        <v>150</v>
      </c>
      <c r="G13" s="35">
        <f>calcul_cout_greve(G$2,$B13)</f>
        <v>198</v>
      </c>
      <c r="H13" s="35">
        <f>calcul_cout_greve(H$2,$B13)</f>
        <v>150</v>
      </c>
      <c r="I13" s="5">
        <v>0</v>
      </c>
    </row>
    <row r="14" spans="1:17" x14ac:dyDescent="0.35">
      <c r="A14" s="34" t="s">
        <v>19</v>
      </c>
      <c r="B14" s="35">
        <f>SUBTOTAL(101,Tableau3[Taux Horaire])</f>
        <v>18.555555555555557</v>
      </c>
      <c r="C14" s="35"/>
      <c r="D14" s="35"/>
      <c r="E14" s="35"/>
      <c r="F14" s="35"/>
      <c r="G14" s="35"/>
      <c r="H14" s="35"/>
      <c r="I14" s="17">
        <f>SUBTOTAL(109,Tableau3[Total])</f>
        <v>1690.8</v>
      </c>
    </row>
    <row r="15" spans="1:17" x14ac:dyDescent="0.35">
      <c r="H15" s="3"/>
    </row>
    <row r="16" spans="1:17" x14ac:dyDescent="0.35">
      <c r="H16" s="3"/>
    </row>
    <row r="17" spans="3:10" x14ac:dyDescent="0.35">
      <c r="H17" s="3"/>
    </row>
    <row r="18" spans="3:10" x14ac:dyDescent="0.35">
      <c r="C18" s="4"/>
      <c r="H18" s="3"/>
    </row>
    <row r="19" spans="3:10" x14ac:dyDescent="0.35">
      <c r="H19" s="3"/>
    </row>
    <row r="20" spans="3:10" x14ac:dyDescent="0.35">
      <c r="H20" s="3"/>
    </row>
    <row r="21" spans="3:10" x14ac:dyDescent="0.35">
      <c r="H21" s="3"/>
    </row>
    <row r="22" spans="3:10" x14ac:dyDescent="0.35">
      <c r="H22" s="3"/>
    </row>
    <row r="23" spans="3:10" x14ac:dyDescent="0.35">
      <c r="H23" s="3"/>
    </row>
    <row r="26" spans="3:10" x14ac:dyDescent="0.35">
      <c r="H26" s="3"/>
    </row>
    <row r="27" spans="3:10" x14ac:dyDescent="0.35">
      <c r="H27" s="3"/>
    </row>
    <row r="30" spans="3:10" x14ac:dyDescent="0.35">
      <c r="H30" s="3"/>
      <c r="I30" s="4"/>
      <c r="J30" s="4"/>
    </row>
    <row r="31" spans="3:10" x14ac:dyDescent="0.35">
      <c r="D31" s="4"/>
      <c r="E31" s="4"/>
      <c r="F31" s="4"/>
      <c r="G31" s="4"/>
    </row>
    <row r="37" spans="8:8" x14ac:dyDescent="0.35">
      <c r="H37" s="3"/>
    </row>
    <row r="38" spans="8:8" x14ac:dyDescent="0.35">
      <c r="H38" s="3"/>
    </row>
  </sheetData>
  <phoneticPr fontId="7" type="noConversion"/>
  <pageMargins left="0.7" right="0.7" top="0.75" bottom="0.75" header="0.3" footer="0.3"/>
  <pageSetup paperSize="11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2</xdr:col>
                <xdr:colOff>241300</xdr:colOff>
                <xdr:row>0</xdr:row>
                <xdr:rowOff>107950</xdr:rowOff>
              </from>
              <to>
                <xdr:col>3</xdr:col>
                <xdr:colOff>914400</xdr:colOff>
                <xdr:row>0</xdr:row>
                <xdr:rowOff>393700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J17"/>
  <sheetViews>
    <sheetView workbookViewId="0">
      <selection activeCell="H3" sqref="H3"/>
    </sheetView>
  </sheetViews>
  <sheetFormatPr baseColWidth="10" defaultColWidth="10.81640625" defaultRowHeight="14.5" x14ac:dyDescent="0.35"/>
  <cols>
    <col min="1" max="1" width="10.81640625" style="12"/>
    <col min="2" max="2" width="5.7265625" style="12" customWidth="1"/>
    <col min="3" max="3" width="18" style="12" customWidth="1"/>
    <col min="4" max="4" width="13.81640625" style="12" customWidth="1"/>
    <col min="5" max="5" width="5.1796875" style="12" customWidth="1"/>
    <col min="6" max="7" width="10.81640625" style="12"/>
    <col min="8" max="8" width="10.81640625" style="16"/>
    <col min="9" max="16384" width="10.81640625" style="12"/>
  </cols>
  <sheetData>
    <row r="1" spans="1:8" s="3" customFormat="1" x14ac:dyDescent="0.35">
      <c r="A1" s="3" t="s">
        <v>18</v>
      </c>
      <c r="C1" s="3" t="s">
        <v>17</v>
      </c>
      <c r="D1" s="3" t="s">
        <v>16</v>
      </c>
      <c r="F1" s="3" t="s">
        <v>23</v>
      </c>
      <c r="G1" s="3" t="s">
        <v>24</v>
      </c>
      <c r="H1" s="13" t="s">
        <v>25</v>
      </c>
    </row>
    <row r="2" spans="1:8" x14ac:dyDescent="0.35">
      <c r="A2" s="12" t="s">
        <v>11</v>
      </c>
      <c r="C2" s="3" t="s">
        <v>26</v>
      </c>
      <c r="D2" s="3">
        <v>7.25</v>
      </c>
      <c r="F2" s="14" t="s">
        <v>36</v>
      </c>
      <c r="G2" s="15">
        <v>13</v>
      </c>
      <c r="H2" s="25">
        <f>G2/Tableau2[[#Totals],[th]]</f>
        <v>7.7844311377245512E-2</v>
      </c>
    </row>
    <row r="3" spans="1:8" x14ac:dyDescent="0.35">
      <c r="A3" s="12" t="s">
        <v>7</v>
      </c>
      <c r="C3" s="3" t="s">
        <v>13</v>
      </c>
      <c r="D3" s="3">
        <v>7.25</v>
      </c>
      <c r="F3" s="14" t="s">
        <v>37</v>
      </c>
      <c r="G3" s="15">
        <v>15</v>
      </c>
      <c r="H3" s="25">
        <f>G3/Tableau2[[#Totals],[th]]</f>
        <v>8.9820359281437126E-2</v>
      </c>
    </row>
    <row r="4" spans="1:8" x14ac:dyDescent="0.35">
      <c r="A4" s="12" t="s">
        <v>8</v>
      </c>
      <c r="C4" s="3" t="s">
        <v>14</v>
      </c>
      <c r="D4" s="3">
        <v>9.25</v>
      </c>
      <c r="F4" s="14" t="s">
        <v>38</v>
      </c>
      <c r="G4" s="15">
        <v>17</v>
      </c>
      <c r="H4" s="25">
        <f>G4/Tableau2[[#Totals],[th]]</f>
        <v>0.10179640718562874</v>
      </c>
    </row>
    <row r="5" spans="1:8" x14ac:dyDescent="0.35">
      <c r="A5" s="12" t="s">
        <v>12</v>
      </c>
      <c r="C5" s="3" t="s">
        <v>15</v>
      </c>
      <c r="D5" s="3">
        <v>1</v>
      </c>
      <c r="F5" s="14" t="s">
        <v>39</v>
      </c>
      <c r="G5" s="15">
        <v>18</v>
      </c>
      <c r="H5" s="25">
        <f>G5/Tableau2[[#Totals],[th]]</f>
        <v>0.10778443113772455</v>
      </c>
    </row>
    <row r="6" spans="1:8" x14ac:dyDescent="0.35">
      <c r="A6" s="12" t="s">
        <v>9</v>
      </c>
      <c r="C6" s="3" t="s">
        <v>21</v>
      </c>
      <c r="D6" s="3">
        <v>2</v>
      </c>
      <c r="F6" s="14" t="s">
        <v>40</v>
      </c>
      <c r="G6" s="15">
        <v>20</v>
      </c>
      <c r="H6" s="25">
        <f>G6/Tableau2[[#Totals],[th]]</f>
        <v>0.11976047904191617</v>
      </c>
    </row>
    <row r="7" spans="1:8" x14ac:dyDescent="0.35">
      <c r="A7" s="12" t="s">
        <v>10</v>
      </c>
      <c r="F7" s="14" t="s">
        <v>41</v>
      </c>
      <c r="G7" s="15">
        <v>22</v>
      </c>
      <c r="H7" s="25">
        <f>G7/Tableau2[[#Totals],[th]]</f>
        <v>0.1317365269461078</v>
      </c>
    </row>
    <row r="8" spans="1:8" x14ac:dyDescent="0.35">
      <c r="F8" s="14" t="s">
        <v>46</v>
      </c>
      <c r="G8" s="15">
        <v>12</v>
      </c>
      <c r="H8" s="25">
        <f>G8/Tableau2[[#Totals],[th]]</f>
        <v>7.1856287425149698E-2</v>
      </c>
    </row>
    <row r="9" spans="1:8" x14ac:dyDescent="0.35">
      <c r="F9" s="14" t="s">
        <v>49</v>
      </c>
      <c r="G9" s="15">
        <v>20</v>
      </c>
      <c r="H9" s="25">
        <f>G9/Tableau2[[#Totals],[th]]</f>
        <v>0.11976047904191617</v>
      </c>
    </row>
    <row r="10" spans="1:8" x14ac:dyDescent="0.35">
      <c r="F10" s="14" t="s">
        <v>50</v>
      </c>
      <c r="G10" s="15">
        <v>30</v>
      </c>
      <c r="H10" s="25">
        <f>G10/Tableau2[[#Totals],[th]]</f>
        <v>0.17964071856287425</v>
      </c>
    </row>
    <row r="11" spans="1:8" x14ac:dyDescent="0.35">
      <c r="F11" s="18" t="s">
        <v>19</v>
      </c>
      <c r="G11" s="19">
        <f>SUBTOTAL(109,Tableau2[th])</f>
        <v>167</v>
      </c>
      <c r="H11" s="26">
        <f>SUBTOTAL(109,Tableau2[QT])</f>
        <v>1.0000000000000002</v>
      </c>
    </row>
    <row r="17" spans="10:10" x14ac:dyDescent="0.35">
      <c r="J17" s="12" t="s">
        <v>22</v>
      </c>
    </row>
  </sheetData>
  <pageMargins left="0.7" right="0.7" top="0.75" bottom="0.75" header="0.3" footer="0.3"/>
  <pageSetup paperSize="11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2024-03-08T15:43:54Z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2024-02-14T18:34:18Z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28ed0f83-c97f-4715-acd3-2ea23a27de8b</vt:lpwstr>
  </property>
  <property fmtid="{D5CDD505-2E9C-101B-9397-08002B2CF9AE}" pid="8" name="MSIP_Label_2d26f538-337a-4593-a7e6-123667b1a538_ContentBits">
    <vt:lpwstr>0</vt:lpwstr>
  </property>
</Properties>
</file>