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8_{9A7C636B-1CE6-4F08-9C13-09AF7565EF6A}" xr6:coauthVersionLast="47" xr6:coauthVersionMax="47" xr10:uidLastSave="{00000000-0000-0000-0000-000000000000}"/>
  <bookViews>
    <workbookView xWindow="10" yWindow="20" windowWidth="19190" windowHeight="10780" xr2:uid="{A7A77088-BE98-43B1-8261-C12E516A8C9C}"/>
  </bookViews>
  <sheets>
    <sheet name="Feuil1" sheetId="1" r:id="rId1"/>
    <sheet name="Feuil2" sheetId="2" r:id="rId2"/>
    <sheet name="DATA" sheetId="3" r:id="rId3"/>
  </sheets>
  <definedNames>
    <definedName name="Indemnite">INDEX(DATA!$C$2:$D$6,MATCH(Feuil2!A2,DATA!$C$2:$C$6,),2)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6" i="1"/>
  <c r="K2" i="2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H23" i="1"/>
  <c r="F2" i="2"/>
  <c r="K5" i="2"/>
  <c r="K13" i="2"/>
  <c r="K21" i="2"/>
  <c r="K6" i="2"/>
  <c r="K14" i="2"/>
  <c r="K10" i="2"/>
  <c r="K11" i="2"/>
  <c r="K12" i="2"/>
  <c r="K20" i="2"/>
  <c r="K7" i="2"/>
  <c r="K15" i="2"/>
  <c r="K8" i="2"/>
  <c r="K16" i="2"/>
  <c r="K17" i="2"/>
  <c r="K18" i="2"/>
  <c r="K19" i="2"/>
  <c r="K9" i="2"/>
  <c r="G23" i="1" l="1"/>
  <c r="J23" i="1"/>
  <c r="J2" i="2"/>
  <c r="E23" i="1"/>
  <c r="G19" i="3"/>
  <c r="H3" i="3" s="1"/>
  <c r="H5" i="3"/>
  <c r="I2" i="2"/>
  <c r="H2" i="2"/>
  <c r="G2" i="2"/>
  <c r="E2" i="2"/>
  <c r="D2" i="2"/>
  <c r="C2" i="2"/>
  <c r="B22" i="2"/>
  <c r="B23" i="1"/>
  <c r="D23" i="1"/>
  <c r="L22" i="2"/>
  <c r="D6" i="2"/>
  <c r="F14" i="2"/>
  <c r="C5" i="2"/>
  <c r="H6" i="2"/>
  <c r="J6" i="2"/>
  <c r="F13" i="2"/>
  <c r="I15" i="2"/>
  <c r="C11" i="2"/>
  <c r="G15" i="2"/>
  <c r="G5" i="2"/>
  <c r="E20" i="2"/>
  <c r="D21" i="2"/>
  <c r="J5" i="2"/>
  <c r="G18" i="2"/>
  <c r="C6" i="2"/>
  <c r="D16" i="2"/>
  <c r="E5" i="2"/>
  <c r="J19" i="2"/>
  <c r="F17" i="2"/>
  <c r="I6" i="2"/>
  <c r="C19" i="2"/>
  <c r="D17" i="2"/>
  <c r="F5" i="2"/>
  <c r="C8" i="2"/>
  <c r="D12" i="2"/>
  <c r="J15" i="2"/>
  <c r="F9" i="2"/>
  <c r="G12" i="2"/>
  <c r="H13" i="2"/>
  <c r="G8" i="2"/>
  <c r="J11" i="2"/>
  <c r="C17" i="2"/>
  <c r="I5" i="2"/>
  <c r="H12" i="2"/>
  <c r="J7" i="2"/>
  <c r="J14" i="2"/>
  <c r="H17" i="2"/>
  <c r="J10" i="2"/>
  <c r="H15" i="2"/>
  <c r="C12" i="2"/>
  <c r="C13" i="2"/>
  <c r="G9" i="2"/>
  <c r="D15" i="2"/>
  <c r="F21" i="2"/>
  <c r="J17" i="2"/>
  <c r="H8" i="2"/>
  <c r="C16" i="2"/>
  <c r="I19" i="2"/>
  <c r="J12" i="2"/>
  <c r="D13" i="2"/>
  <c r="G7" i="2"/>
  <c r="D9" i="2"/>
  <c r="D10" i="2"/>
  <c r="G21" i="2"/>
  <c r="J21" i="2"/>
  <c r="H14" i="2"/>
  <c r="G11" i="2"/>
  <c r="E10" i="2"/>
  <c r="I10" i="2"/>
  <c r="D14" i="2"/>
  <c r="G20" i="2"/>
  <c r="G19" i="2"/>
  <c r="H5" i="2"/>
  <c r="E15" i="2"/>
  <c r="E17" i="2"/>
  <c r="H10" i="2"/>
  <c r="I7" i="2"/>
  <c r="H16" i="2"/>
  <c r="F12" i="2"/>
  <c r="F10" i="2"/>
  <c r="H11" i="2"/>
  <c r="E16" i="2"/>
  <c r="C20" i="2"/>
  <c r="I9" i="2"/>
  <c r="I13" i="2"/>
  <c r="F7" i="2"/>
  <c r="F15" i="2"/>
  <c r="I16" i="2"/>
  <c r="J20" i="2"/>
  <c r="D8" i="2"/>
  <c r="E13" i="2"/>
  <c r="H7" i="2"/>
  <c r="C10" i="2"/>
  <c r="I21" i="2"/>
  <c r="D19" i="2"/>
  <c r="E9" i="2"/>
  <c r="G13" i="2"/>
  <c r="E18" i="2"/>
  <c r="F18" i="2"/>
  <c r="J16" i="2"/>
  <c r="F16" i="2"/>
  <c r="F6" i="2"/>
  <c r="D20" i="2"/>
  <c r="I18" i="2"/>
  <c r="C9" i="2"/>
  <c r="G14" i="2"/>
  <c r="I17" i="2"/>
  <c r="D18" i="2"/>
  <c r="E7" i="2"/>
  <c r="H21" i="2"/>
  <c r="E14" i="2"/>
  <c r="I8" i="2"/>
  <c r="C14" i="2"/>
  <c r="C7" i="2"/>
  <c r="E21" i="2"/>
  <c r="C15" i="2"/>
  <c r="J13" i="2"/>
  <c r="C21" i="2"/>
  <c r="H18" i="2"/>
  <c r="F19" i="2"/>
  <c r="F20" i="2"/>
  <c r="E8" i="2"/>
  <c r="F11" i="2"/>
  <c r="J18" i="2"/>
  <c r="G17" i="2"/>
  <c r="J9" i="2"/>
  <c r="D7" i="2"/>
  <c r="G6" i="2"/>
  <c r="I14" i="2"/>
  <c r="E11" i="2"/>
  <c r="I12" i="2"/>
  <c r="I11" i="2"/>
  <c r="G16" i="2"/>
  <c r="H20" i="2"/>
  <c r="E12" i="2"/>
  <c r="H9" i="2"/>
  <c r="D5" i="2"/>
  <c r="E6" i="2"/>
  <c r="I20" i="2"/>
  <c r="E19" i="2"/>
  <c r="H19" i="2"/>
  <c r="C18" i="2"/>
  <c r="F8" i="2"/>
  <c r="G10" i="2"/>
  <c r="J8" i="2"/>
  <c r="D11" i="2"/>
  <c r="F23" i="1" l="1"/>
  <c r="K21" i="1"/>
  <c r="K16" i="1"/>
  <c r="K9" i="1"/>
  <c r="K7" i="1"/>
  <c r="K18" i="1"/>
  <c r="K14" i="1"/>
  <c r="K10" i="1"/>
  <c r="H10" i="3"/>
  <c r="H9" i="3"/>
  <c r="K13" i="1" s="1"/>
  <c r="H16" i="3"/>
  <c r="K20" i="1" s="1"/>
  <c r="H8" i="3"/>
  <c r="K12" i="1" s="1"/>
  <c r="H12" i="3"/>
  <c r="H4" i="3"/>
  <c r="K8" i="1" s="1"/>
  <c r="H18" i="3"/>
  <c r="K22" i="1" s="1"/>
  <c r="H17" i="3"/>
  <c r="H15" i="3"/>
  <c r="K19" i="1" s="1"/>
  <c r="H7" i="3"/>
  <c r="K11" i="1" s="1"/>
  <c r="H14" i="3"/>
  <c r="H6" i="3"/>
  <c r="H13" i="3"/>
  <c r="K17" i="1" s="1"/>
  <c r="H2" i="3"/>
  <c r="H11" i="3"/>
  <c r="K15" i="1" s="1"/>
  <c r="M14" i="1" l="1"/>
  <c r="L14" i="1"/>
  <c r="N14" i="1" s="1"/>
  <c r="M11" i="1"/>
  <c r="L11" i="1"/>
  <c r="N11" i="1" s="1"/>
  <c r="M15" i="1"/>
  <c r="L15" i="1"/>
  <c r="N15" i="1" s="1"/>
  <c r="M8" i="1"/>
  <c r="L8" i="1"/>
  <c r="N8" i="1" s="1"/>
  <c r="M18" i="1"/>
  <c r="L18" i="1"/>
  <c r="N18" i="1" s="1"/>
  <c r="M22" i="1"/>
  <c r="L22" i="1"/>
  <c r="N22" i="1" s="1"/>
  <c r="M17" i="1"/>
  <c r="L17" i="1"/>
  <c r="N17" i="1" s="1"/>
  <c r="M7" i="1"/>
  <c r="L7" i="1"/>
  <c r="N7" i="1" s="1"/>
  <c r="M10" i="1"/>
  <c r="L10" i="1"/>
  <c r="N10" i="1" s="1"/>
  <c r="M12" i="1"/>
  <c r="L12" i="1"/>
  <c r="N12" i="1" s="1"/>
  <c r="M9" i="1"/>
  <c r="L9" i="1"/>
  <c r="N9" i="1" s="1"/>
  <c r="M20" i="1"/>
  <c r="L20" i="1"/>
  <c r="N20" i="1" s="1"/>
  <c r="M16" i="1"/>
  <c r="L16" i="1"/>
  <c r="N16" i="1" s="1"/>
  <c r="M21" i="1"/>
  <c r="L21" i="1"/>
  <c r="N21" i="1" s="1"/>
  <c r="M13" i="1"/>
  <c r="L13" i="1"/>
  <c r="N13" i="1" s="1"/>
  <c r="M19" i="1"/>
  <c r="L19" i="1"/>
  <c r="N19" i="1" s="1"/>
  <c r="H19" i="3"/>
  <c r="K6" i="1"/>
  <c r="L6" i="1" s="1"/>
  <c r="N6" i="1" s="1"/>
  <c r="N23" i="1" l="1"/>
  <c r="M6" i="1"/>
  <c r="K23" i="1"/>
  <c r="M2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J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<sst xmlns="http://schemas.openxmlformats.org/spreadsheetml/2006/main" count="134" uniqueCount="64">
  <si>
    <t>NOM</t>
  </si>
  <si>
    <t>à injecter dans la cagnotte (NET)</t>
  </si>
  <si>
    <t>pourcentage de perte avant cagnotte de gréve</t>
  </si>
  <si>
    <t>montant reçu</t>
  </si>
  <si>
    <t>redristribution</t>
  </si>
  <si>
    <t>à ré-injecter dans le pot commun</t>
  </si>
  <si>
    <t xml:space="preserve">% perte finale </t>
  </si>
  <si>
    <t>CE</t>
  </si>
  <si>
    <t>CED</t>
  </si>
  <si>
    <t>OP</t>
  </si>
  <si>
    <t>PT</t>
  </si>
  <si>
    <t>AGT</t>
  </si>
  <si>
    <t>DSE</t>
  </si>
  <si>
    <t>AM</t>
  </si>
  <si>
    <t>Nuit</t>
  </si>
  <si>
    <t>1h</t>
  </si>
  <si>
    <t>Indemnité</t>
  </si>
  <si>
    <t>Type de quart</t>
  </si>
  <si>
    <t>Fonction</t>
  </si>
  <si>
    <t>Total</t>
  </si>
  <si>
    <t>Taux Horaire</t>
  </si>
  <si>
    <t>2h</t>
  </si>
  <si>
    <t xml:space="preserve"> </t>
  </si>
  <si>
    <t>nom</t>
  </si>
  <si>
    <t>th</t>
  </si>
  <si>
    <t>QT</t>
  </si>
  <si>
    <t>matin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</si>
  <si>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</si>
  <si>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</si>
  <si>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</si>
  <si>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</si>
  <si>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</si>
  <si>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</si>
  <si>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</si>
  <si>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</si>
  <si>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</si>
  <si>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</si>
  <si>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</si>
  <si>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</si>
  <si>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</si>
  <si>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</si>
  <si>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</si>
  <si>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</si>
  <si>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</si>
  <si>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12/02/2024/ma</t>
  </si>
  <si>
    <t>13/02/2024/ma</t>
  </si>
  <si>
    <t>14/02/2024/AM</t>
  </si>
  <si>
    <t>15/02/2024/AM</t>
  </si>
  <si>
    <t>16/02/2024/Nu</t>
  </si>
  <si>
    <t>17/02/2024/Nu</t>
  </si>
  <si>
    <t>18/02/2024/Nu</t>
  </si>
  <si>
    <t>748,50</t>
  </si>
  <si>
    <t>988,02</t>
  </si>
  <si>
    <t>20/02/2024/ma</t>
  </si>
  <si>
    <t>perte par agent sur paye (NET)</t>
  </si>
  <si>
    <t>Synthèse de grève</t>
  </si>
  <si>
    <t>Taux de convertion</t>
  </si>
  <si>
    <t>Perte si gréviste tous les jours (net)</t>
  </si>
  <si>
    <t>Taux horaire</t>
  </si>
  <si>
    <t>Poste</t>
  </si>
  <si>
    <t>Perte fin de grève</t>
  </si>
  <si>
    <t>participation à la perte collective(net)</t>
  </si>
  <si>
    <t>à rembourser à l'agent (net)</t>
  </si>
  <si>
    <t>21/02/2024/Nu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</si>
</sst>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0"/>
  </numFmts>
  <fonts count="13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43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2" fontId="6" fillId="4" borderId="0" xfId="0" applyNumberFormat="1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2" fontId="8" fillId="4" borderId="0" xfId="0" applyNumberFormat="1" applyFont="1" applyFill="1" applyAlignment="1">
      <alignment horizontal="center"/>
    </xf>
    <xf numFmtId="0" fontId="1" fillId="3" borderId="4" xfId="0" applyFont="1" applyFill="1" applyBorder="1" applyAlignment="1">
      <alignment horizontal="center" vertical="center" wrapText="1" shrinkToFit="1"/>
    </xf>
    <xf numFmtId="0" fontId="1" fillId="3" borderId="5" xfId="0" applyFont="1" applyFill="1" applyBorder="1" applyAlignment="1">
      <alignment horizontal="center" vertical="center" wrapText="1" shrinkToFit="1"/>
    </xf>
    <xf numFmtId="0" fontId="1" fillId="3" borderId="6" xfId="0" applyFont="1" applyFill="1" applyBorder="1" applyAlignment="1">
      <alignment horizontal="center" vertical="center" wrapText="1" shrinkToFit="1"/>
    </xf>
    <xf numFmtId="0" fontId="2" fillId="3" borderId="6" xfId="0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>
      <alignment horizontal="center" vertical="center" wrapText="1" shrinkToFit="1"/>
    </xf>
    <xf numFmtId="10" fontId="8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 shrinkToFit="1"/>
    </xf>
    <xf numFmtId="2" fontId="1" fillId="0" borderId="3" xfId="0" applyNumberFormat="1" applyFont="1" applyBorder="1" applyAlignment="1">
      <alignment horizontal="center" vertical="center" wrapText="1" shrinkToFit="1"/>
    </xf>
    <xf numFmtId="2" fontId="2" fillId="0" borderId="3" xfId="0" applyNumberFormat="1" applyFont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10" fontId="8" fillId="4" borderId="0" xfId="0" applyNumberFormat="1" applyFont="1" applyFill="1" applyAlignment="1">
      <alignment horizontal="center"/>
    </xf>
    <xf numFmtId="2" fontId="6" fillId="5" borderId="0" xfId="0" applyNumberFormat="1" applyFont="1" applyFill="1" applyAlignment="1">
      <alignment horizontal="center" vertical="center"/>
    </xf>
    <xf numFmtId="9" fontId="0" fillId="0" borderId="0" xfId="1" applyFont="1"/>
    <xf numFmtId="10" fontId="1" fillId="0" borderId="3" xfId="1" applyNumberFormat="1" applyFont="1" applyBorder="1" applyAlignment="1">
      <alignment horizontal="center" vertical="center" wrapText="1" shrinkToFit="1"/>
    </xf>
    <xf numFmtId="0" fontId="10" fillId="3" borderId="6" xfId="0" applyFont="1" applyFill="1" applyBorder="1" applyAlignment="1">
      <alignment horizontal="center" vertical="center" wrapText="1" shrinkToFit="1"/>
    </xf>
    <xf numFmtId="2" fontId="11" fillId="6" borderId="2" xfId="0" applyNumberFormat="1" applyFont="1" applyFill="1" applyBorder="1" applyAlignment="1">
      <alignment horizontal="center" vertical="center"/>
    </xf>
    <xf numFmtId="10" fontId="2" fillId="0" borderId="3" xfId="0" applyNumberFormat="1" applyFont="1" applyBorder="1" applyAlignment="1">
      <alignment horizontal="center" vertical="center" wrapText="1" shrinkToFit="1"/>
    </xf>
    <xf numFmtId="0" fontId="12" fillId="0" borderId="0" xfId="0" applyFont="1" applyAlignment="1">
      <alignment horizontal="center"/>
    </xf>
    <xf numFmtId="10" fontId="0" fillId="0" borderId="3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77"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0" tint="-0.34998626667073579"/>
        </patternFill>
      </fill>
    </dxf>
    <dxf>
      <font>
        <b val="0"/>
      </font>
      <alignment horizont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medium">
          <color indexed="64"/>
        </top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0</xdr:row>
      <xdr:rowOff>57150</xdr:rowOff>
    </xdr:from>
    <xdr:to>
      <xdr:col>6</xdr:col>
      <xdr:colOff>447675</xdr:colOff>
      <xdr:row>0</xdr:row>
      <xdr:rowOff>400050</xdr:rowOff>
    </xdr:to>
    <xdr:sp macro="[0]!OuvrirUSF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648200" y="57150"/>
          <a:ext cx="1485900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Ajouter Agent</a:t>
          </a:r>
        </a:p>
      </xdr:txBody>
    </xdr:sp>
    <xdr:clientData/>
  </xdr:twoCellAnchor>
  <xdr:twoCellAnchor>
    <xdr:from>
      <xdr:col>6</xdr:col>
      <xdr:colOff>504825</xdr:colOff>
      <xdr:row>0</xdr:row>
      <xdr:rowOff>57150</xdr:rowOff>
    </xdr:from>
    <xdr:to>
      <xdr:col>7</xdr:col>
      <xdr:colOff>971550</xdr:colOff>
      <xdr:row>0</xdr:row>
      <xdr:rowOff>400050</xdr:rowOff>
    </xdr:to>
    <xdr:sp macro="[0]!RAZ_Synthes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191250" y="57150"/>
          <a:ext cx="1485900" cy="34290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RAZ Tableau</a:t>
          </a:r>
        </a:p>
      </xdr:txBody>
    </xdr:sp>
    <xdr:clientData/>
  </xdr:twoCellAnchor>
  <xdr:twoCellAnchor>
    <xdr:from>
      <xdr:col>2</xdr:col>
      <xdr:colOff>647701</xdr:colOff>
      <xdr:row>21</xdr:row>
      <xdr:rowOff>180976</xdr:rowOff>
    </xdr:from>
    <xdr:to>
      <xdr:col>4</xdr:col>
      <xdr:colOff>1209676</xdr:colOff>
      <xdr:row>27</xdr:row>
      <xdr:rowOff>47625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2635251" y="4689476"/>
          <a:ext cx="2092325" cy="971549"/>
          <a:chOff x="2543176" y="4800601"/>
          <a:chExt cx="2057400" cy="1009649"/>
        </a:xfrm>
      </xdr:grpSpPr>
      <xdr:sp macro="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7" name="Connecteur droit avec flèch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8" name="Connecteur droit avec flèch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85726</xdr:colOff>
      <xdr:row>21</xdr:row>
      <xdr:rowOff>180976</xdr:rowOff>
    </xdr:from>
    <xdr:to>
      <xdr:col>7</xdr:col>
      <xdr:colOff>57151</xdr:colOff>
      <xdr:row>27</xdr:row>
      <xdr:rowOff>47625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4892676" y="4689476"/>
          <a:ext cx="2155825" cy="971549"/>
          <a:chOff x="2543176" y="4800601"/>
          <a:chExt cx="2057400" cy="1009649"/>
        </a:xfrm>
      </xdr:grpSpPr>
      <xdr:sp macro="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14" name="Connecteur droit avec flèch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avec flèch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8</xdr:col>
      <xdr:colOff>790576</xdr:colOff>
      <xdr:row>22</xdr:row>
      <xdr:rowOff>1</xdr:rowOff>
    </xdr:from>
    <xdr:to>
      <xdr:col>11</xdr:col>
      <xdr:colOff>114301</xdr:colOff>
      <xdr:row>27</xdr:row>
      <xdr:rowOff>57150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8861426" y="4692651"/>
          <a:ext cx="2187575" cy="977899"/>
          <a:chOff x="2543176" y="4800601"/>
          <a:chExt cx="2057400" cy="1009649"/>
        </a:xfrm>
      </xdr:grpSpPr>
      <xdr:sp macro="" textlink="">
        <xdr:nvSpPr>
          <xdr:cNvPr id="17" name="Rectangle : coins arrondis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ZoneText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19" name="Connecteur droit avec flèch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avec flèche 19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1047750</xdr:colOff>
      <xdr:row>21</xdr:row>
      <xdr:rowOff>171450</xdr:rowOff>
    </xdr:from>
    <xdr:to>
      <xdr:col>2</xdr:col>
      <xdr:colOff>57150</xdr:colOff>
      <xdr:row>23</xdr:row>
      <xdr:rowOff>76200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047750" y="4791075"/>
          <a:ext cx="904875" cy="285750"/>
        </a:xfrm>
        <a:prstGeom prst="round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66675</xdr:colOff>
      <xdr:row>21</xdr:row>
      <xdr:rowOff>152400</xdr:rowOff>
    </xdr:from>
    <xdr:to>
      <xdr:col>7</xdr:col>
      <xdr:colOff>971550</xdr:colOff>
      <xdr:row>23</xdr:row>
      <xdr:rowOff>57150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6772275" y="4772025"/>
          <a:ext cx="904875" cy="285750"/>
        </a:xfrm>
        <a:prstGeom prst="round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571500</xdr:colOff>
      <xdr:row>23</xdr:row>
      <xdr:rowOff>142875</xdr:rowOff>
    </xdr:from>
    <xdr:to>
      <xdr:col>4</xdr:col>
      <xdr:colOff>190500</xdr:colOff>
      <xdr:row>34</xdr:row>
      <xdr:rowOff>157163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>
          <a:stCxn id="28" idx="1"/>
        </xdr:cNvCxnSpPr>
      </xdr:nvCxnSpPr>
      <xdr:spPr>
        <a:xfrm flipH="1" flipV="1">
          <a:off x="1724025" y="5143500"/>
          <a:ext cx="1857375" cy="21097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952500</xdr:colOff>
      <xdr:row>24</xdr:row>
      <xdr:rowOff>0</xdr:rowOff>
    </xdr:from>
    <xdr:to>
      <xdr:col>7</xdr:col>
      <xdr:colOff>514350</xdr:colOff>
      <xdr:row>34</xdr:row>
      <xdr:rowOff>157163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>
          <a:stCxn id="28" idx="3"/>
        </xdr:cNvCxnSpPr>
      </xdr:nvCxnSpPr>
      <xdr:spPr>
        <a:xfrm flipV="1">
          <a:off x="4343400" y="5191125"/>
          <a:ext cx="2876550" cy="20621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34</xdr:row>
      <xdr:rowOff>0</xdr:rowOff>
    </xdr:from>
    <xdr:to>
      <xdr:col>4</xdr:col>
      <xdr:colOff>952500</xdr:colOff>
      <xdr:row>35</xdr:row>
      <xdr:rowOff>123825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3581400" y="7096125"/>
          <a:ext cx="762000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moyenne 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241300</xdr:colOff>
          <xdr:row>0</xdr:row>
          <xdr:rowOff>107950</xdr:rowOff>
        </xdr:from>
        <xdr:to>
          <xdr:col>3</xdr:col>
          <xdr:colOff>914400</xdr:colOff>
          <xdr:row>0</xdr:row>
          <xdr:rowOff>393700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N23" totalsRowCount="1" headerRowDxfId="76" dataDxfId="74" totalsRowDxfId="73" headerRowBorderDxfId="75" totalsRowBorderDxfId="72">
  <autoFilter ref="A5:N22" xr:uid="{5AAD8581-930E-4E88-96B8-703B8C800685}"/>
  <sortState xmlns:xlrd2="http://schemas.microsoft.com/office/spreadsheetml/2017/richdata2" ref="A5:N5">
    <sortCondition ref="A5:A6"/>
  </sortState>
  <tableColumns count="14">
    <tableColumn id="1" xr3:uid="{6F52F7A4-FFA6-49FA-A400-41CDC9ED484A}" name="NOM" totalsRowLabel="Total" dataDxfId="27" totalsRowDxfId="14"/>
    <tableColumn id="2" xr3:uid="{01E972DF-C31E-4BDB-96B7-690011960EA9}" name="Taux horaire" totalsRowFunction="average" dataDxfId="26" totalsRowDxfId="13"/>
    <tableColumn id="3" xr3:uid="{7CF7ABD8-A170-4ACD-B803-1BDC4EB4A62D}" name="Poste" dataDxfId="25" totalsRowDxfId="12"/>
    <tableColumn id="4" xr3:uid="{37664AB7-3ECB-4094-A1DB-B9FAB49482E2}" name="perte par agent sur paye (NET)" totalsRowFunction="sum" dataDxfId="24" totalsRowDxfId="11"/>
    <tableColumn id="5" xr3:uid="{F1F4CFB6-6824-412C-8C1F-074F9CCA6516}" name="participation à la perte collective(net)" totalsRowFunction="sum" dataDxfId="23" totalsRowDxfId="10"/>
    <tableColumn id="7" xr3:uid="{8BF9C544-C033-4D66-920F-D8B9C18F92E0}" name="à injecter dans la cagnotte (NET)" totalsRowFunction="sum" dataDxfId="0" totalsRowDxfId="9">
      <calculatedColumnFormula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calculatedColumnFormula>
    </tableColumn>
    <tableColumn id="8" xr3:uid="{3E229217-9823-4683-9AD3-E9CBBCC57D64}" name="à rembourser à l'agent (net)" totalsRowFunction="sum" dataDxfId="22" totalsRowDxfId="8">
      <calculatedColumnFormula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calculatedColumnFormula>
    </tableColumn>
    <tableColumn id="12" xr3:uid="{6B68B0D9-DF50-4FB0-8FAA-2078BD33AA56}" name="Perte si gréviste tous les jours (net)" totalsRowFunction="average" dataDxfId="21" totalsRowDxfId="7"/>
    <tableColumn id="13" xr3:uid="{F3B91320-72A5-4023-84B4-C5205C77DE64}" name="pourcentage de perte avant cagnotte de gréve" dataDxfId="20" totalsRowDxfId="6">
      <calculatedColumnFormula>(Tableau1[[#This Row],[participation à la perte collective(net)]]/Tableau1[[#This Row],[Perte si gréviste tous les jours (net)]])</calculatedColumnFormula>
    </tableColumn>
    <tableColumn id="14" xr3:uid="{3B848551-E8A2-45B5-AF31-5E4480AC91BD}" name="montant reçu" totalsRowFunction="sum" dataDxfId="19" totalsRowDxfId="5"/>
    <tableColumn id="15" xr3:uid="{4C34F8A7-F79E-4259-BDC7-29ED02C1296D}" name="redristribution" totalsRowFunction="sum" dataDxfId="18" totalsRowDxfId="4">
      <calculatedColumnFormula>INDEX(Tableau2[],MATCH(Tableau1[[#This Row],[NOM]],Tableau2[nom],),3)*Tableau1[[#Totals],[montant reçu]]</calculatedColumnFormula>
    </tableColumn>
    <tableColumn id="16" xr3:uid="{E1A8505F-4853-46E2-9CDB-B90F71BFE7B7}" name="Perte fin de grève" dataDxfId="17" totalsRowDxfId="3">
      <calculatedColumnFormula>Tableau1[[#This Row],[participation à la perte collective(net)]]-Tableau1[[#This Row],[redristribution]]</calculatedColumnFormula>
    </tableColumn>
    <tableColumn id="17" xr3:uid="{5E34D7FA-055A-4F9B-9C48-44AA22A79B3B}" name="à ré-injecter dans le pot commun" totalsRowFunction="sum" dataDxfId="16" totalsRowDxfId="2">
      <calculatedColumnFormula>IF(Tableau1[[#This Row],[montant reçu]]-Tableau1[[#This Row],[redristribution]]&lt;0,0,Tableau1[[#This Row],[montant reçu]]-Tableau1[[#This Row],[redristribution]])</calculatedColumnFormula>
    </tableColumn>
    <tableColumn id="19" xr3:uid="{0DAD77EB-8FF6-4B4E-8313-2078DB8F9734}" name="% perte finale " totalsRowFunction="average" dataDxfId="15" totalsRowDxfId="1">
      <calculatedColumnFormula>(Tableau1[[#This Row],[Perte fin de grève]]/Tableau1[[#This Row],[Perte si gréviste tous les jours (net)]])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L22" totalsRowCount="1" headerRowDxfId="71" dataDxfId="70" totalsRowDxfId="69" totalsRowBorderDxfId="68">
  <autoFilter ref="A4:L21" xr:uid="{BD88BF76-C292-4AE3-B6C2-C04AB1629E17}"/>
  <tableColumns count="12">
    <tableColumn id="1" xr3:uid="{D6E64F4A-8D51-4E0A-BF09-B2633AA3D6E4}" name="NOM" totalsRowLabel="Total" dataDxfId="67" totalsRowDxfId="66"/>
    <tableColumn id="2" xr3:uid="{2FF86CA1-3362-4E12-8084-EA55D8407C23}" name="Taux Horaire" totalsRowFunction="average" dataDxfId="65" totalsRowDxfId="64"/>
    <tableColumn id="3" xr3:uid="{C5F2E2BB-2F37-43CA-9BBF-73F2B51A7F3E}" name="12/02/2024/ma" totalsRowLabel="748,50" dataDxfId="63" totalsRowDxfId="62">
      <calculatedColumnFormula>calcul_cout_greve(C$2,$B5)</calculatedColumnFormula>
    </tableColumn>
    <tableColumn id="4" xr3:uid="{2ABF67E2-4028-4D82-A206-3244ACE03AAF}" name="13/02/2024/ma" totalsRowLabel="748,50" dataDxfId="61" totalsRowDxfId="60">
      <calculatedColumnFormula>calcul_cout_greve(D$2,$B5)</calculatedColumnFormula>
    </tableColumn>
    <tableColumn id="6" xr3:uid="{77DEA5EA-B4C3-4E27-9350-248BE5E32669}" name="14/02/2024/AM" totalsRowLabel="748,50" dataDxfId="59" totalsRowDxfId="58">
      <calculatedColumnFormula>calcul_cout_greve(E$2,$B5)</calculatedColumnFormula>
    </tableColumn>
    <tableColumn id="7" xr3:uid="{B0D8DDA5-358F-42F5-877D-7AA65625F110}" name="15/02/2024/AM" totalsRowLabel="748,50" dataDxfId="57" totalsRowDxfId="56">
      <calculatedColumnFormula>calcul_cout_greve(F$2,$B5)</calculatedColumnFormula>
    </tableColumn>
    <tableColumn id="8" xr3:uid="{6B6F74D4-8625-44C3-B323-A1002B061EAB}" name="16/02/2024/Nu" totalsRowLabel="988,02" dataDxfId="55" totalsRowDxfId="54">
      <calculatedColumnFormula>calcul_cout_greve(G$2,$B5)</calculatedColumnFormula>
    </tableColumn>
    <tableColumn id="9" xr3:uid="{8E24E85D-824D-4F3C-87D6-E13601138FE1}" name="17/02/2024/Nu" totalsRowLabel="988,02" dataDxfId="53" totalsRowDxfId="52">
      <calculatedColumnFormula>calcul_cout_greve(H$2,$B5)</calculatedColumnFormula>
    </tableColumn>
    <tableColumn id="10" xr3:uid="{C9822BCD-6EE4-4D57-AE26-B0EDE13E238D}" name="18/02/2024/Nu" totalsRowLabel="988,02" dataDxfId="51" totalsRowDxfId="50">
      <calculatedColumnFormula>calcul_cout_greve(I$2,$B5)</calculatedColumnFormula>
    </tableColumn>
    <tableColumn id="11" xr3:uid="{BDD159E9-AD16-4E3E-AD4B-97E2734E8300}" name="20/02/2024/ma" totalsRowLabel="748,50" dataDxfId="49" totalsRowDxfId="48">
      <calculatedColumnFormula>calcul_cout_greve(J$2,$B5)</calculatedColumnFormula>
    </tableColumn>
    <tableColumn id="13" xr3:uid="{2ACE9931-7319-4C30-9DB1-21B8B78CEF94}" name="21/02/2024/Nu" dataDxfId="47" totalsRowDxfId="46">
      <calculatedColumnFormula>calcul_cout_greve(K$2,$B5)</calculatedColumnFormula>
    </tableColumn>
    <tableColumn id="5" xr3:uid="{B57BA3E9-442C-49E4-B690-D09D93DDD7F2}" name="Total" totalsRowFunction="sum" dataDxfId="45" totalsRowDxfId="44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 headerRowDxfId="43" dataDxfId="42">
  <autoFilter ref="A1:A7" xr:uid="{DEF7031B-84D1-404D-9E9C-F88BA489AA6D}"/>
  <sortState xmlns:xlrd2="http://schemas.microsoft.com/office/spreadsheetml/2017/richdata2" ref="A2:A7">
    <sortCondition ref="A1:A7"/>
  </sortState>
  <tableColumns count="1">
    <tableColumn id="1" xr3:uid="{C2319759-4E3B-4B74-BA64-889476DBFDB5}" name="Fonction" dataDxfId="4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40" dataDxfId="39">
  <autoFilter ref="C1:D6" xr:uid="{0175AE58-C0BE-4818-96BD-E7D4811F41F8}"/>
  <tableColumns count="2">
    <tableColumn id="1" xr3:uid="{2575185C-576D-4D70-8401-07DABE468DAB}" name="Type de quart" dataDxfId="38"/>
    <tableColumn id="2" xr3:uid="{0CB48604-B1EF-4475-85A2-2C89734B90D2}" name="Indemnité" dataDxfId="3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5CD2B3-56B3-4A74-B708-BD1DD501C869}" name="Tableau2" displayName="Tableau2" ref="F1:H19" totalsRowCount="1" headerRowDxfId="36" dataDxfId="35" totalsRowDxfId="34">
  <autoFilter ref="F1:H18" xr:uid="{F75CD2B3-56B3-4A74-B708-BD1DD501C869}"/>
  <tableColumns count="3">
    <tableColumn id="1" xr3:uid="{7C1BDA3F-6A83-4F5B-BEC6-0E6D403C8057}" name="nom" totalsRowLabel="Total" dataDxfId="33" totalsRowDxfId="32"/>
    <tableColumn id="2" xr3:uid="{90821D66-C7A0-4037-B479-8755EE87304F}" name="th" totalsRowFunction="sum" dataDxfId="31" totalsRowDxfId="30"/>
    <tableColumn id="3" xr3:uid="{2AC6E452-9404-437F-A254-5497C3320920}" name="QT" totalsRowFunction="sum" dataDxfId="29" totalsRowDxfId="28">
      <calculatedColumnFormula>G2/$G$19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N24"/>
  <sheetViews>
    <sheetView tabSelected="1" topLeftCell="A5" workbookViewId="0">
      <selection activeCell="G17" sqref="G17"/>
    </sheetView>
  </sheetViews>
  <sheetFormatPr baseColWidth="10" defaultRowHeight="14.5" x14ac:dyDescent="0.35"/>
  <cols>
    <col min="1" max="1" width="17.26953125" customWidth="1"/>
    <col min="2" max="2" width="11.1796875" customWidth="1"/>
    <col min="4" max="4" width="11" customWidth="1"/>
    <col min="5" max="5" width="18.453125" customWidth="1"/>
    <col min="6" max="6" width="16" customWidth="1"/>
    <col min="7" max="7" width="15.26953125" customWidth="1"/>
    <col min="8" max="8" width="15.453125" customWidth="1"/>
    <col min="9" max="9" width="15.26953125" customWidth="1"/>
    <col min="10" max="10" width="13.1796875" customWidth="1"/>
    <col min="11" max="11" width="12.54296875" customWidth="1"/>
    <col min="12" max="12" width="10.26953125" customWidth="1"/>
    <col min="13" max="13" width="16.54296875" customWidth="1"/>
    <col min="14" max="14" width="13.81640625" customWidth="1"/>
  </cols>
  <sheetData>
    <row r="1" spans="1:14" ht="33.75" customHeight="1" x14ac:dyDescent="0.35">
      <c r="A1" s="42" t="s">
        <v>55</v>
      </c>
      <c r="B1" s="42"/>
      <c r="C1" s="42"/>
      <c r="D1" s="42"/>
      <c r="E1" s="42"/>
      <c r="F1" s="11"/>
      <c r="G1" s="8"/>
      <c r="H1" s="8"/>
      <c r="I1" s="8"/>
      <c r="J1" s="8"/>
      <c r="K1" s="8"/>
      <c r="L1" s="8"/>
      <c r="M1" s="8"/>
      <c r="N1" s="8"/>
    </row>
    <row r="2" spans="1:14" ht="15" customHeight="1" x14ac:dyDescent="0.35">
      <c r="E2" s="10"/>
      <c r="F2" s="10"/>
      <c r="H2" s="35"/>
    </row>
    <row r="3" spans="1:14" ht="15" thickBot="1" x14ac:dyDescent="0.4"/>
    <row r="4" spans="1:14" ht="15" thickBot="1" x14ac:dyDescent="0.4">
      <c r="A4" s="2" t="s">
        <v>56</v>
      </c>
      <c r="B4" s="38">
        <v>0.8</v>
      </c>
    </row>
    <row r="5" spans="1:14" s="1" customFormat="1" ht="44.25" customHeight="1" x14ac:dyDescent="0.35">
      <c r="A5" s="21" t="s">
        <v>0</v>
      </c>
      <c r="B5" s="22" t="s">
        <v>58</v>
      </c>
      <c r="C5" s="23" t="s">
        <v>59</v>
      </c>
      <c r="D5" s="37" t="s">
        <v>54</v>
      </c>
      <c r="E5" s="37" t="s">
        <v>61</v>
      </c>
      <c r="F5" s="23" t="s">
        <v>1</v>
      </c>
      <c r="G5" s="23" t="s">
        <v>62</v>
      </c>
      <c r="H5" s="37" t="s">
        <v>57</v>
      </c>
      <c r="I5" s="23" t="s">
        <v>2</v>
      </c>
      <c r="J5" s="24" t="s">
        <v>3</v>
      </c>
      <c r="K5" s="23" t="s">
        <v>4</v>
      </c>
      <c r="L5" s="23" t="s">
        <v>60</v>
      </c>
      <c r="M5" s="25" t="s">
        <v>5</v>
      </c>
      <c r="N5" s="24" t="s">
        <v>6</v>
      </c>
    </row>
    <row r="6" spans="1:14" s="1" customFormat="1" ht="16" customHeight="1" x14ac:dyDescent="0.35">
      <c r="A6" s="29" t="s">
        <v>27</v>
      </c>
      <c r="B6" s="29">
        <v>15</v>
      </c>
      <c r="C6" s="29" t="s">
        <v>11</v>
      </c>
      <c r="D6" s="30">
        <v>537.6</v>
      </c>
      <c r="E6" s="30">
        <v>284.53357271095155</v>
      </c>
      <c r="F6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6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253.06642728904848</v>
      </c>
      <c r="H6" s="30">
        <v>771</v>
      </c>
      <c r="I6" s="36">
        <f>(Tableau1[[#This Row],[participation à la perte collective(net)]]/Tableau1[[#This Row],[Perte si gréviste tous les jours (net)]])</f>
        <v>0.3690448413890422</v>
      </c>
      <c r="J6" s="31">
        <v>120</v>
      </c>
      <c r="K6" s="30">
        <f>INDEX(Tableau2[],MATCH(Tableau1[[#This Row],[NOM]],Tableau2[nom],),3)*Tableau1[[#Totals],[montant reçu]]</f>
        <v>65.12567324955117</v>
      </c>
      <c r="L6" s="30">
        <f>Tableau1[[#This Row],[participation à la perte collective(net)]]-Tableau1[[#This Row],[redristribution]]</f>
        <v>219.40789946140038</v>
      </c>
      <c r="M6" s="31">
        <f>IF(Tableau1[[#This Row],[montant reçu]]-Tableau1[[#This Row],[redristribution]]&lt;0,0,Tableau1[[#This Row],[montant reçu]]-Tableau1[[#This Row],[redristribution]])</f>
        <v>54.87432675044883</v>
      </c>
      <c r="N6" s="39">
        <f>(Tableau1[[#This Row],[Perte fin de grève]]/Tableau1[[#This Row],[Perte si gréviste tous les jours (net)]])</f>
        <v>0.28457574508612243</v>
      </c>
    </row>
    <row r="7" spans="1:14" ht="13.5" customHeight="1" x14ac:dyDescent="0.35">
      <c r="A7" s="29" t="s">
        <v>28</v>
      </c>
      <c r="B7" s="29">
        <v>15.5</v>
      </c>
      <c r="C7" s="29" t="s">
        <v>11</v>
      </c>
      <c r="D7" s="30">
        <v>555.52</v>
      </c>
      <c r="E7" s="30">
        <v>294.01802513464986</v>
      </c>
      <c r="F7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7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261.50197486535012</v>
      </c>
      <c r="H7" s="30">
        <v>796.69999999999993</v>
      </c>
      <c r="I7" s="36">
        <f>(Tableau1[[#This Row],[participation à la perte collective(net)]]/Tableau1[[#This Row],[Perte si gréviste tous les jours (net)]])</f>
        <v>0.36904484138904214</v>
      </c>
      <c r="J7" s="31">
        <v>145</v>
      </c>
      <c r="K7" s="30">
        <f>INDEX(Tableau2[],MATCH(Tableau1[[#This Row],[NOM]],Tableau2[nom],),3)*Tableau1[[#Totals],[montant reçu]]</f>
        <v>67.296529024536198</v>
      </c>
      <c r="L7" s="30">
        <f>Tableau1[[#This Row],[participation à la perte collective(net)]]-Tableau1[[#This Row],[redristribution]]</f>
        <v>226.72149611011366</v>
      </c>
      <c r="M7" s="31">
        <f>IF(Tableau1[[#This Row],[montant reçu]]-Tableau1[[#This Row],[redristribution]]&lt;0,0,Tableau1[[#This Row],[montant reçu]]-Tableau1[[#This Row],[redristribution]])</f>
        <v>77.703470975463802</v>
      </c>
      <c r="N7" s="39">
        <f>(Tableau1[[#This Row],[Perte fin de grève]]/Tableau1[[#This Row],[Perte si gréviste tous les jours (net)]])</f>
        <v>0.28457574508612238</v>
      </c>
    </row>
    <row r="8" spans="1:14" x14ac:dyDescent="0.35">
      <c r="A8" s="29" t="s">
        <v>29</v>
      </c>
      <c r="B8" s="29">
        <v>15.5</v>
      </c>
      <c r="C8" s="29" t="s">
        <v>11</v>
      </c>
      <c r="D8" s="30">
        <v>555.52</v>
      </c>
      <c r="E8" s="30">
        <v>294.01802513464986</v>
      </c>
      <c r="F8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8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261.50197486535012</v>
      </c>
      <c r="H8" s="30">
        <v>796.69999999999993</v>
      </c>
      <c r="I8" s="36">
        <f>(Tableau1[[#This Row],[participation à la perte collective(net)]]/Tableau1[[#This Row],[Perte si gréviste tous les jours (net)]])</f>
        <v>0.36904484138904214</v>
      </c>
      <c r="J8" s="31">
        <v>145</v>
      </c>
      <c r="K8" s="30">
        <f>INDEX(Tableau2[],MATCH(Tableau1[[#This Row],[NOM]],Tableau2[nom],),3)*Tableau1[[#Totals],[montant reçu]]</f>
        <v>67.296529024536198</v>
      </c>
      <c r="L8" s="30">
        <f>Tableau1[[#This Row],[participation à la perte collective(net)]]-Tableau1[[#This Row],[redristribution]]</f>
        <v>226.72149611011366</v>
      </c>
      <c r="M8" s="31">
        <f>IF(Tableau1[[#This Row],[montant reçu]]-Tableau1[[#This Row],[redristribution]]&lt;0,0,Tableau1[[#This Row],[montant reçu]]-Tableau1[[#This Row],[redristribution]])</f>
        <v>77.703470975463802</v>
      </c>
      <c r="N8" s="39">
        <f>(Tableau1[[#This Row],[Perte fin de grève]]/Tableau1[[#This Row],[Perte si gréviste tous les jours (net)]])</f>
        <v>0.28457574508612238</v>
      </c>
    </row>
    <row r="9" spans="1:14" x14ac:dyDescent="0.35">
      <c r="A9" s="29" t="s">
        <v>30</v>
      </c>
      <c r="B9" s="29">
        <v>16</v>
      </c>
      <c r="C9" s="29" t="s">
        <v>11</v>
      </c>
      <c r="D9" s="30">
        <v>573.44000000000005</v>
      </c>
      <c r="E9" s="30">
        <v>303.50247755834829</v>
      </c>
      <c r="F9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9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269.93752244165177</v>
      </c>
      <c r="H9" s="30">
        <v>822.40000000000009</v>
      </c>
      <c r="I9" s="36">
        <f>(Tableau1[[#This Row],[participation à la perte collective(net)]]/Tableau1[[#This Row],[Perte si gréviste tous les jours (net)]])</f>
        <v>0.36904484138904214</v>
      </c>
      <c r="J9" s="31">
        <v>153</v>
      </c>
      <c r="K9" s="30">
        <f>INDEX(Tableau2[],MATCH(Tableau1[[#This Row],[NOM]],Tableau2[nom],),3)*Tableau1[[#Totals],[montant reçu]]</f>
        <v>69.467384799521255</v>
      </c>
      <c r="L9" s="30">
        <f>Tableau1[[#This Row],[participation à la perte collective(net)]]-Tableau1[[#This Row],[redristribution]]</f>
        <v>234.03509275882703</v>
      </c>
      <c r="M9" s="31">
        <f>IF(Tableau1[[#This Row],[montant reçu]]-Tableau1[[#This Row],[redristribution]]&lt;0,0,Tableau1[[#This Row],[montant reçu]]-Tableau1[[#This Row],[redristribution]])</f>
        <v>83.532615200478745</v>
      </c>
      <c r="N9" s="39">
        <f>(Tableau1[[#This Row],[Perte fin de grève]]/Tableau1[[#This Row],[Perte si gréviste tous les jours (net)]])</f>
        <v>0.28457574508612232</v>
      </c>
    </row>
    <row r="10" spans="1:14" x14ac:dyDescent="0.35">
      <c r="A10" s="29" t="s">
        <v>31</v>
      </c>
      <c r="B10" s="29">
        <v>16</v>
      </c>
      <c r="C10" s="29" t="s">
        <v>11</v>
      </c>
      <c r="D10" s="30">
        <v>573.44000000000005</v>
      </c>
      <c r="E10" s="30">
        <v>303.50247755834829</v>
      </c>
      <c r="F10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10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269.93752244165177</v>
      </c>
      <c r="H10" s="30">
        <v>822.40000000000009</v>
      </c>
      <c r="I10" s="36">
        <f>(Tableau1[[#This Row],[participation à la perte collective(net)]]/Tableau1[[#This Row],[Perte si gréviste tous les jours (net)]])</f>
        <v>0.36904484138904214</v>
      </c>
      <c r="J10" s="31">
        <v>153</v>
      </c>
      <c r="K10" s="30">
        <f>INDEX(Tableau2[],MATCH(Tableau1[[#This Row],[NOM]],Tableau2[nom],),3)*Tableau1[[#Totals],[montant reçu]]</f>
        <v>69.467384799521255</v>
      </c>
      <c r="L10" s="30">
        <f>Tableau1[[#This Row],[participation à la perte collective(net)]]-Tableau1[[#This Row],[redristribution]]</f>
        <v>234.03509275882703</v>
      </c>
      <c r="M10" s="31">
        <f>IF(Tableau1[[#This Row],[montant reçu]]-Tableau1[[#This Row],[redristribution]]&lt;0,0,Tableau1[[#This Row],[montant reçu]]-Tableau1[[#This Row],[redristribution]])</f>
        <v>83.532615200478745</v>
      </c>
      <c r="N10" s="39">
        <f>(Tableau1[[#This Row],[Perte fin de grève]]/Tableau1[[#This Row],[Perte si gréviste tous les jours (net)]])</f>
        <v>0.28457574508612232</v>
      </c>
    </row>
    <row r="11" spans="1:14" x14ac:dyDescent="0.35">
      <c r="A11" s="29" t="s">
        <v>32</v>
      </c>
      <c r="B11" s="29">
        <v>16.5</v>
      </c>
      <c r="C11" s="29" t="s">
        <v>11</v>
      </c>
      <c r="D11" s="30">
        <v>591.36</v>
      </c>
      <c r="E11" s="30">
        <v>312.98692998204666</v>
      </c>
      <c r="F11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11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278.37307001795335</v>
      </c>
      <c r="H11" s="30">
        <v>848.09999999999991</v>
      </c>
      <c r="I11" s="36">
        <f>(Tableau1[[#This Row],[participation à la perte collective(net)]]/Tableau1[[#This Row],[Perte si gréviste tous les jours (net)]])</f>
        <v>0.3690448413890422</v>
      </c>
      <c r="J11" s="31">
        <v>165</v>
      </c>
      <c r="K11" s="30">
        <f>INDEX(Tableau2[],MATCH(Tableau1[[#This Row],[NOM]],Tableau2[nom],),3)*Tableau1[[#Totals],[montant reçu]]</f>
        <v>71.638240574506284</v>
      </c>
      <c r="L11" s="30">
        <f>Tableau1[[#This Row],[participation à la perte collective(net)]]-Tableau1[[#This Row],[redristribution]]</f>
        <v>241.34868940754038</v>
      </c>
      <c r="M11" s="31">
        <f>IF(Tableau1[[#This Row],[montant reçu]]-Tableau1[[#This Row],[redristribution]]&lt;0,0,Tableau1[[#This Row],[montant reçu]]-Tableau1[[#This Row],[redristribution]])</f>
        <v>93.361759425493716</v>
      </c>
      <c r="N11" s="39">
        <f>(Tableau1[[#This Row],[Perte fin de grève]]/Tableau1[[#This Row],[Perte si gréviste tous les jours (net)]])</f>
        <v>0.28457574508612238</v>
      </c>
    </row>
    <row r="12" spans="1:14" s="4" customFormat="1" x14ac:dyDescent="0.35">
      <c r="A12" s="29" t="s">
        <v>33</v>
      </c>
      <c r="B12" s="29">
        <v>17</v>
      </c>
      <c r="C12" s="29" t="s">
        <v>11</v>
      </c>
      <c r="D12" s="30">
        <v>609.28000000000009</v>
      </c>
      <c r="E12" s="30">
        <v>322.47138240574509</v>
      </c>
      <c r="F12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12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286.808617594255</v>
      </c>
      <c r="H12" s="30">
        <v>873.80000000000007</v>
      </c>
      <c r="I12" s="36">
        <f>(Tableau1[[#This Row],[participation à la perte collective(net)]]/Tableau1[[#This Row],[Perte si gréviste tous les jours (net)]])</f>
        <v>0.3690448413890422</v>
      </c>
      <c r="J12" s="31">
        <v>170</v>
      </c>
      <c r="K12" s="30">
        <f>INDEX(Tableau2[],MATCH(Tableau1[[#This Row],[NOM]],Tableau2[nom],),3)*Tableau1[[#Totals],[montant reçu]]</f>
        <v>73.809096349491327</v>
      </c>
      <c r="L12" s="30">
        <f>Tableau1[[#This Row],[participation à la perte collective(net)]]-Tableau1[[#This Row],[redristribution]]</f>
        <v>248.66228605625378</v>
      </c>
      <c r="M12" s="31">
        <f>IF(Tableau1[[#This Row],[montant reçu]]-Tableau1[[#This Row],[redristribution]]&lt;0,0,Tableau1[[#This Row],[montant reçu]]-Tableau1[[#This Row],[redristribution]])</f>
        <v>96.190903650508673</v>
      </c>
      <c r="N12" s="39">
        <f>(Tableau1[[#This Row],[Perte fin de grève]]/Tableau1[[#This Row],[Perte si gréviste tous les jours (net)]])</f>
        <v>0.28457574508612238</v>
      </c>
    </row>
    <row r="13" spans="1:14" x14ac:dyDescent="0.35">
      <c r="A13" s="29" t="s">
        <v>34</v>
      </c>
      <c r="B13" s="29">
        <v>19</v>
      </c>
      <c r="C13" s="29" t="s">
        <v>9</v>
      </c>
      <c r="D13" s="30">
        <v>680.96</v>
      </c>
      <c r="E13" s="30">
        <v>360.40919210053858</v>
      </c>
      <c r="F13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13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320.55080789946146</v>
      </c>
      <c r="H13" s="30">
        <v>976.59999999999991</v>
      </c>
      <c r="I13" s="36">
        <f>(Tableau1[[#This Row],[participation à la perte collective(net)]]/Tableau1[[#This Row],[Perte si gréviste tous les jours (net)]])</f>
        <v>0.3690448413890422</v>
      </c>
      <c r="J13" s="31">
        <v>200</v>
      </c>
      <c r="K13" s="30">
        <f>INDEX(Tableau2[],MATCH(Tableau1[[#This Row],[NOM]],Tableau2[nom],),3)*Tableau1[[#Totals],[montant reçu]]</f>
        <v>82.492519449431484</v>
      </c>
      <c r="L13" s="30">
        <f>Tableau1[[#This Row],[participation à la perte collective(net)]]-Tableau1[[#This Row],[redristribution]]</f>
        <v>277.91667265110709</v>
      </c>
      <c r="M13" s="31">
        <f>IF(Tableau1[[#This Row],[montant reçu]]-Tableau1[[#This Row],[redristribution]]&lt;0,0,Tableau1[[#This Row],[montant reçu]]-Tableau1[[#This Row],[redristribution]])</f>
        <v>117.50748055056852</v>
      </c>
      <c r="N13" s="39">
        <f>(Tableau1[[#This Row],[Perte fin de grève]]/Tableau1[[#This Row],[Perte si gréviste tous les jours (net)]])</f>
        <v>0.28457574508612238</v>
      </c>
    </row>
    <row r="14" spans="1:14" x14ac:dyDescent="0.35">
      <c r="A14" s="29" t="s">
        <v>35</v>
      </c>
      <c r="B14" s="29">
        <v>19.2</v>
      </c>
      <c r="C14" s="29" t="s">
        <v>9</v>
      </c>
      <c r="D14" s="30">
        <v>688.12800000000016</v>
      </c>
      <c r="E14" s="30">
        <v>364.20297307001795</v>
      </c>
      <c r="F14" s="30" t="str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/>
      </c>
      <c r="G14" s="30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>323.92502692998221</v>
      </c>
      <c r="H14" s="30">
        <v>986.88000000000011</v>
      </c>
      <c r="I14" s="36">
        <f>(Tableau1[[#This Row],[participation à la perte collective(net)]]/Tableau1[[#This Row],[Perte si gréviste tous les jours (net)]])</f>
        <v>0.36904484138904214</v>
      </c>
      <c r="J14" s="31">
        <v>200</v>
      </c>
      <c r="K14" s="30">
        <f>INDEX(Tableau2[],MATCH(Tableau1[[#This Row],[NOM]],Tableau2[nom],),3)*Tableau1[[#Totals],[montant reçu]]</f>
        <v>83.360861759425504</v>
      </c>
      <c r="L14" s="30">
        <f>Tableau1[[#This Row],[participation à la perte collective(net)]]-Tableau1[[#This Row],[redristribution]]</f>
        <v>280.84211131059243</v>
      </c>
      <c r="M14" s="31">
        <f>IF(Tableau1[[#This Row],[montant reçu]]-Tableau1[[#This Row],[redristribution]]&lt;0,0,Tableau1[[#This Row],[montant reçu]]-Tableau1[[#This Row],[redristribution]])</f>
        <v>116.6391382405745</v>
      </c>
      <c r="N14" s="39">
        <f>(Tableau1[[#This Row],[Perte fin de grève]]/Tableau1[[#This Row],[Perte si gréviste tous les jours (net)]])</f>
        <v>0.28457574508612232</v>
      </c>
    </row>
    <row r="15" spans="1:14" x14ac:dyDescent="0.35">
      <c r="A15" s="29" t="s">
        <v>36</v>
      </c>
      <c r="B15" s="29">
        <v>19.5</v>
      </c>
      <c r="C15" s="29" t="s">
        <v>9</v>
      </c>
      <c r="D15" s="30">
        <v>102.96</v>
      </c>
      <c r="E15" s="30">
        <v>369.893644524237</v>
      </c>
      <c r="F15" s="30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>266.93364452423702</v>
      </c>
      <c r="G15" s="30" t="str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/>
      </c>
      <c r="H15" s="30">
        <v>1002.3000000000002</v>
      </c>
      <c r="I15" s="36">
        <f>(Tableau1[[#This Row],[participation à la perte collective(net)]]/Tableau1[[#This Row],[Perte si gréviste tous les jours (net)]])</f>
        <v>0.36904484138904214</v>
      </c>
      <c r="J15" s="31"/>
      <c r="K15" s="30">
        <f>INDEX(Tableau2[],MATCH(Tableau1[[#This Row],[NOM]],Tableau2[nom],),3)*Tableau1[[#Totals],[montant reçu]]</f>
        <v>84.663375224416512</v>
      </c>
      <c r="L15" s="30">
        <f>Tableau1[[#This Row],[participation à la perte collective(net)]]-Tableau1[[#This Row],[redristribution]]</f>
        <v>285.23026929982052</v>
      </c>
      <c r="M15" s="31">
        <f>IF(Tableau1[[#This Row],[montant reçu]]-Tableau1[[#This Row],[redristribution]]&lt;0,0,Tableau1[[#This Row],[montant reçu]]-Tableau1[[#This Row],[redristribution]])</f>
        <v>0</v>
      </c>
      <c r="N15" s="39">
        <f>(Tableau1[[#This Row],[Perte fin de grève]]/Tableau1[[#This Row],[Perte si gréviste tous les jours (net)]])</f>
        <v>0.28457574508612238</v>
      </c>
    </row>
    <row r="16" spans="1:14" x14ac:dyDescent="0.35">
      <c r="A16" s="29" t="s">
        <v>38</v>
      </c>
      <c r="B16" s="29">
        <v>19.5</v>
      </c>
      <c r="C16" s="29" t="s">
        <v>9</v>
      </c>
      <c r="D16" s="30">
        <v>102.96</v>
      </c>
      <c r="E16" s="30">
        <v>369.893644524237</v>
      </c>
      <c r="F16" s="30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>266.93364452423702</v>
      </c>
      <c r="G16" s="30" t="str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/>
      </c>
      <c r="H16" s="30">
        <v>1002.3000000000002</v>
      </c>
      <c r="I16" s="36">
        <f>(Tableau1[[#This Row],[participation à la perte collective(net)]]/Tableau1[[#This Row],[Perte si gréviste tous les jours (net)]])</f>
        <v>0.36904484138904214</v>
      </c>
      <c r="J16" s="31"/>
      <c r="K16" s="30">
        <f>INDEX(Tableau2[],MATCH(Tableau1[[#This Row],[NOM]],Tableau2[nom],),3)*Tableau1[[#Totals],[montant reçu]]</f>
        <v>84.663375224416512</v>
      </c>
      <c r="L16" s="30">
        <f>Tableau1[[#This Row],[participation à la perte collective(net)]]-Tableau1[[#This Row],[redristribution]]</f>
        <v>285.23026929982052</v>
      </c>
      <c r="M16" s="31">
        <f>IF(Tableau1[[#This Row],[montant reçu]]-Tableau1[[#This Row],[redristribution]]&lt;0,0,Tableau1[[#This Row],[montant reçu]]-Tableau1[[#This Row],[redristribution]])</f>
        <v>0</v>
      </c>
      <c r="N16" s="39">
        <f>(Tableau1[[#This Row],[Perte fin de grève]]/Tableau1[[#This Row],[Perte si gréviste tous les jours (net)]])</f>
        <v>0.28457574508612238</v>
      </c>
    </row>
    <row r="17" spans="1:14" x14ac:dyDescent="0.35">
      <c r="A17" s="29" t="s">
        <v>37</v>
      </c>
      <c r="B17" s="29">
        <v>19.5</v>
      </c>
      <c r="C17" s="29" t="s">
        <v>9</v>
      </c>
      <c r="D17" s="30">
        <v>102.96</v>
      </c>
      <c r="E17" s="30">
        <v>369.893644524237</v>
      </c>
      <c r="F17" s="30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>266.93364452423702</v>
      </c>
      <c r="G17" s="30" t="str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/>
      </c>
      <c r="H17" s="30">
        <v>1002.3000000000002</v>
      </c>
      <c r="I17" s="36">
        <f>(Tableau1[[#This Row],[participation à la perte collective(net)]]/Tableau1[[#This Row],[Perte si gréviste tous les jours (net)]])</f>
        <v>0.36904484138904214</v>
      </c>
      <c r="J17" s="31"/>
      <c r="K17" s="30">
        <f>INDEX(Tableau2[],MATCH(Tableau1[[#This Row],[NOM]],Tableau2[nom],),3)*Tableau1[[#Totals],[montant reçu]]</f>
        <v>84.663375224416512</v>
      </c>
      <c r="L17" s="30">
        <f>Tableau1[[#This Row],[participation à la perte collective(net)]]-Tableau1[[#This Row],[redristribution]]</f>
        <v>285.23026929982052</v>
      </c>
      <c r="M17" s="31">
        <f>IF(Tableau1[[#This Row],[montant reçu]]-Tableau1[[#This Row],[redristribution]]&lt;0,0,Tableau1[[#This Row],[montant reçu]]-Tableau1[[#This Row],[redristribution]])</f>
        <v>0</v>
      </c>
      <c r="N17" s="39">
        <f>(Tableau1[[#This Row],[Perte fin de grève]]/Tableau1[[#This Row],[Perte si gréviste tous les jours (net)]])</f>
        <v>0.28457574508612238</v>
      </c>
    </row>
    <row r="18" spans="1:14" x14ac:dyDescent="0.35">
      <c r="A18" s="29" t="s">
        <v>39</v>
      </c>
      <c r="B18" s="29">
        <v>23</v>
      </c>
      <c r="C18" s="29" t="s">
        <v>12</v>
      </c>
      <c r="D18" s="30">
        <v>121.44000000000001</v>
      </c>
      <c r="E18" s="30">
        <v>436.28481149012572</v>
      </c>
      <c r="F18" s="30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>314.84481149012572</v>
      </c>
      <c r="G18" s="30" t="str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/>
      </c>
      <c r="H18" s="30">
        <v>1182.1999999999998</v>
      </c>
      <c r="I18" s="36">
        <f>(Tableau1[[#This Row],[participation à la perte collective(net)]]/Tableau1[[#This Row],[Perte si gréviste tous les jours (net)]])</f>
        <v>0.36904484138904226</v>
      </c>
      <c r="J18" s="31"/>
      <c r="K18" s="30">
        <f>INDEX(Tableau2[],MATCH(Tableau1[[#This Row],[NOM]],Tableau2[nom],),3)*Tableau1[[#Totals],[montant reçu]]</f>
        <v>99.859365649311798</v>
      </c>
      <c r="L18" s="30">
        <f>Tableau1[[#This Row],[participation à la perte collective(net)]]-Tableau1[[#This Row],[redristribution]]</f>
        <v>336.42544584081395</v>
      </c>
      <c r="M18" s="31">
        <f>IF(Tableau1[[#This Row],[montant reçu]]-Tableau1[[#This Row],[redristribution]]&lt;0,0,Tableau1[[#This Row],[montant reçu]]-Tableau1[[#This Row],[redristribution]])</f>
        <v>0</v>
      </c>
      <c r="N18" s="39">
        <f>(Tableau1[[#This Row],[Perte fin de grève]]/Tableau1[[#This Row],[Perte si gréviste tous les jours (net)]])</f>
        <v>0.28457574508612249</v>
      </c>
    </row>
    <row r="19" spans="1:14" x14ac:dyDescent="0.35">
      <c r="A19" s="29" t="s">
        <v>40</v>
      </c>
      <c r="B19" s="29">
        <v>23.2</v>
      </c>
      <c r="C19" s="29" t="s">
        <v>10</v>
      </c>
      <c r="D19" s="30">
        <v>122.49600000000001</v>
      </c>
      <c r="E19" s="30">
        <v>440.07859245960503</v>
      </c>
      <c r="F19" s="30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>317.58259245960505</v>
      </c>
      <c r="G19" s="30" t="str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/>
      </c>
      <c r="H19" s="30">
        <v>1192.48</v>
      </c>
      <c r="I19" s="36">
        <f>(Tableau1[[#This Row],[participation à la perte collective(net)]]/Tableau1[[#This Row],[Perte si gréviste tous les jours (net)]])</f>
        <v>0.3690448413890422</v>
      </c>
      <c r="J19" s="31"/>
      <c r="K19" s="30">
        <f>INDEX(Tableau2[],MATCH(Tableau1[[#This Row],[NOM]],Tableau2[nom],),3)*Tableau1[[#Totals],[montant reçu]]</f>
        <v>100.72770795930582</v>
      </c>
      <c r="L19" s="30">
        <f>Tableau1[[#This Row],[participation à la perte collective(net)]]-Tableau1[[#This Row],[redristribution]]</f>
        <v>339.35088450029923</v>
      </c>
      <c r="M19" s="31">
        <f>IF(Tableau1[[#This Row],[montant reçu]]-Tableau1[[#This Row],[redristribution]]&lt;0,0,Tableau1[[#This Row],[montant reçu]]-Tableau1[[#This Row],[redristribution]])</f>
        <v>0</v>
      </c>
      <c r="N19" s="39">
        <f>(Tableau1[[#This Row],[Perte fin de grève]]/Tableau1[[#This Row],[Perte si gréviste tous les jours (net)]])</f>
        <v>0.28457574508612238</v>
      </c>
    </row>
    <row r="20" spans="1:14" x14ac:dyDescent="0.35">
      <c r="A20" s="29" t="s">
        <v>41</v>
      </c>
      <c r="B20" s="29">
        <v>23.3</v>
      </c>
      <c r="C20" s="29" t="s">
        <v>10</v>
      </c>
      <c r="D20" s="30">
        <v>123.024</v>
      </c>
      <c r="E20" s="30">
        <v>441.97548294434466</v>
      </c>
      <c r="F20" s="30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>318.95148294434466</v>
      </c>
      <c r="G20" s="30" t="str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/>
      </c>
      <c r="H20" s="30">
        <v>1197.6199999999999</v>
      </c>
      <c r="I20" s="36">
        <f>(Tableau1[[#This Row],[participation à la perte collective(net)]]/Tableau1[[#This Row],[Perte si gréviste tous les jours (net)]])</f>
        <v>0.3690448413890422</v>
      </c>
      <c r="J20" s="31"/>
      <c r="K20" s="30">
        <f>INDEX(Tableau2[],MATCH(Tableau1[[#This Row],[NOM]],Tableau2[nom],),3)*Tableau1[[#Totals],[montant reçu]]</f>
        <v>101.16187911430281</v>
      </c>
      <c r="L20" s="30">
        <f>Tableau1[[#This Row],[participation à la perte collective(net)]]-Tableau1[[#This Row],[redristribution]]</f>
        <v>340.81360383004187</v>
      </c>
      <c r="M20" s="31">
        <f>IF(Tableau1[[#This Row],[montant reçu]]-Tableau1[[#This Row],[redristribution]]&lt;0,0,Tableau1[[#This Row],[montant reçu]]-Tableau1[[#This Row],[redristribution]])</f>
        <v>0</v>
      </c>
      <c r="N20" s="39">
        <f>(Tableau1[[#This Row],[Perte fin de grève]]/Tableau1[[#This Row],[Perte si gréviste tous les jours (net)]])</f>
        <v>0.28457574508612238</v>
      </c>
    </row>
    <row r="21" spans="1:14" x14ac:dyDescent="0.35">
      <c r="A21" s="29" t="s">
        <v>42</v>
      </c>
      <c r="B21" s="29">
        <v>26.5</v>
      </c>
      <c r="C21" s="29" t="s">
        <v>8</v>
      </c>
      <c r="D21" s="30">
        <v>139.92000000000002</v>
      </c>
      <c r="E21" s="30">
        <v>502.67597845601432</v>
      </c>
      <c r="F21" s="30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>362.7559784560143</v>
      </c>
      <c r="G21" s="30" t="str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/>
      </c>
      <c r="H21" s="30">
        <v>1362.1000000000001</v>
      </c>
      <c r="I21" s="36">
        <f>(Tableau1[[#This Row],[participation à la perte collective(net)]]/Tableau1[[#This Row],[Perte si gréviste tous les jours (net)]])</f>
        <v>0.36904484138904214</v>
      </c>
      <c r="J21" s="31"/>
      <c r="K21" s="30">
        <f>INDEX(Tableau2[],MATCH(Tableau1[[#This Row],[NOM]],Tableau2[nom],),3)*Tableau1[[#Totals],[montant reçu]]</f>
        <v>115.05535607420707</v>
      </c>
      <c r="L21" s="30">
        <f>Tableau1[[#This Row],[participation à la perte collective(net)]]-Tableau1[[#This Row],[redristribution]]</f>
        <v>387.62062238180727</v>
      </c>
      <c r="M21" s="31">
        <f>IF(Tableau1[[#This Row],[montant reçu]]-Tableau1[[#This Row],[redristribution]]&lt;0,0,Tableau1[[#This Row],[montant reçu]]-Tableau1[[#This Row],[redristribution]])</f>
        <v>0</v>
      </c>
      <c r="N21" s="39">
        <f>(Tableau1[[#This Row],[Perte fin de grève]]/Tableau1[[#This Row],[Perte si gréviste tous les jours (net)]])</f>
        <v>0.28457574508612232</v>
      </c>
    </row>
    <row r="22" spans="1:14" x14ac:dyDescent="0.35">
      <c r="A22" s="29" t="s">
        <v>43</v>
      </c>
      <c r="B22" s="29">
        <v>30</v>
      </c>
      <c r="C22" s="29" t="s">
        <v>7</v>
      </c>
      <c r="D22" s="30">
        <v>158.4</v>
      </c>
      <c r="E22" s="30">
        <v>569.06714542190309</v>
      </c>
      <c r="F22" s="30">
        <f>IF((Tableau1[[#This Row],[perte par agent sur paye (NET)]]&lt;&gt;""), IF((Tableau1[[#This Row],[perte par agent sur paye (NET)]]-Tableau1[[#This Row],[participation à la perte collective(net)]])&lt;0, ABS(Tableau1[[#This Row],[perte par agent sur paye (NET)]]-Tableau1[[#This Row],[participation à la perte collective(net)]]), ""), "")</f>
        <v>410.66714542190311</v>
      </c>
      <c r="G22" s="30" t="str">
        <f>IF((Tableau1[[#This Row],[perte par agent sur paye (NET)]]&lt;&gt;""), IF((Tableau1[[#This Row],[perte par agent sur paye (NET)]]-Tableau1[[#This Row],[participation à la perte collective(net)]])&gt;0, (Tableau1[[#This Row],[perte par agent sur paye (NET)]]-Tableau1[[#This Row],[participation à la perte collective(net)]]), ""), "")</f>
        <v/>
      </c>
      <c r="H22" s="30">
        <v>1542</v>
      </c>
      <c r="I22" s="36">
        <f>(Tableau1[[#This Row],[participation à la perte collective(net)]]/Tableau1[[#This Row],[Perte si gréviste tous les jours (net)]])</f>
        <v>0.3690448413890422</v>
      </c>
      <c r="J22" s="31"/>
      <c r="K22" s="30">
        <f>INDEX(Tableau2[],MATCH(Tableau1[[#This Row],[NOM]],Tableau2[nom],),3)*Tableau1[[#Totals],[montant reçu]]</f>
        <v>130.25134649910234</v>
      </c>
      <c r="L22" s="30">
        <f>Tableau1[[#This Row],[participation à la perte collective(net)]]-Tableau1[[#This Row],[redristribution]]</f>
        <v>438.81579892280075</v>
      </c>
      <c r="M22" s="31">
        <f>IF(Tableau1[[#This Row],[montant reçu]]-Tableau1[[#This Row],[redristribution]]&lt;0,0,Tableau1[[#This Row],[montant reçu]]-Tableau1[[#This Row],[redristribution]])</f>
        <v>0</v>
      </c>
      <c r="N22" s="39">
        <f>(Tableau1[[#This Row],[Perte fin de grève]]/Tableau1[[#This Row],[Perte si gréviste tous les jours (net)]])</f>
        <v>0.28457574508612243</v>
      </c>
    </row>
    <row r="23" spans="1:14" x14ac:dyDescent="0.35">
      <c r="A23" s="27" t="s">
        <v>19</v>
      </c>
      <c r="B23" s="28">
        <f>SUBTOTAL(101,Tableau1[Taux horaire])</f>
        <v>19.658823529411762</v>
      </c>
      <c r="C23" s="27"/>
      <c r="D23" s="28">
        <f>SUBTOTAL(109,Tableau1[perte par agent sur paye (NET)])</f>
        <v>6339.4080000000013</v>
      </c>
      <c r="E23" s="28">
        <f>SUBTOTAL(109,Tableau1[participation à la perte collective(net)])</f>
        <v>6339.4079999999994</v>
      </c>
      <c r="F23" s="28">
        <f>SUBTOTAL(109,Tableau1[à injecter dans la cagnotte (NET)])</f>
        <v>2525.6029443447042</v>
      </c>
      <c r="G23" s="28">
        <f>SUBTOTAL(109,Tableau1[à rembourser à l''agent (net)])</f>
        <v>2525.6029443447046</v>
      </c>
      <c r="H23" s="28">
        <f>SUBTOTAL(101,Tableau1[Perte si gréviste tous les jours (net)])</f>
        <v>1010.4635294117645</v>
      </c>
      <c r="I23" s="28"/>
      <c r="J23" s="28">
        <f>SUBTOTAL(109,Tableau1[montant reçu])</f>
        <v>1451</v>
      </c>
      <c r="K23" s="28">
        <f>SUBTOTAL(109,Tableau1[redristribution])</f>
        <v>1451</v>
      </c>
      <c r="L23" s="28"/>
      <c r="M23" s="28">
        <f>SUBTOTAL(109,Tableau1[à ré-injecter dans le pot commun])</f>
        <v>801.04578096947932</v>
      </c>
      <c r="N23" s="41">
        <f>SUBTOTAL(101,Tableau1[% perte finale ])</f>
        <v>0.28457574508612238</v>
      </c>
    </row>
    <row r="24" spans="1:14" x14ac:dyDescent="0.35">
      <c r="H24" s="40"/>
    </row>
  </sheetData>
  <mergeCells count="1">
    <mergeCell ref="A1:E1"/>
  </mergeCells>
  <pageMargins left="0.7" right="0.7" top="0.75" bottom="0.75" header="0.3" footer="0.3"/>
  <pageSetup paperSize="11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T33"/>
  <sheetViews>
    <sheetView workbookViewId="0">
      <selection activeCell="J13" sqref="J13"/>
    </sheetView>
  </sheetViews>
  <sheetFormatPr baseColWidth="10" defaultColWidth="10.81640625" defaultRowHeight="14.5" x14ac:dyDescent="0.35"/>
  <cols>
    <col min="1" max="1" width="13.26953125" style="4" customWidth="1"/>
    <col min="2" max="2" width="12.81640625" style="5" customWidth="1"/>
    <col min="3" max="3" width="16.81640625" style="4" customWidth="1"/>
    <col min="4" max="5" width="16.26953125" style="4" customWidth="1"/>
    <col min="6" max="6" width="12.26953125" style="4" customWidth="1"/>
    <col min="7" max="7" width="10.81640625" style="4"/>
    <col min="8" max="8" width="13.453125" style="5" customWidth="1"/>
    <col min="9" max="16384" width="10.81640625" style="4"/>
  </cols>
  <sheetData>
    <row r="1" spans="1:20" ht="33" customHeight="1" x14ac:dyDescent="0.35"/>
    <row r="2" spans="1:20" x14ac:dyDescent="0.35">
      <c r="C2" s="4">
        <f>Indemnite</f>
        <v>7.25</v>
      </c>
      <c r="D2" s="4">
        <f>Indemnite</f>
        <v>7.25</v>
      </c>
      <c r="E2" s="4">
        <f>Indemnite</f>
        <v>7.25</v>
      </c>
      <c r="F2" s="4">
        <f>Indemnite</f>
        <v>7.25</v>
      </c>
      <c r="G2" s="4">
        <f>Indemnite</f>
        <v>9.25</v>
      </c>
      <c r="H2" s="4">
        <f>Indemnite</f>
        <v>9.25</v>
      </c>
      <c r="I2" s="4">
        <f>Indemnite</f>
        <v>9.25</v>
      </c>
      <c r="J2" s="4">
        <f>Indemnite</f>
        <v>7.25</v>
      </c>
      <c r="K2" s="4">
        <f>Indemnite</f>
        <v>9.25</v>
      </c>
    </row>
    <row r="3" spans="1:20" x14ac:dyDescent="0.35">
      <c r="C3" s="4" t="s">
        <v>26</v>
      </c>
      <c r="D3" s="4" t="s">
        <v>26</v>
      </c>
      <c r="E3" s="4" t="s">
        <v>13</v>
      </c>
      <c r="F3" s="4" t="s">
        <v>13</v>
      </c>
      <c r="G3" s="4" t="s">
        <v>14</v>
      </c>
      <c r="H3" s="4" t="s">
        <v>14</v>
      </c>
      <c r="I3" s="4" t="s">
        <v>14</v>
      </c>
      <c r="J3" s="4" t="s">
        <v>26</v>
      </c>
      <c r="K3" s="4" t="s">
        <v>14</v>
      </c>
    </row>
    <row r="4" spans="1:20" x14ac:dyDescent="0.35">
      <c r="A4" s="3" t="s">
        <v>0</v>
      </c>
      <c r="B4" s="6" t="s">
        <v>20</v>
      </c>
      <c r="C4" s="6" t="s">
        <v>44</v>
      </c>
      <c r="D4" s="6" t="s">
        <v>45</v>
      </c>
      <c r="E4" s="6" t="s">
        <v>46</v>
      </c>
      <c r="F4" s="6" t="s">
        <v>47</v>
      </c>
      <c r="G4" s="6" t="s">
        <v>48</v>
      </c>
      <c r="H4" s="6" t="s">
        <v>49</v>
      </c>
      <c r="I4" s="6" t="s">
        <v>50</v>
      </c>
      <c r="J4" s="6" t="s">
        <v>53</v>
      </c>
      <c r="K4" s="6" t="s">
        <v>63</v>
      </c>
      <c r="L4" s="6" t="s">
        <v>19</v>
      </c>
      <c r="T4" s="8"/>
    </row>
    <row r="5" spans="1:20" s="7" customFormat="1" x14ac:dyDescent="0.35">
      <c r="A5" s="32" t="s">
        <v>27</v>
      </c>
      <c r="B5" s="6">
        <v>15</v>
      </c>
      <c r="C5" s="34">
        <f t="shared" ref="C5:C21" si="0">calcul_cout_greve(C$2,$B5)</f>
        <v>75</v>
      </c>
      <c r="D5" s="34">
        <f t="shared" ref="D5:D21" si="1">calcul_cout_greve(D$2,$B5)</f>
        <v>75</v>
      </c>
      <c r="E5" s="34">
        <f t="shared" ref="E5:E21" si="2">calcul_cout_greve(E$2,$B5)</f>
        <v>75</v>
      </c>
      <c r="F5" s="34">
        <f t="shared" ref="F5:F21" si="3">calcul_cout_greve(F$2,$B5)</f>
        <v>75</v>
      </c>
      <c r="G5" s="34">
        <f t="shared" ref="G5:G21" si="4">calcul_cout_greve(G$2,$B5)</f>
        <v>99</v>
      </c>
      <c r="H5" s="34">
        <f t="shared" ref="H5:H21" si="5">calcul_cout_greve(H$2,$B5)</f>
        <v>99</v>
      </c>
      <c r="I5" s="34">
        <f t="shared" ref="I5:I21" si="6">calcul_cout_greve(I$2,$B5)</f>
        <v>99</v>
      </c>
      <c r="J5" s="34">
        <f t="shared" ref="J5:J21" si="7">calcul_cout_greve(J$2,$B5)</f>
        <v>75</v>
      </c>
      <c r="K5" s="6">
        <f t="shared" ref="K5:K21" si="8">calcul_cout_greve(K$2,$B5)</f>
        <v>99</v>
      </c>
      <c r="L5" s="6">
        <v>672</v>
      </c>
      <c r="O5" s="4"/>
      <c r="T5" s="9"/>
    </row>
    <row r="6" spans="1:20" x14ac:dyDescent="0.35">
      <c r="A6" s="32" t="s">
        <v>28</v>
      </c>
      <c r="B6" s="6">
        <v>15.5</v>
      </c>
      <c r="C6" s="34">
        <f t="shared" si="0"/>
        <v>77.5</v>
      </c>
      <c r="D6" s="34">
        <f t="shared" si="1"/>
        <v>77.5</v>
      </c>
      <c r="E6" s="34">
        <f t="shared" si="2"/>
        <v>77.5</v>
      </c>
      <c r="F6" s="34">
        <f t="shared" si="3"/>
        <v>77.5</v>
      </c>
      <c r="G6" s="34">
        <f t="shared" si="4"/>
        <v>102.3</v>
      </c>
      <c r="H6" s="34">
        <f t="shared" si="5"/>
        <v>102.3</v>
      </c>
      <c r="I6" s="34">
        <f t="shared" si="6"/>
        <v>102.3</v>
      </c>
      <c r="J6" s="34">
        <f t="shared" si="7"/>
        <v>77.5</v>
      </c>
      <c r="K6" s="6">
        <f t="shared" si="8"/>
        <v>102.3</v>
      </c>
      <c r="L6" s="6">
        <v>694.4</v>
      </c>
    </row>
    <row r="7" spans="1:20" x14ac:dyDescent="0.35">
      <c r="A7" s="32" t="s">
        <v>29</v>
      </c>
      <c r="B7" s="6">
        <v>15.5</v>
      </c>
      <c r="C7" s="34">
        <f t="shared" si="0"/>
        <v>77.5</v>
      </c>
      <c r="D7" s="34">
        <f t="shared" si="1"/>
        <v>77.5</v>
      </c>
      <c r="E7" s="34">
        <f t="shared" si="2"/>
        <v>77.5</v>
      </c>
      <c r="F7" s="34">
        <f t="shared" si="3"/>
        <v>77.5</v>
      </c>
      <c r="G7" s="34">
        <f t="shared" si="4"/>
        <v>102.3</v>
      </c>
      <c r="H7" s="34">
        <f t="shared" si="5"/>
        <v>102.3</v>
      </c>
      <c r="I7" s="34">
        <f t="shared" si="6"/>
        <v>102.3</v>
      </c>
      <c r="J7" s="34">
        <f t="shared" si="7"/>
        <v>77.5</v>
      </c>
      <c r="K7" s="6">
        <f t="shared" si="8"/>
        <v>102.3</v>
      </c>
      <c r="L7" s="6">
        <v>694.4</v>
      </c>
    </row>
    <row r="8" spans="1:20" x14ac:dyDescent="0.35">
      <c r="A8" s="32" t="s">
        <v>30</v>
      </c>
      <c r="B8" s="6">
        <v>16</v>
      </c>
      <c r="C8" s="34">
        <f t="shared" si="0"/>
        <v>80</v>
      </c>
      <c r="D8" s="34">
        <f t="shared" si="1"/>
        <v>80</v>
      </c>
      <c r="E8" s="34">
        <f t="shared" si="2"/>
        <v>80</v>
      </c>
      <c r="F8" s="34">
        <f t="shared" si="3"/>
        <v>80</v>
      </c>
      <c r="G8" s="34">
        <f t="shared" si="4"/>
        <v>105.6</v>
      </c>
      <c r="H8" s="34">
        <f t="shared" si="5"/>
        <v>105.6</v>
      </c>
      <c r="I8" s="34">
        <f t="shared" si="6"/>
        <v>105.6</v>
      </c>
      <c r="J8" s="34">
        <f t="shared" si="7"/>
        <v>80</v>
      </c>
      <c r="K8" s="6">
        <f t="shared" si="8"/>
        <v>105.6</v>
      </c>
      <c r="L8" s="6">
        <v>716.80000000000007</v>
      </c>
      <c r="R8" s="12"/>
    </row>
    <row r="9" spans="1:20" x14ac:dyDescent="0.35">
      <c r="A9" s="32" t="s">
        <v>31</v>
      </c>
      <c r="B9" s="6">
        <v>16</v>
      </c>
      <c r="C9" s="34">
        <f t="shared" si="0"/>
        <v>80</v>
      </c>
      <c r="D9" s="34">
        <f t="shared" si="1"/>
        <v>80</v>
      </c>
      <c r="E9" s="34">
        <f t="shared" si="2"/>
        <v>80</v>
      </c>
      <c r="F9" s="34">
        <f t="shared" si="3"/>
        <v>80</v>
      </c>
      <c r="G9" s="34">
        <f t="shared" si="4"/>
        <v>105.6</v>
      </c>
      <c r="H9" s="34">
        <f t="shared" si="5"/>
        <v>105.6</v>
      </c>
      <c r="I9" s="34">
        <f t="shared" si="6"/>
        <v>105.6</v>
      </c>
      <c r="J9" s="34">
        <f t="shared" si="7"/>
        <v>80</v>
      </c>
      <c r="K9" s="6">
        <f t="shared" si="8"/>
        <v>105.6</v>
      </c>
      <c r="L9" s="6">
        <v>716.80000000000007</v>
      </c>
    </row>
    <row r="10" spans="1:20" x14ac:dyDescent="0.35">
      <c r="A10" s="32" t="s">
        <v>32</v>
      </c>
      <c r="B10" s="6">
        <v>16.5</v>
      </c>
      <c r="C10" s="34">
        <f t="shared" si="0"/>
        <v>82.5</v>
      </c>
      <c r="D10" s="34">
        <f t="shared" si="1"/>
        <v>82.5</v>
      </c>
      <c r="E10" s="34">
        <f t="shared" si="2"/>
        <v>82.5</v>
      </c>
      <c r="F10" s="34">
        <f t="shared" si="3"/>
        <v>82.5</v>
      </c>
      <c r="G10" s="34">
        <f t="shared" si="4"/>
        <v>108.89999999999999</v>
      </c>
      <c r="H10" s="34">
        <f t="shared" si="5"/>
        <v>108.89999999999999</v>
      </c>
      <c r="I10" s="34">
        <f t="shared" si="6"/>
        <v>108.89999999999999</v>
      </c>
      <c r="J10" s="34">
        <f t="shared" si="7"/>
        <v>82.5</v>
      </c>
      <c r="K10" s="6">
        <f t="shared" si="8"/>
        <v>108.89999999999999</v>
      </c>
      <c r="L10" s="6">
        <v>739.19999999999993</v>
      </c>
    </row>
    <row r="11" spans="1:20" x14ac:dyDescent="0.35">
      <c r="A11" s="32" t="s">
        <v>33</v>
      </c>
      <c r="B11" s="6">
        <v>17</v>
      </c>
      <c r="C11" s="34">
        <f t="shared" si="0"/>
        <v>85</v>
      </c>
      <c r="D11" s="34">
        <f t="shared" si="1"/>
        <v>85</v>
      </c>
      <c r="E11" s="34">
        <f t="shared" si="2"/>
        <v>85</v>
      </c>
      <c r="F11" s="34">
        <f t="shared" si="3"/>
        <v>85</v>
      </c>
      <c r="G11" s="34">
        <f t="shared" si="4"/>
        <v>112.2</v>
      </c>
      <c r="H11" s="34">
        <f t="shared" si="5"/>
        <v>112.2</v>
      </c>
      <c r="I11" s="34">
        <f t="shared" si="6"/>
        <v>112.2</v>
      </c>
      <c r="J11" s="34">
        <f t="shared" si="7"/>
        <v>85</v>
      </c>
      <c r="K11" s="6">
        <f t="shared" si="8"/>
        <v>112.2</v>
      </c>
      <c r="L11" s="6">
        <v>761.6</v>
      </c>
    </row>
    <row r="12" spans="1:20" x14ac:dyDescent="0.35">
      <c r="A12" s="32" t="s">
        <v>34</v>
      </c>
      <c r="B12" s="6">
        <v>19</v>
      </c>
      <c r="C12" s="34">
        <f t="shared" si="0"/>
        <v>95</v>
      </c>
      <c r="D12" s="34">
        <f t="shared" si="1"/>
        <v>95</v>
      </c>
      <c r="E12" s="34">
        <f t="shared" si="2"/>
        <v>95</v>
      </c>
      <c r="F12" s="34">
        <f t="shared" si="3"/>
        <v>95</v>
      </c>
      <c r="G12" s="34">
        <f t="shared" si="4"/>
        <v>125.39999999999999</v>
      </c>
      <c r="H12" s="34">
        <f t="shared" si="5"/>
        <v>125.39999999999999</v>
      </c>
      <c r="I12" s="34">
        <f t="shared" si="6"/>
        <v>125.39999999999999</v>
      </c>
      <c r="J12" s="34">
        <f t="shared" si="7"/>
        <v>95</v>
      </c>
      <c r="K12" s="6">
        <f t="shared" si="8"/>
        <v>125.39999999999999</v>
      </c>
      <c r="L12" s="6">
        <v>851.19999999999993</v>
      </c>
    </row>
    <row r="13" spans="1:20" x14ac:dyDescent="0.35">
      <c r="A13" s="32" t="s">
        <v>35</v>
      </c>
      <c r="B13" s="6">
        <v>19.2</v>
      </c>
      <c r="C13" s="34">
        <f t="shared" si="0"/>
        <v>96</v>
      </c>
      <c r="D13" s="34">
        <f t="shared" si="1"/>
        <v>96</v>
      </c>
      <c r="E13" s="34">
        <f t="shared" si="2"/>
        <v>96</v>
      </c>
      <c r="F13" s="34">
        <f t="shared" si="3"/>
        <v>96</v>
      </c>
      <c r="G13" s="34">
        <f t="shared" si="4"/>
        <v>126.72</v>
      </c>
      <c r="H13" s="34">
        <f t="shared" si="5"/>
        <v>126.72</v>
      </c>
      <c r="I13" s="34">
        <f t="shared" si="6"/>
        <v>126.72</v>
      </c>
      <c r="J13" s="34">
        <f t="shared" si="7"/>
        <v>96</v>
      </c>
      <c r="K13" s="6">
        <f t="shared" si="8"/>
        <v>126.72</v>
      </c>
      <c r="L13" s="6">
        <v>860.16000000000008</v>
      </c>
    </row>
    <row r="14" spans="1:20" x14ac:dyDescent="0.35">
      <c r="A14" s="32" t="s">
        <v>36</v>
      </c>
      <c r="B14" s="6">
        <v>19.5</v>
      </c>
      <c r="C14" s="6">
        <f t="shared" si="0"/>
        <v>97.5</v>
      </c>
      <c r="D14" s="6">
        <f t="shared" si="1"/>
        <v>97.5</v>
      </c>
      <c r="E14" s="6">
        <f t="shared" si="2"/>
        <v>97.5</v>
      </c>
      <c r="F14" s="6">
        <f t="shared" si="3"/>
        <v>97.5</v>
      </c>
      <c r="G14" s="6">
        <f t="shared" si="4"/>
        <v>128.69999999999999</v>
      </c>
      <c r="H14" s="6">
        <f t="shared" si="5"/>
        <v>128.69999999999999</v>
      </c>
      <c r="I14" s="6">
        <f t="shared" si="6"/>
        <v>128.69999999999999</v>
      </c>
      <c r="J14" s="6">
        <f t="shared" si="7"/>
        <v>97.5</v>
      </c>
      <c r="K14" s="34">
        <f t="shared" si="8"/>
        <v>128.69999999999999</v>
      </c>
      <c r="L14" s="6">
        <v>128.69999999999999</v>
      </c>
    </row>
    <row r="15" spans="1:20" x14ac:dyDescent="0.35">
      <c r="A15" s="32" t="s">
        <v>38</v>
      </c>
      <c r="B15" s="6">
        <v>19.5</v>
      </c>
      <c r="C15" s="6">
        <f t="shared" si="0"/>
        <v>97.5</v>
      </c>
      <c r="D15" s="6">
        <f t="shared" si="1"/>
        <v>97.5</v>
      </c>
      <c r="E15" s="6">
        <f t="shared" si="2"/>
        <v>97.5</v>
      </c>
      <c r="F15" s="6">
        <f t="shared" si="3"/>
        <v>97.5</v>
      </c>
      <c r="G15" s="6">
        <f t="shared" si="4"/>
        <v>128.69999999999999</v>
      </c>
      <c r="H15" s="6">
        <f t="shared" si="5"/>
        <v>128.69999999999999</v>
      </c>
      <c r="I15" s="6">
        <f t="shared" si="6"/>
        <v>128.69999999999999</v>
      </c>
      <c r="J15" s="6">
        <f t="shared" si="7"/>
        <v>97.5</v>
      </c>
      <c r="K15" s="34">
        <f t="shared" si="8"/>
        <v>128.69999999999999</v>
      </c>
      <c r="L15" s="6">
        <v>128.69999999999999</v>
      </c>
    </row>
    <row r="16" spans="1:20" x14ac:dyDescent="0.35">
      <c r="A16" s="32" t="s">
        <v>37</v>
      </c>
      <c r="B16" s="6">
        <v>19.5</v>
      </c>
      <c r="C16" s="6">
        <f t="shared" si="0"/>
        <v>97.5</v>
      </c>
      <c r="D16" s="6">
        <f t="shared" si="1"/>
        <v>97.5</v>
      </c>
      <c r="E16" s="6">
        <f t="shared" si="2"/>
        <v>97.5</v>
      </c>
      <c r="F16" s="6">
        <f t="shared" si="3"/>
        <v>97.5</v>
      </c>
      <c r="G16" s="6">
        <f t="shared" si="4"/>
        <v>128.69999999999999</v>
      </c>
      <c r="H16" s="6">
        <f t="shared" si="5"/>
        <v>128.69999999999999</v>
      </c>
      <c r="I16" s="6">
        <f t="shared" si="6"/>
        <v>128.69999999999999</v>
      </c>
      <c r="J16" s="6">
        <f t="shared" si="7"/>
        <v>97.5</v>
      </c>
      <c r="K16" s="34">
        <f t="shared" si="8"/>
        <v>128.69999999999999</v>
      </c>
      <c r="L16" s="6">
        <v>128.69999999999999</v>
      </c>
    </row>
    <row r="17" spans="1:17" x14ac:dyDescent="0.35">
      <c r="A17" s="32" t="s">
        <v>39</v>
      </c>
      <c r="B17" s="6">
        <v>23</v>
      </c>
      <c r="C17" s="6">
        <f t="shared" si="0"/>
        <v>115</v>
      </c>
      <c r="D17" s="6">
        <f t="shared" si="1"/>
        <v>115</v>
      </c>
      <c r="E17" s="6">
        <f t="shared" si="2"/>
        <v>115</v>
      </c>
      <c r="F17" s="6">
        <f t="shared" si="3"/>
        <v>115</v>
      </c>
      <c r="G17" s="6">
        <f t="shared" si="4"/>
        <v>151.80000000000001</v>
      </c>
      <c r="H17" s="6">
        <f t="shared" si="5"/>
        <v>151.80000000000001</v>
      </c>
      <c r="I17" s="6">
        <f t="shared" si="6"/>
        <v>151.80000000000001</v>
      </c>
      <c r="J17" s="6">
        <f t="shared" si="7"/>
        <v>115</v>
      </c>
      <c r="K17" s="34">
        <f t="shared" si="8"/>
        <v>151.80000000000001</v>
      </c>
      <c r="L17" s="6">
        <v>151.80000000000001</v>
      </c>
    </row>
    <row r="18" spans="1:17" x14ac:dyDescent="0.35">
      <c r="A18" s="32" t="s">
        <v>40</v>
      </c>
      <c r="B18" s="6">
        <v>23.2</v>
      </c>
      <c r="C18" s="6">
        <f t="shared" si="0"/>
        <v>116</v>
      </c>
      <c r="D18" s="6">
        <f t="shared" si="1"/>
        <v>116</v>
      </c>
      <c r="E18" s="6">
        <f t="shared" si="2"/>
        <v>116</v>
      </c>
      <c r="F18" s="6">
        <f t="shared" si="3"/>
        <v>116</v>
      </c>
      <c r="G18" s="6">
        <f t="shared" si="4"/>
        <v>153.12</v>
      </c>
      <c r="H18" s="6">
        <f t="shared" si="5"/>
        <v>153.12</v>
      </c>
      <c r="I18" s="6">
        <f t="shared" si="6"/>
        <v>153.12</v>
      </c>
      <c r="J18" s="6">
        <f t="shared" si="7"/>
        <v>116</v>
      </c>
      <c r="K18" s="34">
        <f t="shared" si="8"/>
        <v>153.12</v>
      </c>
      <c r="L18" s="6">
        <v>153.12</v>
      </c>
    </row>
    <row r="19" spans="1:17" x14ac:dyDescent="0.35">
      <c r="A19" s="32" t="s">
        <v>41</v>
      </c>
      <c r="B19" s="6">
        <v>23.3</v>
      </c>
      <c r="C19" s="6">
        <f t="shared" si="0"/>
        <v>116.5</v>
      </c>
      <c r="D19" s="6">
        <f t="shared" si="1"/>
        <v>116.5</v>
      </c>
      <c r="E19" s="6">
        <f t="shared" si="2"/>
        <v>116.5</v>
      </c>
      <c r="F19" s="6">
        <f t="shared" si="3"/>
        <v>116.5</v>
      </c>
      <c r="G19" s="6">
        <f t="shared" si="4"/>
        <v>153.78</v>
      </c>
      <c r="H19" s="6">
        <f t="shared" si="5"/>
        <v>153.78</v>
      </c>
      <c r="I19" s="6">
        <f t="shared" si="6"/>
        <v>153.78</v>
      </c>
      <c r="J19" s="6">
        <f t="shared" si="7"/>
        <v>116.5</v>
      </c>
      <c r="K19" s="34">
        <f t="shared" si="8"/>
        <v>153.78</v>
      </c>
      <c r="L19" s="6">
        <v>153.78</v>
      </c>
    </row>
    <row r="20" spans="1:17" x14ac:dyDescent="0.35">
      <c r="A20" s="32" t="s">
        <v>42</v>
      </c>
      <c r="B20" s="6">
        <v>26.5</v>
      </c>
      <c r="C20" s="6">
        <f t="shared" si="0"/>
        <v>132.5</v>
      </c>
      <c r="D20" s="6">
        <f t="shared" si="1"/>
        <v>132.5</v>
      </c>
      <c r="E20" s="6">
        <f t="shared" si="2"/>
        <v>132.5</v>
      </c>
      <c r="F20" s="6">
        <f t="shared" si="3"/>
        <v>132.5</v>
      </c>
      <c r="G20" s="6">
        <f t="shared" si="4"/>
        <v>174.9</v>
      </c>
      <c r="H20" s="6">
        <f t="shared" si="5"/>
        <v>174.9</v>
      </c>
      <c r="I20" s="6">
        <f t="shared" si="6"/>
        <v>174.9</v>
      </c>
      <c r="J20" s="6">
        <f t="shared" si="7"/>
        <v>132.5</v>
      </c>
      <c r="K20" s="34">
        <f t="shared" si="8"/>
        <v>174.9</v>
      </c>
      <c r="L20" s="6">
        <v>174.9</v>
      </c>
    </row>
    <row r="21" spans="1:17" x14ac:dyDescent="0.35">
      <c r="A21" s="32" t="s">
        <v>43</v>
      </c>
      <c r="B21" s="6">
        <v>30</v>
      </c>
      <c r="C21" s="6">
        <f t="shared" si="0"/>
        <v>150</v>
      </c>
      <c r="D21" s="6">
        <f t="shared" si="1"/>
        <v>150</v>
      </c>
      <c r="E21" s="6">
        <f t="shared" si="2"/>
        <v>150</v>
      </c>
      <c r="F21" s="6">
        <f t="shared" si="3"/>
        <v>150</v>
      </c>
      <c r="G21" s="6">
        <f t="shared" si="4"/>
        <v>198</v>
      </c>
      <c r="H21" s="6">
        <f t="shared" si="5"/>
        <v>198</v>
      </c>
      <c r="I21" s="6">
        <f t="shared" si="6"/>
        <v>198</v>
      </c>
      <c r="J21" s="6">
        <f t="shared" si="7"/>
        <v>150</v>
      </c>
      <c r="K21" s="34">
        <f t="shared" si="8"/>
        <v>198</v>
      </c>
      <c r="L21" s="6">
        <v>198</v>
      </c>
      <c r="Q21" s="5"/>
    </row>
    <row r="22" spans="1:17" x14ac:dyDescent="0.35">
      <c r="A22" s="32" t="s">
        <v>19</v>
      </c>
      <c r="B22" s="6">
        <f>SUBTOTAL(101,Tableau3[Taux Horaire])</f>
        <v>19.658823529411762</v>
      </c>
      <c r="C22" s="6" t="s">
        <v>51</v>
      </c>
      <c r="D22" s="6" t="s">
        <v>51</v>
      </c>
      <c r="E22" s="6" t="s">
        <v>51</v>
      </c>
      <c r="F22" s="6" t="s">
        <v>51</v>
      </c>
      <c r="G22" s="6" t="s">
        <v>52</v>
      </c>
      <c r="H22" s="6" t="s">
        <v>52</v>
      </c>
      <c r="I22" s="6" t="s">
        <v>52</v>
      </c>
      <c r="J22" s="6" t="s">
        <v>51</v>
      </c>
      <c r="K22" s="6"/>
      <c r="L22" s="18">
        <f>SUBTOTAL(109,Tableau3[Total])</f>
        <v>7924.2599999999993</v>
      </c>
      <c r="Q22" s="5"/>
    </row>
    <row r="25" spans="1:17" x14ac:dyDescent="0.35">
      <c r="H25" s="4"/>
    </row>
    <row r="26" spans="1:17" x14ac:dyDescent="0.35">
      <c r="C26" s="5"/>
      <c r="D26" s="5"/>
      <c r="E26" s="5"/>
      <c r="F26" s="5"/>
      <c r="G26" s="5"/>
      <c r="I26" s="5"/>
      <c r="J26" s="5"/>
    </row>
    <row r="32" spans="1:17" x14ac:dyDescent="0.35">
      <c r="H32" s="4"/>
    </row>
    <row r="33" spans="8:8" x14ac:dyDescent="0.35">
      <c r="H33" s="4"/>
    </row>
  </sheetData>
  <phoneticPr fontId="7" type="noConversion"/>
  <pageMargins left="0.7" right="0.7" top="0.75" bottom="0.75" header="0.3" footer="0.3"/>
  <pageSetup paperSize="11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autoPict="0" r:id="rId5">
            <anchor moveWithCells="1">
              <from>
                <xdr:col>2</xdr:col>
                <xdr:colOff>241300</xdr:colOff>
                <xdr:row>0</xdr:row>
                <xdr:rowOff>107950</xdr:rowOff>
              </from>
              <to>
                <xdr:col>3</xdr:col>
                <xdr:colOff>914400</xdr:colOff>
                <xdr:row>0</xdr:row>
                <xdr:rowOff>393700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J19"/>
  <sheetViews>
    <sheetView workbookViewId="0">
      <selection activeCell="C14" sqref="C14"/>
    </sheetView>
  </sheetViews>
  <sheetFormatPr baseColWidth="10" defaultColWidth="10.81640625" defaultRowHeight="14.5" x14ac:dyDescent="0.35"/>
  <cols>
    <col min="1" max="1" width="10.81640625" style="13"/>
    <col min="2" max="2" width="5.7265625" style="13" customWidth="1"/>
    <col min="3" max="3" width="18" style="13" customWidth="1"/>
    <col min="4" max="4" width="13.81640625" style="13" customWidth="1"/>
    <col min="5" max="5" width="5.1796875" style="13" customWidth="1"/>
    <col min="6" max="7" width="10.81640625" style="13"/>
    <col min="8" max="8" width="10.81640625" style="17"/>
    <col min="9" max="16384" width="10.81640625" style="13"/>
  </cols>
  <sheetData>
    <row r="1" spans="1:8" s="4" customFormat="1" x14ac:dyDescent="0.35">
      <c r="A1" s="4" t="s">
        <v>18</v>
      </c>
      <c r="C1" s="4" t="s">
        <v>17</v>
      </c>
      <c r="D1" s="4" t="s">
        <v>16</v>
      </c>
      <c r="F1" s="4" t="s">
        <v>23</v>
      </c>
      <c r="G1" s="4" t="s">
        <v>24</v>
      </c>
      <c r="H1" s="14" t="s">
        <v>25</v>
      </c>
    </row>
    <row r="2" spans="1:8" x14ac:dyDescent="0.35">
      <c r="A2" s="13" t="s">
        <v>11</v>
      </c>
      <c r="C2" s="4" t="s">
        <v>26</v>
      </c>
      <c r="D2" s="4">
        <v>7.25</v>
      </c>
      <c r="F2" s="15" t="s">
        <v>27</v>
      </c>
      <c r="G2" s="16">
        <v>15</v>
      </c>
      <c r="H2" s="26">
        <f>G2/$G$19</f>
        <v>4.4883303411131059E-2</v>
      </c>
    </row>
    <row r="3" spans="1:8" x14ac:dyDescent="0.35">
      <c r="A3" s="13" t="s">
        <v>7</v>
      </c>
      <c r="C3" s="4" t="s">
        <v>13</v>
      </c>
      <c r="D3" s="4">
        <v>7.25</v>
      </c>
      <c r="F3" s="15" t="s">
        <v>28</v>
      </c>
      <c r="G3" s="16">
        <v>15.5</v>
      </c>
      <c r="H3" s="26">
        <f t="shared" ref="H3:H18" si="0">G3/$G$19</f>
        <v>4.6379413524835426E-2</v>
      </c>
    </row>
    <row r="4" spans="1:8" x14ac:dyDescent="0.35">
      <c r="A4" s="13" t="s">
        <v>8</v>
      </c>
      <c r="C4" s="4" t="s">
        <v>14</v>
      </c>
      <c r="D4" s="4">
        <v>9.25</v>
      </c>
      <c r="F4" s="15" t="s">
        <v>29</v>
      </c>
      <c r="G4" s="16">
        <v>15.5</v>
      </c>
      <c r="H4" s="26">
        <f t="shared" si="0"/>
        <v>4.6379413524835426E-2</v>
      </c>
    </row>
    <row r="5" spans="1:8" x14ac:dyDescent="0.35">
      <c r="A5" s="13" t="s">
        <v>12</v>
      </c>
      <c r="C5" s="4" t="s">
        <v>15</v>
      </c>
      <c r="D5" s="4">
        <v>1</v>
      </c>
      <c r="F5" s="15" t="s">
        <v>30</v>
      </c>
      <c r="G5" s="16">
        <v>16</v>
      </c>
      <c r="H5" s="26">
        <f t="shared" si="0"/>
        <v>4.7875523638539801E-2</v>
      </c>
    </row>
    <row r="6" spans="1:8" x14ac:dyDescent="0.35">
      <c r="A6" s="13" t="s">
        <v>9</v>
      </c>
      <c r="C6" s="4" t="s">
        <v>21</v>
      </c>
      <c r="D6" s="4">
        <v>2</v>
      </c>
      <c r="F6" s="15" t="s">
        <v>31</v>
      </c>
      <c r="G6" s="16">
        <v>16</v>
      </c>
      <c r="H6" s="26">
        <f t="shared" si="0"/>
        <v>4.7875523638539801E-2</v>
      </c>
    </row>
    <row r="7" spans="1:8" x14ac:dyDescent="0.35">
      <c r="A7" s="13" t="s">
        <v>10</v>
      </c>
      <c r="F7" s="15" t="s">
        <v>32</v>
      </c>
      <c r="G7" s="16">
        <v>16.5</v>
      </c>
      <c r="H7" s="26">
        <f t="shared" si="0"/>
        <v>4.9371633752244168E-2</v>
      </c>
    </row>
    <row r="8" spans="1:8" x14ac:dyDescent="0.35">
      <c r="F8" s="15" t="s">
        <v>33</v>
      </c>
      <c r="G8" s="16">
        <v>17</v>
      </c>
      <c r="H8" s="26">
        <f t="shared" si="0"/>
        <v>5.0867743865948535E-2</v>
      </c>
    </row>
    <row r="9" spans="1:8" x14ac:dyDescent="0.35">
      <c r="F9" s="15" t="s">
        <v>34</v>
      </c>
      <c r="G9" s="16">
        <v>19</v>
      </c>
      <c r="H9" s="26">
        <f t="shared" si="0"/>
        <v>5.6852184320766011E-2</v>
      </c>
    </row>
    <row r="10" spans="1:8" x14ac:dyDescent="0.35">
      <c r="F10" s="15" t="s">
        <v>35</v>
      </c>
      <c r="G10" s="16">
        <v>19.2</v>
      </c>
      <c r="H10" s="26">
        <f t="shared" si="0"/>
        <v>5.7450628366247758E-2</v>
      </c>
    </row>
    <row r="11" spans="1:8" x14ac:dyDescent="0.35">
      <c r="F11" s="15" t="s">
        <v>36</v>
      </c>
      <c r="G11" s="16">
        <v>19.5</v>
      </c>
      <c r="H11" s="26">
        <f t="shared" si="0"/>
        <v>5.8348294434470378E-2</v>
      </c>
    </row>
    <row r="12" spans="1:8" x14ac:dyDescent="0.35">
      <c r="F12" s="15" t="s">
        <v>38</v>
      </c>
      <c r="G12" s="16">
        <v>19.5</v>
      </c>
      <c r="H12" s="26">
        <f t="shared" si="0"/>
        <v>5.8348294434470378E-2</v>
      </c>
    </row>
    <row r="13" spans="1:8" x14ac:dyDescent="0.35">
      <c r="F13" s="15" t="s">
        <v>37</v>
      </c>
      <c r="G13" s="16">
        <v>19.5</v>
      </c>
      <c r="H13" s="26">
        <f t="shared" si="0"/>
        <v>5.8348294434470378E-2</v>
      </c>
    </row>
    <row r="14" spans="1:8" x14ac:dyDescent="0.35">
      <c r="F14" s="15" t="s">
        <v>39</v>
      </c>
      <c r="G14" s="16">
        <v>23</v>
      </c>
      <c r="H14" s="26">
        <f t="shared" si="0"/>
        <v>6.8821065230400963E-2</v>
      </c>
    </row>
    <row r="15" spans="1:8" x14ac:dyDescent="0.35">
      <c r="F15" s="15" t="s">
        <v>40</v>
      </c>
      <c r="G15" s="16">
        <v>23.2</v>
      </c>
      <c r="H15" s="26">
        <f t="shared" si="0"/>
        <v>6.941950927588271E-2</v>
      </c>
    </row>
    <row r="16" spans="1:8" x14ac:dyDescent="0.35">
      <c r="F16" s="15" t="s">
        <v>41</v>
      </c>
      <c r="G16" s="16">
        <v>23.3</v>
      </c>
      <c r="H16" s="26">
        <f t="shared" si="0"/>
        <v>6.9718731298623576E-2</v>
      </c>
    </row>
    <row r="17" spans="6:10" x14ac:dyDescent="0.35">
      <c r="F17" s="15" t="s">
        <v>42</v>
      </c>
      <c r="G17" s="16">
        <v>26.5</v>
      </c>
      <c r="H17" s="26">
        <f t="shared" si="0"/>
        <v>7.9293836026331541E-2</v>
      </c>
      <c r="J17" s="13" t="s">
        <v>22</v>
      </c>
    </row>
    <row r="18" spans="6:10" x14ac:dyDescent="0.35">
      <c r="F18" s="15" t="s">
        <v>43</v>
      </c>
      <c r="G18" s="16">
        <v>30</v>
      </c>
      <c r="H18" s="26">
        <f t="shared" si="0"/>
        <v>8.9766606822262118E-2</v>
      </c>
    </row>
    <row r="19" spans="6:10" x14ac:dyDescent="0.35">
      <c r="F19" s="19" t="s">
        <v>19</v>
      </c>
      <c r="G19" s="20">
        <f>SUBTOTAL(109,Tableau2[th])</f>
        <v>334.2</v>
      </c>
      <c r="H19" s="33">
        <f>SUBTOTAL(109,Tableau2[QT])</f>
        <v>1.0000000000000002</v>
      </c>
    </row>
  </sheetData>
  <pageMargins left="0.7" right="0.7" top="0.75" bottom="0.75" header="0.3" footer="0.3"/>
  <pageSetup paperSize="11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2024-03-05T21:24:33Z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2024-02-14T18:34:18Z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28ed0f83-c97f-4715-acd3-2ea23a27de8b</vt:lpwstr>
  </property>
  <property fmtid="{D5CDD505-2E9C-101B-9397-08002B2CF9AE}" pid="8" name="MSIP_Label_2d26f538-337a-4593-a7e6-123667b1a538_ContentBits">
    <vt:lpwstr>0</vt:lpwstr>
  </property>
</Properties>
</file>