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EFAA28E-67AB-4876-9DF0-F0B8BF04660A}" xr6:coauthVersionLast="47" xr6:coauthVersionMax="47" xr10:uidLastSave="{00000000-0000-0000-0000-000000000000}"/>
  <bookViews>
    <workbookView xWindow="10" yWindow="20" windowWidth="19190" windowHeight="10780" xr2:uid="{A7A77088-BE98-43B1-8261-C12E516A8C9C}"/>
  </bookViews>
  <sheets>
    <sheet name="Feuil1" sheetId="1" r:id="rId1"/>
    <sheet name="Feuil2" sheetId="2" r:id="rId2"/>
    <sheet name="DATA" sheetId="3" r:id="rId3"/>
  </sheets>
  <definedNames>
    <definedName name="Indemnite">INDEX(DATA!$C$2:$D$6,MATCH(Feuil2!A2,DATA!$C$2:$C$6,),2)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I8" i="1" s="1"/>
  <c r="H9" i="1"/>
  <c r="H10" i="1"/>
  <c r="H11" i="1"/>
  <c r="I11" i="1" s="1"/>
  <c r="H12" i="1"/>
  <c r="I12" i="1" s="1"/>
  <c r="H13" i="1"/>
  <c r="H14" i="1"/>
  <c r="I14" i="1" s="1"/>
  <c r="H6" i="1"/>
  <c r="I6" i="1" s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R23" i="1"/>
  <c r="Q23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N23" i="1"/>
  <c r="I7" i="1"/>
  <c r="I9" i="1"/>
  <c r="I10" i="1"/>
  <c r="I13" i="1"/>
  <c r="I15" i="1"/>
  <c r="I16" i="1"/>
  <c r="I17" i="1"/>
  <c r="I18" i="1"/>
  <c r="I19" i="1"/>
  <c r="I20" i="1"/>
  <c r="I21" i="1"/>
  <c r="I22" i="1"/>
  <c r="J2" i="2"/>
  <c r="E23" i="1"/>
  <c r="G19" i="3"/>
  <c r="H3" i="3" s="1"/>
  <c r="H5" i="3"/>
  <c r="I2" i="2"/>
  <c r="H2" i="2"/>
  <c r="G2" i="2"/>
  <c r="F2" i="2"/>
  <c r="E2" i="2"/>
  <c r="D2" i="2"/>
  <c r="C2" i="2"/>
  <c r="B22" i="2"/>
  <c r="B23" i="1"/>
  <c r="D23" i="1"/>
  <c r="T23" i="1"/>
  <c r="K22" i="2"/>
  <c r="H10" i="3" l="1"/>
  <c r="H9" i="3"/>
  <c r="H16" i="3"/>
  <c r="H8" i="3"/>
  <c r="H12" i="3"/>
  <c r="H4" i="3"/>
  <c r="H18" i="3"/>
  <c r="H17" i="3"/>
  <c r="H15" i="3"/>
  <c r="H7" i="3"/>
  <c r="H14" i="3"/>
  <c r="H6" i="3"/>
  <c r="H13" i="3"/>
  <c r="H2" i="3"/>
  <c r="H19" i="3" s="1"/>
  <c r="H11" i="3"/>
  <c r="J17" i="2"/>
  <c r="G18" i="2"/>
  <c r="G12" i="2"/>
  <c r="E14" i="2"/>
  <c r="E20" i="2"/>
  <c r="G5" i="2"/>
  <c r="J18" i="2"/>
  <c r="E18" i="2"/>
  <c r="I6" i="2"/>
  <c r="J13" i="2"/>
  <c r="D10" i="2"/>
  <c r="E8" i="2"/>
  <c r="H19" i="2"/>
  <c r="F20" i="2"/>
  <c r="J8" i="2"/>
  <c r="C5" i="2"/>
  <c r="E15" i="2"/>
  <c r="G9" i="2"/>
  <c r="D5" i="2"/>
  <c r="H7" i="2"/>
  <c r="H14" i="2"/>
  <c r="D15" i="2"/>
  <c r="H15" i="2"/>
  <c r="J9" i="2"/>
  <c r="F21" i="2"/>
  <c r="J20" i="2"/>
  <c r="I7" i="2"/>
  <c r="C20" i="2"/>
  <c r="D17" i="2"/>
  <c r="D18" i="2"/>
  <c r="D6" i="2"/>
  <c r="H17" i="2"/>
  <c r="H16" i="2"/>
  <c r="J5" i="2"/>
  <c r="J21" i="2"/>
  <c r="J7" i="2"/>
  <c r="J15" i="2"/>
  <c r="F14" i="2"/>
  <c r="E11" i="2"/>
  <c r="H5" i="2"/>
  <c r="I21" i="2"/>
  <c r="C9" i="2"/>
  <c r="G11" i="2"/>
  <c r="C15" i="2"/>
  <c r="C8" i="2"/>
  <c r="H6" i="2"/>
  <c r="D16" i="2"/>
  <c r="D20" i="2"/>
  <c r="C10" i="2"/>
  <c r="G20" i="2"/>
  <c r="G17" i="2"/>
  <c r="I10" i="2"/>
  <c r="H21" i="2"/>
  <c r="C21" i="2"/>
  <c r="F17" i="2"/>
  <c r="F19" i="2"/>
  <c r="D12" i="2"/>
  <c r="H10" i="2"/>
  <c r="G7" i="2"/>
  <c r="G15" i="2"/>
  <c r="I11" i="2"/>
  <c r="H11" i="2"/>
  <c r="J16" i="2"/>
  <c r="G13" i="2"/>
  <c r="F16" i="2"/>
  <c r="F10" i="2"/>
  <c r="J10" i="2"/>
  <c r="I17" i="2"/>
  <c r="C7" i="2"/>
  <c r="I8" i="2"/>
  <c r="I15" i="2"/>
  <c r="E7" i="2"/>
  <c r="F7" i="2"/>
  <c r="D19" i="2"/>
  <c r="I20" i="2"/>
  <c r="G19" i="2"/>
  <c r="E21" i="2"/>
  <c r="D14" i="2"/>
  <c r="E13" i="2"/>
  <c r="C19" i="2"/>
  <c r="D7" i="2"/>
  <c r="F6" i="2"/>
  <c r="G21" i="2"/>
  <c r="E17" i="2"/>
  <c r="C6" i="2"/>
  <c r="D11" i="2"/>
  <c r="G16" i="2"/>
  <c r="F11" i="2"/>
  <c r="E19" i="2"/>
  <c r="J19" i="2"/>
  <c r="I13" i="2"/>
  <c r="F8" i="2"/>
  <c r="J14" i="2"/>
  <c r="C16" i="2"/>
  <c r="F9" i="2"/>
  <c r="C11" i="2"/>
  <c r="C12" i="2"/>
  <c r="E12" i="2"/>
  <c r="F15" i="2"/>
  <c r="G8" i="2"/>
  <c r="C18" i="2"/>
  <c r="I12" i="2"/>
  <c r="E16" i="2"/>
  <c r="H13" i="2"/>
  <c r="J6" i="2"/>
  <c r="E5" i="2"/>
  <c r="D8" i="2"/>
  <c r="J11" i="2"/>
  <c r="H9" i="2"/>
  <c r="I18" i="2"/>
  <c r="E9" i="2"/>
  <c r="I19" i="2"/>
  <c r="D9" i="2"/>
  <c r="C14" i="2"/>
  <c r="G6" i="2"/>
  <c r="J12" i="2"/>
  <c r="E6" i="2"/>
  <c r="E10" i="2"/>
  <c r="I9" i="2"/>
  <c r="H12" i="2"/>
  <c r="F12" i="2"/>
  <c r="I16" i="2"/>
  <c r="I14" i="2"/>
  <c r="H8" i="2"/>
  <c r="H20" i="2"/>
  <c r="H18" i="2"/>
  <c r="C17" i="2"/>
  <c r="G10" i="2"/>
  <c r="F13" i="2"/>
  <c r="D21" i="2"/>
  <c r="C13" i="2"/>
  <c r="F5" i="2"/>
  <c r="G14" i="2"/>
  <c r="F18" i="2"/>
  <c r="I5" i="2"/>
  <c r="D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N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 xr:uid="{4FD35C51-4ED8-4CC1-810C-AB92DF0B4BE9}">
      <text>
        <r>
          <rPr>
            <b/>
            <sz val="9"/>
            <color indexed="81"/>
            <rFont val="Tahoma"/>
            <family val="2"/>
          </rPr>
          <t>Def:</t>
        </r>
        <r>
          <rPr>
            <sz val="9"/>
            <color indexed="81"/>
            <rFont val="Tahoma"/>
            <family val="2"/>
          </rPr>
          <t xml:space="preserve">
sert à verifier la cohérence des calculs
cout de la gréve pour l'équipe - le versement de la cagnote syndicale/côte part de l'équipe.</t>
        </r>
      </text>
    </comment>
  </commentList>
</comments>
</file>

<file path=xl/sharedStrings.xml><?xml version="1.0" encoding="utf-8"?>
<sst xmlns="http://schemas.openxmlformats.org/spreadsheetml/2006/main" count="140" uniqueCount="69">
  <si>
    <t>NOM</t>
  </si>
  <si>
    <t>pour le calcul</t>
  </si>
  <si>
    <t>à injecter dans la cagnotte (NET)</t>
  </si>
  <si>
    <t>à rembourser à l'agent (brut)</t>
  </si>
  <si>
    <t>à rembourser à l'agent (NET) avant injection dans cagnotte</t>
  </si>
  <si>
    <t xml:space="preserve">a donner à l'agent </t>
  </si>
  <si>
    <t>perte réelle par agent avant cagnotte (NET)</t>
  </si>
  <si>
    <t>perte si gréviste tous les jours (net)</t>
  </si>
  <si>
    <t>pourcentage de perte avant cagnotte de gréve</t>
  </si>
  <si>
    <t>montant reçu</t>
  </si>
  <si>
    <t>redristribution</t>
  </si>
  <si>
    <t>perte fin de gréve</t>
  </si>
  <si>
    <t>à ré-injecter dans le pot commun</t>
  </si>
  <si>
    <t>virement à effectuer</t>
  </si>
  <si>
    <t xml:space="preserve">% perte finale </t>
  </si>
  <si>
    <t>pour verif coherence</t>
  </si>
  <si>
    <t>taux horaire</t>
  </si>
  <si>
    <t>poste</t>
  </si>
  <si>
    <t>taux de convertion</t>
  </si>
  <si>
    <t>CE</t>
  </si>
  <si>
    <t>CED</t>
  </si>
  <si>
    <t>OP</t>
  </si>
  <si>
    <t>PT</t>
  </si>
  <si>
    <t>AGT</t>
  </si>
  <si>
    <t>DSE</t>
  </si>
  <si>
    <t>AM</t>
  </si>
  <si>
    <t>Nuit</t>
  </si>
  <si>
    <t>1h</t>
  </si>
  <si>
    <t>Indemnité</t>
  </si>
  <si>
    <t>Type de quart</t>
  </si>
  <si>
    <t>Fonction</t>
  </si>
  <si>
    <t>Synthèse de greve</t>
  </si>
  <si>
    <t>Total</t>
  </si>
  <si>
    <t>Taux Horaire</t>
  </si>
  <si>
    <t>2h</t>
  </si>
  <si>
    <t xml:space="preserve"> </t>
  </si>
  <si>
    <t>nom</t>
  </si>
  <si>
    <t>th</t>
  </si>
  <si>
    <t>QT</t>
  </si>
  <si>
    <t>matin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</si>
  <si>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</si>
  <si>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</si>
  <si>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</si>
  <si>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</si>
  <si>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</si>
  <si>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</si>
  <si>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</si>
  <si>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</si>
  <si>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</si>
  <si>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</si>
  <si>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</si>
  <si>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</si>
  <si>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</si>
  <si>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</si>
  <si>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</si>
  <si>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</si>
  <si>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</si>
  <si>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12/02/2024/ma</t>
  </si>
  <si>
    <t>13/02/2024/ma</t>
  </si>
  <si>
    <t>14/02/2024/AM</t>
  </si>
  <si>
    <t>15/02/2024/AM</t>
  </si>
  <si>
    <t>16/02/2024/Nu</t>
  </si>
  <si>
    <t>17/02/2024/Nu</t>
  </si>
  <si>
    <t>18/02/2024/Nu</t>
  </si>
  <si>
    <t>748,50</t>
  </si>
  <si>
    <t>988,02</t>
  </si>
  <si>
    <t>20/02/2024/ma</t>
  </si>
  <si>
    <t>participation à la perte collective(brut)</t>
  </si>
  <si>
    <t>perte par agent sur paye (net)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</si>
</sst>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12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rgb="FF4F81BD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" fontId="8" fillId="5" borderId="0" xfId="0" applyNumberFormat="1" applyFont="1" applyFill="1" applyAlignment="1">
      <alignment horizontal="center" vertical="center"/>
    </xf>
    <xf numFmtId="0" fontId="10" fillId="5" borderId="0" xfId="0" applyFont="1" applyFill="1" applyAlignment="1">
      <alignment horizontal="center"/>
    </xf>
    <xf numFmtId="2" fontId="10" fillId="5" borderId="0" xfId="0" applyNumberFormat="1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 wrapText="1" shrinkToFit="1"/>
    </xf>
    <xf numFmtId="0" fontId="1" fillId="4" borderId="7" xfId="0" applyFont="1" applyFill="1" applyBorder="1" applyAlignment="1">
      <alignment horizontal="center" vertical="center" wrapText="1" shrinkToFit="1"/>
    </xf>
    <xf numFmtId="10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 shrinkToFit="1"/>
    </xf>
    <xf numFmtId="2" fontId="1" fillId="0" borderId="3" xfId="0" applyNumberFormat="1" applyFont="1" applyBorder="1" applyAlignment="1">
      <alignment horizontal="center" vertical="center" wrapText="1" shrinkToFit="1"/>
    </xf>
    <xf numFmtId="2" fontId="2" fillId="0" borderId="3" xfId="0" applyNumberFormat="1" applyFont="1" applyBorder="1" applyAlignment="1">
      <alignment horizontal="center" vertical="center" wrapText="1" shrinkToFit="1"/>
    </xf>
    <xf numFmtId="2" fontId="3" fillId="0" borderId="3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10" fontId="10" fillId="5" borderId="0" xfId="0" applyNumberFormat="1" applyFont="1" applyFill="1" applyAlignment="1">
      <alignment horizontal="center"/>
    </xf>
    <xf numFmtId="2" fontId="8" fillId="6" borderId="0" xfId="0" applyNumberFormat="1" applyFont="1" applyFill="1" applyAlignment="1">
      <alignment horizontal="center" vertical="center"/>
    </xf>
    <xf numFmtId="0" fontId="11" fillId="0" borderId="0" xfId="0" applyFont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87"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0" tint="-0.34998626667073579"/>
        </patternFill>
      </fill>
    </dxf>
    <dxf>
      <font>
        <b val="0"/>
      </font>
      <alignment horizont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6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medium">
          <color indexed="64"/>
        </top>
      </border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0</xdr:row>
          <xdr:rowOff>76200</xdr:rowOff>
        </xdr:from>
        <xdr:to>
          <xdr:col>7</xdr:col>
          <xdr:colOff>412750</xdr:colOff>
          <xdr:row>0</xdr:row>
          <xdr:rowOff>374650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889000</xdr:colOff>
          <xdr:row>0</xdr:row>
          <xdr:rowOff>76200</xdr:rowOff>
        </xdr:from>
        <xdr:to>
          <xdr:col>9</xdr:col>
          <xdr:colOff>88900</xdr:colOff>
          <xdr:row>0</xdr:row>
          <xdr:rowOff>374650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Tableur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241300</xdr:colOff>
          <xdr:row>0</xdr:row>
          <xdr:rowOff>107950</xdr:rowOff>
        </xdr:from>
        <xdr:to>
          <xdr:col>3</xdr:col>
          <xdr:colOff>914400</xdr:colOff>
          <xdr:row>0</xdr:row>
          <xdr:rowOff>393700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T23" totalsRowCount="1" headerRowDxfId="86" dataDxfId="84" totalsRowDxfId="83" headerRowBorderDxfId="85" totalsRowBorderDxfId="82">
  <autoFilter ref="A5:T22" xr:uid="{5AAD8581-930E-4E88-96B8-703B8C800685}"/>
  <sortState xmlns:xlrd2="http://schemas.microsoft.com/office/spreadsheetml/2017/richdata2" ref="A5:T5">
    <sortCondition ref="A5:A6"/>
  </sortState>
  <tableColumns count="20">
    <tableColumn id="1" xr3:uid="{6F52F7A4-FFA6-49FA-A400-41CDC9ED484A}" name="NOM" totalsRowLabel="Total" dataDxfId="39" totalsRowDxfId="38"/>
    <tableColumn id="2" xr3:uid="{01E972DF-C31E-4BDB-96B7-690011960EA9}" name="taux horaire" totalsRowFunction="average" dataDxfId="37" totalsRowDxfId="36"/>
    <tableColumn id="3" xr3:uid="{7CF7ABD8-A170-4ACD-B803-1BDC4EB4A62D}" name="poste" dataDxfId="35" totalsRowDxfId="34"/>
    <tableColumn id="4" xr3:uid="{37664AB7-3ECB-4094-A1DB-B9FAB49482E2}" name="perte par agent sur paye (net)" totalsRowFunction="sum" dataDxfId="33" totalsRowDxfId="32"/>
    <tableColumn id="5" xr3:uid="{F1F4CFB6-6824-412C-8C1F-074F9CCA6516}" name="participation à la perte collective(brut)" totalsRowFunction="sum" dataDxfId="31" totalsRowDxfId="30"/>
    <tableColumn id="6" xr3:uid="{3A68268F-3413-424C-B113-308F2F5B7D7D}" name="pour le calcul" dataDxfId="29" totalsRowDxfId="28"/>
    <tableColumn id="7" xr3:uid="{8BF9C544-C033-4D66-920F-D8B9C18F92E0}" name="à injecter dans la cagnotte (NET)" dataDxfId="27" totalsRowDxfId="26">
      <calculatedColumnFormula>IF(Tableau1[[#This Row],[perte par agent sur paye (net)]]="",Tableau1[[#This Row],[participation à la perte collective(brut)]],"")</calculatedColumnFormula>
    </tableColumn>
    <tableColumn id="8" xr3:uid="{3E229217-9823-4683-9AD3-E9CBBCC57D64}" name="à rembourser à l'agent (brut)" dataDxfId="25" totalsRowDxfId="24"/>
    <tableColumn id="9" xr3:uid="{743AE40A-66B4-4236-8E7D-7220F49B3188}" name="à rembourser à l'agent (NET) avant injection dans cagnotte" dataDxfId="23" totalsRowDxfId="22">
      <calculatedColumnFormula>IF(Tableau1[[#This Row],[perte par agent sur paye (net)]]&lt;&gt;"",$B$4*Tableau1[[#This Row],[à rembourser à l''agent (brut)]],"")</calculatedColumnFormula>
    </tableColumn>
    <tableColumn id="10" xr3:uid="{F8386232-1D1E-4949-A380-52090060A818}" name="a donner à l'agent " dataDxfId="21" totalsRowDxfId="20"/>
    <tableColumn id="11" xr3:uid="{E2E1D7B8-BDB7-4400-B040-DA735148640B}" name="perte réelle par agent avant cagnotte (NET)" dataDxfId="19" totalsRowDxfId="18"/>
    <tableColumn id="12" xr3:uid="{6B68B0D9-DF50-4FB0-8FAA-2078BD33AA56}" name="perte si gréviste tous les jours (net)" dataDxfId="17" totalsRowDxfId="16"/>
    <tableColumn id="13" xr3:uid="{F3B91320-72A5-4023-84B4-C5205C77DE64}" name="pourcentage de perte avant cagnotte de gréve" dataDxfId="15" totalsRowDxfId="14"/>
    <tableColumn id="14" xr3:uid="{3B848551-E8A2-45B5-AF31-5E4480AC91BD}" name="montant reçu" totalsRowFunction="sum" dataDxfId="13" totalsRowDxfId="12"/>
    <tableColumn id="15" xr3:uid="{4C34F8A7-F79E-4259-BDC7-29ED02C1296D}" name="redristribution" dataDxfId="11" totalsRowDxfId="10">
      <calculatedColumnFormula>Tableau1[[#Totals],[montant reçu]]*DATA!H2</calculatedColumnFormula>
    </tableColumn>
    <tableColumn id="16" xr3:uid="{E1A8505F-4853-46E2-9CDB-B90F71BFE7B7}" name="perte fin de gréve" dataDxfId="9" totalsRowDxfId="8"/>
    <tableColumn id="17" xr3:uid="{5E34D7FA-055A-4F9B-9C48-44AA22A79B3B}" name="à ré-injecter dans le pot commun" totalsRowFunction="sum" dataDxfId="7" totalsRowDxfId="6">
      <calculatedColumnFormula>Tableau1[[#This Row],[montant reçu]]-Tableau1[[#This Row],[redristribution]]</calculatedColumnFormula>
    </tableColumn>
    <tableColumn id="18" xr3:uid="{C87A2304-AAE2-44F3-AF9E-93E883C8F176}" name="virement à effectuer" totalsRowFunction="sum" dataDxfId="5" totalsRowDxfId="4">
      <calculatedColumnFormula>Tableau1[[#This Row],[à ré-injecter dans le pot commun]]</calculatedColumnFormula>
    </tableColumn>
    <tableColumn id="19" xr3:uid="{0DAD77EB-8FF6-4B4E-8313-2078DB8F9734}" name="% perte finale " dataDxfId="3" totalsRowDxfId="2"/>
    <tableColumn id="20" xr3:uid="{5D72C76A-6A5F-4F2C-B670-6BC29ECC18E2}" name="pour verif coherence" totalsRowFunction="count" dataDxfId="1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3" displayName="Tableau3" ref="A4:K22" totalsRowCount="1" headerRowDxfId="81" dataDxfId="80" totalsRowDxfId="79" totalsRowBorderDxfId="78">
  <autoFilter ref="A4:K21" xr:uid="{BD88BF76-C292-4AE3-B6C2-C04AB1629E17}"/>
  <tableColumns count="11">
    <tableColumn id="1" xr3:uid="{D6E64F4A-8D51-4E0A-BF09-B2633AA3D6E4}" name="NOM" totalsRowLabel="Total" dataDxfId="77" totalsRowDxfId="76"/>
    <tableColumn id="2" xr3:uid="{2FF86CA1-3362-4E12-8084-EA55D8407C23}" name="Taux Horaire" totalsRowFunction="average" dataDxfId="75" totalsRowDxfId="74"/>
    <tableColumn id="3" xr3:uid="{C5F2E2BB-2F37-43CA-9BBF-73F2B51A7F3E}" name="12/02/2024/ma" totalsRowLabel="748,50" dataDxfId="73" totalsRowDxfId="72">
      <calculatedColumnFormula>calcul_cout_greve(C$2,$B5)</calculatedColumnFormula>
    </tableColumn>
    <tableColumn id="4" xr3:uid="{2ABF67E2-4028-4D82-A206-3244ACE03AAF}" name="13/02/2024/ma" totalsRowLabel="748,50" dataDxfId="71" totalsRowDxfId="70">
      <calculatedColumnFormula>calcul_cout_greve(D$2,$B5)</calculatedColumnFormula>
    </tableColumn>
    <tableColumn id="6" xr3:uid="{77DEA5EA-B4C3-4E27-9350-248BE5E32669}" name="14/02/2024/AM" totalsRowLabel="748,50" dataDxfId="69" totalsRowDxfId="68">
      <calculatedColumnFormula>calcul_cout_greve(E$2,$B5)</calculatedColumnFormula>
    </tableColumn>
    <tableColumn id="7" xr3:uid="{B0D8DDA5-358F-42F5-877D-7AA65625F110}" name="15/02/2024/AM" totalsRowLabel="748,50" dataDxfId="67" totalsRowDxfId="66">
      <calculatedColumnFormula>calcul_cout_greve(F$2,$B5)</calculatedColumnFormula>
    </tableColumn>
    <tableColumn id="8" xr3:uid="{6B6F74D4-8625-44C3-B323-A1002B061EAB}" name="16/02/2024/Nu" totalsRowLabel="988,02" dataDxfId="65" totalsRowDxfId="64">
      <calculatedColumnFormula>calcul_cout_greve(G$2,$B5)</calculatedColumnFormula>
    </tableColumn>
    <tableColumn id="9" xr3:uid="{8E24E85D-824D-4F3C-87D6-E13601138FE1}" name="17/02/2024/Nu" totalsRowLabel="988,02" dataDxfId="63" totalsRowDxfId="62">
      <calculatedColumnFormula>calcul_cout_greve(H$2,$B5)</calculatedColumnFormula>
    </tableColumn>
    <tableColumn id="10" xr3:uid="{C9822BCD-6EE4-4D57-AE26-B0EDE13E238D}" name="18/02/2024/Nu" totalsRowLabel="988,02" dataDxfId="61" totalsRowDxfId="60">
      <calculatedColumnFormula>calcul_cout_greve(I$2,$B5)</calculatedColumnFormula>
    </tableColumn>
    <tableColumn id="11" xr3:uid="{BDD159E9-AD16-4E3E-AD4B-97E2734E8300}" name="20/02/2024/ma" totalsRowLabel="748,50" dataDxfId="59" totalsRowDxfId="58">
      <calculatedColumnFormula>calcul_cout_greve(J$2,$B5)</calculatedColumnFormula>
    </tableColumn>
    <tableColumn id="5" xr3:uid="{B57BA3E9-442C-49E4-B690-D09D93DDD7F2}" name="Total" totalsRowFunction="sum" dataDxfId="57" totalsRowDxfId="56"/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 headerRowDxfId="55" dataDxfId="54">
  <autoFilter ref="A1:A7" xr:uid="{DEF7031B-84D1-404D-9E9C-F88BA489AA6D}"/>
  <sortState xmlns:xlrd2="http://schemas.microsoft.com/office/spreadsheetml/2017/richdata2" ref="A2:A7">
    <sortCondition ref="A1:A7"/>
  </sortState>
  <tableColumns count="1">
    <tableColumn id="1" xr3:uid="{C2319759-4E3B-4B74-BA64-889476DBFDB5}" name="Fonction" dataDxfId="5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D6" totalsRowShown="0" headerRowDxfId="52" dataDxfId="51">
  <autoFilter ref="C1:D6" xr:uid="{0175AE58-C0BE-4818-96BD-E7D4811F41F8}"/>
  <tableColumns count="2">
    <tableColumn id="1" xr3:uid="{2575185C-576D-4D70-8401-07DABE468DAB}" name="Type de quart" dataDxfId="50"/>
    <tableColumn id="2" xr3:uid="{0CB48604-B1EF-4475-85A2-2C89734B90D2}" name="Indemnité" dataDxfId="4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5CD2B3-56B3-4A74-B708-BD1DD501C869}" name="Tableau2" displayName="Tableau2" ref="F1:H19" totalsRowCount="1" headerRowDxfId="48" dataDxfId="47" totalsRowDxfId="46">
  <autoFilter ref="F1:H18" xr:uid="{F75CD2B3-56B3-4A74-B708-BD1DD501C869}"/>
  <tableColumns count="3">
    <tableColumn id="1" xr3:uid="{7C1BDA3F-6A83-4F5B-BEC6-0E6D403C8057}" name="nom" totalsRowLabel="Total" dataDxfId="45" totalsRowDxfId="44"/>
    <tableColumn id="2" xr3:uid="{90821D66-C7A0-4037-B479-8755EE87304F}" name="th" totalsRowFunction="sum" dataDxfId="43" totalsRowDxfId="42"/>
    <tableColumn id="3" xr3:uid="{2AC6E452-9404-437F-A254-5497C3320920}" name="QT" totalsRowFunction="sum" dataDxfId="41" totalsRowDxfId="40">
      <calculatedColumnFormula>G2/$G$19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T30"/>
  <sheetViews>
    <sheetView tabSelected="1" zoomScale="60" zoomScaleNormal="60" workbookViewId="0">
      <selection activeCell="I25" sqref="I25"/>
    </sheetView>
  </sheetViews>
  <sheetFormatPr baseColWidth="10" defaultRowHeight="14.5" x14ac:dyDescent="0.35"/>
  <cols>
    <col min="1" max="1" width="13.1796875" customWidth="1"/>
    <col min="2" max="2" width="11.1796875" customWidth="1"/>
    <col min="4" max="4" width="11" customWidth="1"/>
    <col min="5" max="5" width="14.81640625" customWidth="1"/>
    <col min="6" max="6" width="11.81640625" customWidth="1"/>
    <col min="7" max="8" width="15.26953125" customWidth="1"/>
    <col min="9" max="9" width="18" customWidth="1"/>
    <col min="10" max="10" width="14.54296875" customWidth="1"/>
    <col min="11" max="11" width="15.08984375" customWidth="1"/>
    <col min="12" max="12" width="12.54296875" customWidth="1"/>
    <col min="13" max="13" width="14.1796875" customWidth="1"/>
    <col min="14" max="14" width="13.1796875" customWidth="1"/>
    <col min="15" max="15" width="12.54296875" customWidth="1"/>
    <col min="16" max="16" width="14.81640625" customWidth="1"/>
    <col min="17" max="17" width="14.08984375" customWidth="1"/>
    <col min="18" max="18" width="18.26953125" customWidth="1"/>
    <col min="19" max="19" width="13.81640625" customWidth="1"/>
    <col min="20" max="20" width="17.1796875" customWidth="1"/>
  </cols>
  <sheetData>
    <row r="1" spans="1:20" ht="33.75" customHeight="1" x14ac:dyDescent="0.35">
      <c r="A1" s="41" t="s">
        <v>31</v>
      </c>
      <c r="B1" s="41"/>
      <c r="C1" s="41"/>
      <c r="D1" s="41"/>
      <c r="E1" s="41"/>
      <c r="F1" s="41"/>
      <c r="G1" s="1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 x14ac:dyDescent="0.35">
      <c r="E2" s="10"/>
      <c r="F2" s="10"/>
      <c r="G2" s="10"/>
    </row>
    <row r="3" spans="1:20" ht="15" thickBot="1" x14ac:dyDescent="0.4"/>
    <row r="4" spans="1:20" ht="15" thickBot="1" x14ac:dyDescent="0.4">
      <c r="A4" s="2" t="s">
        <v>18</v>
      </c>
      <c r="B4" s="13">
        <v>0.8</v>
      </c>
    </row>
    <row r="5" spans="1:20" s="1" customFormat="1" ht="68.150000000000006" customHeight="1" x14ac:dyDescent="0.35">
      <c r="A5" s="22" t="s">
        <v>0</v>
      </c>
      <c r="B5" s="23" t="s">
        <v>16</v>
      </c>
      <c r="C5" s="24" t="s">
        <v>17</v>
      </c>
      <c r="D5" s="24" t="s">
        <v>68</v>
      </c>
      <c r="E5" s="24" t="s">
        <v>67</v>
      </c>
      <c r="F5" s="24" t="s">
        <v>1</v>
      </c>
      <c r="G5" s="24" t="s">
        <v>2</v>
      </c>
      <c r="H5" s="24" t="s">
        <v>3</v>
      </c>
      <c r="I5" s="25" t="s">
        <v>4</v>
      </c>
      <c r="J5" s="25" t="s">
        <v>5</v>
      </c>
      <c r="K5" s="25" t="s">
        <v>6</v>
      </c>
      <c r="L5" s="24" t="s">
        <v>7</v>
      </c>
      <c r="M5" s="24" t="s">
        <v>8</v>
      </c>
      <c r="N5" s="26" t="s">
        <v>9</v>
      </c>
      <c r="O5" s="24" t="s">
        <v>10</v>
      </c>
      <c r="P5" s="24" t="s">
        <v>11</v>
      </c>
      <c r="Q5" s="27" t="s">
        <v>12</v>
      </c>
      <c r="R5" s="28" t="s">
        <v>13</v>
      </c>
      <c r="S5" s="26" t="s">
        <v>14</v>
      </c>
      <c r="T5" s="29" t="s">
        <v>15</v>
      </c>
    </row>
    <row r="6" spans="1:20" s="1" customFormat="1" ht="16" customHeight="1" x14ac:dyDescent="0.2">
      <c r="A6" s="33" t="s">
        <v>40</v>
      </c>
      <c r="B6" s="33">
        <v>15</v>
      </c>
      <c r="C6" s="33" t="s">
        <v>23</v>
      </c>
      <c r="D6" s="34">
        <v>537.6</v>
      </c>
      <c r="E6" s="34">
        <v>301.012567324955</v>
      </c>
      <c r="F6" s="34"/>
      <c r="G6" s="40" t="str">
        <f>IF(Tableau1[[#This Row],[perte par agent sur paye (net)]]="",Tableau1[[#This Row],[participation à la perte collective(brut)]],"")</f>
        <v/>
      </c>
      <c r="H6" s="34">
        <f>IF(Tableau1[[#This Row],[perte par agent sur paye (net)]]&lt;&gt;"",Tableau1[[#This Row],[perte par agent sur paye (net)]]-Tableau1[[#This Row],[participation à la perte collective(brut)]],"")</f>
        <v>236.58743267504502</v>
      </c>
      <c r="I6" s="35">
        <f>IF(Tableau1[[#This Row],[perte par agent sur paye (net)]]&lt;&gt;"",$B$4*Tableau1[[#This Row],[à rembourser à l''agent (brut)]],"")</f>
        <v>189.26994614003604</v>
      </c>
      <c r="J6" s="35"/>
      <c r="K6" s="35"/>
      <c r="L6" s="34"/>
      <c r="M6" s="34"/>
      <c r="N6" s="36">
        <v>120</v>
      </c>
      <c r="O6" s="34">
        <f>Tableau1[[#Totals],[montant reçu]]*DATA!H2</f>
        <v>65.12567324955117</v>
      </c>
      <c r="P6" s="34"/>
      <c r="Q6" s="36">
        <f>Tableau1[[#This Row],[montant reçu]]-Tableau1[[#This Row],[redristribution]]</f>
        <v>54.87432675044883</v>
      </c>
      <c r="R6" s="36">
        <f>Tableau1[[#This Row],[à ré-injecter dans le pot commun]]</f>
        <v>54.87432675044883</v>
      </c>
      <c r="S6" s="36"/>
      <c r="T6" s="34"/>
    </row>
    <row r="7" spans="1:20" ht="13.5" customHeight="1" x14ac:dyDescent="0.35">
      <c r="A7" s="33" t="s">
        <v>41</v>
      </c>
      <c r="B7" s="33">
        <v>15.5</v>
      </c>
      <c r="C7" s="33" t="s">
        <v>23</v>
      </c>
      <c r="D7" s="34">
        <v>555.52</v>
      </c>
      <c r="E7" s="34">
        <v>311.04631956912027</v>
      </c>
      <c r="F7" s="34"/>
      <c r="G7" s="34" t="str">
        <f>IF(Tableau1[[#This Row],[perte par agent sur paye (net)]]="",Tableau1[[#This Row],[participation à la perte collective(brut)]],"")</f>
        <v/>
      </c>
      <c r="H7" s="34">
        <f>IF(Tableau1[[#This Row],[perte par agent sur paye (net)]]&lt;&gt;"",Tableau1[[#This Row],[perte par agent sur paye (net)]]-Tableau1[[#This Row],[participation à la perte collective(brut)]],"")</f>
        <v>244.47368043087971</v>
      </c>
      <c r="I7" s="35">
        <f>IF(Tableau1[[#This Row],[perte par agent sur paye (net)]]&lt;&gt;"",$B$4*Tableau1[[#This Row],[à rembourser à l''agent (brut)]],"")</f>
        <v>195.57894434470379</v>
      </c>
      <c r="J7" s="35"/>
      <c r="K7" s="35"/>
      <c r="L7" s="34"/>
      <c r="M7" s="34"/>
      <c r="N7" s="36">
        <v>145</v>
      </c>
      <c r="O7" s="34">
        <f>Tableau1[[#Totals],[montant reçu]]*DATA!H3</f>
        <v>67.296529024536198</v>
      </c>
      <c r="P7" s="34"/>
      <c r="Q7" s="36">
        <f>Tableau1[[#This Row],[montant reçu]]-Tableau1[[#This Row],[redristribution]]</f>
        <v>77.703470975463802</v>
      </c>
      <c r="R7" s="36">
        <f>Tableau1[[#This Row],[à ré-injecter dans le pot commun]]</f>
        <v>77.703470975463802</v>
      </c>
      <c r="S7" s="36"/>
      <c r="T7" s="34"/>
    </row>
    <row r="8" spans="1:20" x14ac:dyDescent="0.35">
      <c r="A8" s="33" t="s">
        <v>42</v>
      </c>
      <c r="B8" s="33">
        <v>15.5</v>
      </c>
      <c r="C8" s="33" t="s">
        <v>23</v>
      </c>
      <c r="D8" s="34">
        <v>555.52</v>
      </c>
      <c r="E8" s="34">
        <v>311.04631956911999</v>
      </c>
      <c r="F8" s="34"/>
      <c r="G8" s="34" t="str">
        <f>IF(Tableau1[[#This Row],[perte par agent sur paye (net)]]="",Tableau1[[#This Row],[participation à la perte collective(brut)]],"")</f>
        <v/>
      </c>
      <c r="H8" s="34">
        <f>IF(Tableau1[[#This Row],[perte par agent sur paye (net)]]&lt;&gt;"",Tableau1[[#This Row],[perte par agent sur paye (net)]]-Tableau1[[#This Row],[participation à la perte collective(brut)]],"")</f>
        <v>244.47368043087999</v>
      </c>
      <c r="I8" s="35">
        <f>IF(Tableau1[[#This Row],[perte par agent sur paye (net)]]&lt;&gt;"",$B$4*Tableau1[[#This Row],[à rembourser à l''agent (brut)]],"")</f>
        <v>195.57894434470401</v>
      </c>
      <c r="J8" s="35"/>
      <c r="K8" s="35"/>
      <c r="L8" s="34"/>
      <c r="M8" s="34"/>
      <c r="N8" s="36">
        <v>145</v>
      </c>
      <c r="O8" s="34">
        <f>Tableau1[[#Totals],[montant reçu]]*DATA!H4</f>
        <v>67.296529024536198</v>
      </c>
      <c r="P8" s="34"/>
      <c r="Q8" s="36">
        <f>Tableau1[[#This Row],[montant reçu]]-Tableau1[[#This Row],[redristribution]]</f>
        <v>77.703470975463802</v>
      </c>
      <c r="R8" s="36">
        <f>Tableau1[[#This Row],[à ré-injecter dans le pot commun]]</f>
        <v>77.703470975463802</v>
      </c>
      <c r="S8" s="36"/>
      <c r="T8" s="34"/>
    </row>
    <row r="9" spans="1:20" x14ac:dyDescent="0.35">
      <c r="A9" s="33" t="s">
        <v>43</v>
      </c>
      <c r="B9" s="33">
        <v>16</v>
      </c>
      <c r="C9" s="33" t="s">
        <v>23</v>
      </c>
      <c r="D9" s="34">
        <v>573.44000000000005</v>
      </c>
      <c r="E9" s="34">
        <v>321.08007181328549</v>
      </c>
      <c r="F9" s="34"/>
      <c r="G9" s="34" t="str">
        <f>IF(Tableau1[[#This Row],[perte par agent sur paye (net)]]="",Tableau1[[#This Row],[participation à la perte collective(brut)]],"")</f>
        <v/>
      </c>
      <c r="H9" s="34">
        <f>IF(Tableau1[[#This Row],[perte par agent sur paye (net)]]&lt;&gt;"",Tableau1[[#This Row],[perte par agent sur paye (net)]]-Tableau1[[#This Row],[participation à la perte collective(brut)]],"")</f>
        <v>252.35992818671457</v>
      </c>
      <c r="I9" s="35">
        <f>IF(Tableau1[[#This Row],[perte par agent sur paye (net)]]&lt;&gt;"",$B$4*Tableau1[[#This Row],[à rembourser à l''agent (brut)]],"")</f>
        <v>201.88794254937167</v>
      </c>
      <c r="J9" s="35"/>
      <c r="K9" s="35"/>
      <c r="L9" s="34"/>
      <c r="M9" s="34"/>
      <c r="N9" s="36">
        <v>153</v>
      </c>
      <c r="O9" s="34">
        <f>Tableau1[[#Totals],[montant reçu]]*DATA!H5</f>
        <v>69.467384799521255</v>
      </c>
      <c r="P9" s="34"/>
      <c r="Q9" s="36">
        <f>Tableau1[[#This Row],[montant reçu]]-Tableau1[[#This Row],[redristribution]]</f>
        <v>83.532615200478745</v>
      </c>
      <c r="R9" s="36">
        <f>Tableau1[[#This Row],[à ré-injecter dans le pot commun]]</f>
        <v>83.532615200478745</v>
      </c>
      <c r="S9" s="36"/>
      <c r="T9" s="34"/>
    </row>
    <row r="10" spans="1:20" x14ac:dyDescent="0.35">
      <c r="A10" s="33" t="s">
        <v>44</v>
      </c>
      <c r="B10" s="33">
        <v>16</v>
      </c>
      <c r="C10" s="33" t="s">
        <v>23</v>
      </c>
      <c r="D10" s="34">
        <v>573.44000000000005</v>
      </c>
      <c r="E10" s="34">
        <v>321.08007181328549</v>
      </c>
      <c r="F10" s="34"/>
      <c r="G10" s="34" t="str">
        <f>IF(Tableau1[[#This Row],[perte par agent sur paye (net)]]="",Tableau1[[#This Row],[participation à la perte collective(brut)]],"")</f>
        <v/>
      </c>
      <c r="H10" s="34">
        <f>IF(Tableau1[[#This Row],[perte par agent sur paye (net)]]&lt;&gt;"",Tableau1[[#This Row],[perte par agent sur paye (net)]]-Tableau1[[#This Row],[participation à la perte collective(brut)]],"")</f>
        <v>252.35992818671457</v>
      </c>
      <c r="I10" s="35">
        <f>IF(Tableau1[[#This Row],[perte par agent sur paye (net)]]&lt;&gt;"",$B$4*Tableau1[[#This Row],[à rembourser à l''agent (brut)]],"")</f>
        <v>201.88794254937167</v>
      </c>
      <c r="J10" s="35"/>
      <c r="K10" s="35"/>
      <c r="L10" s="34"/>
      <c r="M10" s="34"/>
      <c r="N10" s="36">
        <v>153</v>
      </c>
      <c r="O10" s="34">
        <f>Tableau1[[#Totals],[montant reçu]]*DATA!H6</f>
        <v>69.467384799521255</v>
      </c>
      <c r="P10" s="34"/>
      <c r="Q10" s="36">
        <f>Tableau1[[#This Row],[montant reçu]]-Tableau1[[#This Row],[redristribution]]</f>
        <v>83.532615200478745</v>
      </c>
      <c r="R10" s="36">
        <f>Tableau1[[#This Row],[à ré-injecter dans le pot commun]]</f>
        <v>83.532615200478745</v>
      </c>
      <c r="S10" s="36"/>
      <c r="T10" s="34"/>
    </row>
    <row r="11" spans="1:20" x14ac:dyDescent="0.35">
      <c r="A11" s="33" t="s">
        <v>45</v>
      </c>
      <c r="B11" s="33">
        <v>16.5</v>
      </c>
      <c r="C11" s="33" t="s">
        <v>23</v>
      </c>
      <c r="D11" s="34">
        <v>591.36</v>
      </c>
      <c r="E11" s="34">
        <v>331.11382405745064</v>
      </c>
      <c r="F11" s="34"/>
      <c r="G11" s="34" t="str">
        <f>IF(Tableau1[[#This Row],[perte par agent sur paye (net)]]="",Tableau1[[#This Row],[participation à la perte collective(brut)]],"")</f>
        <v/>
      </c>
      <c r="H11" s="34">
        <f>IF(Tableau1[[#This Row],[perte par agent sur paye (net)]]&lt;&gt;"",Tableau1[[#This Row],[perte par agent sur paye (net)]]-Tableau1[[#This Row],[participation à la perte collective(brut)]],"")</f>
        <v>260.24617594254937</v>
      </c>
      <c r="I11" s="35">
        <f>IF(Tableau1[[#This Row],[perte par agent sur paye (net)]]&lt;&gt;"",$B$4*Tableau1[[#This Row],[à rembourser à l''agent (brut)]],"")</f>
        <v>208.1969407540395</v>
      </c>
      <c r="J11" s="35"/>
      <c r="K11" s="35"/>
      <c r="L11" s="34"/>
      <c r="M11" s="34"/>
      <c r="N11" s="36">
        <v>165</v>
      </c>
      <c r="O11" s="34">
        <f>Tableau1[[#Totals],[montant reçu]]*DATA!H7</f>
        <v>71.638240574506284</v>
      </c>
      <c r="P11" s="34"/>
      <c r="Q11" s="36">
        <f>Tableau1[[#This Row],[montant reçu]]-Tableau1[[#This Row],[redristribution]]</f>
        <v>93.361759425493716</v>
      </c>
      <c r="R11" s="36">
        <f>Tableau1[[#This Row],[à ré-injecter dans le pot commun]]</f>
        <v>93.361759425493716</v>
      </c>
      <c r="S11" s="36"/>
      <c r="T11" s="34"/>
    </row>
    <row r="12" spans="1:20" s="4" customFormat="1" x14ac:dyDescent="0.35">
      <c r="A12" s="33" t="s">
        <v>46</v>
      </c>
      <c r="B12" s="33">
        <v>17</v>
      </c>
      <c r="C12" s="33" t="s">
        <v>23</v>
      </c>
      <c r="D12" s="34">
        <v>609.28000000000009</v>
      </c>
      <c r="E12" s="34">
        <v>341.1475763016158</v>
      </c>
      <c r="F12" s="34"/>
      <c r="G12" s="34" t="str">
        <f>IF(Tableau1[[#This Row],[perte par agent sur paye (net)]]="",Tableau1[[#This Row],[participation à la perte collective(brut)]],"")</f>
        <v/>
      </c>
      <c r="H12" s="34">
        <f>IF(Tableau1[[#This Row],[perte par agent sur paye (net)]]&lt;&gt;"",Tableau1[[#This Row],[perte par agent sur paye (net)]]-Tableau1[[#This Row],[participation à la perte collective(brut)]],"")</f>
        <v>268.13242369838429</v>
      </c>
      <c r="I12" s="35">
        <f>IF(Tableau1[[#This Row],[perte par agent sur paye (net)]]&lt;&gt;"",$B$4*Tableau1[[#This Row],[à rembourser à l''agent (brut)]],"")</f>
        <v>214.50593895870745</v>
      </c>
      <c r="J12" s="35"/>
      <c r="K12" s="35"/>
      <c r="L12" s="34"/>
      <c r="M12" s="34"/>
      <c r="N12" s="36">
        <v>170</v>
      </c>
      <c r="O12" s="34">
        <f>Tableau1[[#Totals],[montant reçu]]*DATA!H8</f>
        <v>73.809096349491327</v>
      </c>
      <c r="P12" s="34"/>
      <c r="Q12" s="36">
        <f>Tableau1[[#This Row],[montant reçu]]-Tableau1[[#This Row],[redristribution]]</f>
        <v>96.190903650508673</v>
      </c>
      <c r="R12" s="36">
        <f>Tableau1[[#This Row],[à ré-injecter dans le pot commun]]</f>
        <v>96.190903650508673</v>
      </c>
      <c r="S12" s="36"/>
      <c r="T12" s="34"/>
    </row>
    <row r="13" spans="1:20" x14ac:dyDescent="0.35">
      <c r="A13" s="33" t="s">
        <v>47</v>
      </c>
      <c r="B13" s="33">
        <v>19</v>
      </c>
      <c r="C13" s="33" t="s">
        <v>21</v>
      </c>
      <c r="D13" s="34">
        <v>680.96</v>
      </c>
      <c r="E13" s="34">
        <v>381.28258527827654</v>
      </c>
      <c r="F13" s="34"/>
      <c r="G13" s="34" t="str">
        <f>IF(Tableau1[[#This Row],[perte par agent sur paye (net)]]="",Tableau1[[#This Row],[participation à la perte collective(brut)]],"")</f>
        <v/>
      </c>
      <c r="H13" s="34">
        <f>IF(Tableau1[[#This Row],[perte par agent sur paye (net)]]&lt;&gt;"",Tableau1[[#This Row],[perte par agent sur paye (net)]]-Tableau1[[#This Row],[participation à la perte collective(brut)]],"")</f>
        <v>299.67741472172349</v>
      </c>
      <c r="I13" s="35">
        <f>IF(Tableau1[[#This Row],[perte par agent sur paye (net)]]&lt;&gt;"",$B$4*Tableau1[[#This Row],[à rembourser à l''agent (brut)]],"")</f>
        <v>239.7419317773788</v>
      </c>
      <c r="J13" s="35"/>
      <c r="K13" s="35"/>
      <c r="L13" s="34"/>
      <c r="M13" s="34"/>
      <c r="N13" s="36">
        <v>200</v>
      </c>
      <c r="O13" s="34">
        <f>Tableau1[[#Totals],[montant reçu]]*DATA!H9</f>
        <v>82.492519449431484</v>
      </c>
      <c r="P13" s="34"/>
      <c r="Q13" s="36">
        <f>Tableau1[[#This Row],[montant reçu]]-Tableau1[[#This Row],[redristribution]]</f>
        <v>117.50748055056852</v>
      </c>
      <c r="R13" s="36">
        <f>Tableau1[[#This Row],[à ré-injecter dans le pot commun]]</f>
        <v>117.50748055056852</v>
      </c>
      <c r="S13" s="36"/>
      <c r="T13" s="34"/>
    </row>
    <row r="14" spans="1:20" x14ac:dyDescent="0.35">
      <c r="A14" s="33" t="s">
        <v>48</v>
      </c>
      <c r="B14" s="33">
        <v>19.2</v>
      </c>
      <c r="C14" s="33" t="s">
        <v>21</v>
      </c>
      <c r="D14" s="34">
        <v>688.12800000000016</v>
      </c>
      <c r="E14" s="34">
        <v>385.29608617594261</v>
      </c>
      <c r="F14" s="34"/>
      <c r="G14" s="34" t="str">
        <f>IF(Tableau1[[#This Row],[perte par agent sur paye (net)]]="",Tableau1[[#This Row],[participation à la perte collective(brut)]],"")</f>
        <v/>
      </c>
      <c r="H14" s="34">
        <f>IF(Tableau1[[#This Row],[perte par agent sur paye (net)]]&lt;&gt;"",Tableau1[[#This Row],[perte par agent sur paye (net)]]-Tableau1[[#This Row],[participation à la perte collective(brut)]],"")</f>
        <v>302.83191382405755</v>
      </c>
      <c r="I14" s="35">
        <f>IF(Tableau1[[#This Row],[perte par agent sur paye (net)]]&lt;&gt;"",$B$4*Tableau1[[#This Row],[à rembourser à l''agent (brut)]],"")</f>
        <v>242.26553105924606</v>
      </c>
      <c r="J14" s="35"/>
      <c r="K14" s="35"/>
      <c r="L14" s="34"/>
      <c r="M14" s="34"/>
      <c r="N14" s="36">
        <v>200</v>
      </c>
      <c r="O14" s="34">
        <f>Tableau1[[#Totals],[montant reçu]]*DATA!H10</f>
        <v>83.360861759425504</v>
      </c>
      <c r="P14" s="34"/>
      <c r="Q14" s="36">
        <f>Tableau1[[#This Row],[montant reçu]]-Tableau1[[#This Row],[redristribution]]</f>
        <v>116.6391382405745</v>
      </c>
      <c r="R14" s="36">
        <f>Tableau1[[#This Row],[à ré-injecter dans le pot commun]]</f>
        <v>116.6391382405745</v>
      </c>
      <c r="S14" s="36"/>
      <c r="T14" s="34"/>
    </row>
    <row r="15" spans="1:20" x14ac:dyDescent="0.35">
      <c r="A15" s="33" t="s">
        <v>49</v>
      </c>
      <c r="B15" s="33">
        <v>19.5</v>
      </c>
      <c r="C15" s="33" t="s">
        <v>21</v>
      </c>
      <c r="D15" s="34"/>
      <c r="E15" s="34">
        <v>391.3163375224417</v>
      </c>
      <c r="F15" s="34"/>
      <c r="G15" s="34">
        <f>IF(Tableau1[[#This Row],[perte par agent sur paye (net)]]="",Tableau1[[#This Row],[participation à la perte collective(brut)]],"")</f>
        <v>391.3163375224417</v>
      </c>
      <c r="H15" s="34"/>
      <c r="I15" s="35" t="str">
        <f>IF(Tableau1[[#This Row],[perte par agent sur paye (net)]]&lt;&gt;"",$B$4*Tableau1[[#This Row],[à rembourser à l''agent (brut)]],"")</f>
        <v/>
      </c>
      <c r="J15" s="35"/>
      <c r="K15" s="35"/>
      <c r="L15" s="34"/>
      <c r="M15" s="34"/>
      <c r="N15" s="36"/>
      <c r="O15" s="34">
        <f>Tableau1[[#Totals],[montant reçu]]*DATA!H11</f>
        <v>84.663375224416512</v>
      </c>
      <c r="P15" s="34"/>
      <c r="Q15" s="36">
        <f>Tableau1[[#This Row],[montant reçu]]-Tableau1[[#This Row],[redristribution]]</f>
        <v>-84.663375224416512</v>
      </c>
      <c r="R15" s="36">
        <f>Tableau1[[#This Row],[à ré-injecter dans le pot commun]]</f>
        <v>-84.663375224416512</v>
      </c>
      <c r="S15" s="36"/>
      <c r="T15" s="34"/>
    </row>
    <row r="16" spans="1:20" x14ac:dyDescent="0.35">
      <c r="A16" s="33" t="s">
        <v>51</v>
      </c>
      <c r="B16" s="33">
        <v>19.5</v>
      </c>
      <c r="C16" s="33" t="s">
        <v>21</v>
      </c>
      <c r="D16" s="34"/>
      <c r="E16" s="34">
        <v>391.3163375224417</v>
      </c>
      <c r="F16" s="34"/>
      <c r="G16" s="34">
        <f>IF(Tableau1[[#This Row],[perte par agent sur paye (net)]]="",Tableau1[[#This Row],[participation à la perte collective(brut)]],"")</f>
        <v>391.3163375224417</v>
      </c>
      <c r="H16" s="34" t="s">
        <v>35</v>
      </c>
      <c r="I16" s="35" t="str">
        <f>IF(Tableau1[[#This Row],[perte par agent sur paye (net)]]&lt;&gt;"",$B$4*Tableau1[[#This Row],[à rembourser à l''agent (brut)]],"")</f>
        <v/>
      </c>
      <c r="J16" s="35"/>
      <c r="K16" s="35"/>
      <c r="L16" s="34"/>
      <c r="M16" s="34"/>
      <c r="N16" s="36"/>
      <c r="O16" s="34">
        <f>Tableau1[[#Totals],[montant reçu]]*DATA!H12</f>
        <v>84.663375224416512</v>
      </c>
      <c r="P16" s="34"/>
      <c r="Q16" s="36">
        <f>Tableau1[[#This Row],[montant reçu]]-Tableau1[[#This Row],[redristribution]]</f>
        <v>-84.663375224416512</v>
      </c>
      <c r="R16" s="36">
        <f>Tableau1[[#This Row],[à ré-injecter dans le pot commun]]</f>
        <v>-84.663375224416512</v>
      </c>
      <c r="S16" s="36"/>
      <c r="T16" s="34"/>
    </row>
    <row r="17" spans="1:20" x14ac:dyDescent="0.35">
      <c r="A17" s="33" t="s">
        <v>50</v>
      </c>
      <c r="B17" s="33">
        <v>19.5</v>
      </c>
      <c r="C17" s="33" t="s">
        <v>21</v>
      </c>
      <c r="D17" s="34"/>
      <c r="E17" s="34">
        <v>391.3163375224417</v>
      </c>
      <c r="F17" s="34"/>
      <c r="G17" s="34">
        <f>IF(Tableau1[[#This Row],[perte par agent sur paye (net)]]="",Tableau1[[#This Row],[participation à la perte collective(brut)]],"")</f>
        <v>391.3163375224417</v>
      </c>
      <c r="H17" s="34"/>
      <c r="I17" s="35" t="str">
        <f>IF(Tableau1[[#This Row],[perte par agent sur paye (net)]]&lt;&gt;"",$B$4*Tableau1[[#This Row],[à rembourser à l''agent (brut)]],"")</f>
        <v/>
      </c>
      <c r="J17" s="35"/>
      <c r="K17" s="35"/>
      <c r="L17" s="34"/>
      <c r="M17" s="34"/>
      <c r="N17" s="36"/>
      <c r="O17" s="34">
        <f>Tableau1[[#Totals],[montant reçu]]*DATA!H13</f>
        <v>84.663375224416512</v>
      </c>
      <c r="P17" s="34"/>
      <c r="Q17" s="36">
        <f>Tableau1[[#This Row],[montant reçu]]-Tableau1[[#This Row],[redristribution]]</f>
        <v>-84.663375224416512</v>
      </c>
      <c r="R17" s="36">
        <f>Tableau1[[#This Row],[à ré-injecter dans le pot commun]]</f>
        <v>-84.663375224416512</v>
      </c>
      <c r="S17" s="36"/>
      <c r="T17" s="34"/>
    </row>
    <row r="18" spans="1:20" x14ac:dyDescent="0.35">
      <c r="A18" s="33" t="s">
        <v>52</v>
      </c>
      <c r="B18" s="33">
        <v>23</v>
      </c>
      <c r="C18" s="33" t="s">
        <v>24</v>
      </c>
      <c r="D18" s="34"/>
      <c r="E18" s="34">
        <v>461.55260323159791</v>
      </c>
      <c r="F18" s="34"/>
      <c r="G18" s="34">
        <f>IF(Tableau1[[#This Row],[perte par agent sur paye (net)]]="",Tableau1[[#This Row],[participation à la perte collective(brut)]],"")</f>
        <v>461.55260323159791</v>
      </c>
      <c r="H18" s="34"/>
      <c r="I18" s="35" t="str">
        <f>IF(Tableau1[[#This Row],[perte par agent sur paye (net)]]&lt;&gt;"",$B$4*Tableau1[[#This Row],[à rembourser à l''agent (brut)]],"")</f>
        <v/>
      </c>
      <c r="J18" s="35"/>
      <c r="K18" s="35"/>
      <c r="L18" s="34"/>
      <c r="M18" s="34"/>
      <c r="N18" s="36"/>
      <c r="O18" s="34">
        <f>Tableau1[[#Totals],[montant reçu]]*DATA!H14</f>
        <v>99.859365649311798</v>
      </c>
      <c r="P18" s="34"/>
      <c r="Q18" s="36">
        <f>Tableau1[[#This Row],[montant reçu]]-Tableau1[[#This Row],[redristribution]]</f>
        <v>-99.859365649311798</v>
      </c>
      <c r="R18" s="36">
        <f>Tableau1[[#This Row],[à ré-injecter dans le pot commun]]</f>
        <v>-99.859365649311798</v>
      </c>
      <c r="S18" s="36"/>
      <c r="T18" s="34"/>
    </row>
    <row r="19" spans="1:20" x14ac:dyDescent="0.35">
      <c r="A19" s="33" t="s">
        <v>53</v>
      </c>
      <c r="B19" s="33">
        <v>23.2</v>
      </c>
      <c r="C19" s="33" t="s">
        <v>22</v>
      </c>
      <c r="D19" s="34"/>
      <c r="E19" s="34">
        <v>465.56610412926398</v>
      </c>
      <c r="F19" s="34"/>
      <c r="G19" s="34">
        <f>IF(Tableau1[[#This Row],[perte par agent sur paye (net)]]="",Tableau1[[#This Row],[participation à la perte collective(brut)]],"")</f>
        <v>465.56610412926398</v>
      </c>
      <c r="H19" s="34"/>
      <c r="I19" s="35" t="str">
        <f>IF(Tableau1[[#This Row],[perte par agent sur paye (net)]]&lt;&gt;"",$B$4*Tableau1[[#This Row],[à rembourser à l''agent (brut)]],"")</f>
        <v/>
      </c>
      <c r="J19" s="35"/>
      <c r="K19" s="35"/>
      <c r="L19" s="34"/>
      <c r="M19" s="34"/>
      <c r="N19" s="36"/>
      <c r="O19" s="34">
        <f>Tableau1[[#Totals],[montant reçu]]*DATA!H15</f>
        <v>100.72770795930582</v>
      </c>
      <c r="P19" s="34"/>
      <c r="Q19" s="36">
        <f>Tableau1[[#This Row],[montant reçu]]-Tableau1[[#This Row],[redristribution]]</f>
        <v>-100.72770795930582</v>
      </c>
      <c r="R19" s="36">
        <f>Tableau1[[#This Row],[à ré-injecter dans le pot commun]]</f>
        <v>-100.72770795930582</v>
      </c>
      <c r="S19" s="36"/>
      <c r="T19" s="34"/>
    </row>
    <row r="20" spans="1:20" x14ac:dyDescent="0.35">
      <c r="A20" s="33" t="s">
        <v>54</v>
      </c>
      <c r="B20" s="33">
        <v>23.3</v>
      </c>
      <c r="C20" s="33" t="s">
        <v>22</v>
      </c>
      <c r="D20" s="34"/>
      <c r="E20" s="34">
        <v>467.57285457809695</v>
      </c>
      <c r="F20" s="34"/>
      <c r="G20" s="34">
        <f>IF(Tableau1[[#This Row],[perte par agent sur paye (net)]]="",Tableau1[[#This Row],[participation à la perte collective(brut)]],"")</f>
        <v>467.57285457809695</v>
      </c>
      <c r="H20" s="34"/>
      <c r="I20" s="35" t="str">
        <f>IF(Tableau1[[#This Row],[perte par agent sur paye (net)]]&lt;&gt;"",$B$4*Tableau1[[#This Row],[à rembourser à l''agent (brut)]],"")</f>
        <v/>
      </c>
      <c r="J20" s="35"/>
      <c r="K20" s="35"/>
      <c r="L20" s="34"/>
      <c r="M20" s="34"/>
      <c r="N20" s="36"/>
      <c r="O20" s="34">
        <f>Tableau1[[#Totals],[montant reçu]]*DATA!H16</f>
        <v>101.16187911430281</v>
      </c>
      <c r="P20" s="34"/>
      <c r="Q20" s="36">
        <f>Tableau1[[#This Row],[montant reçu]]-Tableau1[[#This Row],[redristribution]]</f>
        <v>-101.16187911430281</v>
      </c>
      <c r="R20" s="36">
        <f>Tableau1[[#This Row],[à ré-injecter dans le pot commun]]</f>
        <v>-101.16187911430281</v>
      </c>
      <c r="S20" s="36"/>
      <c r="T20" s="34"/>
    </row>
    <row r="21" spans="1:20" x14ac:dyDescent="0.35">
      <c r="A21" s="33" t="s">
        <v>55</v>
      </c>
      <c r="B21" s="33">
        <v>26.5</v>
      </c>
      <c r="C21" s="33" t="s">
        <v>20</v>
      </c>
      <c r="D21" s="34"/>
      <c r="E21" s="34">
        <v>531.78886894075413</v>
      </c>
      <c r="F21" s="34"/>
      <c r="G21" s="34">
        <f>IF(Tableau1[[#This Row],[perte par agent sur paye (net)]]="",Tableau1[[#This Row],[participation à la perte collective(brut)]],"")</f>
        <v>531.78886894075413</v>
      </c>
      <c r="H21" s="34"/>
      <c r="I21" s="35" t="str">
        <f>IF(Tableau1[[#This Row],[perte par agent sur paye (net)]]&lt;&gt;"",$B$4*Tableau1[[#This Row],[à rembourser à l''agent (brut)]],"")</f>
        <v/>
      </c>
      <c r="J21" s="35"/>
      <c r="K21" s="35"/>
      <c r="L21" s="34"/>
      <c r="M21" s="34"/>
      <c r="N21" s="36"/>
      <c r="O21" s="34">
        <f>Tableau1[[#Totals],[montant reçu]]*DATA!H17</f>
        <v>115.05535607420707</v>
      </c>
      <c r="P21" s="34"/>
      <c r="Q21" s="36">
        <f>Tableau1[[#This Row],[montant reçu]]-Tableau1[[#This Row],[redristribution]]</f>
        <v>-115.05535607420707</v>
      </c>
      <c r="R21" s="36">
        <f>Tableau1[[#This Row],[à ré-injecter dans le pot commun]]</f>
        <v>-115.05535607420707</v>
      </c>
      <c r="S21" s="36"/>
      <c r="T21" s="34"/>
    </row>
    <row r="22" spans="1:20" x14ac:dyDescent="0.35">
      <c r="A22" s="33" t="s">
        <v>56</v>
      </c>
      <c r="B22" s="33">
        <v>30</v>
      </c>
      <c r="C22" s="33" t="s">
        <v>19</v>
      </c>
      <c r="D22" s="34"/>
      <c r="E22" s="34">
        <v>602.02513464991023</v>
      </c>
      <c r="F22" s="34"/>
      <c r="G22" s="34">
        <f>IF(Tableau1[[#This Row],[perte par agent sur paye (net)]]="",Tableau1[[#This Row],[participation à la perte collective(brut)]],"")</f>
        <v>602.02513464991023</v>
      </c>
      <c r="H22" s="34"/>
      <c r="I22" s="35" t="str">
        <f>IF(Tableau1[[#This Row],[perte par agent sur paye (net)]]&lt;&gt;"",$B$4*Tableau1[[#This Row],[à rembourser à l''agent (brut)]],"")</f>
        <v/>
      </c>
      <c r="J22" s="35"/>
      <c r="K22" s="35"/>
      <c r="L22" s="34"/>
      <c r="M22" s="34"/>
      <c r="N22" s="36"/>
      <c r="O22" s="34">
        <f>Tableau1[[#Totals],[montant reçu]]*DATA!H18</f>
        <v>130.25134649910234</v>
      </c>
      <c r="P22" s="34"/>
      <c r="Q22" s="36">
        <f>Tableau1[[#This Row],[montant reçu]]-Tableau1[[#This Row],[redristribution]]</f>
        <v>-130.25134649910234</v>
      </c>
      <c r="R22" s="36">
        <f>Tableau1[[#This Row],[à ré-injecter dans le pot commun]]</f>
        <v>-130.25134649910234</v>
      </c>
      <c r="S22" s="36"/>
      <c r="T22" s="34"/>
    </row>
    <row r="23" spans="1:20" x14ac:dyDescent="0.35">
      <c r="A23" s="31" t="s">
        <v>32</v>
      </c>
      <c r="B23" s="32">
        <f>SUBTOTAL(101,Tableau1[taux horaire])</f>
        <v>19.658823529411762</v>
      </c>
      <c r="C23" s="31"/>
      <c r="D23" s="32">
        <f>SUBTOTAL(109,Tableau1[perte par agent sur paye (net)])</f>
        <v>5365.2480000000014</v>
      </c>
      <c r="E23" s="32">
        <f>SUBTOTAL(109,Tableau1[participation à la perte collective(brut)])</f>
        <v>6706.5599999999995</v>
      </c>
      <c r="F23" s="32"/>
      <c r="G23" s="32"/>
      <c r="H23" s="32"/>
      <c r="I23" s="32"/>
      <c r="J23" s="32"/>
      <c r="K23" s="32"/>
      <c r="L23" s="32"/>
      <c r="M23" s="32"/>
      <c r="N23" s="32">
        <f>SUBTOTAL(109,Tableau1[montant reçu])</f>
        <v>1451</v>
      </c>
      <c r="O23" s="32"/>
      <c r="P23" s="32"/>
      <c r="Q23" s="32">
        <f>SUBTOTAL(109,Tableau1[à ré-injecter dans le pot commun])</f>
        <v>0</v>
      </c>
      <c r="R23" s="32">
        <f>SUBTOTAL(109,Tableau1[virement à effectuer])</f>
        <v>0</v>
      </c>
      <c r="S23" s="32"/>
      <c r="T23" s="32">
        <f>SUBTOTAL(103,Tableau1[pour verif coherence])</f>
        <v>0</v>
      </c>
    </row>
    <row r="30" spans="1:20" x14ac:dyDescent="0.35">
      <c r="Q30" t="s">
        <v>35</v>
      </c>
    </row>
  </sheetData>
  <mergeCells count="1">
    <mergeCell ref="A1:F1"/>
  </mergeCells>
  <pageMargins left="0.7" right="0.7" top="0.75" bottom="0.75" header="0.3" footer="0.3"/>
  <pageSetup paperSize="1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irUSF1">
                <anchor moveWithCells="1" sizeWithCells="1">
                  <from>
                    <xdr:col>6</xdr:col>
                    <xdr:colOff>400050</xdr:colOff>
                    <xdr:row>0</xdr:row>
                    <xdr:rowOff>76200</xdr:rowOff>
                  </from>
                  <to>
                    <xdr:col>7</xdr:col>
                    <xdr:colOff>412750</xdr:colOff>
                    <xdr:row>0</xdr:row>
                    <xdr:rowOff>374650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RAZ_Synthese">
                <anchor moveWithCells="1" sizeWithCells="1">
                  <from>
                    <xdr:col>7</xdr:col>
                    <xdr:colOff>889000</xdr:colOff>
                    <xdr:row>0</xdr:row>
                    <xdr:rowOff>76200</xdr:rowOff>
                  </from>
                  <to>
                    <xdr:col>9</xdr:col>
                    <xdr:colOff>88900</xdr:colOff>
                    <xdr:row>0</xdr:row>
                    <xdr:rowOff>374650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1:S33"/>
  <sheetViews>
    <sheetView topLeftCell="A7" workbookViewId="0">
      <selection activeCell="F23" sqref="C23:F27"/>
    </sheetView>
  </sheetViews>
  <sheetFormatPr baseColWidth="10" defaultColWidth="10.81640625" defaultRowHeight="14.5" x14ac:dyDescent="0.35"/>
  <cols>
    <col min="1" max="1" width="13.26953125" style="4" customWidth="1"/>
    <col min="2" max="2" width="12.81640625" style="5" customWidth="1"/>
    <col min="3" max="3" width="16.81640625" style="4" customWidth="1"/>
    <col min="4" max="5" width="16.26953125" style="4" customWidth="1"/>
    <col min="6" max="6" width="12.26953125" style="4" customWidth="1"/>
    <col min="7" max="7" width="10.81640625" style="4"/>
    <col min="8" max="8" width="13.453125" style="5" customWidth="1"/>
    <col min="9" max="16384" width="10.81640625" style="4"/>
  </cols>
  <sheetData>
    <row r="1" spans="1:19" ht="33" customHeight="1" x14ac:dyDescent="0.35"/>
    <row r="2" spans="1:19" x14ac:dyDescent="0.35">
      <c r="C2" s="4">
        <f>Indemnite</f>
        <v>7.25</v>
      </c>
      <c r="D2" s="4">
        <f>Indemnite</f>
        <v>7.25</v>
      </c>
      <c r="E2" s="4">
        <f>Indemnite</f>
        <v>7.25</v>
      </c>
      <c r="F2" s="4">
        <f>Indemnite</f>
        <v>7.25</v>
      </c>
      <c r="G2" s="4">
        <f>Indemnite</f>
        <v>9.25</v>
      </c>
      <c r="H2" s="4">
        <f>Indemnite</f>
        <v>9.25</v>
      </c>
      <c r="I2" s="4">
        <f>Indemnite</f>
        <v>9.25</v>
      </c>
      <c r="J2" s="4">
        <f>Indemnite</f>
        <v>7.25</v>
      </c>
    </row>
    <row r="3" spans="1:19" x14ac:dyDescent="0.35">
      <c r="C3" s="4" t="s">
        <v>39</v>
      </c>
      <c r="D3" s="4" t="s">
        <v>39</v>
      </c>
      <c r="E3" s="4" t="s">
        <v>25</v>
      </c>
      <c r="F3" s="4" t="s">
        <v>25</v>
      </c>
      <c r="G3" s="4" t="s">
        <v>26</v>
      </c>
      <c r="H3" s="4" t="s">
        <v>26</v>
      </c>
      <c r="I3" s="4" t="s">
        <v>26</v>
      </c>
      <c r="J3" s="4" t="s">
        <v>39</v>
      </c>
    </row>
    <row r="4" spans="1:19" x14ac:dyDescent="0.35">
      <c r="A4" s="3" t="s">
        <v>0</v>
      </c>
      <c r="B4" s="6" t="s">
        <v>33</v>
      </c>
      <c r="C4" s="6" t="s">
        <v>57</v>
      </c>
      <c r="D4" s="6" t="s">
        <v>58</v>
      </c>
      <c r="E4" s="6" t="s">
        <v>59</v>
      </c>
      <c r="F4" s="6" t="s">
        <v>60</v>
      </c>
      <c r="G4" s="6" t="s">
        <v>61</v>
      </c>
      <c r="H4" s="6" t="s">
        <v>62</v>
      </c>
      <c r="I4" s="6" t="s">
        <v>63</v>
      </c>
      <c r="J4" s="6" t="s">
        <v>66</v>
      </c>
      <c r="K4" s="6" t="s">
        <v>32</v>
      </c>
      <c r="S4" s="8"/>
    </row>
    <row r="5" spans="1:19" s="7" customFormat="1" x14ac:dyDescent="0.35">
      <c r="A5" s="37" t="s">
        <v>40</v>
      </c>
      <c r="B5" s="6">
        <v>15</v>
      </c>
      <c r="C5" s="39">
        <f t="shared" ref="C5:C21" si="0">calcul_cout_greve(C$2,$B5)</f>
        <v>75</v>
      </c>
      <c r="D5" s="39">
        <f t="shared" ref="D5:D21" si="1">calcul_cout_greve(D$2,$B5)</f>
        <v>75</v>
      </c>
      <c r="E5" s="39">
        <f t="shared" ref="E5:E21" si="2">calcul_cout_greve(E$2,$B5)</f>
        <v>75</v>
      </c>
      <c r="F5" s="39">
        <f t="shared" ref="F5:F21" si="3">calcul_cout_greve(F$2,$B5)</f>
        <v>75</v>
      </c>
      <c r="G5" s="39">
        <f t="shared" ref="G5:G21" si="4">calcul_cout_greve(G$2,$B5)</f>
        <v>99</v>
      </c>
      <c r="H5" s="39">
        <f t="shared" ref="H5:H21" si="5">calcul_cout_greve(H$2,$B5)</f>
        <v>99</v>
      </c>
      <c r="I5" s="39">
        <f t="shared" ref="I5:I21" si="6">calcul_cout_greve(I$2,$B5)</f>
        <v>99</v>
      </c>
      <c r="J5" s="39">
        <f t="shared" ref="J5:J21" si="7">calcul_cout_greve(J$2,$B5)</f>
        <v>75</v>
      </c>
      <c r="K5" s="6">
        <v>672</v>
      </c>
      <c r="N5" s="4"/>
      <c r="S5" s="9"/>
    </row>
    <row r="6" spans="1:19" x14ac:dyDescent="0.35">
      <c r="A6" s="37" t="s">
        <v>41</v>
      </c>
      <c r="B6" s="6">
        <v>15.5</v>
      </c>
      <c r="C6" s="39">
        <f t="shared" si="0"/>
        <v>77.5</v>
      </c>
      <c r="D6" s="39">
        <f t="shared" si="1"/>
        <v>77.5</v>
      </c>
      <c r="E6" s="39">
        <f t="shared" si="2"/>
        <v>77.5</v>
      </c>
      <c r="F6" s="39">
        <f t="shared" si="3"/>
        <v>77.5</v>
      </c>
      <c r="G6" s="39">
        <f t="shared" si="4"/>
        <v>102.3</v>
      </c>
      <c r="H6" s="39">
        <f t="shared" si="5"/>
        <v>102.3</v>
      </c>
      <c r="I6" s="39">
        <f t="shared" si="6"/>
        <v>102.3</v>
      </c>
      <c r="J6" s="39">
        <f t="shared" si="7"/>
        <v>77.5</v>
      </c>
      <c r="K6" s="6">
        <v>694.4</v>
      </c>
    </row>
    <row r="7" spans="1:19" x14ac:dyDescent="0.35">
      <c r="A7" s="37" t="s">
        <v>42</v>
      </c>
      <c r="B7" s="6">
        <v>15.5</v>
      </c>
      <c r="C7" s="39">
        <f t="shared" si="0"/>
        <v>77.5</v>
      </c>
      <c r="D7" s="39">
        <f t="shared" si="1"/>
        <v>77.5</v>
      </c>
      <c r="E7" s="39">
        <f t="shared" si="2"/>
        <v>77.5</v>
      </c>
      <c r="F7" s="39">
        <f t="shared" si="3"/>
        <v>77.5</v>
      </c>
      <c r="G7" s="39">
        <f t="shared" si="4"/>
        <v>102.3</v>
      </c>
      <c r="H7" s="39">
        <f t="shared" si="5"/>
        <v>102.3</v>
      </c>
      <c r="I7" s="39">
        <f t="shared" si="6"/>
        <v>102.3</v>
      </c>
      <c r="J7" s="39">
        <f t="shared" si="7"/>
        <v>77.5</v>
      </c>
      <c r="K7" s="6">
        <v>694.4</v>
      </c>
    </row>
    <row r="8" spans="1:19" x14ac:dyDescent="0.35">
      <c r="A8" s="37" t="s">
        <v>43</v>
      </c>
      <c r="B8" s="6">
        <v>16</v>
      </c>
      <c r="C8" s="39">
        <f t="shared" si="0"/>
        <v>80</v>
      </c>
      <c r="D8" s="39">
        <f t="shared" si="1"/>
        <v>80</v>
      </c>
      <c r="E8" s="39">
        <f t="shared" si="2"/>
        <v>80</v>
      </c>
      <c r="F8" s="39">
        <f t="shared" si="3"/>
        <v>80</v>
      </c>
      <c r="G8" s="39">
        <f t="shared" si="4"/>
        <v>105.6</v>
      </c>
      <c r="H8" s="39">
        <f t="shared" si="5"/>
        <v>105.6</v>
      </c>
      <c r="I8" s="39">
        <f t="shared" si="6"/>
        <v>105.6</v>
      </c>
      <c r="J8" s="39">
        <f t="shared" si="7"/>
        <v>80</v>
      </c>
      <c r="K8" s="6">
        <v>716.80000000000007</v>
      </c>
      <c r="Q8" s="12"/>
    </row>
    <row r="9" spans="1:19" x14ac:dyDescent="0.35">
      <c r="A9" s="37" t="s">
        <v>44</v>
      </c>
      <c r="B9" s="6">
        <v>16</v>
      </c>
      <c r="C9" s="39">
        <f t="shared" si="0"/>
        <v>80</v>
      </c>
      <c r="D9" s="39">
        <f t="shared" si="1"/>
        <v>80</v>
      </c>
      <c r="E9" s="39">
        <f t="shared" si="2"/>
        <v>80</v>
      </c>
      <c r="F9" s="39">
        <f t="shared" si="3"/>
        <v>80</v>
      </c>
      <c r="G9" s="39">
        <f t="shared" si="4"/>
        <v>105.6</v>
      </c>
      <c r="H9" s="39">
        <f t="shared" si="5"/>
        <v>105.6</v>
      </c>
      <c r="I9" s="39">
        <f t="shared" si="6"/>
        <v>105.6</v>
      </c>
      <c r="J9" s="39">
        <f t="shared" si="7"/>
        <v>80</v>
      </c>
      <c r="K9" s="6">
        <v>716.80000000000007</v>
      </c>
    </row>
    <row r="10" spans="1:19" x14ac:dyDescent="0.35">
      <c r="A10" s="37" t="s">
        <v>45</v>
      </c>
      <c r="B10" s="6">
        <v>16.5</v>
      </c>
      <c r="C10" s="39">
        <f t="shared" si="0"/>
        <v>82.5</v>
      </c>
      <c r="D10" s="39">
        <f t="shared" si="1"/>
        <v>82.5</v>
      </c>
      <c r="E10" s="39">
        <f t="shared" si="2"/>
        <v>82.5</v>
      </c>
      <c r="F10" s="39">
        <f t="shared" si="3"/>
        <v>82.5</v>
      </c>
      <c r="G10" s="39">
        <f t="shared" si="4"/>
        <v>108.89999999999999</v>
      </c>
      <c r="H10" s="39">
        <f t="shared" si="5"/>
        <v>108.89999999999999</v>
      </c>
      <c r="I10" s="39">
        <f t="shared" si="6"/>
        <v>108.89999999999999</v>
      </c>
      <c r="J10" s="39">
        <f t="shared" si="7"/>
        <v>82.5</v>
      </c>
      <c r="K10" s="6">
        <v>739.19999999999993</v>
      </c>
    </row>
    <row r="11" spans="1:19" x14ac:dyDescent="0.35">
      <c r="A11" s="37" t="s">
        <v>46</v>
      </c>
      <c r="B11" s="6">
        <v>17</v>
      </c>
      <c r="C11" s="39">
        <f t="shared" si="0"/>
        <v>85</v>
      </c>
      <c r="D11" s="39">
        <f t="shared" si="1"/>
        <v>85</v>
      </c>
      <c r="E11" s="39">
        <f t="shared" si="2"/>
        <v>85</v>
      </c>
      <c r="F11" s="39">
        <f t="shared" si="3"/>
        <v>85</v>
      </c>
      <c r="G11" s="39">
        <f t="shared" si="4"/>
        <v>112.2</v>
      </c>
      <c r="H11" s="39">
        <f t="shared" si="5"/>
        <v>112.2</v>
      </c>
      <c r="I11" s="39">
        <f t="shared" si="6"/>
        <v>112.2</v>
      </c>
      <c r="J11" s="39">
        <f t="shared" si="7"/>
        <v>85</v>
      </c>
      <c r="K11" s="6">
        <v>761.6</v>
      </c>
    </row>
    <row r="12" spans="1:19" x14ac:dyDescent="0.35">
      <c r="A12" s="37" t="s">
        <v>47</v>
      </c>
      <c r="B12" s="6">
        <v>19</v>
      </c>
      <c r="C12" s="39">
        <f t="shared" si="0"/>
        <v>95</v>
      </c>
      <c r="D12" s="39">
        <f t="shared" si="1"/>
        <v>95</v>
      </c>
      <c r="E12" s="39">
        <f t="shared" si="2"/>
        <v>95</v>
      </c>
      <c r="F12" s="39">
        <f t="shared" si="3"/>
        <v>95</v>
      </c>
      <c r="G12" s="39">
        <f t="shared" si="4"/>
        <v>125.39999999999999</v>
      </c>
      <c r="H12" s="39">
        <f t="shared" si="5"/>
        <v>125.39999999999999</v>
      </c>
      <c r="I12" s="39">
        <f t="shared" si="6"/>
        <v>125.39999999999999</v>
      </c>
      <c r="J12" s="39">
        <f t="shared" si="7"/>
        <v>95</v>
      </c>
      <c r="K12" s="6">
        <v>851.19999999999993</v>
      </c>
    </row>
    <row r="13" spans="1:19" x14ac:dyDescent="0.35">
      <c r="A13" s="37" t="s">
        <v>48</v>
      </c>
      <c r="B13" s="6">
        <v>19.2</v>
      </c>
      <c r="C13" s="39">
        <f t="shared" si="0"/>
        <v>96</v>
      </c>
      <c r="D13" s="39">
        <f t="shared" si="1"/>
        <v>96</v>
      </c>
      <c r="E13" s="39">
        <f t="shared" si="2"/>
        <v>96</v>
      </c>
      <c r="F13" s="39">
        <f t="shared" si="3"/>
        <v>96</v>
      </c>
      <c r="G13" s="39">
        <f t="shared" si="4"/>
        <v>126.72</v>
      </c>
      <c r="H13" s="39">
        <f t="shared" si="5"/>
        <v>126.72</v>
      </c>
      <c r="I13" s="39">
        <f t="shared" si="6"/>
        <v>126.72</v>
      </c>
      <c r="J13" s="39">
        <f t="shared" si="7"/>
        <v>96</v>
      </c>
      <c r="K13" s="6">
        <v>860.16000000000008</v>
      </c>
    </row>
    <row r="14" spans="1:19" x14ac:dyDescent="0.35">
      <c r="A14" s="37" t="s">
        <v>49</v>
      </c>
      <c r="B14" s="6">
        <v>19.5</v>
      </c>
      <c r="C14" s="6">
        <f t="shared" si="0"/>
        <v>97.5</v>
      </c>
      <c r="D14" s="6">
        <f t="shared" si="1"/>
        <v>97.5</v>
      </c>
      <c r="E14" s="6">
        <f t="shared" si="2"/>
        <v>97.5</v>
      </c>
      <c r="F14" s="6">
        <f t="shared" si="3"/>
        <v>97.5</v>
      </c>
      <c r="G14" s="6">
        <f t="shared" si="4"/>
        <v>128.69999999999999</v>
      </c>
      <c r="H14" s="6">
        <f t="shared" si="5"/>
        <v>128.69999999999999</v>
      </c>
      <c r="I14" s="6">
        <f t="shared" si="6"/>
        <v>128.69999999999999</v>
      </c>
      <c r="J14" s="6">
        <f t="shared" si="7"/>
        <v>97.5</v>
      </c>
      <c r="K14" s="6">
        <v>0</v>
      </c>
    </row>
    <row r="15" spans="1:19" x14ac:dyDescent="0.35">
      <c r="A15" s="37" t="s">
        <v>51</v>
      </c>
      <c r="B15" s="6">
        <v>19.5</v>
      </c>
      <c r="C15" s="6">
        <f t="shared" si="0"/>
        <v>97.5</v>
      </c>
      <c r="D15" s="6">
        <f t="shared" si="1"/>
        <v>97.5</v>
      </c>
      <c r="E15" s="6">
        <f t="shared" si="2"/>
        <v>97.5</v>
      </c>
      <c r="F15" s="6">
        <f t="shared" si="3"/>
        <v>97.5</v>
      </c>
      <c r="G15" s="6">
        <f t="shared" si="4"/>
        <v>128.69999999999999</v>
      </c>
      <c r="H15" s="6">
        <f t="shared" si="5"/>
        <v>128.69999999999999</v>
      </c>
      <c r="I15" s="6">
        <f t="shared" si="6"/>
        <v>128.69999999999999</v>
      </c>
      <c r="J15" s="6">
        <f t="shared" si="7"/>
        <v>97.5</v>
      </c>
      <c r="K15" s="6">
        <v>0</v>
      </c>
    </row>
    <row r="16" spans="1:19" x14ac:dyDescent="0.35">
      <c r="A16" s="37" t="s">
        <v>50</v>
      </c>
      <c r="B16" s="6">
        <v>19.5</v>
      </c>
      <c r="C16" s="6">
        <f t="shared" si="0"/>
        <v>97.5</v>
      </c>
      <c r="D16" s="6">
        <f t="shared" si="1"/>
        <v>97.5</v>
      </c>
      <c r="E16" s="6">
        <f t="shared" si="2"/>
        <v>97.5</v>
      </c>
      <c r="F16" s="6">
        <f t="shared" si="3"/>
        <v>97.5</v>
      </c>
      <c r="G16" s="6">
        <f t="shared" si="4"/>
        <v>128.69999999999999</v>
      </c>
      <c r="H16" s="6">
        <f t="shared" si="5"/>
        <v>128.69999999999999</v>
      </c>
      <c r="I16" s="6">
        <f t="shared" si="6"/>
        <v>128.69999999999999</v>
      </c>
      <c r="J16" s="6">
        <f t="shared" si="7"/>
        <v>97.5</v>
      </c>
      <c r="K16" s="6">
        <v>0</v>
      </c>
    </row>
    <row r="17" spans="1:16" x14ac:dyDescent="0.35">
      <c r="A17" s="37" t="s">
        <v>52</v>
      </c>
      <c r="B17" s="6">
        <v>23</v>
      </c>
      <c r="C17" s="6">
        <f t="shared" si="0"/>
        <v>115</v>
      </c>
      <c r="D17" s="6">
        <f t="shared" si="1"/>
        <v>115</v>
      </c>
      <c r="E17" s="6">
        <f t="shared" si="2"/>
        <v>115</v>
      </c>
      <c r="F17" s="6">
        <f t="shared" si="3"/>
        <v>115</v>
      </c>
      <c r="G17" s="6">
        <f t="shared" si="4"/>
        <v>151.80000000000001</v>
      </c>
      <c r="H17" s="6">
        <f t="shared" si="5"/>
        <v>151.80000000000001</v>
      </c>
      <c r="I17" s="6">
        <f t="shared" si="6"/>
        <v>151.80000000000001</v>
      </c>
      <c r="J17" s="6">
        <f t="shared" si="7"/>
        <v>115</v>
      </c>
      <c r="K17" s="6">
        <v>0</v>
      </c>
    </row>
    <row r="18" spans="1:16" x14ac:dyDescent="0.35">
      <c r="A18" s="37" t="s">
        <v>53</v>
      </c>
      <c r="B18" s="6">
        <v>23.2</v>
      </c>
      <c r="C18" s="6">
        <f t="shared" si="0"/>
        <v>116</v>
      </c>
      <c r="D18" s="6">
        <f t="shared" si="1"/>
        <v>116</v>
      </c>
      <c r="E18" s="6">
        <f t="shared" si="2"/>
        <v>116</v>
      </c>
      <c r="F18" s="6">
        <f t="shared" si="3"/>
        <v>116</v>
      </c>
      <c r="G18" s="6">
        <f t="shared" si="4"/>
        <v>153.12</v>
      </c>
      <c r="H18" s="6">
        <f t="shared" si="5"/>
        <v>153.12</v>
      </c>
      <c r="I18" s="6">
        <f t="shared" si="6"/>
        <v>153.12</v>
      </c>
      <c r="J18" s="6">
        <f t="shared" si="7"/>
        <v>116</v>
      </c>
      <c r="K18" s="6">
        <v>0</v>
      </c>
    </row>
    <row r="19" spans="1:16" x14ac:dyDescent="0.35">
      <c r="A19" s="37" t="s">
        <v>54</v>
      </c>
      <c r="B19" s="6">
        <v>23.3</v>
      </c>
      <c r="C19" s="6">
        <f t="shared" si="0"/>
        <v>116.5</v>
      </c>
      <c r="D19" s="6">
        <f t="shared" si="1"/>
        <v>116.5</v>
      </c>
      <c r="E19" s="6">
        <f t="shared" si="2"/>
        <v>116.5</v>
      </c>
      <c r="F19" s="6">
        <f t="shared" si="3"/>
        <v>116.5</v>
      </c>
      <c r="G19" s="6">
        <f t="shared" si="4"/>
        <v>153.78</v>
      </c>
      <c r="H19" s="6">
        <f t="shared" si="5"/>
        <v>153.78</v>
      </c>
      <c r="I19" s="6">
        <f t="shared" si="6"/>
        <v>153.78</v>
      </c>
      <c r="J19" s="6">
        <f t="shared" si="7"/>
        <v>116.5</v>
      </c>
      <c r="K19" s="6">
        <v>0</v>
      </c>
    </row>
    <row r="20" spans="1:16" x14ac:dyDescent="0.35">
      <c r="A20" s="37" t="s">
        <v>55</v>
      </c>
      <c r="B20" s="6">
        <v>26.5</v>
      </c>
      <c r="C20" s="6">
        <f t="shared" si="0"/>
        <v>132.5</v>
      </c>
      <c r="D20" s="6">
        <f t="shared" si="1"/>
        <v>132.5</v>
      </c>
      <c r="E20" s="6">
        <f t="shared" si="2"/>
        <v>132.5</v>
      </c>
      <c r="F20" s="6">
        <f t="shared" si="3"/>
        <v>132.5</v>
      </c>
      <c r="G20" s="6">
        <f t="shared" si="4"/>
        <v>174.9</v>
      </c>
      <c r="H20" s="6">
        <f t="shared" si="5"/>
        <v>174.9</v>
      </c>
      <c r="I20" s="6">
        <f t="shared" si="6"/>
        <v>174.9</v>
      </c>
      <c r="J20" s="6">
        <f t="shared" si="7"/>
        <v>132.5</v>
      </c>
      <c r="K20" s="6">
        <v>0</v>
      </c>
    </row>
    <row r="21" spans="1:16" x14ac:dyDescent="0.35">
      <c r="A21" s="37" t="s">
        <v>56</v>
      </c>
      <c r="B21" s="6">
        <v>30</v>
      </c>
      <c r="C21" s="6">
        <f t="shared" si="0"/>
        <v>150</v>
      </c>
      <c r="D21" s="6">
        <f t="shared" si="1"/>
        <v>150</v>
      </c>
      <c r="E21" s="6">
        <f t="shared" si="2"/>
        <v>150</v>
      </c>
      <c r="F21" s="6">
        <f t="shared" si="3"/>
        <v>150</v>
      </c>
      <c r="G21" s="6">
        <f t="shared" si="4"/>
        <v>198</v>
      </c>
      <c r="H21" s="6">
        <f t="shared" si="5"/>
        <v>198</v>
      </c>
      <c r="I21" s="6">
        <f t="shared" si="6"/>
        <v>198</v>
      </c>
      <c r="J21" s="6">
        <f t="shared" si="7"/>
        <v>150</v>
      </c>
      <c r="K21" s="6">
        <v>0</v>
      </c>
      <c r="P21" s="5"/>
    </row>
    <row r="22" spans="1:16" x14ac:dyDescent="0.35">
      <c r="A22" s="37" t="s">
        <v>32</v>
      </c>
      <c r="B22" s="6">
        <f>SUBTOTAL(101,Tableau3[Taux Horaire])</f>
        <v>19.658823529411762</v>
      </c>
      <c r="C22" s="6" t="s">
        <v>64</v>
      </c>
      <c r="D22" s="6" t="s">
        <v>64</v>
      </c>
      <c r="E22" s="6" t="s">
        <v>64</v>
      </c>
      <c r="F22" s="6" t="s">
        <v>64</v>
      </c>
      <c r="G22" s="6" t="s">
        <v>65</v>
      </c>
      <c r="H22" s="6" t="s">
        <v>65</v>
      </c>
      <c r="I22" s="6" t="s">
        <v>65</v>
      </c>
      <c r="J22" s="6" t="s">
        <v>64</v>
      </c>
      <c r="K22" s="19">
        <f>SUBTOTAL(109,Tableau3[Total])</f>
        <v>6706.56</v>
      </c>
      <c r="P22" s="5"/>
    </row>
    <row r="32" spans="1:16" x14ac:dyDescent="0.35">
      <c r="H32" s="4"/>
    </row>
    <row r="33" spans="8:8" x14ac:dyDescent="0.35">
      <c r="H33" s="4"/>
    </row>
  </sheetData>
  <phoneticPr fontId="9" type="noConversion"/>
  <pageMargins left="0.7" right="0.7" top="0.75" bottom="0.75" header="0.3" footer="0.3"/>
  <pageSetup paperSize="11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2</xdr:col>
                <xdr:colOff>241300</xdr:colOff>
                <xdr:row>0</xdr:row>
                <xdr:rowOff>107950</xdr:rowOff>
              </from>
              <to>
                <xdr:col>3</xdr:col>
                <xdr:colOff>914400</xdr:colOff>
                <xdr:row>0</xdr:row>
                <xdr:rowOff>393700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J19"/>
  <sheetViews>
    <sheetView workbookViewId="0">
      <selection activeCell="C14" sqref="C14"/>
    </sheetView>
  </sheetViews>
  <sheetFormatPr baseColWidth="10" defaultColWidth="10.81640625" defaultRowHeight="14.5" x14ac:dyDescent="0.35"/>
  <cols>
    <col min="1" max="1" width="10.81640625" style="14"/>
    <col min="2" max="2" width="5.7265625" style="14" customWidth="1"/>
    <col min="3" max="3" width="18" style="14" customWidth="1"/>
    <col min="4" max="4" width="13.81640625" style="14" customWidth="1"/>
    <col min="5" max="7" width="10.81640625" style="14"/>
    <col min="8" max="8" width="10.81640625" style="18"/>
    <col min="9" max="16384" width="10.81640625" style="14"/>
  </cols>
  <sheetData>
    <row r="1" spans="1:8" s="4" customFormat="1" x14ac:dyDescent="0.35">
      <c r="A1" s="4" t="s">
        <v>30</v>
      </c>
      <c r="C1" s="4" t="s">
        <v>29</v>
      </c>
      <c r="D1" s="4" t="s">
        <v>28</v>
      </c>
      <c r="F1" s="4" t="s">
        <v>36</v>
      </c>
      <c r="G1" s="4" t="s">
        <v>37</v>
      </c>
      <c r="H1" s="15" t="s">
        <v>38</v>
      </c>
    </row>
    <row r="2" spans="1:8" x14ac:dyDescent="0.35">
      <c r="A2" s="14" t="s">
        <v>23</v>
      </c>
      <c r="C2" s="4" t="s">
        <v>39</v>
      </c>
      <c r="D2" s="4">
        <v>7.25</v>
      </c>
      <c r="F2" s="16" t="s">
        <v>40</v>
      </c>
      <c r="G2" s="17">
        <v>15</v>
      </c>
      <c r="H2" s="30">
        <f>G2/$G$19</f>
        <v>4.4883303411131059E-2</v>
      </c>
    </row>
    <row r="3" spans="1:8" x14ac:dyDescent="0.35">
      <c r="A3" s="14" t="s">
        <v>19</v>
      </c>
      <c r="C3" s="4" t="s">
        <v>25</v>
      </c>
      <c r="D3" s="4">
        <v>7.25</v>
      </c>
      <c r="F3" s="16" t="s">
        <v>41</v>
      </c>
      <c r="G3" s="17">
        <v>15.5</v>
      </c>
      <c r="H3" s="30">
        <f t="shared" ref="H3:H18" si="0">G3/$G$19</f>
        <v>4.6379413524835426E-2</v>
      </c>
    </row>
    <row r="4" spans="1:8" x14ac:dyDescent="0.35">
      <c r="A4" s="14" t="s">
        <v>20</v>
      </c>
      <c r="C4" s="4" t="s">
        <v>26</v>
      </c>
      <c r="D4" s="4">
        <v>9.25</v>
      </c>
      <c r="F4" s="16" t="s">
        <v>42</v>
      </c>
      <c r="G4" s="17">
        <v>15.5</v>
      </c>
      <c r="H4" s="30">
        <f t="shared" si="0"/>
        <v>4.6379413524835426E-2</v>
      </c>
    </row>
    <row r="5" spans="1:8" x14ac:dyDescent="0.35">
      <c r="A5" s="14" t="s">
        <v>24</v>
      </c>
      <c r="C5" s="4" t="s">
        <v>27</v>
      </c>
      <c r="D5" s="4">
        <v>1</v>
      </c>
      <c r="F5" s="16" t="s">
        <v>43</v>
      </c>
      <c r="G5" s="17">
        <v>16</v>
      </c>
      <c r="H5" s="30">
        <f t="shared" si="0"/>
        <v>4.7875523638539801E-2</v>
      </c>
    </row>
    <row r="6" spans="1:8" x14ac:dyDescent="0.35">
      <c r="A6" s="14" t="s">
        <v>21</v>
      </c>
      <c r="C6" s="4" t="s">
        <v>34</v>
      </c>
      <c r="D6" s="4">
        <v>2</v>
      </c>
      <c r="F6" s="16" t="s">
        <v>44</v>
      </c>
      <c r="G6" s="17">
        <v>16</v>
      </c>
      <c r="H6" s="30">
        <f t="shared" si="0"/>
        <v>4.7875523638539801E-2</v>
      </c>
    </row>
    <row r="7" spans="1:8" x14ac:dyDescent="0.35">
      <c r="A7" s="14" t="s">
        <v>22</v>
      </c>
      <c r="F7" s="16" t="s">
        <v>45</v>
      </c>
      <c r="G7" s="17">
        <v>16.5</v>
      </c>
      <c r="H7" s="30">
        <f t="shared" si="0"/>
        <v>4.9371633752244168E-2</v>
      </c>
    </row>
    <row r="8" spans="1:8" x14ac:dyDescent="0.35">
      <c r="F8" s="16" t="s">
        <v>46</v>
      </c>
      <c r="G8" s="17">
        <v>17</v>
      </c>
      <c r="H8" s="30">
        <f t="shared" si="0"/>
        <v>5.0867743865948535E-2</v>
      </c>
    </row>
    <row r="9" spans="1:8" x14ac:dyDescent="0.35">
      <c r="F9" s="16" t="s">
        <v>47</v>
      </c>
      <c r="G9" s="17">
        <v>19</v>
      </c>
      <c r="H9" s="30">
        <f t="shared" si="0"/>
        <v>5.6852184320766011E-2</v>
      </c>
    </row>
    <row r="10" spans="1:8" x14ac:dyDescent="0.35">
      <c r="F10" s="16" t="s">
        <v>48</v>
      </c>
      <c r="G10" s="17">
        <v>19.2</v>
      </c>
      <c r="H10" s="30">
        <f t="shared" si="0"/>
        <v>5.7450628366247758E-2</v>
      </c>
    </row>
    <row r="11" spans="1:8" x14ac:dyDescent="0.35">
      <c r="F11" s="16" t="s">
        <v>49</v>
      </c>
      <c r="G11" s="17">
        <v>19.5</v>
      </c>
      <c r="H11" s="30">
        <f t="shared" si="0"/>
        <v>5.8348294434470378E-2</v>
      </c>
    </row>
    <row r="12" spans="1:8" x14ac:dyDescent="0.35">
      <c r="F12" s="16" t="s">
        <v>51</v>
      </c>
      <c r="G12" s="17">
        <v>19.5</v>
      </c>
      <c r="H12" s="30">
        <f t="shared" si="0"/>
        <v>5.8348294434470378E-2</v>
      </c>
    </row>
    <row r="13" spans="1:8" x14ac:dyDescent="0.35">
      <c r="F13" s="16" t="s">
        <v>50</v>
      </c>
      <c r="G13" s="17">
        <v>19.5</v>
      </c>
      <c r="H13" s="30">
        <f t="shared" si="0"/>
        <v>5.8348294434470378E-2</v>
      </c>
    </row>
    <row r="14" spans="1:8" x14ac:dyDescent="0.35">
      <c r="F14" s="16" t="s">
        <v>52</v>
      </c>
      <c r="G14" s="17">
        <v>23</v>
      </c>
      <c r="H14" s="30">
        <f t="shared" si="0"/>
        <v>6.8821065230400963E-2</v>
      </c>
    </row>
    <row r="15" spans="1:8" x14ac:dyDescent="0.35">
      <c r="F15" s="16" t="s">
        <v>53</v>
      </c>
      <c r="G15" s="17">
        <v>23.2</v>
      </c>
      <c r="H15" s="30">
        <f t="shared" si="0"/>
        <v>6.941950927588271E-2</v>
      </c>
    </row>
    <row r="16" spans="1:8" x14ac:dyDescent="0.35">
      <c r="F16" s="16" t="s">
        <v>54</v>
      </c>
      <c r="G16" s="17">
        <v>23.3</v>
      </c>
      <c r="H16" s="30">
        <f t="shared" si="0"/>
        <v>6.9718731298623576E-2</v>
      </c>
    </row>
    <row r="17" spans="6:10" x14ac:dyDescent="0.35">
      <c r="F17" s="16" t="s">
        <v>55</v>
      </c>
      <c r="G17" s="17">
        <v>26.5</v>
      </c>
      <c r="H17" s="30">
        <f t="shared" si="0"/>
        <v>7.9293836026331541E-2</v>
      </c>
      <c r="J17" s="14" t="s">
        <v>35</v>
      </c>
    </row>
    <row r="18" spans="6:10" x14ac:dyDescent="0.35">
      <c r="F18" s="16" t="s">
        <v>56</v>
      </c>
      <c r="G18" s="17">
        <v>30</v>
      </c>
      <c r="H18" s="30">
        <f t="shared" si="0"/>
        <v>8.9766606822262118E-2</v>
      </c>
    </row>
    <row r="19" spans="6:10" x14ac:dyDescent="0.35">
      <c r="F19" s="20" t="s">
        <v>32</v>
      </c>
      <c r="G19" s="21">
        <f>SUBTOTAL(109,Tableau2[th])</f>
        <v>334.2</v>
      </c>
      <c r="H19" s="38">
        <f>SUBTOTAL(109,Tableau2[QT])</f>
        <v>1.0000000000000002</v>
      </c>
    </row>
  </sheetData>
  <pageMargins left="0.7" right="0.7" top="0.75" bottom="0.75" header="0.3" footer="0.3"/>
  <pageSetup paperSize="11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2023-11-21T16:28:26Z</dcterms:created>
  <dcterms:modified xsi:type="dcterms:W3CDTF">2024-03-01T16:54:22Z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2024-02-14T18:34:18Z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28ed0f83-c97f-4715-acd3-2ea23a27de8b</vt:lpwstr>
  </property>
  <property fmtid="{D5CDD505-2E9C-101B-9397-08002B2CF9AE}" pid="8" name="MSIP_Label_2d26f538-337a-4593-a7e6-123667b1a538_ContentBits">
    <vt:lpwstr>0</vt:lpwstr>
  </property>
</Properties>
</file>