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1C9EA11B-47F3-4433-8549-AEC964644E0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ableau 1" sheetId="1" r:id="rId1"/>
    <sheet name="Tableau 2&amp;3" sheetId="2" r:id="rId2"/>
    <sheet name="Tableau 4&amp;5" sheetId="4" r:id="rId3"/>
    <sheet name="Tableau 6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2" l="1"/>
  <c r="D5" i="5"/>
  <c r="F12" i="5" l="1"/>
  <c r="F16" i="5"/>
  <c r="D23" i="2"/>
  <c r="D13" i="4"/>
  <c r="D15" i="4" s="1"/>
  <c r="D10" i="2"/>
  <c r="D6" i="2"/>
  <c r="D13" i="2" s="1"/>
  <c r="D20" i="2" l="1"/>
  <c r="D22" i="2" s="1"/>
  <c r="D17" i="4"/>
  <c r="F18" i="5"/>
  <c r="D24" i="2"/>
  <c r="D16" i="4"/>
  <c r="D6" i="4"/>
  <c r="D7" i="2"/>
  <c r="B26" i="2" l="1"/>
  <c r="F21" i="5"/>
  <c r="F23" i="5" s="1"/>
  <c r="F19" i="5"/>
  <c r="C19" i="4"/>
  <c r="B19" i="4"/>
  <c r="D14" i="2"/>
  <c r="D7" i="4"/>
  <c r="C26" i="2"/>
</calcChain>
</file>

<file path=xl/sharedStrings.xml><?xml version="1.0" encoding="utf-8"?>
<sst xmlns="http://schemas.openxmlformats.org/spreadsheetml/2006/main" count="178" uniqueCount="102">
  <si>
    <t>Cb Simulée par les Autos sur l'INFI 90 (Simon prendre la Cb de Primare :</t>
  </si>
  <si>
    <t>Cb RCP =</t>
  </si>
  <si>
    <t>ppm</t>
  </si>
  <si>
    <t>Cb Bâche REA Utilisé :</t>
  </si>
  <si>
    <t>Cb REA =</t>
  </si>
  <si>
    <t>Cb Bâche PTR :</t>
  </si>
  <si>
    <t>Cb PTR i =</t>
  </si>
  <si>
    <t>Volume Bâche REA :</t>
  </si>
  <si>
    <t>REA</t>
  </si>
  <si>
    <t>BA</t>
  </si>
  <si>
    <r>
      <t>m</t>
    </r>
    <r>
      <rPr>
        <vertAlign val="superscript"/>
        <sz val="14"/>
        <color theme="1"/>
        <rFont val="Bahnschrift"/>
        <family val="2"/>
      </rPr>
      <t>3</t>
    </r>
  </si>
  <si>
    <t>Volume Bâche PTR (Moyenne des 4 Niveaux) :</t>
  </si>
  <si>
    <t>V PTR i =</t>
  </si>
  <si>
    <t>REA 003 QD =</t>
  </si>
  <si>
    <t>ou</t>
  </si>
  <si>
    <t>REA 004 QD =</t>
  </si>
  <si>
    <t>REA 001 QD =</t>
  </si>
  <si>
    <t>hl</t>
  </si>
  <si>
    <t>Compteur Volume d'Eau Initial (V Eau i) [Selon les Tranches] :</t>
  </si>
  <si>
    <t>REA 401 QD =</t>
  </si>
  <si>
    <t>REA402 QD =</t>
  </si>
  <si>
    <t>l</t>
  </si>
  <si>
    <t>Consigne de Débit d'Eau :</t>
  </si>
  <si>
    <t>REA 001 RC =</t>
  </si>
  <si>
    <r>
      <t>m</t>
    </r>
    <r>
      <rPr>
        <vertAlign val="superscript"/>
        <sz val="14"/>
        <color theme="1"/>
        <rFont val="Bahnschrift"/>
        <family val="2"/>
      </rPr>
      <t>3</t>
    </r>
    <r>
      <rPr>
        <sz val="14"/>
        <color theme="1"/>
        <rFont val="Bahnschrift"/>
        <family val="2"/>
      </rPr>
      <t>/h</t>
    </r>
  </si>
  <si>
    <t>Consigne de Débit de Bore :</t>
  </si>
  <si>
    <t>REA 401 RC =</t>
  </si>
  <si>
    <t>(A) PREPARATION DE L'ESSAI</t>
  </si>
  <si>
    <t>Tableau 1</t>
  </si>
  <si>
    <t>Reprendre l'Essai</t>
  </si>
  <si>
    <t>(B2)</t>
  </si>
  <si>
    <t>Tableau 2</t>
  </si>
  <si>
    <t>Calculer A = 3,2% de la Cb RCP :</t>
  </si>
  <si>
    <t>A =</t>
  </si>
  <si>
    <t>Calculer les Valeurs de la Plage de Blocage de l'Appoint :</t>
  </si>
  <si>
    <t>Cb Maxi = Cb RCP -200 + A :</t>
  </si>
  <si>
    <t>Cb Maxi =</t>
  </si>
  <si>
    <t>Cb Mini= Cb RCP -200 - A :</t>
  </si>
  <si>
    <t>Cb Mini =</t>
  </si>
  <si>
    <t>Calculer la valeur de la Consigne de Débit Bore pour obtenir une</t>
  </si>
  <si>
    <t>QBore 1 =</t>
  </si>
  <si>
    <t>Calculer les Consignes de Débit d'Eau correspondant aux Cb de la Plage</t>
  </si>
  <si>
    <t>d'Appoint égale à la Cb Primaire QBore 1 :</t>
  </si>
  <si>
    <t>QBore 1 = (Cb RCP * 20) / (CB REA - CB RCP)</t>
  </si>
  <si>
    <t>QEau Mini = [(Cb REA - CB Maxi) * Qbore 1] / CB Maxi</t>
  </si>
  <si>
    <t>QEau Mini =</t>
  </si>
  <si>
    <t>QEau Maxi =</t>
  </si>
  <si>
    <t>Tableau 3</t>
  </si>
  <si>
    <t>Noter la Valeur de la Consigne d'Eau correspondant au Verrouillage</t>
  </si>
  <si>
    <t>de l'Appoint "MANU" :</t>
  </si>
  <si>
    <t>QEau 1 =</t>
  </si>
  <si>
    <t>Cb Calculée =</t>
  </si>
  <si>
    <t>QEau Maxi = [(Cb REA - CB Mini) * Qbore 1] / CB Mini</t>
  </si>
  <si>
    <t>Cb Calculée = (CB REA * Qbore 1) / (QEau1 + QBore 1)</t>
  </si>
  <si>
    <t>Calculer les Valeurs du Contrôle de Blocage :</t>
  </si>
  <si>
    <t>Cb RCP - Cb Calculée =</t>
  </si>
  <si>
    <t>X = 200 -A</t>
  </si>
  <si>
    <t>Y = 200 +A</t>
  </si>
  <si>
    <t>X =</t>
  </si>
  <si>
    <t>Y =</t>
  </si>
  <si>
    <t>Contrôler que X ≤ [Cb RCP - Cb Calculée]  ≤ Y avec</t>
  </si>
  <si>
    <t>X = 200 ppm - 3,2%</t>
  </si>
  <si>
    <t>Y = 200 pmm +3,2%</t>
  </si>
  <si>
    <t>de la Valeur Moyenne de la Cb RCP</t>
  </si>
  <si>
    <t>(B3)</t>
  </si>
  <si>
    <t>Tableau 4</t>
  </si>
  <si>
    <t>Calculer les Consignes de Débit de Bore correspondant aux Cb</t>
  </si>
  <si>
    <t>de la Plage de Blocage de l'Appoint "MANU" :</t>
  </si>
  <si>
    <t>de Blocage de l'Appoint "Manu" :</t>
  </si>
  <si>
    <t>QBore Maxi = (CbMaxi * 20) / (Cb REA - Cb Maxi)</t>
  </si>
  <si>
    <t>QBore Maxi =</t>
  </si>
  <si>
    <t>QBore Mini = (CbMini * 20) / (Cb REA - Cb Mini)</t>
  </si>
  <si>
    <t>QBore Mini =</t>
  </si>
  <si>
    <t>Tableau 5</t>
  </si>
  <si>
    <t>Noter la Valeur de la Consigne de Bore correspondant au Verrouillage</t>
  </si>
  <si>
    <t>Calculer la Cb Théorique de l'Appoint :</t>
  </si>
  <si>
    <t>Cb Calculée = (CB REA * QBore 2) / (20 + QBore 2)</t>
  </si>
  <si>
    <t>²</t>
  </si>
  <si>
    <t>QBore 2 =</t>
  </si>
  <si>
    <t>Tableau 6</t>
  </si>
  <si>
    <t>REMISE EN CONFIGURATION INITIALE</t>
  </si>
  <si>
    <t>Cb Primaire</t>
  </si>
  <si>
    <t>V PTR f =</t>
  </si>
  <si>
    <t>Compteur Volume d'Eau Initial (V Eau f) [Selon les Tranches] :</t>
  </si>
  <si>
    <r>
      <t xml:space="preserve">Calculer le </t>
    </r>
    <r>
      <rPr>
        <sz val="14"/>
        <color theme="1"/>
        <rFont val="Calibri"/>
        <family val="2"/>
      </rPr>
      <t>∆</t>
    </r>
    <r>
      <rPr>
        <sz val="14"/>
        <color theme="1"/>
        <rFont val="Bahnschrift"/>
        <family val="2"/>
      </rPr>
      <t xml:space="preserve"> Volume d'Eau = VEau f - VEau i</t>
    </r>
  </si>
  <si>
    <t>Compteur Volume de Bore Initial (VBore i)[Selon les Sites] :</t>
  </si>
  <si>
    <t>Compteur Volume de Bore Initial (VBore f)[Selon les Sites] :</t>
  </si>
  <si>
    <r>
      <t xml:space="preserve">Calculer le </t>
    </r>
    <r>
      <rPr>
        <sz val="14"/>
        <color theme="1"/>
        <rFont val="Calibri"/>
        <family val="2"/>
      </rPr>
      <t>∆</t>
    </r>
    <r>
      <rPr>
        <sz val="14"/>
        <color theme="1"/>
        <rFont val="Bahnschrift"/>
        <family val="2"/>
      </rPr>
      <t xml:space="preserve"> Volume de Bore = VBore f - VBore i</t>
    </r>
  </si>
  <si>
    <t>Calculer le Volume Total de l'Appoint :</t>
  </si>
  <si>
    <t>∆ Volume Bore =</t>
  </si>
  <si>
    <t>∆ Volume Eau =</t>
  </si>
  <si>
    <t>Calculer la Cb de l'Appoint effectué :</t>
  </si>
  <si>
    <t>Cb App =</t>
  </si>
  <si>
    <t>Calculer la Cb de la Bâche PTR après l'essai :</t>
  </si>
  <si>
    <t>Cb App = (Cb REA * ∆ Volume Bore) / V Total</t>
  </si>
  <si>
    <t>V Total =</t>
  </si>
  <si>
    <t>V Total = ∆ Volume Eau + ∆ Volume Bore</t>
  </si>
  <si>
    <t>Cb PTR Calculée =</t>
  </si>
  <si>
    <t>Cb PTR f = [(Cb PTR i * V PTR i) + (Cb App * V Total)] / V PTR f</t>
  </si>
  <si>
    <t>004</t>
  </si>
  <si>
    <t>Valeur à saisir</t>
  </si>
  <si>
    <t>Calcul automatique (Cellule verrouillée)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</si>
</sst>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vertAlign val="superscript"/>
      <sz val="14"/>
      <color theme="1"/>
      <name val="Bahnschrift"/>
      <family val="2"/>
    </font>
    <font>
      <b/>
      <sz val="14"/>
      <color rgb="FFFF0000"/>
      <name val="Bahnschrift"/>
      <family val="2"/>
    </font>
    <font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2" borderId="4" xfId="0" applyFont="1" applyFill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2" borderId="6" xfId="0" applyFont="1" applyFill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Border="1"/>
    <xf numFmtId="0" fontId="1" fillId="0" borderId="9" xfId="0" applyFont="1" applyBorder="1"/>
    <xf numFmtId="0" fontId="2" fillId="2" borderId="0" xfId="0" applyFont="1" applyFill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2" fillId="2" borderId="11" xfId="0" applyFont="1" applyFill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2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2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2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4" xfId="0" applyFont="1" applyBorder="1"/>
    <xf numFmtId="0" fontId="2" fillId="3" borderId="4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2" fontId="2" fillId="3" borderId="11" xfId="0" applyNumberFormat="1" applyFont="1" applyFill="1" applyBorder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0" fontId="1" fillId="0" borderId="14" xfId="0" applyFont="1" applyBorder="1"/>
    <xf numFmtId="0" fontId="1" fillId="0" borderId="23" xfId="0" applyFont="1" applyBorder="1"/>
    <xf numFmtId="0" fontId="1" fillId="0" borderId="17" xfId="0" applyFont="1" applyBorder="1"/>
    <xf numFmtId="0" fontId="4" fillId="3" borderId="2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164" fontId="2" fillId="3" borderId="11" xfId="0" applyNumberFormat="1" applyFont="1" applyFill="1" applyBorder="1" applyAlignment="1">
      <alignment horizontal="center"/>
    </xf>
    <xf numFmtId="0" fontId="2" fillId="0" borderId="14" xfId="0" quotePrefix="1" applyFont="1" applyBorder="1"/>
    <xf numFmtId="0" fontId="2" fillId="3" borderId="6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2" fontId="1" fillId="0" borderId="10" xfId="0" applyNumberFormat="1" applyFont="1" applyBorder="1"/>
    <xf numFmtId="2" fontId="1" fillId="0" borderId="11" xfId="0" applyNumberFormat="1" applyFont="1" applyBorder="1"/>
    <xf numFmtId="0" fontId="2" fillId="2" borderId="4" xfId="0" quotePrefix="1" applyFont="1" applyFill="1" applyBorder="1" applyAlignment="1">
      <alignment horizontal="center"/>
    </xf>
    <xf numFmtId="0" fontId="1" fillId="0" borderId="25" xfId="0" applyFont="1" applyBorder="1"/>
    <xf numFmtId="164" fontId="2" fillId="2" borderId="11" xfId="0" applyNumberFormat="1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11" xfId="0" applyFont="1" applyFill="1" applyBorder="1" applyAlignment="1" applyProtection="1">
      <alignment horizontal="center"/>
      <protection locked="0"/>
    </xf>
    <xf numFmtId="0" fontId="1" fillId="3" borderId="0" xfId="0" applyFont="1" applyFill="1"/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3848100</xdr:colOff>
          <xdr:row>19</xdr:row>
          <xdr:rowOff>215900</xdr:rowOff>
        </xdr:from>
        <xdr:to>
          <xdr:col>1</xdr:col>
          <xdr:colOff>5410200</xdr:colOff>
          <xdr:row>21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feuille EPC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2"/>
  <sheetViews>
    <sheetView tabSelected="1" topLeftCell="A8" workbookViewId="0">
      <selection activeCell="F4" sqref="F4"/>
    </sheetView>
  </sheetViews>
  <sheetFormatPr baseColWidth="10" defaultColWidth="11.453125" defaultRowHeight="17.5" x14ac:dyDescent="0.35"/>
  <cols>
    <col min="1" max="1" width="11.453125" style="1"/>
    <col min="2" max="2" width="91.26953125" style="1" bestFit="1" customWidth="1"/>
    <col min="3" max="3" width="6.26953125" style="1" bestFit="1" customWidth="1"/>
    <col min="4" max="4" width="10.1796875" style="1" customWidth="1"/>
    <col min="5" max="5" width="4.7265625" style="1" bestFit="1" customWidth="1"/>
    <col min="6" max="6" width="11.453125" style="1"/>
    <col min="7" max="7" width="7.1796875" style="30" bestFit="1" customWidth="1"/>
    <col min="8" max="16384" width="11.453125" style="1"/>
  </cols>
  <sheetData>
    <row r="1" spans="2:7" ht="18" thickBot="1" x14ac:dyDescent="0.4"/>
    <row r="2" spans="2:7" x14ac:dyDescent="0.35">
      <c r="B2" s="19" t="s">
        <v>27</v>
      </c>
      <c r="C2" s="20"/>
      <c r="D2" s="20"/>
      <c r="E2" s="20"/>
      <c r="F2" s="20"/>
      <c r="G2" s="31"/>
    </row>
    <row r="3" spans="2:7" ht="18" thickBot="1" x14ac:dyDescent="0.4">
      <c r="B3" s="22" t="s">
        <v>28</v>
      </c>
      <c r="C3" s="23"/>
      <c r="D3" s="23"/>
      <c r="E3" s="23"/>
      <c r="F3" s="23"/>
      <c r="G3" s="32"/>
    </row>
    <row r="4" spans="2:7" x14ac:dyDescent="0.35">
      <c r="B4" s="18" t="s">
        <v>0</v>
      </c>
      <c r="C4" s="18" t="s">
        <v>1</v>
      </c>
      <c r="D4" s="14"/>
      <c r="E4" s="15"/>
      <c r="F4" s="53">
        <v>1847</v>
      </c>
      <c r="G4" s="37" t="s">
        <v>2</v>
      </c>
    </row>
    <row r="5" spans="2:7" x14ac:dyDescent="0.35">
      <c r="B5" s="2" t="s">
        <v>3</v>
      </c>
      <c r="C5" s="2" t="s">
        <v>4</v>
      </c>
      <c r="D5" s="3"/>
      <c r="E5" s="5"/>
      <c r="F5" s="4">
        <v>7983</v>
      </c>
      <c r="G5" s="38" t="s">
        <v>2</v>
      </c>
    </row>
    <row r="6" spans="2:7" x14ac:dyDescent="0.35">
      <c r="B6" s="2" t="s">
        <v>5</v>
      </c>
      <c r="C6" s="2" t="s">
        <v>6</v>
      </c>
      <c r="D6" s="3"/>
      <c r="E6" s="5"/>
      <c r="F6" s="4">
        <v>2993</v>
      </c>
      <c r="G6" s="38" t="s">
        <v>2</v>
      </c>
    </row>
    <row r="7" spans="2:7" ht="20" x14ac:dyDescent="0.35">
      <c r="B7" s="2" t="s">
        <v>7</v>
      </c>
      <c r="C7" s="3" t="s">
        <v>8</v>
      </c>
      <c r="D7" s="56" t="s">
        <v>99</v>
      </c>
      <c r="E7" s="5" t="s">
        <v>9</v>
      </c>
      <c r="F7" s="4">
        <v>58.9</v>
      </c>
      <c r="G7" s="38" t="s">
        <v>10</v>
      </c>
    </row>
    <row r="8" spans="2:7" ht="20" x14ac:dyDescent="0.35">
      <c r="B8" s="2" t="s">
        <v>11</v>
      </c>
      <c r="C8" s="3" t="s">
        <v>12</v>
      </c>
      <c r="D8" s="5"/>
      <c r="E8" s="5"/>
      <c r="F8" s="4">
        <v>1700</v>
      </c>
      <c r="G8" s="38" t="s">
        <v>10</v>
      </c>
    </row>
    <row r="9" spans="2:7" x14ac:dyDescent="0.35">
      <c r="B9" s="67" t="s">
        <v>18</v>
      </c>
      <c r="C9" s="7" t="s">
        <v>13</v>
      </c>
      <c r="D9" s="7"/>
      <c r="E9" s="7"/>
      <c r="F9" s="8"/>
      <c r="G9" s="35" t="s">
        <v>17</v>
      </c>
    </row>
    <row r="10" spans="2:7" x14ac:dyDescent="0.35">
      <c r="B10" s="68"/>
      <c r="C10" s="66" t="s">
        <v>14</v>
      </c>
      <c r="D10" s="66"/>
      <c r="E10" s="11"/>
      <c r="F10" s="11"/>
      <c r="G10" s="36"/>
    </row>
    <row r="11" spans="2:7" x14ac:dyDescent="0.35">
      <c r="B11" s="68"/>
      <c r="C11" s="11" t="s">
        <v>15</v>
      </c>
      <c r="D11" s="11"/>
      <c r="E11" s="11"/>
      <c r="F11" s="13">
        <v>36350</v>
      </c>
      <c r="G11" s="36" t="s">
        <v>17</v>
      </c>
    </row>
    <row r="12" spans="2:7" x14ac:dyDescent="0.35">
      <c r="B12" s="68"/>
      <c r="C12" s="66" t="s">
        <v>14</v>
      </c>
      <c r="D12" s="66"/>
      <c r="E12" s="11"/>
      <c r="F12" s="11"/>
      <c r="G12" s="36"/>
    </row>
    <row r="13" spans="2:7" ht="20" x14ac:dyDescent="0.35">
      <c r="B13" s="69"/>
      <c r="C13" s="15" t="s">
        <v>16</v>
      </c>
      <c r="D13" s="15"/>
      <c r="E13" s="15"/>
      <c r="F13" s="16"/>
      <c r="G13" s="37" t="s">
        <v>10</v>
      </c>
    </row>
    <row r="14" spans="2:7" x14ac:dyDescent="0.35">
      <c r="B14" s="6"/>
      <c r="C14" s="7" t="s">
        <v>19</v>
      </c>
      <c r="D14" s="7"/>
      <c r="E14" s="7"/>
      <c r="F14" s="8"/>
      <c r="G14" s="35" t="s">
        <v>21</v>
      </c>
    </row>
    <row r="15" spans="2:7" x14ac:dyDescent="0.35">
      <c r="B15" s="10" t="s">
        <v>85</v>
      </c>
      <c r="C15" s="66" t="s">
        <v>14</v>
      </c>
      <c r="D15" s="66"/>
      <c r="E15" s="11"/>
      <c r="F15" s="11"/>
      <c r="G15" s="36"/>
    </row>
    <row r="16" spans="2:7" x14ac:dyDescent="0.35">
      <c r="B16" s="14"/>
      <c r="C16" s="15" t="s">
        <v>20</v>
      </c>
      <c r="D16" s="15"/>
      <c r="E16" s="15"/>
      <c r="F16" s="16">
        <v>691735</v>
      </c>
      <c r="G16" s="37" t="s">
        <v>21</v>
      </c>
    </row>
    <row r="17" spans="1:7" ht="20" x14ac:dyDescent="0.35">
      <c r="B17" s="3" t="s">
        <v>22</v>
      </c>
      <c r="C17" s="5" t="s">
        <v>23</v>
      </c>
      <c r="D17" s="5"/>
      <c r="E17" s="5"/>
      <c r="F17" s="4">
        <v>20</v>
      </c>
      <c r="G17" s="38" t="s">
        <v>24</v>
      </c>
    </row>
    <row r="18" spans="1:7" ht="20.5" thickBot="1" x14ac:dyDescent="0.4">
      <c r="B18" s="6" t="s">
        <v>25</v>
      </c>
      <c r="C18" s="7" t="s">
        <v>26</v>
      </c>
      <c r="D18" s="7"/>
      <c r="E18" s="7"/>
      <c r="F18" s="8">
        <v>6</v>
      </c>
      <c r="G18" s="35" t="s">
        <v>24</v>
      </c>
    </row>
    <row r="19" spans="1:7" ht="18" thickBot="1" x14ac:dyDescent="0.4">
      <c r="B19" s="25" t="s">
        <v>29</v>
      </c>
      <c r="C19" s="26"/>
      <c r="D19" s="26"/>
      <c r="E19" s="26"/>
      <c r="F19" s="26"/>
      <c r="G19" s="39"/>
    </row>
    <row r="21" spans="1:7" x14ac:dyDescent="0.35">
      <c r="A21" s="13"/>
      <c r="B21" s="1" t="s">
        <v>100</v>
      </c>
    </row>
    <row r="22" spans="1:7" x14ac:dyDescent="0.35">
      <c r="A22" s="65"/>
      <c r="B22" s="1" t="s">
        <v>101</v>
      </c>
    </row>
  </sheetData>
  <mergeCells count="4">
    <mergeCell ref="C10:D10"/>
    <mergeCell ref="C12:D12"/>
    <mergeCell ref="B9:B13"/>
    <mergeCell ref="C15:D15"/>
  </mergeCells>
  <pageMargins left="0.7" right="0.7" top="0.75" bottom="0.75" header="0.3" footer="0.3"/>
  <pageSetup paperSize="9" orientation="portrait" r:id="rId1"/>
  <ignoredErrors>
    <ignoredError sqref="D7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lance_USF1">
                <anchor moveWithCells="1" sizeWithCells="1">
                  <from>
                    <xdr:col>1</xdr:col>
                    <xdr:colOff>3848100</xdr:colOff>
                    <xdr:row>19</xdr:row>
                    <xdr:rowOff>215900</xdr:rowOff>
                  </from>
                  <to>
                    <xdr:col>1</xdr:col>
                    <xdr:colOff>5410200</xdr:colOff>
                    <xdr:row>21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33"/>
  <sheetViews>
    <sheetView topLeftCell="A10" workbookViewId="0">
      <selection activeCell="D18" sqref="D18"/>
    </sheetView>
  </sheetViews>
  <sheetFormatPr baseColWidth="10" defaultRowHeight="14.5" x14ac:dyDescent="0.35"/>
  <cols>
    <col min="2" max="2" width="90.54296875" bestFit="1" customWidth="1"/>
    <col min="3" max="3" width="16" bestFit="1" customWidth="1"/>
    <col min="4" max="4" width="10" bestFit="1" customWidth="1"/>
    <col min="5" max="5" width="7.1796875" bestFit="1" customWidth="1"/>
  </cols>
  <sheetData>
    <row r="1" spans="2:5" ht="15" thickBot="1" x14ac:dyDescent="0.4"/>
    <row r="2" spans="2:5" ht="17.5" x14ac:dyDescent="0.35">
      <c r="B2" s="19" t="s">
        <v>30</v>
      </c>
      <c r="C2" s="20"/>
      <c r="D2" s="20"/>
      <c r="E2" s="31"/>
    </row>
    <row r="3" spans="2:5" ht="18" thickBot="1" x14ac:dyDescent="0.4">
      <c r="B3" s="22" t="s">
        <v>31</v>
      </c>
      <c r="C3" s="23"/>
      <c r="D3" s="23"/>
      <c r="E3" s="32"/>
    </row>
    <row r="4" spans="2:5" ht="17.5" x14ac:dyDescent="0.35">
      <c r="B4" s="14" t="s">
        <v>32</v>
      </c>
      <c r="C4" s="15" t="s">
        <v>33</v>
      </c>
      <c r="D4" s="41">
        <f>(3.2*'Tableau 1'!F4)/100</f>
        <v>59.104000000000006</v>
      </c>
      <c r="E4" s="37" t="s">
        <v>2</v>
      </c>
    </row>
    <row r="5" spans="2:5" ht="17.5" x14ac:dyDescent="0.35">
      <c r="B5" s="6" t="s">
        <v>34</v>
      </c>
      <c r="C5" s="7"/>
      <c r="D5" s="7"/>
      <c r="E5" s="35"/>
    </row>
    <row r="6" spans="2:5" ht="17.5" x14ac:dyDescent="0.35">
      <c r="B6" s="10" t="s">
        <v>35</v>
      </c>
      <c r="C6" s="11" t="s">
        <v>36</v>
      </c>
      <c r="D6" s="40">
        <f>'Tableau 1'!F4-200+D4</f>
        <v>1706.104</v>
      </c>
      <c r="E6" s="38" t="s">
        <v>2</v>
      </c>
    </row>
    <row r="7" spans="2:5" ht="17.5" x14ac:dyDescent="0.35">
      <c r="B7" s="14" t="s">
        <v>37</v>
      </c>
      <c r="C7" s="15" t="s">
        <v>38</v>
      </c>
      <c r="D7" s="41">
        <f>'Tableau 1'!F4-200-D4</f>
        <v>1587.896</v>
      </c>
      <c r="E7" s="38" t="s">
        <v>2</v>
      </c>
    </row>
    <row r="8" spans="2:5" ht="17.5" x14ac:dyDescent="0.35">
      <c r="B8" s="6" t="s">
        <v>39</v>
      </c>
      <c r="C8" s="7"/>
      <c r="D8" s="7"/>
      <c r="E8" s="35"/>
    </row>
    <row r="9" spans="2:5" ht="17.5" x14ac:dyDescent="0.35">
      <c r="B9" s="10" t="s">
        <v>42</v>
      </c>
      <c r="C9" s="11"/>
      <c r="D9" s="11"/>
      <c r="E9" s="36"/>
    </row>
    <row r="10" spans="2:5" ht="20" x14ac:dyDescent="0.35">
      <c r="B10" s="14" t="s">
        <v>43</v>
      </c>
      <c r="C10" s="15" t="s">
        <v>40</v>
      </c>
      <c r="D10" s="41">
        <f>('Tableau 1'!F4*20)/('Tableau 1'!F5-'Tableau 1'!F4)</f>
        <v>6.0202086049543677</v>
      </c>
      <c r="E10" s="37" t="s">
        <v>24</v>
      </c>
    </row>
    <row r="11" spans="2:5" ht="17.5" x14ac:dyDescent="0.35">
      <c r="B11" s="6" t="s">
        <v>41</v>
      </c>
      <c r="C11" s="7"/>
      <c r="D11" s="7"/>
      <c r="E11" s="35"/>
    </row>
    <row r="12" spans="2:5" ht="17.5" x14ac:dyDescent="0.35">
      <c r="B12" s="10" t="s">
        <v>68</v>
      </c>
      <c r="C12" s="11"/>
      <c r="D12" s="11"/>
      <c r="E12" s="36"/>
    </row>
    <row r="13" spans="2:5" ht="20" x14ac:dyDescent="0.35">
      <c r="B13" s="10" t="s">
        <v>44</v>
      </c>
      <c r="C13" s="11" t="s">
        <v>45</v>
      </c>
      <c r="D13" s="42">
        <f>(('Tableau 1'!F5-D6)*D10)/D6</f>
        <v>22.148839292096877</v>
      </c>
      <c r="E13" s="36" t="s">
        <v>24</v>
      </c>
    </row>
    <row r="14" spans="2:5" ht="20.5" thickBot="1" x14ac:dyDescent="0.4">
      <c r="B14" s="14" t="s">
        <v>52</v>
      </c>
      <c r="C14" s="15" t="s">
        <v>46</v>
      </c>
      <c r="D14" s="43">
        <f>(('Tableau 1'!F5-D7)*D10)/D7</f>
        <v>24.245832302857426</v>
      </c>
      <c r="E14" s="37" t="s">
        <v>24</v>
      </c>
    </row>
    <row r="15" spans="2:5" ht="18" thickBot="1" x14ac:dyDescent="0.4">
      <c r="B15" s="25" t="s">
        <v>29</v>
      </c>
      <c r="C15" s="26"/>
      <c r="D15" s="26"/>
      <c r="E15" s="39"/>
    </row>
    <row r="16" spans="2:5" s="1" customFormat="1" ht="17.5" x14ac:dyDescent="0.35">
      <c r="B16" s="19" t="s">
        <v>47</v>
      </c>
      <c r="C16" s="20"/>
      <c r="D16" s="20"/>
      <c r="E16" s="21"/>
    </row>
    <row r="17" spans="1:7" s="1" customFormat="1" ht="17.5" x14ac:dyDescent="0.35">
      <c r="B17" s="6" t="s">
        <v>48</v>
      </c>
      <c r="C17" s="7"/>
      <c r="D17" s="7"/>
      <c r="E17" s="9"/>
    </row>
    <row r="18" spans="1:7" s="1" customFormat="1" ht="20" x14ac:dyDescent="0.35">
      <c r="B18" s="14" t="s">
        <v>49</v>
      </c>
      <c r="C18" s="15" t="s">
        <v>50</v>
      </c>
      <c r="D18" s="58">
        <v>23.6</v>
      </c>
      <c r="E18" s="37" t="s">
        <v>24</v>
      </c>
    </row>
    <row r="19" spans="1:7" s="1" customFormat="1" ht="17.5" x14ac:dyDescent="0.35">
      <c r="B19" s="6" t="s">
        <v>75</v>
      </c>
      <c r="C19" s="7"/>
      <c r="D19" s="7"/>
      <c r="E19" s="9"/>
    </row>
    <row r="20" spans="1:7" s="1" customFormat="1" ht="17.5" x14ac:dyDescent="0.35">
      <c r="B20" s="14" t="s">
        <v>53</v>
      </c>
      <c r="C20" s="15" t="s">
        <v>51</v>
      </c>
      <c r="D20" s="50">
        <f>('Tableau 1'!F5*'Tableau 2&amp;3'!D10)/('Tableau 2&amp;3'!D10+'Tableau 2&amp;3'!D18)</f>
        <v>1622.5181238363109</v>
      </c>
      <c r="E20" s="17" t="s">
        <v>2</v>
      </c>
    </row>
    <row r="21" spans="1:7" s="1" customFormat="1" ht="17.5" x14ac:dyDescent="0.35">
      <c r="B21" s="6" t="s">
        <v>54</v>
      </c>
      <c r="C21" s="7"/>
      <c r="D21" s="7"/>
      <c r="E21" s="9"/>
    </row>
    <row r="22" spans="1:7" s="1" customFormat="1" ht="17.5" x14ac:dyDescent="0.35">
      <c r="B22" s="10" t="s">
        <v>55</v>
      </c>
      <c r="C22" s="11"/>
      <c r="D22" s="44">
        <f>'Tableau 1'!$F$4-'Tableau 2&amp;3'!D20</f>
        <v>224.48187616368909</v>
      </c>
      <c r="E22" s="36" t="s">
        <v>2</v>
      </c>
    </row>
    <row r="23" spans="1:7" s="1" customFormat="1" ht="17.5" x14ac:dyDescent="0.35">
      <c r="B23" s="10" t="s">
        <v>56</v>
      </c>
      <c r="C23" s="11" t="s">
        <v>58</v>
      </c>
      <c r="D23" s="40">
        <f>200-'Tableau 2&amp;3'!$D$4</f>
        <v>140.89599999999999</v>
      </c>
      <c r="E23" s="36"/>
    </row>
    <row r="24" spans="1:7" s="1" customFormat="1" ht="18" thickBot="1" x14ac:dyDescent="0.4">
      <c r="B24" s="10" t="s">
        <v>57</v>
      </c>
      <c r="C24" s="11" t="s">
        <v>59</v>
      </c>
      <c r="D24" s="40">
        <f>200+'Tableau 2&amp;3'!$D$4</f>
        <v>259.10399999999998</v>
      </c>
      <c r="E24" s="36"/>
    </row>
    <row r="25" spans="1:7" s="1" customFormat="1" ht="17.5" x14ac:dyDescent="0.35">
      <c r="B25" s="45" t="s">
        <v>60</v>
      </c>
      <c r="C25" s="20"/>
      <c r="D25" s="20"/>
      <c r="E25" s="21"/>
    </row>
    <row r="26" spans="1:7" s="1" customFormat="1" ht="17.5" x14ac:dyDescent="0.35">
      <c r="B26" s="48" t="str">
        <f>D23&amp;" ppm"&amp;"  ≤ "&amp;ROUND(D22,1)&amp;" ppm"&amp;"  ≤ "&amp;D24&amp;" ppm"</f>
        <v>140,896 ppm  ≤ 224,5 ppm  ≤ 259,104 ppm</v>
      </c>
      <c r="C26" s="70" t="str">
        <f>IF(AND(D22&gt;=D23,D22&lt;=D24),"OK","Pas OK")</f>
        <v>OK</v>
      </c>
      <c r="D26" s="70"/>
      <c r="E26" s="71"/>
    </row>
    <row r="27" spans="1:7" s="1" customFormat="1" ht="17.5" x14ac:dyDescent="0.35">
      <c r="B27" s="46" t="s">
        <v>61</v>
      </c>
      <c r="C27" s="11"/>
      <c r="D27" s="11"/>
      <c r="E27" s="28"/>
    </row>
    <row r="28" spans="1:7" s="1" customFormat="1" ht="17.5" x14ac:dyDescent="0.35">
      <c r="B28" s="46" t="s">
        <v>62</v>
      </c>
      <c r="C28" s="11"/>
      <c r="D28" s="11"/>
      <c r="E28" s="28"/>
    </row>
    <row r="29" spans="1:7" s="1" customFormat="1" ht="18" thickBot="1" x14ac:dyDescent="0.4">
      <c r="B29" s="47" t="s">
        <v>63</v>
      </c>
      <c r="C29" s="23"/>
      <c r="D29" s="23"/>
      <c r="E29" s="24"/>
    </row>
    <row r="30" spans="1:7" ht="18" thickBot="1" x14ac:dyDescent="0.4">
      <c r="B30" s="25" t="s">
        <v>29</v>
      </c>
      <c r="C30" s="26"/>
      <c r="D30" s="26"/>
      <c r="E30" s="39"/>
    </row>
    <row r="32" spans="1:7" s="1" customFormat="1" ht="17.5" x14ac:dyDescent="0.35">
      <c r="A32" s="13"/>
      <c r="B32" s="1" t="s">
        <v>100</v>
      </c>
      <c r="G32" s="30"/>
    </row>
    <row r="33" spans="1:7" s="1" customFormat="1" ht="17.5" x14ac:dyDescent="0.35">
      <c r="A33" s="65"/>
      <c r="B33" s="1" t="s">
        <v>101</v>
      </c>
      <c r="G33" s="30"/>
    </row>
  </sheetData>
  <sheetProtection sheet="1" objects="1" scenarios="1" selectLockedCells="1"/>
  <mergeCells count="1">
    <mergeCell ref="C26:E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6"/>
  <sheetViews>
    <sheetView workbookViewId="0">
      <selection activeCell="D11" sqref="D11"/>
    </sheetView>
  </sheetViews>
  <sheetFormatPr baseColWidth="10" defaultColWidth="11.453125" defaultRowHeight="17.5" x14ac:dyDescent="0.35"/>
  <cols>
    <col min="1" max="1" width="11.453125" style="1"/>
    <col min="2" max="2" width="88" style="1" bestFit="1" customWidth="1"/>
    <col min="3" max="3" width="17.26953125" style="1" bestFit="1" customWidth="1"/>
    <col min="4" max="4" width="11.81640625" style="1" bestFit="1" customWidth="1"/>
    <col min="5" max="16384" width="11.453125" style="1"/>
  </cols>
  <sheetData>
    <row r="1" spans="1:5" ht="18" thickBot="1" x14ac:dyDescent="0.4"/>
    <row r="2" spans="1:5" x14ac:dyDescent="0.35">
      <c r="B2" s="19" t="s">
        <v>64</v>
      </c>
      <c r="C2" s="20"/>
      <c r="D2" s="20"/>
      <c r="E2" s="31"/>
    </row>
    <row r="3" spans="1:5" ht="18" thickBot="1" x14ac:dyDescent="0.4">
      <c r="B3" s="22" t="s">
        <v>65</v>
      </c>
      <c r="C3" s="23"/>
      <c r="D3" s="23"/>
      <c r="E3" s="32"/>
    </row>
    <row r="4" spans="1:5" x14ac:dyDescent="0.35">
      <c r="B4" s="10" t="s">
        <v>66</v>
      </c>
      <c r="C4" s="11"/>
      <c r="D4" s="11"/>
      <c r="E4" s="12"/>
    </row>
    <row r="5" spans="1:5" x14ac:dyDescent="0.35">
      <c r="B5" s="10" t="s">
        <v>67</v>
      </c>
      <c r="C5" s="11"/>
      <c r="D5" s="11"/>
      <c r="E5" s="12"/>
    </row>
    <row r="6" spans="1:5" ht="20" x14ac:dyDescent="0.35">
      <c r="B6" s="10" t="s">
        <v>69</v>
      </c>
      <c r="C6" s="11" t="s">
        <v>70</v>
      </c>
      <c r="D6" s="42">
        <f>('Tableau 2&amp;3'!D6*20)/('Tableau 1'!F5-'Tableau 2&amp;3'!D6)</f>
        <v>5.4361391362864708</v>
      </c>
      <c r="E6" s="36" t="s">
        <v>24</v>
      </c>
    </row>
    <row r="7" spans="1:5" ht="20.5" thickBot="1" x14ac:dyDescent="0.4">
      <c r="B7" s="14" t="s">
        <v>71</v>
      </c>
      <c r="C7" s="15" t="s">
        <v>72</v>
      </c>
      <c r="D7" s="43">
        <f>('Tableau 2&amp;3'!D7*20)/('Tableau 1'!F5-'Tableau 2&amp;3'!D7)</f>
        <v>4.9659739700871164</v>
      </c>
      <c r="E7" s="37" t="s">
        <v>24</v>
      </c>
    </row>
    <row r="8" spans="1:5" customFormat="1" ht="18" thickBot="1" x14ac:dyDescent="0.4">
      <c r="B8" s="25" t="s">
        <v>29</v>
      </c>
      <c r="C8" s="26"/>
      <c r="D8" s="26"/>
      <c r="E8" s="39"/>
    </row>
    <row r="9" spans="1:5" ht="18" thickBot="1" x14ac:dyDescent="0.4">
      <c r="B9" s="25" t="s">
        <v>73</v>
      </c>
      <c r="C9" s="26"/>
      <c r="D9" s="26"/>
      <c r="E9" s="27"/>
    </row>
    <row r="10" spans="1:5" x14ac:dyDescent="0.35">
      <c r="B10" s="6" t="s">
        <v>74</v>
      </c>
      <c r="C10" s="7"/>
      <c r="D10" s="7"/>
      <c r="E10" s="9"/>
    </row>
    <row r="11" spans="1:5" ht="20" x14ac:dyDescent="0.35">
      <c r="B11" s="14" t="s">
        <v>49</v>
      </c>
      <c r="C11" s="15" t="s">
        <v>78</v>
      </c>
      <c r="D11" s="58">
        <v>5.0999999999999996</v>
      </c>
      <c r="E11" s="37" t="s">
        <v>24</v>
      </c>
    </row>
    <row r="12" spans="1:5" x14ac:dyDescent="0.35">
      <c r="B12" s="6" t="s">
        <v>75</v>
      </c>
      <c r="C12" s="7"/>
      <c r="D12" s="7"/>
      <c r="E12" s="9"/>
    </row>
    <row r="13" spans="1:5" x14ac:dyDescent="0.35">
      <c r="B13" s="14" t="s">
        <v>76</v>
      </c>
      <c r="C13" s="15" t="s">
        <v>51</v>
      </c>
      <c r="D13" s="41">
        <f>('Tableau 1'!F5*'Tableau 4&amp;5'!D11)/(20+'Tableau 4&amp;5'!D11)</f>
        <v>1622.043824701195</v>
      </c>
      <c r="E13" s="17" t="s">
        <v>2</v>
      </c>
    </row>
    <row r="14" spans="1:5" x14ac:dyDescent="0.35">
      <c r="B14" s="6" t="s">
        <v>54</v>
      </c>
      <c r="C14" s="7"/>
      <c r="D14" s="7"/>
      <c r="E14" s="9"/>
    </row>
    <row r="15" spans="1:5" x14ac:dyDescent="0.35">
      <c r="B15" s="10" t="s">
        <v>55</v>
      </c>
      <c r="C15" s="11"/>
      <c r="D15" s="44">
        <f>'Tableau 1'!$F$4-D13</f>
        <v>224.95617529880496</v>
      </c>
      <c r="E15" s="36" t="s">
        <v>2</v>
      </c>
    </row>
    <row r="16" spans="1:5" x14ac:dyDescent="0.35">
      <c r="A16" s="1" t="s">
        <v>77</v>
      </c>
      <c r="B16" s="10" t="s">
        <v>56</v>
      </c>
      <c r="C16" s="11" t="s">
        <v>58</v>
      </c>
      <c r="D16" s="40">
        <f>200-'Tableau 2&amp;3'!$D$4</f>
        <v>140.89599999999999</v>
      </c>
      <c r="E16" s="36" t="s">
        <v>2</v>
      </c>
    </row>
    <row r="17" spans="1:7" ht="18" thickBot="1" x14ac:dyDescent="0.4">
      <c r="B17" s="14" t="s">
        <v>57</v>
      </c>
      <c r="C17" s="15" t="s">
        <v>59</v>
      </c>
      <c r="D17" s="41">
        <f>200+'Tableau 2&amp;3'!$D$4</f>
        <v>259.10399999999998</v>
      </c>
      <c r="E17" s="37" t="s">
        <v>2</v>
      </c>
    </row>
    <row r="18" spans="1:7" x14ac:dyDescent="0.35">
      <c r="B18" s="45" t="s">
        <v>60</v>
      </c>
      <c r="C18" s="20"/>
      <c r="D18" s="20"/>
      <c r="E18" s="21"/>
    </row>
    <row r="19" spans="1:7" x14ac:dyDescent="0.35">
      <c r="B19" s="48" t="str">
        <f>D16&amp;" ppm"&amp;"  ≤ "&amp;ROUND(D15,1)&amp;" ppm"&amp;"  ≤ "&amp;D17&amp;" ppm"</f>
        <v>140,896 ppm  ≤ 225 ppm  ≤ 259,104 ppm</v>
      </c>
      <c r="C19" s="72" t="str">
        <f>IF(AND(D15&gt;=D16,D15&lt;=D17),"OK","Pas OK")</f>
        <v>OK</v>
      </c>
      <c r="D19" s="72"/>
      <c r="E19" s="73"/>
    </row>
    <row r="20" spans="1:7" x14ac:dyDescent="0.35">
      <c r="B20" s="46" t="s">
        <v>61</v>
      </c>
      <c r="C20" s="11"/>
      <c r="D20" s="11"/>
      <c r="E20" s="28"/>
    </row>
    <row r="21" spans="1:7" x14ac:dyDescent="0.35">
      <c r="B21" s="46" t="s">
        <v>62</v>
      </c>
      <c r="C21" s="11"/>
      <c r="D21" s="11"/>
      <c r="E21" s="28"/>
    </row>
    <row r="22" spans="1:7" ht="18" thickBot="1" x14ac:dyDescent="0.4">
      <c r="B22" s="47" t="s">
        <v>63</v>
      </c>
      <c r="C22" s="23"/>
      <c r="D22" s="23"/>
      <c r="E22" s="24"/>
    </row>
    <row r="23" spans="1:7" customFormat="1" ht="18" thickBot="1" x14ac:dyDescent="0.4">
      <c r="B23" s="25" t="s">
        <v>29</v>
      </c>
      <c r="C23" s="26"/>
      <c r="D23" s="26"/>
      <c r="E23" s="39"/>
    </row>
    <row r="25" spans="1:7" x14ac:dyDescent="0.35">
      <c r="A25" s="13"/>
      <c r="B25" s="1" t="s">
        <v>100</v>
      </c>
      <c r="G25" s="30"/>
    </row>
    <row r="26" spans="1:7" x14ac:dyDescent="0.35">
      <c r="A26" s="65"/>
      <c r="B26" s="1" t="s">
        <v>101</v>
      </c>
      <c r="G26" s="30"/>
    </row>
  </sheetData>
  <sheetProtection sheet="1" objects="1" scenarios="1" selectLockedCells="1"/>
  <mergeCells count="1">
    <mergeCell ref="C19:E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27"/>
  <sheetViews>
    <sheetView workbookViewId="0">
      <selection activeCell="F9" sqref="F9"/>
    </sheetView>
  </sheetViews>
  <sheetFormatPr baseColWidth="10" defaultColWidth="11.453125" defaultRowHeight="17.5" x14ac:dyDescent="0.35"/>
  <cols>
    <col min="1" max="1" width="11.453125" style="1"/>
    <col min="2" max="2" width="77.1796875" style="1" bestFit="1" customWidth="1"/>
    <col min="3" max="3" width="12.26953125" style="1" bestFit="1" customWidth="1"/>
    <col min="4" max="4" width="11.453125" style="1"/>
    <col min="5" max="5" width="6" style="1" customWidth="1"/>
    <col min="6" max="6" width="13.81640625" style="1" bestFit="1" customWidth="1"/>
    <col min="7" max="7" width="6.453125" style="1" bestFit="1" customWidth="1"/>
    <col min="8" max="16384" width="11.453125" style="1"/>
  </cols>
  <sheetData>
    <row r="1" spans="2:7" ht="18" thickBot="1" x14ac:dyDescent="0.4"/>
    <row r="2" spans="2:7" x14ac:dyDescent="0.35">
      <c r="B2" s="51" t="s">
        <v>80</v>
      </c>
      <c r="C2" s="20"/>
      <c r="D2" s="20"/>
      <c r="E2" s="20"/>
      <c r="F2" s="20"/>
      <c r="G2" s="21"/>
    </row>
    <row r="3" spans="2:7" ht="18" thickBot="1" x14ac:dyDescent="0.4">
      <c r="B3" s="22" t="s">
        <v>79</v>
      </c>
      <c r="C3" s="23"/>
      <c r="D3" s="23"/>
      <c r="E3" s="23"/>
      <c r="F3" s="23"/>
      <c r="G3" s="24"/>
    </row>
    <row r="4" spans="2:7" x14ac:dyDescent="0.35">
      <c r="B4" s="18" t="s">
        <v>81</v>
      </c>
      <c r="C4" s="14" t="s">
        <v>1</v>
      </c>
      <c r="D4" s="57"/>
      <c r="E4" s="15"/>
      <c r="F4" s="60">
        <v>1844</v>
      </c>
      <c r="G4" s="33" t="s">
        <v>2</v>
      </c>
    </row>
    <row r="5" spans="2:7" ht="20" x14ac:dyDescent="0.35">
      <c r="B5" s="2" t="s">
        <v>7</v>
      </c>
      <c r="C5" s="3" t="s">
        <v>8</v>
      </c>
      <c r="D5" s="59" t="str">
        <f>'Tableau 1'!D7</f>
        <v>004</v>
      </c>
      <c r="E5" s="5" t="s">
        <v>9</v>
      </c>
      <c r="F5" s="61">
        <v>57.17</v>
      </c>
      <c r="G5" s="34" t="s">
        <v>10</v>
      </c>
    </row>
    <row r="6" spans="2:7" ht="20" x14ac:dyDescent="0.35">
      <c r="B6" s="2" t="s">
        <v>11</v>
      </c>
      <c r="C6" s="3" t="s">
        <v>82</v>
      </c>
      <c r="D6" s="5"/>
      <c r="E6" s="5"/>
      <c r="F6" s="61">
        <v>1710</v>
      </c>
      <c r="G6" s="34" t="s">
        <v>10</v>
      </c>
    </row>
    <row r="7" spans="2:7" x14ac:dyDescent="0.35">
      <c r="B7" s="67" t="s">
        <v>83</v>
      </c>
      <c r="C7" s="7" t="s">
        <v>13</v>
      </c>
      <c r="D7" s="7"/>
      <c r="E7" s="7"/>
      <c r="F7" s="62"/>
      <c r="G7" s="35" t="s">
        <v>17</v>
      </c>
    </row>
    <row r="8" spans="2:7" x14ac:dyDescent="0.35">
      <c r="B8" s="68"/>
      <c r="C8" s="66" t="s">
        <v>14</v>
      </c>
      <c r="D8" s="66"/>
      <c r="E8" s="11"/>
      <c r="F8" s="11"/>
      <c r="G8" s="36"/>
    </row>
    <row r="9" spans="2:7" x14ac:dyDescent="0.35">
      <c r="B9" s="68"/>
      <c r="C9" s="11" t="s">
        <v>15</v>
      </c>
      <c r="D9" s="11"/>
      <c r="E9" s="11"/>
      <c r="F9" s="63">
        <v>36412</v>
      </c>
      <c r="G9" s="36" t="s">
        <v>17</v>
      </c>
    </row>
    <row r="10" spans="2:7" x14ac:dyDescent="0.35">
      <c r="B10" s="68"/>
      <c r="C10" s="66" t="s">
        <v>14</v>
      </c>
      <c r="D10" s="66"/>
      <c r="E10" s="11"/>
      <c r="F10" s="11"/>
      <c r="G10" s="36"/>
    </row>
    <row r="11" spans="2:7" ht="20" x14ac:dyDescent="0.35">
      <c r="B11" s="69"/>
      <c r="C11" s="15" t="s">
        <v>16</v>
      </c>
      <c r="D11" s="15"/>
      <c r="E11" s="15"/>
      <c r="F11" s="64"/>
      <c r="G11" s="37" t="s">
        <v>10</v>
      </c>
    </row>
    <row r="12" spans="2:7" ht="18.5" x14ac:dyDescent="0.45">
      <c r="B12" s="3" t="s">
        <v>84</v>
      </c>
      <c r="C12" s="5" t="s">
        <v>90</v>
      </c>
      <c r="D12" s="5"/>
      <c r="E12" s="5"/>
      <c r="F12" s="52">
        <f>IF(F7&lt;&gt;"",(F7-'Tableau 1'!F9)*100,IF('Tableau 6'!F9&lt;&gt;"",('Tableau 6'!F9-'Tableau 1'!F11)*100,('Tableau 6'!F11-'Tableau 1'!F13)*1000))</f>
        <v>6200</v>
      </c>
      <c r="G12" s="35" t="s">
        <v>21</v>
      </c>
    </row>
    <row r="13" spans="2:7" x14ac:dyDescent="0.35">
      <c r="B13" s="6"/>
      <c r="C13" s="7" t="s">
        <v>19</v>
      </c>
      <c r="D13" s="7"/>
      <c r="E13" s="7"/>
      <c r="F13" s="62"/>
      <c r="G13" s="35" t="s">
        <v>21</v>
      </c>
    </row>
    <row r="14" spans="2:7" x14ac:dyDescent="0.35">
      <c r="B14" s="10" t="s">
        <v>86</v>
      </c>
      <c r="C14" s="66" t="s">
        <v>14</v>
      </c>
      <c r="D14" s="66"/>
      <c r="E14" s="11"/>
      <c r="F14" s="11"/>
      <c r="G14" s="36"/>
    </row>
    <row r="15" spans="2:7" x14ac:dyDescent="0.35">
      <c r="B15" s="14"/>
      <c r="C15" s="15" t="s">
        <v>20</v>
      </c>
      <c r="D15" s="15"/>
      <c r="E15" s="15"/>
      <c r="F15" s="64">
        <v>693506</v>
      </c>
      <c r="G15" s="37" t="s">
        <v>21</v>
      </c>
    </row>
    <row r="16" spans="2:7" ht="18.5" x14ac:dyDescent="0.45">
      <c r="B16" s="3" t="s">
        <v>87</v>
      </c>
      <c r="C16" s="5" t="s">
        <v>89</v>
      </c>
      <c r="D16" s="5"/>
      <c r="E16" s="5"/>
      <c r="F16" s="29">
        <f>IF(F13&lt;&gt;"",F13-'Tableau 1'!F14,'Tableau 6'!F15-'Tableau 1'!F16)</f>
        <v>1771</v>
      </c>
      <c r="G16" s="38" t="s">
        <v>21</v>
      </c>
    </row>
    <row r="17" spans="1:7" x14ac:dyDescent="0.35">
      <c r="B17" s="6" t="s">
        <v>88</v>
      </c>
      <c r="C17" s="7"/>
      <c r="D17" s="7"/>
      <c r="E17" s="7"/>
      <c r="F17" s="7"/>
      <c r="G17" s="9"/>
    </row>
    <row r="18" spans="1:7" x14ac:dyDescent="0.35">
      <c r="B18" s="10" t="s">
        <v>96</v>
      </c>
      <c r="C18" s="11" t="s">
        <v>95</v>
      </c>
      <c r="D18" s="11"/>
      <c r="E18" s="11"/>
      <c r="F18" s="49">
        <f>F12+F16</f>
        <v>7971</v>
      </c>
      <c r="G18" s="12" t="s">
        <v>21</v>
      </c>
    </row>
    <row r="19" spans="1:7" ht="20" x14ac:dyDescent="0.35">
      <c r="B19" s="54"/>
      <c r="C19" s="55"/>
      <c r="D19" s="55"/>
      <c r="E19" s="55"/>
      <c r="F19" s="43">
        <f>F18/1000</f>
        <v>7.9710000000000001</v>
      </c>
      <c r="G19" s="37" t="s">
        <v>10</v>
      </c>
    </row>
    <row r="20" spans="1:7" x14ac:dyDescent="0.35">
      <c r="B20" s="6" t="s">
        <v>91</v>
      </c>
      <c r="C20" s="7"/>
      <c r="D20" s="7"/>
      <c r="E20" s="7"/>
      <c r="F20" s="7"/>
      <c r="G20" s="9"/>
    </row>
    <row r="21" spans="1:7" x14ac:dyDescent="0.35">
      <c r="B21" s="14" t="s">
        <v>94</v>
      </c>
      <c r="C21" s="15" t="s">
        <v>92</v>
      </c>
      <c r="D21" s="15"/>
      <c r="E21" s="15"/>
      <c r="F21" s="50">
        <f>('Tableau 1'!F5*'Tableau 6'!F16)/'Tableau 6'!F18</f>
        <v>1773.6661648475724</v>
      </c>
      <c r="G21" s="17" t="s">
        <v>2</v>
      </c>
    </row>
    <row r="22" spans="1:7" x14ac:dyDescent="0.35">
      <c r="B22" s="6" t="s">
        <v>93</v>
      </c>
      <c r="C22" s="7"/>
      <c r="D22" s="7"/>
      <c r="E22" s="7"/>
      <c r="F22" s="7"/>
      <c r="G22" s="9"/>
    </row>
    <row r="23" spans="1:7" ht="18" thickBot="1" x14ac:dyDescent="0.4">
      <c r="B23" s="14" t="s">
        <v>98</v>
      </c>
      <c r="C23" s="15" t="s">
        <v>97</v>
      </c>
      <c r="D23" s="15"/>
      <c r="E23" s="15"/>
      <c r="F23" s="50">
        <f>(('Tableau 1'!F6*'Tableau 1'!F8)+(F21*F18/1000))/(F6)</f>
        <v>2983.7648497076025</v>
      </c>
      <c r="G23" s="17" t="s">
        <v>2</v>
      </c>
    </row>
    <row r="24" spans="1:7" customFormat="1" ht="18" thickBot="1" x14ac:dyDescent="0.4">
      <c r="B24" s="25" t="s">
        <v>29</v>
      </c>
      <c r="C24" s="26"/>
      <c r="D24" s="26"/>
      <c r="E24" s="39"/>
    </row>
    <row r="26" spans="1:7" x14ac:dyDescent="0.35">
      <c r="A26" s="13"/>
      <c r="B26" s="1" t="s">
        <v>100</v>
      </c>
      <c r="G26" s="30"/>
    </row>
    <row r="27" spans="1:7" x14ac:dyDescent="0.35">
      <c r="A27" s="65"/>
      <c r="B27" s="1" t="s">
        <v>101</v>
      </c>
      <c r="G27" s="30"/>
    </row>
  </sheetData>
  <sheetProtection sheet="1" objects="1" scenarios="1" selectLockedCells="1"/>
  <mergeCells count="4">
    <mergeCell ref="B7:B11"/>
    <mergeCell ref="C8:D8"/>
    <mergeCell ref="C10:D10"/>
    <mergeCell ref="C14:D14"/>
  </mergeCells>
  <pageMargins left="0.7" right="0.7" top="0.75" bottom="0.75" header="0.3" footer="0.3"/>
  <pageSetup paperSize="9" orientation="portrait" verticalDpi="598" r:id="rId1"/>
  <ignoredErrors>
    <ignoredError sqref="D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1</vt:lpstr>
      <vt:lpstr>Tableau 2&amp;3</vt:lpstr>
      <vt:lpstr>Tableau 4&amp;5</vt:lpstr>
      <vt:lpstr>Tableau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LENOVO</cp:lastModifiedBy>
  <dcterms:created xsi:type="dcterms:W3CDTF">2022-10-23T10:34:41Z</dcterms:created>
  <dcterms:modified xsi:type="dcterms:W3CDTF">2022-10-26T13:55:44Z</dcterms:modified>
</cp:coreProperties>
</file>