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CA0A8B48-BDBE-4C9B-8922-343DFB157C4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cul consommation EDF" sheetId="2" r:id="rId1"/>
    <sheet name="Params" sheetId="3" r:id="rId2"/>
  </sheets>
  <definedNames>
    <definedName name="PuissanceConsommee">'Calcul consommation EDF'!$C$12</definedName>
    <definedName name="PuissanceSouscrite">'Calcul consommation EDF'!$C$10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8" i="3" l="1"/>
  <c r="L19" i="3"/>
  <c r="L20" i="3"/>
  <c r="L21" i="3"/>
  <c r="L22" i="3"/>
  <c r="L23" i="3"/>
  <c r="L24" i="3"/>
  <c r="L25" i="3"/>
  <c r="L17" i="3"/>
  <c r="G18" i="3"/>
  <c r="G19" i="3"/>
  <c r="G20" i="3"/>
  <c r="G21" i="3"/>
  <c r="G22" i="3"/>
  <c r="G23" i="3"/>
  <c r="G24" i="3"/>
  <c r="G25" i="3"/>
  <c r="G17" i="3"/>
  <c r="C25" i="3"/>
  <c r="C18" i="3"/>
  <c r="C19" i="3"/>
  <c r="C20" i="3"/>
  <c r="C21" i="3"/>
  <c r="C22" i="3"/>
  <c r="C23" i="3"/>
  <c r="C24" i="3"/>
  <c r="C17" i="3"/>
  <c r="D4" i="2"/>
  <c r="E19" i="2" l="1"/>
  <c r="C19" i="2" s="1"/>
  <c r="E17" i="2"/>
  <c r="C17" i="2" s="1"/>
  <c r="C2" i="2" s="1"/>
  <c r="I17" i="2"/>
  <c r="G17" i="2" s="1"/>
  <c r="I19" i="2"/>
  <c r="G19" i="2" s="1"/>
  <c r="I18" i="2"/>
  <c r="G18" i="2" s="1"/>
  <c r="M17" i="2"/>
  <c r="K17" i="2" s="1"/>
  <c r="M23" i="2"/>
  <c r="K23" i="2" s="1"/>
  <c r="M22" i="2"/>
  <c r="K22" i="2" s="1"/>
  <c r="M21" i="2"/>
  <c r="K21" i="2" s="1"/>
  <c r="M20" i="2"/>
  <c r="K20" i="2" s="1"/>
  <c r="M19" i="2"/>
  <c r="K19" i="2" s="1"/>
  <c r="M18" i="2"/>
  <c r="K18" i="2" s="1"/>
  <c r="L4" i="2"/>
  <c r="L3" i="2"/>
  <c r="L2" i="2"/>
  <c r="M25" i="2"/>
  <c r="M24" i="2"/>
  <c r="H4" i="2"/>
  <c r="H3" i="2"/>
  <c r="H2" i="2"/>
  <c r="I25" i="2"/>
  <c r="I24" i="2"/>
  <c r="D3" i="2"/>
  <c r="D2" i="2"/>
  <c r="E25" i="2"/>
  <c r="E24" i="2"/>
  <c r="G2" i="2" l="1"/>
  <c r="K2" i="2"/>
  <c r="E2" i="2"/>
  <c r="C12" i="2"/>
  <c r="G29" i="2" s="1"/>
  <c r="G28" i="2" l="1"/>
  <c r="C28" i="2"/>
  <c r="C29" i="2"/>
  <c r="E29" i="2" s="1"/>
  <c r="M2" i="2"/>
  <c r="K3" i="2"/>
  <c r="M3" i="2" s="1"/>
  <c r="I2" i="2"/>
  <c r="G3" i="2"/>
  <c r="I3" i="2" s="1"/>
  <c r="K29" i="2"/>
  <c r="M29" i="2" s="1"/>
  <c r="K33" i="2"/>
  <c r="M33" i="2" s="1"/>
  <c r="K32" i="2"/>
  <c r="M32" i="2" s="1"/>
  <c r="K31" i="2"/>
  <c r="M31" i="2" s="1"/>
  <c r="K30" i="2"/>
  <c r="M30" i="2" s="1"/>
  <c r="K28" i="2"/>
  <c r="K34" i="2"/>
  <c r="M34" i="2" s="1"/>
  <c r="I29" i="2"/>
  <c r="G34" i="2"/>
  <c r="I34" i="2" s="1"/>
  <c r="C34" i="2"/>
  <c r="E34" i="2" s="1"/>
  <c r="C3" i="2"/>
  <c r="E3" i="2" s="1"/>
  <c r="C13" i="2"/>
  <c r="K4" i="2" l="1"/>
  <c r="M4" i="2" s="1"/>
  <c r="M5" i="2" s="1"/>
  <c r="M6" i="2" s="1"/>
  <c r="M28" i="2"/>
  <c r="G4" i="2"/>
  <c r="I4" i="2" s="1"/>
  <c r="I5" i="2" s="1"/>
  <c r="I6" i="2" s="1"/>
  <c r="I28" i="2"/>
  <c r="C4" i="2"/>
  <c r="E4" i="2" s="1"/>
  <c r="E5" i="2" s="1"/>
  <c r="E6" i="2" s="1"/>
  <c r="E28" i="2"/>
</calcChain>
</file>

<file path=xl/sharedStrings.xml><?xml version="1.0" encoding="utf-8"?>
<sst xmlns="http://schemas.openxmlformats.org/spreadsheetml/2006/main" count="92" uniqueCount="54">
  <si>
    <t>Tarif heures creuses (HC)</t>
  </si>
  <si>
    <t>Tarif heures pleines (HP)</t>
  </si>
  <si>
    <t>Contribution au Service Public d'Electricité (CSPE)</t>
  </si>
  <si>
    <t xml:space="preserve">Contribution Tarifaire d'Acheminement Electricité (CTA) </t>
  </si>
  <si>
    <t>Appareil</t>
  </si>
  <si>
    <t>Mensuel</t>
  </si>
  <si>
    <t>Contrat EDF</t>
  </si>
  <si>
    <t>Abonnement annuel</t>
  </si>
  <si>
    <t>HT</t>
  </si>
  <si>
    <t>TTC</t>
  </si>
  <si>
    <t>TVA</t>
  </si>
  <si>
    <t>TARIF BLEU HP/HC</t>
  </si>
  <si>
    <t>Consommation HC 8/24</t>
  </si>
  <si>
    <t>Consommation HP 16/24</t>
  </si>
  <si>
    <t>Coût journalier</t>
  </si>
  <si>
    <t>Consommation annuelle</t>
  </si>
  <si>
    <t>Coût annuel</t>
  </si>
  <si>
    <t>TOTAL</t>
  </si>
  <si>
    <t>TARIF BASE</t>
  </si>
  <si>
    <t>TARIF TEMPO</t>
  </si>
  <si>
    <t>Tarif heures creuses (HC) - blanc</t>
  </si>
  <si>
    <t>Tarif heures pleines (HP) - blanc</t>
  </si>
  <si>
    <t>Tarif heures creuses (HC) - rouge</t>
  </si>
  <si>
    <t>Tarif heures pleines (HP) - rouge</t>
  </si>
  <si>
    <t>Consommation HC 8/24 - blanc</t>
  </si>
  <si>
    <t>Consommation HP 16/24 - blanc</t>
  </si>
  <si>
    <t>Consommation HC 8/24 - bleu</t>
  </si>
  <si>
    <t>Consommation HP 16/24 - bleu</t>
  </si>
  <si>
    <t>source:</t>
  </si>
  <si>
    <t>https://particulier.edf.fr/content/dam/2-Actifs/Documents/Offres/Grille_prix_Tarif_Bleu.pdf</t>
  </si>
  <si>
    <t>Puissance souscrite (kVA)</t>
  </si>
  <si>
    <t>Option Base (TTC)</t>
  </si>
  <si>
    <t>Abonnement mensuel (€ TTC / mois)</t>
  </si>
  <si>
    <t>Prix du kWh (cts €TTC /kWh)</t>
  </si>
  <si>
    <t>Option Heures Creuses (TTC)</t>
  </si>
  <si>
    <t>Bleu
HP</t>
  </si>
  <si>
    <t>Bleu
HC</t>
  </si>
  <si>
    <t>Blanc
HC</t>
  </si>
  <si>
    <t>Blanc
HP</t>
  </si>
  <si>
    <t>Rouge
HC</t>
  </si>
  <si>
    <t>Rouge
HP</t>
  </si>
  <si>
    <t>Consommation continue (W)</t>
  </si>
  <si>
    <t>Consommation continue (kWh)</t>
  </si>
  <si>
    <t>Consommation continue (kWh) à l'année</t>
  </si>
  <si>
    <t>PS</t>
  </si>
  <si>
    <t>Abonnement</t>
  </si>
  <si>
    <t>HP</t>
  </si>
  <si>
    <t>HC</t>
  </si>
  <si>
    <t>Bleu HC</t>
  </si>
  <si>
    <t>Bleu HP</t>
  </si>
  <si>
    <t>Blanc HC</t>
  </si>
  <si>
    <t>Blanc HP</t>
  </si>
  <si>
    <t>Rouge HC</t>
  </si>
  <si>
    <t>Rouge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</si>
</sst>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00\ &quot;€&quot;"/>
    <numFmt numFmtId="165" formatCode="0&quot; heures&quot;"/>
    <numFmt numFmtId="166" formatCode="#,##0.00000\ &quot;€&quot;&quot;HT/ kWh&quot;"/>
    <numFmt numFmtId="167" formatCode="#,##0.00\ &quot;€&quot;"/>
    <numFmt numFmtId="168" formatCode="#,##0.000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6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0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1" fillId="3" borderId="0" xfId="0" applyFont="1" applyFill="1"/>
    <xf numFmtId="165" fontId="4" fillId="0" borderId="0" xfId="0" applyNumberFormat="1" applyFont="1" applyAlignment="1">
      <alignment horizontal="right"/>
    </xf>
    <xf numFmtId="167" fontId="4" fillId="0" borderId="0" xfId="0" applyNumberFormat="1" applyFont="1"/>
    <xf numFmtId="167" fontId="0" fillId="0" borderId="1" xfId="0" applyNumberFormat="1" applyBorder="1"/>
    <xf numFmtId="10" fontId="0" fillId="0" borderId="1" xfId="0" applyNumberFormat="1" applyBorder="1"/>
    <xf numFmtId="167" fontId="6" fillId="0" borderId="0" xfId="0" applyNumberFormat="1" applyFont="1"/>
    <xf numFmtId="166" fontId="6" fillId="0" borderId="0" xfId="0" applyNumberFormat="1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right" indent="1"/>
    </xf>
    <xf numFmtId="0" fontId="5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8" fillId="0" borderId="0" xfId="1" applyAlignment="1">
      <alignment vertical="center"/>
    </xf>
    <xf numFmtId="0" fontId="0" fillId="0" borderId="2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3" xfId="0" applyFont="1" applyBorder="1" applyAlignment="1">
      <alignment horizontal="right" vertical="center"/>
    </xf>
    <xf numFmtId="2" fontId="0" fillId="0" borderId="2" xfId="0" applyNumberFormat="1" applyBorder="1" applyAlignment="1">
      <alignment vertical="center"/>
    </xf>
    <xf numFmtId="2" fontId="0" fillId="0" borderId="4" xfId="0" applyNumberFormat="1" applyBorder="1" applyAlignment="1">
      <alignment vertical="center"/>
    </xf>
    <xf numFmtId="2" fontId="0" fillId="0" borderId="0" xfId="0" applyNumberFormat="1" applyAlignment="1">
      <alignment vertical="center"/>
    </xf>
    <xf numFmtId="2" fontId="0" fillId="6" borderId="2" xfId="0" applyNumberFormat="1" applyFill="1" applyBorder="1" applyAlignment="1">
      <alignment vertical="center"/>
    </xf>
    <xf numFmtId="2" fontId="0" fillId="6" borderId="4" xfId="0" applyNumberForma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9" fillId="6" borderId="3" xfId="0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right" vertical="center"/>
    </xf>
    <xf numFmtId="2" fontId="0" fillId="6" borderId="9" xfId="0" applyNumberFormat="1" applyFill="1" applyBorder="1" applyAlignment="1">
      <alignment vertical="center"/>
    </xf>
    <xf numFmtId="2" fontId="0" fillId="6" borderId="10" xfId="0" applyNumberFormat="1" applyFill="1" applyBorder="1" applyAlignment="1">
      <alignment vertical="center"/>
    </xf>
    <xf numFmtId="2" fontId="0" fillId="0" borderId="9" xfId="0" applyNumberFormat="1" applyBorder="1" applyAlignment="1">
      <alignment vertical="center"/>
    </xf>
    <xf numFmtId="2" fontId="0" fillId="0" borderId="10" xfId="0" applyNumberFormat="1" applyBorder="1" applyAlignment="1">
      <alignment vertical="center"/>
    </xf>
    <xf numFmtId="0" fontId="0" fillId="6" borderId="4" xfId="0" applyFill="1" applyBorder="1" applyAlignment="1">
      <alignment vertical="center"/>
    </xf>
    <xf numFmtId="168" fontId="0" fillId="0" borderId="0" xfId="0" applyNumberFormat="1"/>
    <xf numFmtId="0" fontId="0" fillId="0" borderId="0" xfId="0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right" indent="1"/>
    </xf>
    <xf numFmtId="43" fontId="0" fillId="0" borderId="0" xfId="2" applyFont="1" applyAlignment="1">
      <alignment vertical="center"/>
    </xf>
    <xf numFmtId="0" fontId="9" fillId="0" borderId="0" xfId="0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righ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numFmt numFmtId="2" formatCode="0.00"/>
      <fill>
        <patternFill patternType="solid">
          <fgColor indexed="64"/>
          <bgColor theme="2" tint="-9.9978637043366805E-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2" tint="-9.9978637043366805E-2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00\ &quot;€&quot;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6" formatCode="#,##0.00000\ &quot;€&quot;&quot;HT/ kWh&quot;"/>
    </dxf>
    <dxf>
      <alignment horizontal="center" vertical="bottom" textRotation="0" wrapText="0" indent="0" justifyLastLine="0" shrinkToFit="0" readingOrder="0"/>
    </dxf>
    <dxf>
      <numFmt numFmtId="164" formatCode="#,##0.0000\ &quot;€&quot;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6" formatCode="#,##0.00000\ &quot;€&quot;&quot;HT/ kWh&quot;"/>
    </dxf>
    <dxf>
      <alignment horizontal="center" vertical="bottom" textRotation="0" wrapText="0" indent="0" justifyLastLine="0" shrinkToFit="0" readingOrder="0"/>
    </dxf>
    <dxf>
      <numFmt numFmtId="164" formatCode="#,##0.0000\ &quot;€&quot;"/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numFmt numFmtId="166" formatCode="#,##0.00000\ &quot;€&quot;&quot;HT/ kWh&quot;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C7824D-74FB-4429-B882-024E9140A2F9}" name="t_Tempo" displayName="t_Tempo" ref="K16:M25" totalsRowShown="0" headerRowDxfId="47">
  <autoFilter ref="K16:M25" xr:uid="{B9C7824D-74FB-4429-B882-024E9140A2F9}"/>
  <tableColumns count="3">
    <tableColumn id="1" xr3:uid="{05BE712F-3EF6-40AD-AA10-AFD69D9DACC3}" name="HT" dataDxfId="46"/>
    <tableColumn id="2" xr3:uid="{FF53E92C-1571-4444-87F9-DDD5336F5BBF}" name="TVA" dataDxfId="45"/>
    <tableColumn id="3" xr3:uid="{0DC4A77A-D21A-4098-9461-F1388EAEC040}" name="TTC" dataDxfId="44">
      <calculatedColumnFormula>K17+K17*L17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0724B34-829B-4DB8-BFDD-1F9033817AB0}" name="t_HpHc" displayName="t_HpHc" ref="G16:I25" totalsRowShown="0" headerRowDxfId="43">
  <autoFilter ref="G16:I25" xr:uid="{40724B34-829B-4DB8-BFDD-1F9033817AB0}"/>
  <tableColumns count="3">
    <tableColumn id="1" xr3:uid="{327EC3BE-DCEB-4359-BB33-49C5BF736B23}" name="HT" dataDxfId="42"/>
    <tableColumn id="2" xr3:uid="{C0320BD7-711E-405B-835F-8073B0127606}" name="TVA" dataDxfId="41"/>
    <tableColumn id="3" xr3:uid="{21BD6DC8-CF9E-4C4B-93E3-3D8153D609F1}" name="TTC" dataDxfId="4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FB19C1-63F1-44CA-BE24-67E8841DDACE}" name="t_Base" displayName="t_Base" ref="C16:E25" totalsRowShown="0" headerRowDxfId="39">
  <autoFilter ref="C16:E25" xr:uid="{02FB19C1-63F1-44CA-BE24-67E8841DDACE}"/>
  <tableColumns count="3">
    <tableColumn id="1" xr3:uid="{5D98EFF5-481D-4CE9-A1AA-A5B25919B6BA}" name="HT" dataDxfId="38"/>
    <tableColumn id="2" xr3:uid="{A1B2C459-F2F4-43E4-920E-C2984BB16380}" name="TVA" dataDxfId="37"/>
    <tableColumn id="3" xr3:uid="{A5DF1D78-4041-4746-818C-B9056D32E63D}" name="TTC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C270AA-6CE9-460C-A1F2-09645AB5BAF6}" name="t_PrixBase" displayName="t_PrixBase" ref="B6:D15" totalsRowShown="0" headerRowDxfId="35" dataDxfId="33" headerRowBorderDxfId="34" tableBorderDxfId="32" totalsRowBorderDxfId="31">
  <autoFilter ref="B6:D15" xr:uid="{69C270AA-6CE9-460C-A1F2-09645AB5BAF6}"/>
  <tableColumns count="3">
    <tableColumn id="1" xr3:uid="{DD775499-8BE6-4BB0-9438-63473DBD8F2A}" name="PS" dataDxfId="30"/>
    <tableColumn id="2" xr3:uid="{E8FAF3B7-BCD4-4131-A3A7-9D79AA105487}" name="Abonnement" dataDxfId="29"/>
    <tableColumn id="3" xr3:uid="{0B35BF2A-F9C4-4DAA-96EE-B9A1494BE8B7}" name="HP" dataDxfId="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4E4D489-ACE0-4DC0-B834-B24710C237D6}" name="t_PrixHpHc" displayName="t_PrixHpHc" ref="F6:I15" totalsRowShown="0" headerRowDxfId="27" dataDxfId="25" headerRowBorderDxfId="26" tableBorderDxfId="24" totalsRowBorderDxfId="23">
  <autoFilter ref="F6:I15" xr:uid="{C4E4D489-ACE0-4DC0-B834-B24710C237D6}"/>
  <tableColumns count="4">
    <tableColumn id="1" xr3:uid="{6CD52BA0-CA00-47F6-8F7A-D26D4B141764}" name="PS" dataDxfId="22"/>
    <tableColumn id="2" xr3:uid="{65431C8B-554C-435D-A217-D3C0B54A04D1}" name="Abonnement" dataDxfId="21"/>
    <tableColumn id="3" xr3:uid="{18C128BA-F929-468C-AA3D-9570BD1CC00F}" name="HP" dataDxfId="20"/>
    <tableColumn id="4" xr3:uid="{33888D2C-D013-4A80-9369-7106853F76D7}" name="HC" dataDxfId="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8662BE6-D401-4128-AD23-4C0AB61C27FF}" name="t_PrixTempo" displayName="t_PrixTempo" ref="K6:R15" totalsRowShown="0" headerRowDxfId="18" dataDxfId="16" headerRowBorderDxfId="17" tableBorderDxfId="15" totalsRowBorderDxfId="14">
  <autoFilter ref="K6:R15" xr:uid="{18662BE6-D401-4128-AD23-4C0AB61C27FF}"/>
  <tableColumns count="8">
    <tableColumn id="1" xr3:uid="{851334E4-035A-454A-BE78-032593DE36D2}" name="PS" dataDxfId="13"/>
    <tableColumn id="2" xr3:uid="{0BAEFC68-13F1-4ACE-A853-9272370481DD}" name="Abonnement" dataDxfId="12"/>
    <tableColumn id="3" xr3:uid="{75CD4426-F205-49EA-8CCF-A71805DFB785}" name="Bleu HC" dataDxfId="11"/>
    <tableColumn id="4" xr3:uid="{F4997935-67A7-4A05-AC75-54B182884CCC}" name="Bleu HP" dataDxfId="10"/>
    <tableColumn id="5" xr3:uid="{EF768DCD-B214-4D08-B46B-B16A89071A6A}" name="Blanc HC" dataDxfId="9"/>
    <tableColumn id="6" xr3:uid="{9F12E94F-F108-4CE2-A8B4-4126FBAFA0A6}" name="Blanc HP" dataDxfId="8"/>
    <tableColumn id="7" xr3:uid="{EA33866E-FE5A-480A-AC26-98B80A63E8AC}" name="Rouge HC" dataDxfId="7"/>
    <tableColumn id="8" xr3:uid="{A0066271-B514-473F-B2C7-F430327D5AB0}" name="Rouge HP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4C846A8-FF65-410F-B251-F5D492809A4F}" name="t_Puissances" displayName="t_Puissances" ref="T6:T15" totalsRowShown="0" headerRowDxfId="5" dataDxfId="3" headerRowBorderDxfId="4" tableBorderDxfId="2" totalsRowBorderDxfId="1">
  <autoFilter ref="T6:T15" xr:uid="{34C846A8-FF65-410F-B251-F5D492809A4F}"/>
  <tableColumns count="1">
    <tableColumn id="1" xr3:uid="{D9730A58-5D23-443D-8E32-3494B4AFBF44}" name="P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hyperlink" Target="https://particulier.edf.fr/content/dam/2-Actifs/Documents/Offres/Grille_prix_Tarif_Bleu.pdf" TargetMode="Externa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3390C-6658-4CD7-B01E-0195D73CE296}">
  <sheetPr codeName="Feuil1"/>
  <dimension ref="B1:M34"/>
  <sheetViews>
    <sheetView showGridLines="0" tabSelected="1" topLeftCell="A11" workbookViewId="0">
      <selection activeCell="E31" sqref="E31"/>
    </sheetView>
  </sheetViews>
  <sheetFormatPr baseColWidth="10" defaultRowHeight="14.4" x14ac:dyDescent="0.3"/>
  <cols>
    <col min="2" max="2" width="51.88671875" bestFit="1" customWidth="1"/>
    <col min="3" max="3" width="20.109375" bestFit="1" customWidth="1"/>
    <col min="4" max="4" width="9.33203125" bestFit="1" customWidth="1"/>
    <col min="5" max="5" width="14.44140625" bestFit="1" customWidth="1"/>
    <col min="6" max="6" width="3" customWidth="1"/>
    <col min="7" max="7" width="16.6640625" bestFit="1" customWidth="1"/>
    <col min="8" max="8" width="9.33203125" bestFit="1" customWidth="1"/>
    <col min="9" max="9" width="14.44140625" bestFit="1" customWidth="1"/>
    <col min="10" max="10" width="2.6640625" customWidth="1"/>
    <col min="11" max="11" width="16.6640625" bestFit="1" customWidth="1"/>
    <col min="12" max="12" width="9.33203125" bestFit="1" customWidth="1"/>
    <col min="13" max="13" width="14.44140625" bestFit="1" customWidth="1"/>
  </cols>
  <sheetData>
    <row r="1" spans="2:13" ht="21" x14ac:dyDescent="0.3">
      <c r="B1" s="7" t="s">
        <v>16</v>
      </c>
      <c r="C1" s="54" t="s">
        <v>18</v>
      </c>
      <c r="D1" s="55"/>
      <c r="E1" s="55"/>
      <c r="G1" s="56" t="s">
        <v>11</v>
      </c>
      <c r="H1" s="57"/>
      <c r="I1" s="57"/>
      <c r="K1" s="58" t="s">
        <v>19</v>
      </c>
      <c r="L1" s="59"/>
      <c r="M1" s="59"/>
    </row>
    <row r="2" spans="2:13" x14ac:dyDescent="0.3">
      <c r="B2" t="s">
        <v>7</v>
      </c>
      <c r="C2" s="6">
        <f>C17</f>
        <v>177.78199052132703</v>
      </c>
      <c r="D2" s="4">
        <f>D17</f>
        <v>5.5E-2</v>
      </c>
      <c r="E2" s="6">
        <f>C2+(C2*D2)</f>
        <v>187.56000000000003</v>
      </c>
      <c r="F2" s="3"/>
      <c r="G2" s="6">
        <f>G17</f>
        <v>188.24644549763036</v>
      </c>
      <c r="H2" s="4">
        <f>H17</f>
        <v>5.5E-2</v>
      </c>
      <c r="I2" s="6">
        <f>G2+(G2*H2)</f>
        <v>198.60000000000002</v>
      </c>
      <c r="K2" s="6">
        <f>K17</f>
        <v>181.99052132701422</v>
      </c>
      <c r="L2" s="4">
        <f>L17</f>
        <v>5.5E-2</v>
      </c>
      <c r="M2" s="6">
        <f>K2+(K2*L2)</f>
        <v>192</v>
      </c>
    </row>
    <row r="3" spans="2:13" x14ac:dyDescent="0.3">
      <c r="B3" t="s">
        <v>2</v>
      </c>
      <c r="C3" s="6">
        <f>PuissanceConsommee*24*365*C24</f>
        <v>64.018080000000012</v>
      </c>
      <c r="D3" s="4">
        <f>D24</f>
        <v>0.2</v>
      </c>
      <c r="E3" s="6">
        <f>C3+(C3*D3)</f>
        <v>76.821696000000017</v>
      </c>
      <c r="F3" s="3"/>
      <c r="G3" s="6">
        <f>IF(G2=0,0,PuissanceConsommee*24*365*G24)</f>
        <v>64.018080000000012</v>
      </c>
      <c r="H3" s="4">
        <f>H24</f>
        <v>0.2</v>
      </c>
      <c r="I3" s="6">
        <f>G3+(G3*H3)</f>
        <v>76.821696000000017</v>
      </c>
      <c r="K3" s="6">
        <f>IF(K2=0,0,PuissanceConsommee*24*365*K24)</f>
        <v>64.018080000000012</v>
      </c>
      <c r="L3" s="4">
        <f>L24</f>
        <v>0.2</v>
      </c>
      <c r="M3" s="6">
        <f>K3+(K3*L3)</f>
        <v>76.821696000000017</v>
      </c>
    </row>
    <row r="4" spans="2:13" ht="15" thickBot="1" x14ac:dyDescent="0.35">
      <c r="B4" t="s">
        <v>15</v>
      </c>
      <c r="C4" s="10">
        <f>(C28+C29)*365</f>
        <v>5981.3280000000013</v>
      </c>
      <c r="D4" s="11">
        <f>D19</f>
        <v>0.2</v>
      </c>
      <c r="E4" s="10">
        <f>C4+(C4*D4)</f>
        <v>7177.593600000002</v>
      </c>
      <c r="F4" s="3"/>
      <c r="G4" s="10">
        <f>(G28+G29)*365</f>
        <v>5911.2480000000014</v>
      </c>
      <c r="H4" s="11">
        <f>H18</f>
        <v>0.2</v>
      </c>
      <c r="I4" s="10">
        <f>G4+(G4*H4)</f>
        <v>7093.4976000000015</v>
      </c>
      <c r="K4" s="10">
        <f>((K28+K29)*301) + ((K30+K31)*43) + ((K32+K33)*22)</f>
        <v>4054.2912000000001</v>
      </c>
      <c r="L4" s="11">
        <f>L18</f>
        <v>0.2</v>
      </c>
      <c r="M4" s="10">
        <f>K4+(K4*L4)</f>
        <v>4865.1494400000001</v>
      </c>
    </row>
    <row r="5" spans="2:13" ht="21" x14ac:dyDescent="0.4">
      <c r="C5" s="5"/>
      <c r="D5" s="8" t="s">
        <v>17</v>
      </c>
      <c r="E5" s="9">
        <f>E2+E3+E4</f>
        <v>7441.9752960000023</v>
      </c>
      <c r="F5" s="3"/>
      <c r="G5" s="5"/>
      <c r="H5" s="8" t="s">
        <v>17</v>
      </c>
      <c r="I5" s="9">
        <f>I2+I3+I4</f>
        <v>7368.9192960000019</v>
      </c>
      <c r="K5" s="5"/>
      <c r="L5" s="8" t="s">
        <v>17</v>
      </c>
      <c r="M5" s="9">
        <f>M2+M3+M4</f>
        <v>5133.9711360000001</v>
      </c>
    </row>
    <row r="6" spans="2:13" x14ac:dyDescent="0.3">
      <c r="D6" s="2" t="s">
        <v>5</v>
      </c>
      <c r="E6" s="6">
        <f>E5/12</f>
        <v>620.16460800000016</v>
      </c>
      <c r="H6" s="2" t="s">
        <v>5</v>
      </c>
      <c r="I6" s="6">
        <f>I5/12</f>
        <v>614.07660800000019</v>
      </c>
      <c r="L6" s="2" t="s">
        <v>5</v>
      </c>
      <c r="M6" s="6">
        <f>M5/12</f>
        <v>427.83092800000003</v>
      </c>
    </row>
    <row r="9" spans="2:13" x14ac:dyDescent="0.3">
      <c r="B9" s="7" t="s">
        <v>4</v>
      </c>
    </row>
    <row r="10" spans="2:13" x14ac:dyDescent="0.3">
      <c r="B10" t="s">
        <v>30</v>
      </c>
      <c r="C10" s="51">
        <v>9</v>
      </c>
    </row>
    <row r="11" spans="2:13" x14ac:dyDescent="0.3">
      <c r="B11" t="s">
        <v>41</v>
      </c>
      <c r="C11" s="17">
        <v>3600</v>
      </c>
    </row>
    <row r="12" spans="2:13" x14ac:dyDescent="0.3">
      <c r="B12" t="s">
        <v>42</v>
      </c>
      <c r="C12" s="16">
        <f>C11/1000</f>
        <v>3.6</v>
      </c>
      <c r="H12" s="6"/>
    </row>
    <row r="13" spans="2:13" x14ac:dyDescent="0.3">
      <c r="B13" t="s">
        <v>43</v>
      </c>
      <c r="C13" s="16">
        <f>C12*24*365</f>
        <v>31536.000000000004</v>
      </c>
    </row>
    <row r="15" spans="2:13" ht="21" x14ac:dyDescent="0.3">
      <c r="B15" s="7" t="s">
        <v>6</v>
      </c>
      <c r="C15" s="54" t="s">
        <v>18</v>
      </c>
      <c r="D15" s="55"/>
      <c r="E15" s="55"/>
      <c r="G15" s="56" t="s">
        <v>11</v>
      </c>
      <c r="H15" s="57"/>
      <c r="I15" s="57"/>
      <c r="K15" s="58" t="s">
        <v>19</v>
      </c>
      <c r="L15" s="59"/>
      <c r="M15" s="59"/>
    </row>
    <row r="16" spans="2:13" s="18" customFormat="1" x14ac:dyDescent="0.3">
      <c r="B16" s="44"/>
      <c r="C16" s="18" t="s">
        <v>8</v>
      </c>
      <c r="D16" s="18" t="s">
        <v>10</v>
      </c>
      <c r="E16" s="18" t="s">
        <v>9</v>
      </c>
      <c r="G16" s="18" t="s">
        <v>8</v>
      </c>
      <c r="H16" s="18" t="s">
        <v>10</v>
      </c>
      <c r="I16" s="18" t="s">
        <v>9</v>
      </c>
      <c r="K16" s="18" t="s">
        <v>8</v>
      </c>
      <c r="L16" s="18" t="s">
        <v>10</v>
      </c>
      <c r="M16" s="18" t="s">
        <v>9</v>
      </c>
    </row>
    <row r="17" spans="2:13" x14ac:dyDescent="0.3">
      <c r="B17" t="s">
        <v>7</v>
      </c>
      <c r="C17" s="12">
        <f>t_Base[[#This Row],[TTC]]/(1+t_Base[[#This Row],[TVA]])</f>
        <v>177.78199052132703</v>
      </c>
      <c r="D17" s="4">
        <v>5.5E-2</v>
      </c>
      <c r="E17" s="6">
        <f>INDEX(t_PrixBase[],MATCH(PuissanceSouscrite,t_PrixBase[PS],0),MATCH("Abonnement",t_PrixBase[#Headers],0))*12</f>
        <v>187.56</v>
      </c>
      <c r="F17" s="1"/>
      <c r="G17" s="12">
        <f>t_HpHc[[#This Row],[TTC]]/(1+t_HpHc[[#This Row],[TVA]])</f>
        <v>188.24644549763036</v>
      </c>
      <c r="H17" s="4">
        <v>5.5E-2</v>
      </c>
      <c r="I17" s="6">
        <f>INDEX(t_PrixHpHc[],MATCH(PuissanceSouscrite,t_PrixHpHc[PS],0),MATCH("Abonnement",t_PrixHpHc[#Headers],0))*12</f>
        <v>198.60000000000002</v>
      </c>
      <c r="K17" s="12">
        <f>t_Tempo[[#This Row],[TTC]]/(1+t_Tempo[[#This Row],[TVA]])</f>
        <v>181.99052132701422</v>
      </c>
      <c r="L17" s="4">
        <v>5.5E-2</v>
      </c>
      <c r="M17" s="6">
        <f>INDEX(t_PrixTempo[],MATCH(PuissanceSouscrite,t_PrixTempo[PS],0),MATCH("Abonnement",t_PrixTempo[#Headers],0))*12</f>
        <v>192</v>
      </c>
    </row>
    <row r="18" spans="2:13" x14ac:dyDescent="0.3">
      <c r="B18" t="s">
        <v>0</v>
      </c>
      <c r="C18" s="13"/>
      <c r="D18" s="4"/>
      <c r="E18" s="39"/>
      <c r="F18" s="3"/>
      <c r="G18" s="13">
        <f>t_HpHc[[#This Row],[TTC]]/(1+t_HpHc[[#This Row],[TVA]])</f>
        <v>0.15233333333333335</v>
      </c>
      <c r="H18" s="4">
        <v>0.2</v>
      </c>
      <c r="I18" s="39">
        <f>INDEX(t_PrixHpHc[],MATCH(PuissanceSouscrite,t_PrixHpHc[PS],0),MATCH("HC",t_PrixHpHc[#Headers],0))/100</f>
        <v>0.18280000000000002</v>
      </c>
      <c r="K18" s="13">
        <f>t_Tempo[[#This Row],[TTC]]/(1+t_Tempo[[#This Row],[TVA]])</f>
        <v>8.8000000000000009E-2</v>
      </c>
      <c r="L18" s="4">
        <v>0.2</v>
      </c>
      <c r="M18" s="39">
        <f>INDEX(t_PrixTempo[],MATCH(PuissanceSouscrite,t_PrixTempo[PS],0),MATCH("Bleu HC",t_PrixTempo[#Headers],0))/100</f>
        <v>0.1056</v>
      </c>
    </row>
    <row r="19" spans="2:13" x14ac:dyDescent="0.3">
      <c r="B19" t="s">
        <v>1</v>
      </c>
      <c r="C19" s="13">
        <f>t_Base[[#This Row],[TTC]]/(1+t_Base[[#This Row],[TVA]])</f>
        <v>0.18966666666666671</v>
      </c>
      <c r="D19" s="4">
        <v>0.2</v>
      </c>
      <c r="E19" s="39">
        <f>INDEX(t_PrixBase[],MATCH(PuissanceSouscrite,t_PrixBase[PS],0),MATCH("HP",t_PrixBase[#Headers],0))/100</f>
        <v>0.22760000000000002</v>
      </c>
      <c r="F19" s="3"/>
      <c r="G19" s="13">
        <f>t_HpHc[[#This Row],[TTC]]/(1+t_HpHc[[#This Row],[TVA]])</f>
        <v>0.20500000000000002</v>
      </c>
      <c r="H19" s="4">
        <v>0.2</v>
      </c>
      <c r="I19" s="39">
        <f>INDEX(t_PrixHpHc[],MATCH(PuissanceSouscrite,t_PrixHpHc[PS],0),MATCH("HP",t_PrixHpHc[#Headers],0))/100</f>
        <v>0.24600000000000002</v>
      </c>
      <c r="K19" s="13">
        <f>t_Tempo[[#This Row],[TTC]]/(1+t_Tempo[[#This Row],[TVA]])</f>
        <v>0.11408333333333333</v>
      </c>
      <c r="L19" s="4">
        <v>0.2</v>
      </c>
      <c r="M19" s="39">
        <f>INDEX(t_PrixTempo[],MATCH(PuissanceSouscrite,t_PrixTempo[PS],0),MATCH("Bleu HP",t_PrixTempo[#Headers],0))/100</f>
        <v>0.13689999999999999</v>
      </c>
    </row>
    <row r="20" spans="2:13" x14ac:dyDescent="0.3">
      <c r="B20" t="s">
        <v>20</v>
      </c>
      <c r="C20" s="13"/>
      <c r="D20" s="4"/>
      <c r="E20" s="1"/>
      <c r="F20" s="3"/>
      <c r="G20" s="13"/>
      <c r="H20" s="4"/>
      <c r="I20" s="1"/>
      <c r="K20" s="13">
        <f>t_Tempo[[#This Row],[TTC]]/(1+t_Tempo[[#This Row],[TVA]])</f>
        <v>0.10383333333333333</v>
      </c>
      <c r="L20" s="4">
        <v>0.2</v>
      </c>
      <c r="M20" s="39">
        <f>INDEX(t_PrixTempo[],MATCH(PuissanceSouscrite,t_PrixTempo[PS],0),MATCH("Blanc HC",t_PrixTempo[#Headers],0))/100</f>
        <v>0.1246</v>
      </c>
    </row>
    <row r="21" spans="2:13" x14ac:dyDescent="0.3">
      <c r="B21" t="s">
        <v>21</v>
      </c>
      <c r="C21" s="13"/>
      <c r="D21" s="4"/>
      <c r="E21" s="1"/>
      <c r="F21" s="3"/>
      <c r="G21" s="13"/>
      <c r="H21" s="4"/>
      <c r="I21" s="1"/>
      <c r="K21" s="13">
        <f>t_Tempo[[#This Row],[TTC]]/(1+t_Tempo[[#This Row],[TVA]])</f>
        <v>0.13783333333333334</v>
      </c>
      <c r="L21" s="4">
        <v>0.2</v>
      </c>
      <c r="M21" s="39">
        <f>INDEX(t_PrixTempo[],MATCH(PuissanceSouscrite,t_PrixTempo[PS],0),MATCH("Blanc HP",t_PrixTempo[#Headers],0))/100</f>
        <v>0.16539999999999999</v>
      </c>
    </row>
    <row r="22" spans="2:13" x14ac:dyDescent="0.3">
      <c r="B22" t="s">
        <v>22</v>
      </c>
      <c r="C22" s="13"/>
      <c r="D22" s="4"/>
      <c r="E22" s="1"/>
      <c r="F22" s="3"/>
      <c r="G22" s="13"/>
      <c r="H22" s="4"/>
      <c r="I22" s="1"/>
      <c r="K22" s="13">
        <f>t_Tempo[[#This Row],[TTC]]/(1+t_Tempo[[#This Row],[TVA]])</f>
        <v>0.11066666666666668</v>
      </c>
      <c r="L22" s="4">
        <v>0.2</v>
      </c>
      <c r="M22" s="39">
        <f>INDEX(t_PrixTempo[],MATCH(PuissanceSouscrite,t_PrixTempo[PS],0),MATCH("Rouge HC",t_PrixTempo[#Headers],0))/100</f>
        <v>0.1328</v>
      </c>
    </row>
    <row r="23" spans="2:13" x14ac:dyDescent="0.3">
      <c r="B23" t="s">
        <v>23</v>
      </c>
      <c r="C23" s="13"/>
      <c r="D23" s="4"/>
      <c r="E23" s="1"/>
      <c r="F23" s="3"/>
      <c r="G23" s="13"/>
      <c r="H23" s="4"/>
      <c r="I23" s="1"/>
      <c r="K23" s="13">
        <f>t_Tempo[[#This Row],[TTC]]/(1+t_Tempo[[#This Row],[TVA]])</f>
        <v>0.61033333333333328</v>
      </c>
      <c r="L23" s="4">
        <v>0.2</v>
      </c>
      <c r="M23" s="39">
        <f>INDEX(t_PrixTempo[],MATCH(PuissanceSouscrite,t_PrixTempo[PS],0),MATCH("Rouge HP",t_PrixTempo[#Headers],0))/100</f>
        <v>0.73239999999999994</v>
      </c>
    </row>
    <row r="24" spans="2:13" x14ac:dyDescent="0.3">
      <c r="B24" t="s">
        <v>2</v>
      </c>
      <c r="C24" s="13">
        <v>2.0300000000000001E-3</v>
      </c>
      <c r="D24" s="4">
        <v>0.2</v>
      </c>
      <c r="E24" s="1">
        <f t="shared" ref="E24:E25" si="0">C24+C24*D24</f>
        <v>2.4360000000000002E-3</v>
      </c>
      <c r="G24" s="13">
        <v>2.0300000000000001E-3</v>
      </c>
      <c r="H24" s="4">
        <v>0.2</v>
      </c>
      <c r="I24" s="1">
        <f t="shared" ref="I24:I25" si="1">G24+G24*H24</f>
        <v>2.4360000000000002E-3</v>
      </c>
      <c r="K24" s="13">
        <v>2.0300000000000001E-3</v>
      </c>
      <c r="L24" s="4">
        <v>0.2</v>
      </c>
      <c r="M24" s="1">
        <f t="shared" ref="M24:M25" si="2">K24+K24*L24</f>
        <v>2.4360000000000002E-3</v>
      </c>
    </row>
    <row r="25" spans="2:13" x14ac:dyDescent="0.3">
      <c r="B25" t="s">
        <v>3</v>
      </c>
      <c r="C25" s="13">
        <v>0</v>
      </c>
      <c r="D25" s="4">
        <v>5.5E-2</v>
      </c>
      <c r="E25" s="1">
        <f t="shared" si="0"/>
        <v>0</v>
      </c>
      <c r="G25" s="13">
        <v>0</v>
      </c>
      <c r="H25" s="4">
        <v>5.5E-2</v>
      </c>
      <c r="I25" s="1">
        <f t="shared" si="1"/>
        <v>0</v>
      </c>
      <c r="K25" s="13">
        <v>0</v>
      </c>
      <c r="L25" s="4">
        <v>5.5E-2</v>
      </c>
      <c r="M25" s="1">
        <f t="shared" si="2"/>
        <v>0</v>
      </c>
    </row>
    <row r="27" spans="2:13" x14ac:dyDescent="0.3">
      <c r="B27" s="7" t="s">
        <v>14</v>
      </c>
      <c r="C27" s="2" t="s">
        <v>8</v>
      </c>
      <c r="D27" s="2" t="s">
        <v>10</v>
      </c>
      <c r="E27" s="2" t="s">
        <v>9</v>
      </c>
      <c r="G27" s="2" t="s">
        <v>8</v>
      </c>
      <c r="H27" s="2" t="s">
        <v>10</v>
      </c>
      <c r="I27" s="2" t="s">
        <v>9</v>
      </c>
      <c r="K27" s="2" t="s">
        <v>8</v>
      </c>
      <c r="L27" s="2" t="s">
        <v>10</v>
      </c>
      <c r="M27" s="2" t="s">
        <v>9</v>
      </c>
    </row>
    <row r="28" spans="2:13" x14ac:dyDescent="0.3">
      <c r="B28" t="s">
        <v>12</v>
      </c>
      <c r="C28" s="6">
        <f>PuissanceConsommee * C19 * 8</f>
        <v>5.4624000000000015</v>
      </c>
      <c r="D28" s="4">
        <v>0.2</v>
      </c>
      <c r="E28" s="6">
        <f t="shared" ref="E28:E34" si="3">C28+C28*D28</f>
        <v>6.5548800000000016</v>
      </c>
      <c r="F28" s="1"/>
      <c r="G28" s="6">
        <f>PuissanceConsommee * G18 * 8</f>
        <v>4.3872000000000009</v>
      </c>
      <c r="H28" s="4">
        <v>0.2</v>
      </c>
      <c r="I28" s="6">
        <f t="shared" ref="I28:I34" si="4">G28+G28*H28</f>
        <v>5.2646400000000009</v>
      </c>
      <c r="K28" s="6">
        <f>PuissanceConsommee * K18 * 8</f>
        <v>2.5344000000000002</v>
      </c>
      <c r="L28" s="4">
        <v>0.2</v>
      </c>
      <c r="M28" s="6">
        <f t="shared" ref="M28:M34" si="5">K28+K28*L28</f>
        <v>3.0412800000000004</v>
      </c>
    </row>
    <row r="29" spans="2:13" x14ac:dyDescent="0.3">
      <c r="B29" t="s">
        <v>13</v>
      </c>
      <c r="C29" s="6">
        <f>PuissanceConsommee * C19 * 16</f>
        <v>10.924800000000003</v>
      </c>
      <c r="D29" s="4">
        <v>0.2</v>
      </c>
      <c r="E29" s="6">
        <f t="shared" ref="E29" si="6">C29+C29*D29</f>
        <v>13.109760000000003</v>
      </c>
      <c r="F29" s="1"/>
      <c r="G29" s="6">
        <f>PuissanceConsommee * G19 * 16</f>
        <v>11.808000000000002</v>
      </c>
      <c r="H29" s="4">
        <v>0.2</v>
      </c>
      <c r="I29" s="6">
        <f t="shared" si="4"/>
        <v>14.169600000000003</v>
      </c>
      <c r="K29" s="6">
        <f>PuissanceConsommee * K19 * 16</f>
        <v>6.5712000000000002</v>
      </c>
      <c r="L29" s="4">
        <v>0.2</v>
      </c>
      <c r="M29" s="6">
        <f t="shared" si="5"/>
        <v>7.88544</v>
      </c>
    </row>
    <row r="30" spans="2:13" x14ac:dyDescent="0.3">
      <c r="B30" t="s">
        <v>24</v>
      </c>
      <c r="C30" s="6"/>
      <c r="D30" s="4"/>
      <c r="E30" s="6"/>
      <c r="F30" s="1"/>
      <c r="G30" s="6"/>
      <c r="H30" s="4"/>
      <c r="I30" s="6"/>
      <c r="K30" s="6">
        <f>PuissanceConsommee * K20 * 8</f>
        <v>2.9904000000000002</v>
      </c>
      <c r="L30" s="4">
        <v>0.2</v>
      </c>
      <c r="M30" s="6">
        <f t="shared" ref="M30:M31" si="7">K30+K30*L30</f>
        <v>3.5884800000000001</v>
      </c>
    </row>
    <row r="31" spans="2:13" x14ac:dyDescent="0.3">
      <c r="B31" t="s">
        <v>25</v>
      </c>
      <c r="C31" s="6"/>
      <c r="D31" s="4"/>
      <c r="E31" s="6"/>
      <c r="F31" s="1"/>
      <c r="G31" s="6"/>
      <c r="H31" s="4"/>
      <c r="I31" s="6"/>
      <c r="K31" s="6">
        <f>PuissanceConsommee * K21 * 16</f>
        <v>7.9392000000000005</v>
      </c>
      <c r="L31" s="4">
        <v>0.2</v>
      </c>
      <c r="M31" s="6">
        <f t="shared" si="7"/>
        <v>9.5270400000000013</v>
      </c>
    </row>
    <row r="32" spans="2:13" x14ac:dyDescent="0.3">
      <c r="B32" t="s">
        <v>26</v>
      </c>
      <c r="C32" s="6"/>
      <c r="D32" s="4"/>
      <c r="E32" s="6"/>
      <c r="F32" s="1"/>
      <c r="G32" s="6"/>
      <c r="H32" s="4"/>
      <c r="I32" s="6"/>
      <c r="K32" s="6">
        <f>PuissanceConsommee * K22 * 8</f>
        <v>3.1872000000000003</v>
      </c>
      <c r="L32" s="4">
        <v>0.2</v>
      </c>
      <c r="M32" s="6">
        <f t="shared" ref="M32:M33" si="8">K32+K32*L32</f>
        <v>3.8246400000000005</v>
      </c>
    </row>
    <row r="33" spans="2:13" x14ac:dyDescent="0.3">
      <c r="B33" t="s">
        <v>27</v>
      </c>
      <c r="C33" s="6"/>
      <c r="D33" s="4"/>
      <c r="E33" s="6"/>
      <c r="F33" s="1"/>
      <c r="G33" s="6"/>
      <c r="H33" s="4"/>
      <c r="I33" s="6"/>
      <c r="K33" s="6">
        <f>PuissanceConsommee * K23 * 16</f>
        <v>35.155200000000001</v>
      </c>
      <c r="L33" s="4">
        <v>0.2</v>
      </c>
      <c r="M33" s="6">
        <f t="shared" si="8"/>
        <v>42.186239999999998</v>
      </c>
    </row>
    <row r="34" spans="2:13" x14ac:dyDescent="0.3">
      <c r="B34" t="s">
        <v>2</v>
      </c>
      <c r="C34" s="6">
        <f>PuissanceConsommee*C24*24</f>
        <v>0.17539199999999999</v>
      </c>
      <c r="D34" s="4">
        <v>5.5E-2</v>
      </c>
      <c r="E34" s="6">
        <f t="shared" si="3"/>
        <v>0.18503855999999999</v>
      </c>
      <c r="F34" s="1"/>
      <c r="G34" s="6">
        <f>PuissanceConsommee*G24*24</f>
        <v>0.17539199999999999</v>
      </c>
      <c r="H34" s="4">
        <v>5.5E-2</v>
      </c>
      <c r="I34" s="6">
        <f t="shared" si="4"/>
        <v>0.18503855999999999</v>
      </c>
      <c r="K34" s="6">
        <f>PuissanceConsommee*K24*24</f>
        <v>0.17539199999999999</v>
      </c>
      <c r="L34" s="4">
        <v>5.5E-2</v>
      </c>
      <c r="M34" s="6">
        <f t="shared" si="5"/>
        <v>0.18503855999999999</v>
      </c>
    </row>
  </sheetData>
  <mergeCells count="6">
    <mergeCell ref="C15:E15"/>
    <mergeCell ref="G15:I15"/>
    <mergeCell ref="K15:M15"/>
    <mergeCell ref="C1:E1"/>
    <mergeCell ref="G1:I1"/>
    <mergeCell ref="K1:M1"/>
  </mergeCells>
  <dataValidations count="1">
    <dataValidation type="list" allowBlank="1" showInputMessage="1" showErrorMessage="1" sqref="C10" xr:uid="{F55F1C9D-E472-4904-9319-EF2E55D5E936}">
      <formula1>INDIRECT("t_Puissances")</formula1>
    </dataValidation>
  </dataValidations>
  <pageMargins left="0.7" right="0.7" top="0.75" bottom="0.75" header="0.3" footer="0.3"/>
  <pageSetup paperSize="9" orientation="portrait" r:id="rId1"/>
  <ignoredErrors>
    <ignoredError sqref="K29:K32" formula="1"/>
  </ignoredErrors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EABA-D24C-4981-9240-77FEABB0C529}">
  <sheetPr codeName="Feuil2"/>
  <dimension ref="B2:T25"/>
  <sheetViews>
    <sheetView topLeftCell="A6" workbookViewId="0">
      <selection activeCell="I20" sqref="I20"/>
    </sheetView>
  </sheetViews>
  <sheetFormatPr baseColWidth="10" defaultRowHeight="14.4" x14ac:dyDescent="0.3"/>
  <cols>
    <col min="1" max="1" width="3" style="19" customWidth="1"/>
    <col min="2" max="2" width="11.33203125" style="19" customWidth="1"/>
    <col min="3" max="3" width="15.77734375" style="19" customWidth="1"/>
    <col min="4" max="4" width="13.21875" style="19" customWidth="1"/>
    <col min="5" max="5" width="2.88671875" style="19" customWidth="1"/>
    <col min="6" max="6" width="12.6640625" style="19" customWidth="1"/>
    <col min="7" max="7" width="13.88671875" style="19" customWidth="1"/>
    <col min="8" max="9" width="11.5546875" style="19"/>
    <col min="10" max="10" width="2.88671875" style="19" customWidth="1"/>
    <col min="11" max="11" width="12.6640625" style="19" customWidth="1"/>
    <col min="12" max="12" width="13.88671875" style="19" customWidth="1"/>
    <col min="13" max="19" width="11.5546875" style="19"/>
    <col min="20" max="20" width="11.5546875" style="40"/>
    <col min="21" max="16384" width="11.5546875" style="19"/>
  </cols>
  <sheetData>
    <row r="2" spans="2:20" x14ac:dyDescent="0.3">
      <c r="B2" s="20" t="s">
        <v>28</v>
      </c>
      <c r="C2" s="21" t="s">
        <v>29</v>
      </c>
      <c r="F2" s="20"/>
      <c r="K2" s="20"/>
    </row>
    <row r="4" spans="2:20" ht="21" x14ac:dyDescent="0.3">
      <c r="B4" s="63" t="s">
        <v>31</v>
      </c>
      <c r="C4" s="63"/>
      <c r="D4" s="63"/>
      <c r="E4" s="14"/>
      <c r="F4" s="62" t="s">
        <v>34</v>
      </c>
      <c r="G4" s="62"/>
      <c r="H4" s="62"/>
      <c r="I4" s="62"/>
      <c r="K4" s="61" t="s">
        <v>34</v>
      </c>
      <c r="L4" s="61"/>
      <c r="M4" s="61"/>
      <c r="N4" s="61"/>
      <c r="O4" s="61"/>
      <c r="P4" s="61"/>
      <c r="Q4" s="61"/>
      <c r="R4" s="61"/>
    </row>
    <row r="5" spans="2:20" ht="15" customHeight="1" x14ac:dyDescent="0.3">
      <c r="B5" s="19" t="s">
        <v>30</v>
      </c>
      <c r="C5" s="19" t="s">
        <v>32</v>
      </c>
      <c r="D5" s="19" t="s">
        <v>33</v>
      </c>
      <c r="E5" s="15"/>
      <c r="F5" s="19" t="s">
        <v>30</v>
      </c>
      <c r="G5" s="19" t="s">
        <v>32</v>
      </c>
      <c r="H5" s="60" t="s">
        <v>33</v>
      </c>
      <c r="I5" s="60"/>
      <c r="K5" s="19" t="s">
        <v>30</v>
      </c>
      <c r="L5" s="19" t="s">
        <v>32</v>
      </c>
      <c r="M5" s="22" t="s">
        <v>36</v>
      </c>
      <c r="N5" s="22" t="s">
        <v>35</v>
      </c>
      <c r="O5" s="22" t="s">
        <v>37</v>
      </c>
      <c r="P5" s="22" t="s">
        <v>38</v>
      </c>
      <c r="Q5" s="22" t="s">
        <v>39</v>
      </c>
      <c r="R5" s="22" t="s">
        <v>40</v>
      </c>
    </row>
    <row r="6" spans="2:20" s="48" customFormat="1" x14ac:dyDescent="0.3">
      <c r="B6" s="45" t="s">
        <v>44</v>
      </c>
      <c r="C6" s="46" t="s">
        <v>45</v>
      </c>
      <c r="D6" s="47" t="s">
        <v>46</v>
      </c>
      <c r="E6" s="15"/>
      <c r="F6" s="45" t="s">
        <v>44</v>
      </c>
      <c r="G6" s="46" t="s">
        <v>45</v>
      </c>
      <c r="H6" s="23" t="s">
        <v>46</v>
      </c>
      <c r="I6" s="24" t="s">
        <v>47</v>
      </c>
      <c r="K6" s="49" t="s">
        <v>44</v>
      </c>
      <c r="L6" s="50" t="s">
        <v>45</v>
      </c>
      <c r="M6" s="23" t="s">
        <v>48</v>
      </c>
      <c r="N6" s="23" t="s">
        <v>49</v>
      </c>
      <c r="O6" s="23" t="s">
        <v>50</v>
      </c>
      <c r="P6" s="23" t="s">
        <v>51</v>
      </c>
      <c r="Q6" s="23" t="s">
        <v>52</v>
      </c>
      <c r="R6" s="24" t="s">
        <v>53</v>
      </c>
      <c r="T6" s="41" t="s">
        <v>44</v>
      </c>
    </row>
    <row r="7" spans="2:20" ht="15.6" x14ac:dyDescent="0.3">
      <c r="B7" s="25">
        <v>3</v>
      </c>
      <c r="C7" s="26">
        <v>9.4700000000000006</v>
      </c>
      <c r="D7" s="27">
        <v>22.76</v>
      </c>
      <c r="E7" s="28"/>
      <c r="F7" s="25">
        <v>3</v>
      </c>
      <c r="G7" s="29"/>
      <c r="H7" s="29"/>
      <c r="I7" s="30"/>
      <c r="J7" s="28"/>
      <c r="K7" s="25">
        <v>3</v>
      </c>
      <c r="L7" s="29"/>
      <c r="M7" s="29"/>
      <c r="N7" s="29"/>
      <c r="O7" s="31"/>
      <c r="P7" s="31"/>
      <c r="Q7" s="31"/>
      <c r="R7" s="38"/>
      <c r="T7" s="42">
        <v>3</v>
      </c>
    </row>
    <row r="8" spans="2:20" ht="15.6" x14ac:dyDescent="0.3">
      <c r="B8" s="25">
        <v>6</v>
      </c>
      <c r="C8" s="26">
        <v>12.44</v>
      </c>
      <c r="D8" s="27">
        <v>22.76</v>
      </c>
      <c r="E8" s="28"/>
      <c r="F8" s="25">
        <v>6</v>
      </c>
      <c r="G8" s="26">
        <v>12.85</v>
      </c>
      <c r="H8" s="26">
        <v>24.6</v>
      </c>
      <c r="I8" s="27">
        <v>18.28</v>
      </c>
      <c r="J8" s="28"/>
      <c r="K8" s="25">
        <v>6</v>
      </c>
      <c r="L8" s="26">
        <v>12.8</v>
      </c>
      <c r="M8" s="26">
        <v>10.56</v>
      </c>
      <c r="N8" s="26">
        <v>13.69</v>
      </c>
      <c r="O8" s="26">
        <v>12.46</v>
      </c>
      <c r="P8" s="26">
        <v>16.54</v>
      </c>
      <c r="Q8" s="26">
        <v>13.28</v>
      </c>
      <c r="R8" s="27">
        <v>73.239999999999995</v>
      </c>
      <c r="T8" s="42">
        <v>6</v>
      </c>
    </row>
    <row r="9" spans="2:20" ht="15.6" x14ac:dyDescent="0.3">
      <c r="B9" s="25">
        <v>9</v>
      </c>
      <c r="C9" s="26">
        <v>15.63</v>
      </c>
      <c r="D9" s="27">
        <v>22.76</v>
      </c>
      <c r="E9" s="28"/>
      <c r="F9" s="25">
        <v>9</v>
      </c>
      <c r="G9" s="26">
        <v>16.55</v>
      </c>
      <c r="H9" s="26">
        <v>24.6</v>
      </c>
      <c r="I9" s="27">
        <v>18.28</v>
      </c>
      <c r="J9" s="28"/>
      <c r="K9" s="25">
        <v>9</v>
      </c>
      <c r="L9" s="26">
        <v>16</v>
      </c>
      <c r="M9" s="26">
        <v>10.56</v>
      </c>
      <c r="N9" s="26">
        <v>13.69</v>
      </c>
      <c r="O9" s="26">
        <v>12.46</v>
      </c>
      <c r="P9" s="26">
        <v>16.54</v>
      </c>
      <c r="Q9" s="26">
        <v>13.28</v>
      </c>
      <c r="R9" s="27">
        <v>73.239999999999995</v>
      </c>
      <c r="T9" s="42">
        <v>9</v>
      </c>
    </row>
    <row r="10" spans="2:20" ht="15.6" x14ac:dyDescent="0.3">
      <c r="B10" s="25">
        <v>12</v>
      </c>
      <c r="C10" s="26">
        <v>18.89</v>
      </c>
      <c r="D10" s="27">
        <v>22.76</v>
      </c>
      <c r="E10" s="28"/>
      <c r="F10" s="25">
        <v>12</v>
      </c>
      <c r="G10" s="26">
        <v>19.97</v>
      </c>
      <c r="H10" s="26">
        <v>24.6</v>
      </c>
      <c r="I10" s="27">
        <v>18.28</v>
      </c>
      <c r="J10" s="28"/>
      <c r="K10" s="25">
        <v>12</v>
      </c>
      <c r="L10" s="26">
        <v>19.29</v>
      </c>
      <c r="M10" s="26">
        <v>10.56</v>
      </c>
      <c r="N10" s="26">
        <v>13.69</v>
      </c>
      <c r="O10" s="26">
        <v>12.46</v>
      </c>
      <c r="P10" s="26">
        <v>16.54</v>
      </c>
      <c r="Q10" s="26">
        <v>13.28</v>
      </c>
      <c r="R10" s="27">
        <v>73.239999999999995</v>
      </c>
      <c r="T10" s="42">
        <v>12</v>
      </c>
    </row>
    <row r="11" spans="2:20" ht="15.6" x14ac:dyDescent="0.3">
      <c r="B11" s="25">
        <v>15</v>
      </c>
      <c r="C11" s="26">
        <v>21.92</v>
      </c>
      <c r="D11" s="27">
        <v>22.76</v>
      </c>
      <c r="E11" s="28"/>
      <c r="F11" s="25">
        <v>15</v>
      </c>
      <c r="G11" s="26">
        <v>23.24</v>
      </c>
      <c r="H11" s="26">
        <v>24.6</v>
      </c>
      <c r="I11" s="27">
        <v>18.28</v>
      </c>
      <c r="J11" s="28"/>
      <c r="K11" s="25">
        <v>15</v>
      </c>
      <c r="L11" s="26">
        <v>22.3</v>
      </c>
      <c r="M11" s="26">
        <v>10.56</v>
      </c>
      <c r="N11" s="26">
        <v>13.69</v>
      </c>
      <c r="O11" s="26">
        <v>12.46</v>
      </c>
      <c r="P11" s="26">
        <v>16.54</v>
      </c>
      <c r="Q11" s="26">
        <v>13.28</v>
      </c>
      <c r="R11" s="27">
        <v>73.239999999999995</v>
      </c>
      <c r="T11" s="42">
        <v>15</v>
      </c>
    </row>
    <row r="12" spans="2:20" ht="15.6" x14ac:dyDescent="0.3">
      <c r="B12" s="32">
        <v>18</v>
      </c>
      <c r="C12" s="29">
        <v>24.92</v>
      </c>
      <c r="D12" s="30">
        <v>22.76</v>
      </c>
      <c r="E12" s="28"/>
      <c r="F12" s="32">
        <v>18</v>
      </c>
      <c r="G12" s="26">
        <v>26.48</v>
      </c>
      <c r="H12" s="26">
        <v>24.6</v>
      </c>
      <c r="I12" s="27">
        <v>18.28</v>
      </c>
      <c r="J12" s="28"/>
      <c r="K12" s="32">
        <v>18</v>
      </c>
      <c r="L12" s="26">
        <v>25.29</v>
      </c>
      <c r="M12" s="26">
        <v>10.56</v>
      </c>
      <c r="N12" s="26">
        <v>13.69</v>
      </c>
      <c r="O12" s="26">
        <v>12.46</v>
      </c>
      <c r="P12" s="26">
        <v>16.54</v>
      </c>
      <c r="Q12" s="26">
        <v>13.28</v>
      </c>
      <c r="R12" s="27">
        <v>73.239999999999995</v>
      </c>
      <c r="T12" s="42">
        <v>18</v>
      </c>
    </row>
    <row r="13" spans="2:20" ht="15.6" x14ac:dyDescent="0.3">
      <c r="B13" s="32">
        <v>24</v>
      </c>
      <c r="C13" s="29">
        <v>31.6</v>
      </c>
      <c r="D13" s="30">
        <v>22.76</v>
      </c>
      <c r="E13" s="28"/>
      <c r="F13" s="32">
        <v>24</v>
      </c>
      <c r="G13" s="26">
        <v>33.28</v>
      </c>
      <c r="H13" s="26">
        <v>24.6</v>
      </c>
      <c r="I13" s="27">
        <v>18.28</v>
      </c>
      <c r="J13" s="28"/>
      <c r="K13" s="32">
        <v>24</v>
      </c>
      <c r="L13" s="29"/>
      <c r="M13" s="29"/>
      <c r="N13" s="29"/>
      <c r="O13" s="29"/>
      <c r="P13" s="29"/>
      <c r="Q13" s="29"/>
      <c r="R13" s="30"/>
      <c r="T13" s="42">
        <v>24</v>
      </c>
    </row>
    <row r="14" spans="2:20" ht="15.6" x14ac:dyDescent="0.3">
      <c r="B14" s="32">
        <v>30</v>
      </c>
      <c r="C14" s="29">
        <v>37.29</v>
      </c>
      <c r="D14" s="30">
        <v>22.76</v>
      </c>
      <c r="E14" s="28"/>
      <c r="F14" s="32">
        <v>30</v>
      </c>
      <c r="G14" s="26">
        <v>39.46</v>
      </c>
      <c r="H14" s="26">
        <v>24.6</v>
      </c>
      <c r="I14" s="27">
        <v>18.28</v>
      </c>
      <c r="J14" s="28"/>
      <c r="K14" s="32">
        <v>30</v>
      </c>
      <c r="L14" s="26">
        <v>38.130000000000003</v>
      </c>
      <c r="M14" s="26">
        <v>10.56</v>
      </c>
      <c r="N14" s="26">
        <v>13.69</v>
      </c>
      <c r="O14" s="26">
        <v>12.46</v>
      </c>
      <c r="P14" s="26">
        <v>16.54</v>
      </c>
      <c r="Q14" s="26">
        <v>13.28</v>
      </c>
      <c r="R14" s="27">
        <v>73.239999999999995</v>
      </c>
      <c r="T14" s="42">
        <v>30</v>
      </c>
    </row>
    <row r="15" spans="2:20" ht="15.6" x14ac:dyDescent="0.3">
      <c r="B15" s="33">
        <v>36</v>
      </c>
      <c r="C15" s="34">
        <v>44.66</v>
      </c>
      <c r="D15" s="35">
        <v>22.76</v>
      </c>
      <c r="E15" s="28"/>
      <c r="F15" s="33">
        <v>36</v>
      </c>
      <c r="G15" s="36">
        <v>44.64</v>
      </c>
      <c r="H15" s="36">
        <v>24.6</v>
      </c>
      <c r="I15" s="37">
        <v>18.28</v>
      </c>
      <c r="J15" s="28"/>
      <c r="K15" s="33">
        <v>36</v>
      </c>
      <c r="L15" s="36">
        <v>44.28</v>
      </c>
      <c r="M15" s="36">
        <v>10.56</v>
      </c>
      <c r="N15" s="36">
        <v>13.69</v>
      </c>
      <c r="O15" s="36">
        <v>12.46</v>
      </c>
      <c r="P15" s="36">
        <v>16.54</v>
      </c>
      <c r="Q15" s="36">
        <v>13.28</v>
      </c>
      <c r="R15" s="37">
        <v>73.239999999999995</v>
      </c>
      <c r="T15" s="43">
        <v>36</v>
      </c>
    </row>
    <row r="17" spans="2:12" ht="15.6" x14ac:dyDescent="0.3">
      <c r="B17" s="53">
        <v>3</v>
      </c>
      <c r="C17" s="52">
        <f>C7*12</f>
        <v>113.64000000000001</v>
      </c>
      <c r="F17" s="53">
        <v>3</v>
      </c>
      <c r="G17" s="52">
        <f>G7*12</f>
        <v>0</v>
      </c>
      <c r="K17" s="53">
        <v>3</v>
      </c>
      <c r="L17" s="52">
        <f>L7*12</f>
        <v>0</v>
      </c>
    </row>
    <row r="18" spans="2:12" ht="15.6" x14ac:dyDescent="0.3">
      <c r="B18" s="53">
        <v>6</v>
      </c>
      <c r="C18" s="52">
        <f t="shared" ref="C18:C25" si="0">C8*12</f>
        <v>149.28</v>
      </c>
      <c r="F18" s="53">
        <v>6</v>
      </c>
      <c r="G18" s="52">
        <f t="shared" ref="G18:G25" si="1">G8*12</f>
        <v>154.19999999999999</v>
      </c>
      <c r="K18" s="53">
        <v>6</v>
      </c>
      <c r="L18" s="52">
        <f t="shared" ref="L18:L25" si="2">L8*12</f>
        <v>153.60000000000002</v>
      </c>
    </row>
    <row r="19" spans="2:12" ht="15.6" x14ac:dyDescent="0.3">
      <c r="B19" s="53">
        <v>9</v>
      </c>
      <c r="C19" s="52">
        <f t="shared" si="0"/>
        <v>187.56</v>
      </c>
      <c r="F19" s="53">
        <v>9</v>
      </c>
      <c r="G19" s="52">
        <f t="shared" si="1"/>
        <v>198.60000000000002</v>
      </c>
      <c r="K19" s="53">
        <v>9</v>
      </c>
      <c r="L19" s="52">
        <f t="shared" si="2"/>
        <v>192</v>
      </c>
    </row>
    <row r="20" spans="2:12" ht="15.6" x14ac:dyDescent="0.3">
      <c r="B20" s="53">
        <v>12</v>
      </c>
      <c r="C20" s="52">
        <f t="shared" si="0"/>
        <v>226.68</v>
      </c>
      <c r="F20" s="53">
        <v>12</v>
      </c>
      <c r="G20" s="52">
        <f t="shared" si="1"/>
        <v>239.64</v>
      </c>
      <c r="K20" s="53">
        <v>12</v>
      </c>
      <c r="L20" s="52">
        <f t="shared" si="2"/>
        <v>231.48</v>
      </c>
    </row>
    <row r="21" spans="2:12" ht="15.6" x14ac:dyDescent="0.3">
      <c r="B21" s="53">
        <v>15</v>
      </c>
      <c r="C21" s="52">
        <f t="shared" si="0"/>
        <v>263.04000000000002</v>
      </c>
      <c r="F21" s="53">
        <v>15</v>
      </c>
      <c r="G21" s="52">
        <f t="shared" si="1"/>
        <v>278.88</v>
      </c>
      <c r="K21" s="53">
        <v>15</v>
      </c>
      <c r="L21" s="52">
        <f t="shared" si="2"/>
        <v>267.60000000000002</v>
      </c>
    </row>
    <row r="22" spans="2:12" ht="15.6" x14ac:dyDescent="0.3">
      <c r="B22" s="53">
        <v>18</v>
      </c>
      <c r="C22" s="52">
        <f t="shared" si="0"/>
        <v>299.04000000000002</v>
      </c>
      <c r="F22" s="53">
        <v>18</v>
      </c>
      <c r="G22" s="52">
        <f t="shared" si="1"/>
        <v>317.76</v>
      </c>
      <c r="K22" s="53">
        <v>18</v>
      </c>
      <c r="L22" s="52">
        <f t="shared" si="2"/>
        <v>303.48</v>
      </c>
    </row>
    <row r="23" spans="2:12" ht="15.6" x14ac:dyDescent="0.3">
      <c r="B23" s="53">
        <v>24</v>
      </c>
      <c r="C23" s="52">
        <f t="shared" si="0"/>
        <v>379.20000000000005</v>
      </c>
      <c r="F23" s="53">
        <v>24</v>
      </c>
      <c r="G23" s="52">
        <f t="shared" si="1"/>
        <v>399.36</v>
      </c>
      <c r="K23" s="53">
        <v>24</v>
      </c>
      <c r="L23" s="52">
        <f t="shared" si="2"/>
        <v>0</v>
      </c>
    </row>
    <row r="24" spans="2:12" ht="15.6" x14ac:dyDescent="0.3">
      <c r="B24" s="53">
        <v>30</v>
      </c>
      <c r="C24" s="52">
        <f t="shared" si="0"/>
        <v>447.48</v>
      </c>
      <c r="F24" s="53">
        <v>30</v>
      </c>
      <c r="G24" s="52">
        <f t="shared" si="1"/>
        <v>473.52</v>
      </c>
      <c r="K24" s="53">
        <v>30</v>
      </c>
      <c r="L24" s="52">
        <f t="shared" si="2"/>
        <v>457.56000000000006</v>
      </c>
    </row>
    <row r="25" spans="2:12" ht="15.6" x14ac:dyDescent="0.3">
      <c r="B25" s="53">
        <v>36</v>
      </c>
      <c r="C25" s="52">
        <f t="shared" si="0"/>
        <v>535.91999999999996</v>
      </c>
      <c r="F25" s="53">
        <v>36</v>
      </c>
      <c r="G25" s="52">
        <f t="shared" si="1"/>
        <v>535.68000000000006</v>
      </c>
      <c r="K25" s="53">
        <v>36</v>
      </c>
      <c r="L25" s="52">
        <f t="shared" si="2"/>
        <v>531.36</v>
      </c>
    </row>
  </sheetData>
  <mergeCells count="4">
    <mergeCell ref="H5:I5"/>
    <mergeCell ref="K4:R4"/>
    <mergeCell ref="F4:I4"/>
    <mergeCell ref="B4:D4"/>
  </mergeCells>
  <hyperlinks>
    <hyperlink ref="C2" r:id="rId1" xr:uid="{4C233267-FB9C-4D0A-95AB-CAD06C8D539B}"/>
  </hyperlinks>
  <pageMargins left="0.7" right="0.7" top="0.75" bottom="0.75" header="0.3" footer="0.3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214050-0527-4ab7-b970-9b2fc87f2caa" xsi:nil="true"/>
    <lcf76f155ced4ddcb4097134ff3c332f xmlns="18303bc8-0606-4dfc-b981-1a4d52d860a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1898C660C5214BAFD363F2F4D49E4C" ma:contentTypeVersion="17" ma:contentTypeDescription="Crée un document." ma:contentTypeScope="" ma:versionID="c64b112d5dc4ff229a6146d4dc5c4349">
  <xsd:schema xmlns:xsd="http://www.w3.org/2001/XMLSchema" xmlns:xs="http://www.w3.org/2001/XMLSchema" xmlns:p="http://schemas.microsoft.com/office/2006/metadata/properties" xmlns:ns2="c6214050-0527-4ab7-b970-9b2fc87f2caa" xmlns:ns3="18303bc8-0606-4dfc-b981-1a4d52d860aa" targetNamespace="http://schemas.microsoft.com/office/2006/metadata/properties" ma:root="true" ma:fieldsID="db1ec8514e696eae6c258b53c1608fa9" ns2:_="" ns3:_="">
    <xsd:import namespace="c6214050-0527-4ab7-b970-9b2fc87f2caa"/>
    <xsd:import namespace="18303bc8-0606-4dfc-b981-1a4d52d860a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214050-0527-4ab7-b970-9b2fc87f2c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3e6d961-d120-497f-b6fb-5a68b840a649}" ma:internalName="TaxCatchAll" ma:showField="CatchAllData" ma:web="c6214050-0527-4ab7-b970-9b2fc87f2c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303bc8-0606-4dfc-b981-1a4d52d860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f083857e-ea9a-4642-bec5-ab211a2a78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FE10CA-E8BB-45BB-827D-722E6C2BC6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1D116C-8C4E-46B7-B01C-AAE6B54E353C}">
  <ds:schemaRefs>
    <ds:schemaRef ds:uri="http://schemas.microsoft.com/office/2006/metadata/properties"/>
    <ds:schemaRef ds:uri="http://schemas.microsoft.com/office/infopath/2007/PartnerControls"/>
    <ds:schemaRef ds:uri="c6214050-0527-4ab7-b970-9b2fc87f2caa"/>
    <ds:schemaRef ds:uri="18303bc8-0606-4dfc-b981-1a4d52d860aa"/>
  </ds:schemaRefs>
</ds:datastoreItem>
</file>

<file path=customXml/itemProps3.xml><?xml version="1.0" encoding="utf-8"?>
<ds:datastoreItem xmlns:ds="http://schemas.openxmlformats.org/officeDocument/2006/customXml" ds:itemID="{BC3973DD-5E12-4E6C-80BB-3140361ED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214050-0527-4ab7-b970-9b2fc87f2caa"/>
    <ds:schemaRef ds:uri="18303bc8-0606-4dfc-b981-1a4d52d860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 consommation EDF</vt:lpstr>
      <vt:lpstr>Params</vt:lpstr>
      <vt:lpstr>PuissanceConsommee</vt:lpstr>
      <vt:lpstr>PuissanceSouscrite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Duvernet</dc:creator>
  <cp:lastModifiedBy>Eric Kergresse</cp:lastModifiedBy>
  <dcterms:created xsi:type="dcterms:W3CDTF">2015-06-05T18:19:34Z</dcterms:created>
  <dcterms:modified xsi:type="dcterms:W3CDTF">2023-11-30T03:35:36Z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0x010100CF1898C660C5214BAFD363F2F4D49E4C</vt:lpwstr>
  </property>
  <property fmtid="{D5CDD505-2E9C-101B-9397-08002B2CF9AE}" pid="3" name="MediaServiceImageTags">
    <vt:lpwstr/>
  </property>
</Properties>
</file>