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C02C525-D39F-4EB6-8692-9CB964286E2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ynthèse" sheetId="13" r:id="rId1"/>
    <sheet name="Facturation" sheetId="1" r:id="rId2"/>
  </sheets>
  <definedNames>
    <definedName name="Segment_Client">#N/A</definedName>
    <definedName name="Segment_Règlement_effectu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/>
  <c r="M4" i="1" l="1"/>
  <c r="M5" i="1"/>
  <c r="M6" i="1"/>
  <c r="M7" i="1"/>
  <c r="M8" i="1"/>
  <c r="M9" i="1"/>
  <c r="M10" i="1"/>
  <c r="M3" i="1"/>
  <c r="F17" i="13" l="1"/>
  <c r="M2" i="13" a="1"/>
  <c r="M2" i="13" s="1"/>
  <c r="M12" i="13" a="1"/>
  <c r="M12" i="13" s="1"/>
  <c r="M7" i="13" a="1"/>
  <c r="M7" i="13" s="1"/>
  <c r="M8" i="13" a="1"/>
  <c r="M8" i="13" s="1"/>
  <c r="M9" i="13" a="1"/>
  <c r="M9" i="13" s="1"/>
  <c r="M10" i="13" a="1"/>
  <c r="M10" i="13" s="1"/>
  <c r="M14" i="13" a="1"/>
  <c r="M14" i="13" s="1"/>
  <c r="M6" i="13" a="1"/>
  <c r="M6" i="13" s="1"/>
  <c r="M3" i="13" a="1"/>
  <c r="M3" i="13" s="1"/>
  <c r="M11" i="13" a="1"/>
  <c r="M11" i="13" s="1"/>
  <c r="F18" i="13" a="1"/>
  <c r="F18" i="13" s="1"/>
  <c r="M13" i="13" a="1"/>
  <c r="M13" i="13" s="1"/>
  <c r="M4" i="13" a="1"/>
  <c r="M4" i="13" s="1"/>
  <c r="M5" i="13" a="1"/>
  <c r="M5" i="13" s="1"/>
  <c r="A14" i="13"/>
  <c r="A13" i="13"/>
  <c r="A12" i="13"/>
  <c r="A11" i="13"/>
  <c r="J11" i="13" s="1" a="1"/>
  <c r="J11" i="13" s="1"/>
  <c r="A10" i="13"/>
  <c r="A9" i="13"/>
  <c r="A8" i="13"/>
  <c r="A7" i="13"/>
  <c r="J7" i="13" s="1" a="1"/>
  <c r="J7" i="13" s="1"/>
  <c r="A6" i="13"/>
  <c r="J6" i="13" s="1" a="1"/>
  <c r="J6" i="13" s="1"/>
  <c r="A5" i="13"/>
  <c r="A4" i="13"/>
  <c r="A3" i="13"/>
  <c r="J3" i="13" s="1" a="1"/>
  <c r="J3" i="13" s="1"/>
  <c r="L1" i="1"/>
  <c r="K1" i="1"/>
  <c r="H1" i="1"/>
  <c r="M15" i="13" l="1"/>
  <c r="G4" i="13"/>
  <c r="J4" i="13" a="1"/>
  <c r="J4" i="13" s="1"/>
  <c r="B8" i="13"/>
  <c r="J8" i="13" a="1"/>
  <c r="J8" i="13" s="1"/>
  <c r="D5" i="13"/>
  <c r="J5" i="13" a="1"/>
  <c r="J5" i="13" s="1"/>
  <c r="F9" i="13"/>
  <c r="J9" i="13" a="1"/>
  <c r="J9" i="13" s="1"/>
  <c r="D12" i="13"/>
  <c r="J12" i="13" a="1"/>
  <c r="J12" i="13" s="1"/>
  <c r="C13" i="13"/>
  <c r="J13" i="13" a="1"/>
  <c r="J13" i="13" s="1"/>
  <c r="B10" i="13"/>
  <c r="J10" i="13" a="1"/>
  <c r="J10" i="13" s="1"/>
  <c r="H14" i="13"/>
  <c r="J14" i="13" a="1"/>
  <c r="J14" i="13" s="1"/>
  <c r="C6" i="13"/>
  <c r="F3" i="13"/>
  <c r="F6" i="13"/>
  <c r="E6" i="13"/>
  <c r="D6" i="13"/>
  <c r="G3" i="13"/>
  <c r="F4" i="13"/>
  <c r="H13" i="13"/>
  <c r="E4" i="13"/>
  <c r="E9" i="13"/>
  <c r="D4" i="13"/>
  <c r="D9" i="13"/>
  <c r="C3" i="13"/>
  <c r="B7" i="13"/>
  <c r="H8" i="13"/>
  <c r="C5" i="13"/>
  <c r="G8" i="13"/>
  <c r="C4" i="13"/>
  <c r="F8" i="13"/>
  <c r="B6" i="13"/>
  <c r="H6" i="13"/>
  <c r="B5" i="13"/>
  <c r="G11" i="13"/>
  <c r="G6" i="13"/>
  <c r="B4" i="13"/>
  <c r="G13" i="13"/>
  <c r="E11" i="13"/>
  <c r="B14" i="13"/>
  <c r="D14" i="13"/>
  <c r="E14" i="13"/>
  <c r="D13" i="13"/>
  <c r="G10" i="13"/>
  <c r="E8" i="13"/>
  <c r="H5" i="13"/>
  <c r="C12" i="13"/>
  <c r="B13" i="13"/>
  <c r="D11" i="13"/>
  <c r="B3" i="13"/>
  <c r="E13" i="13"/>
  <c r="F14" i="13"/>
  <c r="H12" i="13"/>
  <c r="F10" i="13"/>
  <c r="D8" i="13"/>
  <c r="G5" i="13"/>
  <c r="C11" i="13"/>
  <c r="B12" i="13"/>
  <c r="H10" i="13"/>
  <c r="G14" i="13"/>
  <c r="G12" i="13"/>
  <c r="E10" i="13"/>
  <c r="H7" i="13"/>
  <c r="F5" i="13"/>
  <c r="C10" i="13"/>
  <c r="B11" i="13"/>
  <c r="C14" i="13"/>
  <c r="F13" i="13"/>
  <c r="F12" i="13"/>
  <c r="D10" i="13"/>
  <c r="G7" i="13"/>
  <c r="E5" i="13"/>
  <c r="C9" i="13"/>
  <c r="D3" i="13"/>
  <c r="E12" i="13"/>
  <c r="H9" i="13"/>
  <c r="F7" i="13"/>
  <c r="C8" i="13"/>
  <c r="B9" i="13"/>
  <c r="F11" i="13"/>
  <c r="E3" i="13"/>
  <c r="G9" i="13"/>
  <c r="E7" i="13"/>
  <c r="H4" i="13"/>
  <c r="C7" i="13"/>
  <c r="H11" i="13"/>
  <c r="D7" i="13"/>
  <c r="I1" i="1"/>
  <c r="J15" i="13" l="1"/>
  <c r="G15" i="13"/>
  <c r="D15" i="13"/>
  <c r="F15" i="13"/>
  <c r="B15" i="13"/>
  <c r="H3" i="13"/>
  <c r="M1" i="1"/>
  <c r="C15" i="13"/>
  <c r="B17" i="13" l="1"/>
  <c r="E15" i="13"/>
  <c r="H15" i="13"/>
  <c r="C17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M2" authorId="0" shapeId="0" xr:uid="{DC553004-C2EA-4278-98E4-012B76FE8B9D}">
      <text>
        <r>
          <rPr>
            <b/>
            <sz val="12"/>
            <color indexed="81"/>
            <rFont val="Tahoma"/>
            <family val="2"/>
          </rPr>
          <t>Total des factures sans date</t>
        </r>
        <r>
          <rPr>
            <sz val="12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<sst xmlns="http://schemas.openxmlformats.org/spreadsheetml/2006/main" count="40" uniqueCount="35">
  <si>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</si>
  <si>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</si>
  <si>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</si>
  <si>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</si>
  <si>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</si>
  <si>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</si>
  <si>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</si>
  <si>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</si>
  <si>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</si>
  <si>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</si>
  <si>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</si>
  <si>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</si>
  <si>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</si>
  <si>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</si>
  <si>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</si>
  <si>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</si>
  <si>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</si>
  <si>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</si>
  <si>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</si>
  <si>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</si>
  <si>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</si>
  <si>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</si>
  <si>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</si>
  <si>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Oui</t>
  </si>
  <si>
    <t>Panier moyen</t>
  </si>
  <si>
    <t>Louis</t>
  </si>
  <si>
    <t>Jacques</t>
  </si>
  <si>
    <t>Laurent</t>
  </si>
  <si>
    <t>Michel</t>
  </si>
  <si>
    <t>Bertrand</t>
  </si>
  <si>
    <t>Nicolas</t>
  </si>
  <si>
    <t>Impayées mensuelles</t>
  </si>
  <si>
    <t>Total Factures impayées TTC</t>
  </si>
  <si>
    <t>Total Factures impayées de plus de deux mois TTC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</si>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</sst>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"/>
  </numFmts>
  <fonts count="16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sz val="8"/>
      <name val="Calibri"/>
      <family val="2"/>
      <scheme val="minor"/>
    </font>
    <font>
      <b/>
      <sz val="11"/>
      <color rgb="FFC00000"/>
      <name val="Bahnschrift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15</xdr:row>
      <xdr:rowOff>190500</xdr:rowOff>
    </xdr:from>
    <xdr:to>
      <xdr:col>5</xdr:col>
      <xdr:colOff>1371600</xdr:colOff>
      <xdr:row>17</xdr:row>
      <xdr:rowOff>76200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11A6ABAE-52E0-EF0F-0B94-917956683ED2}"/>
            </a:ext>
          </a:extLst>
        </xdr:cNvPr>
        <xdr:cNvSpPr/>
      </xdr:nvSpPr>
      <xdr:spPr>
        <a:xfrm>
          <a:off x="7863840" y="3962400"/>
          <a:ext cx="1264920" cy="3886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9</xdr:col>
      <xdr:colOff>76200</xdr:colOff>
      <xdr:row>14</xdr:row>
      <xdr:rowOff>0</xdr:rowOff>
    </xdr:from>
    <xdr:to>
      <xdr:col>9</xdr:col>
      <xdr:colOff>1341120</xdr:colOff>
      <xdr:row>15</xdr:row>
      <xdr:rowOff>137160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6B40F497-F91D-2A71-C675-A7B2F50B2600}"/>
            </a:ext>
          </a:extLst>
        </xdr:cNvPr>
        <xdr:cNvSpPr/>
      </xdr:nvSpPr>
      <xdr:spPr>
        <a:xfrm>
          <a:off x="12877800" y="3520440"/>
          <a:ext cx="1264920" cy="3886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1371600</xdr:colOff>
      <xdr:row>15</xdr:row>
      <xdr:rowOff>137160</xdr:rowOff>
    </xdr:from>
    <xdr:to>
      <xdr:col>9</xdr:col>
      <xdr:colOff>708660</xdr:colOff>
      <xdr:row>16</xdr:row>
      <xdr:rowOff>133350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44A20D9E-94AF-EB9F-3C78-1D6FE4C09626}"/>
            </a:ext>
          </a:extLst>
        </xdr:cNvPr>
        <xdr:cNvCxnSpPr>
          <a:cxnSpLocks/>
          <a:stCxn id="5" idx="6"/>
          <a:endCxn id="6" idx="4"/>
        </xdr:cNvCxnSpPr>
      </xdr:nvCxnSpPr>
      <xdr:spPr>
        <a:xfrm flipV="1">
          <a:off x="9128760" y="3909060"/>
          <a:ext cx="4381500" cy="247650"/>
        </a:xfrm>
        <a:prstGeom prst="bentConnector2">
          <a:avLst/>
        </a:prstGeom>
        <a:ln w="28575">
          <a:solidFill>
            <a:srgbClr val="FF0000"/>
          </a:solidFill>
          <a:headEnd type="triangle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160020</xdr:colOff>
      <xdr:row>15</xdr:row>
      <xdr:rowOff>167640</xdr:rowOff>
    </xdr:from>
    <xdr:to>
      <xdr:col>8</xdr:col>
      <xdr:colOff>236220</xdr:colOff>
      <xdr:row>16</xdr:row>
      <xdr:rowOff>99060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BF8E8366-799A-3641-2B11-BA7DEE3EA027}"/>
            </a:ext>
          </a:extLst>
        </xdr:cNvPr>
        <xdr:cNvSpPr/>
      </xdr:nvSpPr>
      <xdr:spPr>
        <a:xfrm>
          <a:off x="10751820" y="3939540"/>
          <a:ext cx="1493520" cy="18288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>
              <a:solidFill>
                <a:srgbClr val="FF0000"/>
              </a:solidFill>
            </a:rPr>
            <a:t>Totaux différents</a:t>
          </a:r>
        </a:p>
      </xdr:txBody>
    </xdr:sp>
    <xdr:clientData/>
  </xdr:twoCellAnchor>
  <xdr:twoCellAnchor>
    <xdr:from>
      <xdr:col>12</xdr:col>
      <xdr:colOff>137160</xdr:colOff>
      <xdr:row>13</xdr:row>
      <xdr:rowOff>236220</xdr:rowOff>
    </xdr:from>
    <xdr:to>
      <xdr:col>12</xdr:col>
      <xdr:colOff>1402080</xdr:colOff>
      <xdr:row>15</xdr:row>
      <xdr:rowOff>121920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E8486F60-FC1E-72D2-320F-1FDA527902FA}"/>
            </a:ext>
          </a:extLst>
        </xdr:cNvPr>
        <xdr:cNvSpPr/>
      </xdr:nvSpPr>
      <xdr:spPr>
        <a:xfrm>
          <a:off x="15156180" y="3505200"/>
          <a:ext cx="1264920" cy="388620"/>
        </a:xfrm>
        <a:prstGeom prst="ellipse">
          <a:avLst/>
        </a:prstGeom>
        <a:noFill/>
        <a:ln w="285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1186356</xdr:colOff>
      <xdr:row>15</xdr:row>
      <xdr:rowOff>121920</xdr:rowOff>
    </xdr:from>
    <xdr:to>
      <xdr:col>12</xdr:col>
      <xdr:colOff>769619</xdr:colOff>
      <xdr:row>17</xdr:row>
      <xdr:rowOff>19288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772A7F79-F7D3-6433-C13C-724937179873}"/>
            </a:ext>
          </a:extLst>
        </xdr:cNvPr>
        <xdr:cNvCxnSpPr>
          <a:cxnSpLocks/>
          <a:stCxn id="5" idx="5"/>
          <a:endCxn id="13" idx="4"/>
        </xdr:cNvCxnSpPr>
      </xdr:nvCxnSpPr>
      <xdr:spPr>
        <a:xfrm rot="5400000" flipH="1" flipV="1">
          <a:off x="12165934" y="671402"/>
          <a:ext cx="400288" cy="6845123"/>
        </a:xfrm>
        <a:prstGeom prst="bentConnector3">
          <a:avLst>
            <a:gd name="adj1" fmla="val -71327"/>
          </a:avLst>
        </a:prstGeom>
        <a:ln w="28575">
          <a:solidFill>
            <a:srgbClr val="92D050"/>
          </a:solidFill>
          <a:headEnd type="triangle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853440</xdr:colOff>
      <xdr:row>17</xdr:row>
      <xdr:rowOff>91440</xdr:rowOff>
    </xdr:from>
    <xdr:to>
      <xdr:col>9</xdr:col>
      <xdr:colOff>137160</xdr:colOff>
      <xdr:row>18</xdr:row>
      <xdr:rowOff>22860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F845EE3-F979-BF1E-1DD0-E4CBD7A2E753}"/>
            </a:ext>
          </a:extLst>
        </xdr:cNvPr>
        <xdr:cNvSpPr/>
      </xdr:nvSpPr>
      <xdr:spPr>
        <a:xfrm>
          <a:off x="11445240" y="4366260"/>
          <a:ext cx="1493520" cy="182880"/>
        </a:xfrm>
        <a:prstGeom prst="rect">
          <a:avLst/>
        </a:prstGeom>
        <a:solidFill>
          <a:schemeClr val="bg1"/>
        </a:solidFill>
        <a:ln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>
              <a:solidFill>
                <a:srgbClr val="00B050"/>
              </a:solidFill>
            </a:rPr>
            <a:t>Totaux  identiques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241486</xdr:colOff>
      <xdr:row>0</xdr:row>
      <xdr:rowOff>48187</xdr:rowOff>
    </xdr:from>
    <xdr:to>
      <xdr:col>15</xdr:col>
      <xdr:colOff>523874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711014</xdr:colOff>
      <xdr:row>0</xdr:row>
      <xdr:rowOff>42583</xdr:rowOff>
    </xdr:from>
    <xdr:to>
      <xdr:col>18</xdr:col>
      <xdr:colOff>204508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10" headerRowBorderDxfId="18" tableBorderDxfId="17">
  <autoFilter ref="A2:M10" xr:uid="{2EF210DA-074B-4D43-A60E-1FE6D2D7513F}"/>
  <sortState xmlns:xlrd2="http://schemas.microsoft.com/office/spreadsheetml/2017/richdata2" ref="A3:M10">
    <sortCondition ref="I2:I10"/>
  </sortState>
  <tableColumns count="13">
    <tableColumn id="1" xr3:uid="{EB78B390-FDF3-4656-8322-560D046F05D4}" name="Client" totalsRowLabel="Total" dataDxfId="16"/>
    <tableColumn id="2" xr3:uid="{F7473968-C93B-457F-B732-47FD3BD3389D}" name="n° client" dataDxfId="15"/>
    <tableColumn id="3" xr3:uid="{1A33DBB3-D232-44E6-BCC5-FB968E40986E}" name="n° devis" dataDxfId="14"/>
    <tableColumn id="4" xr3:uid="{4D7CE070-7375-4BAE-8E50-104EEFB9E05A}" name="n° commande" dataDxfId="13"/>
    <tableColumn id="5" xr3:uid="{7CE0119C-45E8-48BB-A9E0-F78979F452D2}" name="n° bon de livraison" dataDxfId="12"/>
    <tableColumn id="6" xr3:uid="{DB695FBD-4A06-42EE-A190-6E92486BEBDA}" name="Date livraison" dataDxfId="11"/>
    <tableColumn id="7" xr3:uid="{038338D6-080F-4A29-9CBC-152E1222BDB5}" name="Transporteur" dataDxfId="10"/>
    <tableColumn id="8" xr3:uid="{D27493C8-EEA5-49BB-A007-350C4824984F}" name="Frais" dataDxfId="9"/>
    <tableColumn id="9" xr3:uid="{3684B340-608F-4945-8A59-A2B007769E47}" name="n° facture" dataDxfId="8"/>
    <tableColumn id="10" xr3:uid="{7E18E2DE-BC9A-44B7-860B-7A359E5E3C44}" name="Date facture" dataDxfId="7"/>
    <tableColumn id="11" xr3:uid="{5C6F3386-DD01-4C6C-B50F-2C946D00BDE1}" name="Règlement effectué" dataDxfId="6"/>
    <tableColumn id="13" xr3:uid="{72AE4FD5-285E-4FE2-8B06-7717C5C4B037}" name="Montant HT" dataDxfId="5"/>
    <tableColumn id="14" xr3:uid="{09DBF1FA-71E9-4D2E-817C-AE93B3036652}" name="Montant TTC" totalsRowFunction="sum" dataDxfId="4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sheetPr codeName="Feuil1"/>
  <dimension ref="A1:M18"/>
  <sheetViews>
    <sheetView tabSelected="1" workbookViewId="0">
      <selection activeCell="D28" sqref="D28"/>
    </sheetView>
  </sheetViews>
  <sheetFormatPr baseColWidth="10" defaultColWidth="11.5546875" defaultRowHeight="13.8"/>
  <cols>
    <col min="1" max="3" width="20.6640625" style="10" customWidth="1"/>
    <col min="4" max="5" width="25.5546875" style="10" customWidth="1"/>
    <col min="6" max="8" width="20.6640625" style="10" customWidth="1"/>
    <col min="9" max="9" width="11.5546875" style="10"/>
    <col min="10" max="10" width="20.6640625" style="10" bestFit="1" customWidth="1"/>
    <col min="11" max="11" width="6.77734375" style="10" customWidth="1"/>
    <col min="12" max="12" width="4.88671875" style="10" customWidth="1"/>
    <col min="13" max="13" width="22" style="10" customWidth="1"/>
    <col min="14" max="16384" width="11.5546875" style="10"/>
  </cols>
  <sheetData>
    <row r="1" spans="1:13" ht="19.95" customHeight="1">
      <c r="A1" s="41">
        <v>2024</v>
      </c>
      <c r="B1" s="40" t="s">
        <v>19</v>
      </c>
      <c r="C1" s="40"/>
      <c r="D1" s="40" t="s">
        <v>11</v>
      </c>
      <c r="E1" s="40"/>
      <c r="F1" s="40"/>
      <c r="G1" s="40" t="s">
        <v>15</v>
      </c>
      <c r="H1" s="40"/>
      <c r="M1" s="11" t="s">
        <v>31</v>
      </c>
    </row>
    <row r="2" spans="1:13" ht="19.95" customHeight="1">
      <c r="A2" s="42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17</v>
      </c>
      <c r="H2" s="11" t="s">
        <v>16</v>
      </c>
      <c r="J2" s="11" t="s">
        <v>31</v>
      </c>
      <c r="M2" s="47" cm="1">
        <f t="array" ref="M2">SUMPRODUCT((Tableau1[Montant TTC])*(Tableau1[Règlement effectué]&lt;&gt;"Oui")*(Tableau1[Date facture]=""))</f>
        <v>1232.9280000000001</v>
      </c>
    </row>
    <row r="3" spans="1:13" ht="19.95" customHeight="1">
      <c r="A3" s="31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36">
        <f>SUMIFS(Tableau1[Montant HT],Tableau1[Date facture],"&gt;="&amp;Synthèse!$A3,Tableau1[Date facture],"&lt;"&amp;Synthèse!$A4)</f>
        <v>0</v>
      </c>
      <c r="H3" s="36">
        <f>SUMIFS(Tableau1[Montant TTC],Tableau1[Date facture],"&gt;="&amp;Synthèse!$A3,Tableau1[Date facture],"&lt;"&amp;Synthèse!$A4)</f>
        <v>0</v>
      </c>
      <c r="J3" s="45" cm="1">
        <f t="array" ref="J3">SUMPRODUCT((Tableau1[Montant TTC])*(Tableau1[Règlement effectué]&lt;&gt;"Oui")*(Tableau1[Date facture]&lt;&gt;"")*(MONTH(Tableau1[Date facture])=MONTH(A3)))</f>
        <v>0</v>
      </c>
      <c r="M3" s="46" cm="1">
        <f t="array" ref="M3">SUMPRODUCT((Tableau1[Montant TTC])*(Tableau1[Règlement effectué]&lt;&gt;"Oui")*(Tableau1[Date facture]&lt;&gt;"")*(MONTH(Tableau1[Date facture])=MONTH(A3)))</f>
        <v>0</v>
      </c>
    </row>
    <row r="4" spans="1:13" ht="19.95" customHeight="1">
      <c r="A4" s="31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36">
        <f>SUMIFS(Tableau1[Montant HT],Tableau1[Date facture],"&gt;="&amp;Synthèse!$A4,Tableau1[Date facture],"&lt;"&amp;Synthèse!$A5)</f>
        <v>0</v>
      </c>
      <c r="H4" s="36">
        <f>SUMIFS(Tableau1[Montant TTC],Tableau1[Date facture],"&gt;="&amp;Synthèse!$A4,Tableau1[Date facture],"&lt;"&amp;Synthèse!$A5)</f>
        <v>0</v>
      </c>
      <c r="J4" s="45" cm="1">
        <f t="array" ref="J4">SUMPRODUCT((Tableau1[Montant TTC])*(Tableau1[Règlement effectué]&lt;&gt;"Oui")*(Tableau1[Date facture]&lt;&gt;"")*(MONTH(Tableau1[Date facture])=MONTH(A4)))</f>
        <v>0</v>
      </c>
      <c r="M4" s="46" cm="1">
        <f t="array" ref="M4">SUMPRODUCT((Tableau1[Montant TTC])*(Tableau1[Règlement effectué]&lt;&gt;"Oui")*(Tableau1[Date facture]&lt;&gt;"")*(MONTH(Tableau1[Date facture])=MONTH(A4)))</f>
        <v>0</v>
      </c>
    </row>
    <row r="5" spans="1:13" ht="19.95" customHeight="1">
      <c r="A5" s="31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36">
        <f>SUMIFS(Tableau1[Montant HT],Tableau1[Date facture],"&gt;="&amp;Synthèse!$A5,Tableau1[Date facture],"&lt;"&amp;Synthèse!$A6)</f>
        <v>0</v>
      </c>
      <c r="H5" s="36">
        <f>SUMIFS(Tableau1[Montant TTC],Tableau1[Date facture],"&gt;="&amp;Synthèse!$A5,Tableau1[Date facture],"&lt;"&amp;Synthèse!$A6)</f>
        <v>0</v>
      </c>
      <c r="J5" s="45" cm="1">
        <f t="array" ref="J5">SUMPRODUCT((Tableau1[Montant TTC])*(Tableau1[Règlement effectué]&lt;&gt;"Oui")*(Tableau1[Date facture]&lt;&gt;"")*(MONTH(Tableau1[Date facture])=MONTH(A5)))</f>
        <v>0</v>
      </c>
      <c r="M5" s="46" cm="1">
        <f t="array" ref="M5">SUMPRODUCT((Tableau1[Montant TTC])*(Tableau1[Règlement effectué]&lt;&gt;"Oui")*(Tableau1[Date facture]&lt;&gt;"")*(MONTH(Tableau1[Date facture])=MONTH(A5)))</f>
        <v>0</v>
      </c>
    </row>
    <row r="6" spans="1:13" ht="19.95" customHeight="1">
      <c r="A6" s="31">
        <f t="shared" si="0"/>
        <v>45383</v>
      </c>
      <c r="B6" s="12">
        <f>COUNTIFS(Tableau1[n° bon de livraison],"&lt;&gt;",Tableau1[Date livraison],"&gt;="&amp;Synthèse!$A6,Tableau1[Date livraison],"&lt;"&amp;Synthèse!$A7)</f>
        <v>1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1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1</v>
      </c>
      <c r="G6" s="36">
        <f>SUMIFS(Tableau1[Montant HT],Tableau1[Date facture],"&gt;="&amp;Synthèse!$A6,Tableau1[Date facture],"&lt;"&amp;Synthèse!$A7)</f>
        <v>2475.61</v>
      </c>
      <c r="H6" s="36">
        <f>SUMIFS(Tableau1[Montant TTC],Tableau1[Date facture],"&gt;="&amp;Synthèse!$A6,Tableau1[Date facture],"&lt;"&amp;Synthèse!$A7)</f>
        <v>2970.732</v>
      </c>
      <c r="J6" s="45" cm="1">
        <f t="array" ref="J6">SUMPRODUCT((Tableau1[Montant TTC])*(Tableau1[Règlement effectué]&lt;&gt;"Oui")*(Tableau1[Date facture]&lt;&gt;"")*(MONTH(Tableau1[Date facture])=MONTH(A6)))</f>
        <v>2970.732</v>
      </c>
      <c r="M6" s="46" cm="1">
        <f t="array" ref="M6">SUMPRODUCT((Tableau1[Montant TTC])*(Tableau1[Règlement effectué]&lt;&gt;"Oui")*(Tableau1[Date facture]&lt;&gt;"")*(MONTH(Tableau1[Date facture])=MONTH(A6)))</f>
        <v>2970.732</v>
      </c>
    </row>
    <row r="7" spans="1:13" ht="19.95" customHeight="1">
      <c r="A7" s="31">
        <f t="shared" si="0"/>
        <v>45413</v>
      </c>
      <c r="B7" s="12">
        <f>COUNTIFS(Tableau1[n° bon de livraison],"&lt;&gt;",Tableau1[Date livraison],"&gt;="&amp;Synthèse!$A7,Tableau1[Date livraison],"&lt;"&amp;Synthèse!$A8)</f>
        <v>2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1</v>
      </c>
      <c r="E7" s="13">
        <f>COUNTIFS(Tableau1[Date facture],"&gt;="&amp;Synthèse!$A7,Tableau1[Date facture],"&lt;"&amp;Synthèse!$A8,Tableau1[Règlement effectué],"Oui")</f>
        <v>0</v>
      </c>
      <c r="F7" s="13">
        <f>COUNTIFS(Tableau1[Date facture],"&gt;="&amp;Synthèse!$A7,Tableau1[Date facture],"&lt;"&amp;Synthèse!$A8,Tableau1[Règlement effectué],"")</f>
        <v>1</v>
      </c>
      <c r="G7" s="36">
        <f>SUMIFS(Tableau1[Montant HT],Tableau1[Date facture],"&gt;="&amp;Synthèse!$A7,Tableau1[Date facture],"&lt;"&amp;Synthèse!$A8)</f>
        <v>3311.12</v>
      </c>
      <c r="H7" s="36">
        <f>SUMIFS(Tableau1[Montant TTC],Tableau1[Date facture],"&gt;="&amp;Synthèse!$A7,Tableau1[Date facture],"&lt;"&amp;Synthèse!$A8)</f>
        <v>3973.3439999999996</v>
      </c>
      <c r="J7" s="45" cm="1">
        <f t="array" ref="J7">SUMPRODUCT((Tableau1[Montant TTC])*(Tableau1[Règlement effectué]&lt;&gt;"Oui")*(Tableau1[Date facture]&lt;&gt;"")*(MONTH(Tableau1[Date facture])=MONTH(A7)))</f>
        <v>3973.3439999999996</v>
      </c>
      <c r="M7" s="46" cm="1">
        <f t="array" ref="M7">SUMPRODUCT((Tableau1[Montant TTC])*(Tableau1[Règlement effectué]&lt;&gt;"Oui")*(Tableau1[Date facture]&lt;&gt;"")*(MONTH(Tableau1[Date facture])=MONTH(A7)))</f>
        <v>3973.3439999999996</v>
      </c>
    </row>
    <row r="8" spans="1:13" ht="19.95" customHeight="1">
      <c r="A8" s="31">
        <f t="shared" si="0"/>
        <v>45444</v>
      </c>
      <c r="B8" s="12">
        <f>COUNTIFS(Tableau1[n° bon de livraison],"&lt;&gt;",Tableau1[Date livraison],"&gt;="&amp;Synthèse!$A8,Tableau1[Date livraison],"&lt;"&amp;Synthèse!$A9)</f>
        <v>1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1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1</v>
      </c>
      <c r="G8" s="36">
        <f>SUMIFS(Tableau1[Montant HT],Tableau1[Date facture],"&gt;="&amp;Synthèse!$A8,Tableau1[Date facture],"&lt;"&amp;Synthèse!$A9)</f>
        <v>927.56</v>
      </c>
      <c r="H8" s="36">
        <f>SUMIFS(Tableau1[Montant TTC],Tableau1[Date facture],"&gt;="&amp;Synthèse!$A8,Tableau1[Date facture],"&lt;"&amp;Synthèse!$A9)</f>
        <v>1113.0719999999999</v>
      </c>
      <c r="J8" s="45" cm="1">
        <f t="array" ref="J8">SUMPRODUCT((Tableau1[Montant TTC])*(Tableau1[Règlement effectué]&lt;&gt;"Oui")*(Tableau1[Date facture]&lt;&gt;"")*(MONTH(Tableau1[Date facture])=MONTH(A8)))</f>
        <v>1113.0719999999999</v>
      </c>
      <c r="M8" s="46" cm="1">
        <f t="array" ref="M8">SUMPRODUCT((Tableau1[Montant TTC])*(Tableau1[Règlement effectué]&lt;&gt;"Oui")*(Tableau1[Date facture]&lt;&gt;"")*(MONTH(Tableau1[Date facture])=MONTH(A8)))</f>
        <v>1113.0719999999999</v>
      </c>
    </row>
    <row r="9" spans="1:13" ht="19.95" customHeight="1">
      <c r="A9" s="31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36">
        <f>SUMIFS(Tableau1[Montant HT],Tableau1[Date facture],"&gt;="&amp;Synthèse!$A9,Tableau1[Date facture],"&lt;"&amp;Synthèse!$A10)</f>
        <v>0</v>
      </c>
      <c r="H9" s="36">
        <f>SUMIFS(Tableau1[Montant TTC],Tableau1[Date facture],"&gt;="&amp;Synthèse!$A9,Tableau1[Date facture],"&lt;"&amp;Synthèse!$A10)</f>
        <v>0</v>
      </c>
      <c r="J9" s="45" cm="1">
        <f t="array" ref="J9">SUMPRODUCT((Tableau1[Montant TTC])*(Tableau1[Règlement effectué]&lt;&gt;"Oui")*(Tableau1[Date facture]&lt;&gt;"")*(MONTH(Tableau1[Date facture])=MONTH(A9)))</f>
        <v>0</v>
      </c>
      <c r="M9" s="46" cm="1">
        <f t="array" ref="M9">SUMPRODUCT((Tableau1[Montant TTC])*(Tableau1[Règlement effectué]&lt;&gt;"Oui")*(Tableau1[Date facture]&lt;&gt;"")*(MONTH(Tableau1[Date facture])=MONTH(A9)))</f>
        <v>0</v>
      </c>
    </row>
    <row r="10" spans="1:13" ht="19.95" customHeight="1">
      <c r="A10" s="31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36">
        <f>SUMIFS(Tableau1[Montant HT],Tableau1[Date facture],"&gt;="&amp;Synthèse!$A10,Tableau1[Date facture],"&lt;"&amp;Synthèse!$A11)</f>
        <v>0</v>
      </c>
      <c r="H10" s="36">
        <f>SUMIFS(Tableau1[Montant TTC],Tableau1[Date facture],"&gt;="&amp;Synthèse!$A10,Tableau1[Date facture],"&lt;"&amp;Synthèse!$A11)</f>
        <v>0</v>
      </c>
      <c r="J10" s="45" cm="1">
        <f t="array" ref="J10">SUMPRODUCT((Tableau1[Montant TTC])*(Tableau1[Règlement effectué]&lt;&gt;"Oui")*(Tableau1[Date facture]&lt;&gt;"")*(MONTH(Tableau1[Date facture])=MONTH(A10)))</f>
        <v>0</v>
      </c>
      <c r="M10" s="46" cm="1">
        <f t="array" ref="M10">SUMPRODUCT((Tableau1[Montant TTC])*(Tableau1[Règlement effectué]&lt;&gt;"Oui")*(Tableau1[Date facture]&lt;&gt;"")*(MONTH(Tableau1[Date facture])=MONTH(A10)))</f>
        <v>0</v>
      </c>
    </row>
    <row r="11" spans="1:13" ht="19.95" customHeight="1">
      <c r="A11" s="31">
        <f t="shared" si="0"/>
        <v>45536</v>
      </c>
      <c r="B11" s="12">
        <f>COUNTIFS(Tableau1[n° bon de livraison],"&lt;&gt;",Tableau1[Date livraison],"&gt;="&amp;Synthèse!$A11,Tableau1[Date livraison],"&lt;"&amp;Synthèse!$A12)</f>
        <v>1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1</v>
      </c>
      <c r="E11" s="13">
        <f>COUNTIFS(Tableau1[Date facture],"&gt;="&amp;Synthèse!$A11,Tableau1[Date facture],"&lt;"&amp;Synthèse!$A12,Tableau1[Règlement effectué],"Oui")</f>
        <v>1</v>
      </c>
      <c r="F11" s="13">
        <f>COUNTIFS(Tableau1[Date facture],"&gt;="&amp;Synthèse!$A11,Tableau1[Date facture],"&lt;"&amp;Synthèse!$A12,Tableau1[Règlement effectué],"")</f>
        <v>0</v>
      </c>
      <c r="G11" s="36">
        <f>SUMIFS(Tableau1[Montant HT],Tableau1[Date facture],"&gt;="&amp;Synthèse!$A11,Tableau1[Date facture],"&lt;"&amp;Synthèse!$A12)</f>
        <v>988.69</v>
      </c>
      <c r="H11" s="36">
        <f>SUMIFS(Tableau1[Montant TTC],Tableau1[Date facture],"&gt;="&amp;Synthèse!$A11,Tableau1[Date facture],"&lt;"&amp;Synthèse!$A12)</f>
        <v>1186.4280000000001</v>
      </c>
      <c r="J11" s="45" cm="1">
        <f t="array" ref="J11">SUMPRODUCT((Tableau1[Montant TTC])*(Tableau1[Règlement effectué]&lt;&gt;"Oui")*(Tableau1[Date facture]&lt;&gt;"")*(MONTH(Tableau1[Date facture])=MONTH(A11)))</f>
        <v>0</v>
      </c>
      <c r="M11" s="46" cm="1">
        <f t="array" ref="M11">SUMPRODUCT((Tableau1[Montant TTC])*(Tableau1[Règlement effectué]&lt;&gt;"Oui")*(Tableau1[Date facture]&lt;&gt;"")*(MONTH(Tableau1[Date facture])=MONTH(A11)))</f>
        <v>0</v>
      </c>
    </row>
    <row r="12" spans="1:13" ht="19.95" customHeight="1">
      <c r="A12" s="31">
        <f t="shared" si="0"/>
        <v>45566</v>
      </c>
      <c r="B12" s="12">
        <f>COUNTIFS(Tableau1[n° bon de livraison],"&lt;&gt;",Tableau1[Date livraison],"&gt;="&amp;Synthèse!$A12,Tableau1[Date livraison],"&lt;"&amp;Synthèse!$A13)</f>
        <v>2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2</v>
      </c>
      <c r="E12" s="13">
        <f>COUNTIFS(Tableau1[Date facture],"&gt;="&amp;Synthèse!$A12,Tableau1[Date facture],"&lt;"&amp;Synthèse!$A13,Tableau1[Règlement effectué],"Oui")</f>
        <v>1</v>
      </c>
      <c r="F12" s="13">
        <f>COUNTIFS(Tableau1[Date facture],"&gt;="&amp;Synthèse!$A12,Tableau1[Date facture],"&lt;"&amp;Synthèse!$A13,Tableau1[Règlement effectué],"")</f>
        <v>1</v>
      </c>
      <c r="G12" s="36">
        <f>SUMIFS(Tableau1[Montant HT],Tableau1[Date facture],"&gt;="&amp;Synthèse!$A12,Tableau1[Date facture],"&lt;"&amp;Synthèse!$A13)</f>
        <v>9092.33</v>
      </c>
      <c r="H12" s="36">
        <f>SUMIFS(Tableau1[Montant TTC],Tableau1[Date facture],"&gt;="&amp;Synthèse!$A12,Tableau1[Date facture],"&lt;"&amp;Synthèse!$A13)</f>
        <v>10910.796</v>
      </c>
      <c r="J12" s="45" cm="1">
        <f t="array" ref="J12">SUMPRODUCT((Tableau1[Montant TTC])*(Tableau1[Règlement effectué]&lt;&gt;"Oui")*(Tableau1[Date facture]&lt;&gt;"")*(MONTH(Tableau1[Date facture])=MONTH(A12)))</f>
        <v>10391.196</v>
      </c>
      <c r="M12" s="46" cm="1">
        <f t="array" ref="M12">SUMPRODUCT((Tableau1[Montant TTC])*(Tableau1[Règlement effectué]&lt;&gt;"Oui")*(Tableau1[Date facture]&lt;&gt;"")*(MONTH(Tableau1[Date facture])=MONTH(A12)))</f>
        <v>10391.196</v>
      </c>
    </row>
    <row r="13" spans="1:13" ht="19.95" customHeight="1">
      <c r="A13" s="31">
        <f t="shared" si="0"/>
        <v>45597</v>
      </c>
      <c r="B13" s="12">
        <f>COUNTIFS(Tableau1[n° bon de livraison],"&lt;&gt;",Tableau1[Date livraison],"&gt;="&amp;Synthèse!$A13,Tableau1[Date livraison],"&lt;"&amp;Synthèse!$A14)</f>
        <v>1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1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1</v>
      </c>
      <c r="G13" s="36">
        <f>SUMIFS(Tableau1[Montant HT],Tableau1[Date facture],"&gt;="&amp;Synthèse!$A13,Tableau1[Date facture],"&lt;"&amp;Synthèse!$A14)</f>
        <v>4545.2700000000004</v>
      </c>
      <c r="H13" s="36">
        <f>SUMIFS(Tableau1[Montant TTC],Tableau1[Date facture],"&gt;="&amp;Synthèse!$A13,Tableau1[Date facture],"&lt;"&amp;Synthèse!$A14)</f>
        <v>5454.3240000000005</v>
      </c>
      <c r="J13" s="45" cm="1">
        <f t="array" ref="J13">SUMPRODUCT((Tableau1[Montant TTC])*(Tableau1[Règlement effectué]&lt;&gt;"Oui")*(Tableau1[Date facture]&lt;&gt;"")*(MONTH(Tableau1[Date facture])=MONTH(A13)))</f>
        <v>5454.3240000000005</v>
      </c>
      <c r="M13" s="46" cm="1">
        <f t="array" ref="M13">SUMPRODUCT((Tableau1[Montant TTC])*(Tableau1[Règlement effectué]&lt;&gt;"Oui")*(Tableau1[Date facture]&lt;&gt;"")*(MONTH(Tableau1[Date facture])=MONTH(A13)))</f>
        <v>5454.3240000000005</v>
      </c>
    </row>
    <row r="14" spans="1:13" ht="19.95" customHeight="1">
      <c r="A14" s="31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36">
        <f>SUMIFS(Tableau1[Montant HT],Tableau1[Date facture],"&gt;="&amp;Synthèse!$A14)</f>
        <v>0</v>
      </c>
      <c r="H14" s="36">
        <f>SUMIFS(Tableau1[Montant TTC],Tableau1[Date facture],"&gt;="&amp;Synthèse!$A14)</f>
        <v>0</v>
      </c>
      <c r="J14" s="45" cm="1">
        <f t="array" ref="J14">SUMPRODUCT((Tableau1[Montant TTC])*(Tableau1[Règlement effectué]&lt;&gt;"Oui")*(Tableau1[Date facture]&lt;&gt;"")*(MONTH(Tableau1[Date facture])=MONTH(A14)))</f>
        <v>0</v>
      </c>
      <c r="M14" s="46" cm="1">
        <f t="array" ref="M14">SUMPRODUCT((Tableau1[Montant TTC])*(Tableau1[Règlement effectué]&lt;&gt;"Oui")*(Tableau1[Date facture]&lt;&gt;"")*(MONTH(Tableau1[Date facture])=MONTH(A14)))</f>
        <v>0</v>
      </c>
    </row>
    <row r="15" spans="1:13" ht="19.95" customHeight="1">
      <c r="A15" s="19" t="s">
        <v>18</v>
      </c>
      <c r="B15" s="16">
        <f>SUM(B3:B14)</f>
        <v>8</v>
      </c>
      <c r="C15" s="17">
        <f t="shared" ref="C15:H15" si="1">SUM(C3:C14)</f>
        <v>0</v>
      </c>
      <c r="D15" s="18">
        <f t="shared" si="1"/>
        <v>7</v>
      </c>
      <c r="E15" s="18">
        <f t="shared" si="1"/>
        <v>2</v>
      </c>
      <c r="F15" s="18">
        <f t="shared" si="1"/>
        <v>5</v>
      </c>
      <c r="G15" s="17">
        <f t="shared" si="1"/>
        <v>21340.579999999998</v>
      </c>
      <c r="H15" s="17">
        <f t="shared" si="1"/>
        <v>25608.696</v>
      </c>
      <c r="J15" s="37">
        <f>SUM(J3:J14)</f>
        <v>23902.667999999998</v>
      </c>
      <c r="M15" s="44">
        <f>SUM(M2:M14)</f>
        <v>25135.595999999998</v>
      </c>
    </row>
    <row r="16" spans="1:13" ht="19.95" customHeight="1">
      <c r="F16" s="34"/>
    </row>
    <row r="17" spans="1:6" ht="19.95" customHeight="1">
      <c r="A17" s="33" t="s">
        <v>24</v>
      </c>
      <c r="B17" s="17">
        <f>IFERROR(G15/D15,"")</f>
        <v>3048.6542857142854</v>
      </c>
      <c r="C17" s="17">
        <f>IFERROR(H15/D15,"")</f>
        <v>3658.3851428571429</v>
      </c>
      <c r="D17" s="43" t="s">
        <v>32</v>
      </c>
      <c r="E17" s="39"/>
      <c r="F17" s="35">
        <f>SUMIFS(Tableau1[Montant TTC],Tableau1[Règlement effectué],"&lt;&gt;"&amp;"Oui")</f>
        <v>25135.595999999998</v>
      </c>
    </row>
    <row r="18" spans="1:6" ht="19.95" customHeight="1">
      <c r="D18" s="38" t="s">
        <v>33</v>
      </c>
      <c r="E18" s="39"/>
      <c r="F18" s="35" cm="1">
        <f t="array" aca="1" ref="F18" ca="1">SUMPRODUCT((Tableau1[Montant TTC])*(Tableau1[Règlement effectué]&lt;&gt;"Oui")*(MONTH(Tableau1[Date facture])&lt;=MONTH(TODAY())-2))</f>
        <v>9290.0759999999991</v>
      </c>
    </row>
  </sheetData>
  <mergeCells count="6">
    <mergeCell ref="D18:E18"/>
    <mergeCell ref="D1:F1"/>
    <mergeCell ref="G1:H1"/>
    <mergeCell ref="B1:C1"/>
    <mergeCell ref="A1:A2"/>
    <mergeCell ref="D17:E17"/>
  </mergeCells>
  <conditionalFormatting sqref="F3:F15">
    <cfRule type="cellIs" dxfId="3" priority="1" operator="greaterThan">
      <formula>0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201"/>
  <sheetViews>
    <sheetView topLeftCell="D1" zoomScale="130" zoomScaleNormal="130" workbookViewId="0">
      <pane ySplit="11" topLeftCell="A114" activePane="bottomLeft" state="frozen"/>
      <selection pane="bottomLeft" activeCell="L3" sqref="L3:L10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3" width="14.6640625" style="5" customWidth="1"/>
    <col min="14" max="16384" width="11.5546875" style="8"/>
  </cols>
  <sheetData>
    <row r="1" spans="1:13" ht="19.95" customHeight="1">
      <c r="A1" s="7"/>
      <c r="B1" s="7"/>
      <c r="C1" s="7"/>
      <c r="D1" s="7"/>
      <c r="E1" s="30">
        <f>COUNTA(E3:E10)</f>
        <v>8</v>
      </c>
      <c r="G1" s="7"/>
      <c r="H1" s="29">
        <f>SUM(Tableau1[Frais])</f>
        <v>0</v>
      </c>
      <c r="I1" s="30">
        <f>COUNTA(Tableau1[n° facture])</f>
        <v>0</v>
      </c>
      <c r="J1" s="9"/>
      <c r="K1" s="30">
        <f>COUNTIF(Tableau1[Règlement effectué],"Oui")</f>
        <v>2</v>
      </c>
      <c r="L1" s="29">
        <f>SUM(Tableau1[Montant HT])</f>
        <v>22368.02</v>
      </c>
      <c r="M1" s="29">
        <f>SUM(Tableau1[Montant TTC])</f>
        <v>26841.624</v>
      </c>
    </row>
    <row r="2" spans="1:13" ht="19.95" customHeight="1">
      <c r="A2" s="23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22</v>
      </c>
      <c r="G2" s="24" t="s">
        <v>5</v>
      </c>
      <c r="H2" s="25" t="s">
        <v>10</v>
      </c>
      <c r="I2" s="24" t="s">
        <v>6</v>
      </c>
      <c r="J2" s="26" t="s">
        <v>21</v>
      </c>
      <c r="K2" s="27" t="s">
        <v>7</v>
      </c>
      <c r="L2" s="25" t="s">
        <v>8</v>
      </c>
      <c r="M2" s="28" t="s">
        <v>9</v>
      </c>
    </row>
    <row r="3" spans="1:13" ht="19.95" customHeight="1">
      <c r="A3" s="20" t="s">
        <v>25</v>
      </c>
      <c r="B3" s="2">
        <v>1</v>
      </c>
      <c r="C3" s="2"/>
      <c r="D3" s="2"/>
      <c r="E3" s="2">
        <v>473</v>
      </c>
      <c r="F3" s="4">
        <v>45397</v>
      </c>
      <c r="G3" s="2"/>
      <c r="H3" s="3"/>
      <c r="I3" s="2"/>
      <c r="J3" s="4">
        <v>45397</v>
      </c>
      <c r="K3" s="21"/>
      <c r="L3" s="3">
        <v>2475.61</v>
      </c>
      <c r="M3" s="22">
        <f t="shared" ref="M3:M10" si="0">(L3+H3)*1.2</f>
        <v>2970.732</v>
      </c>
    </row>
    <row r="4" spans="1:13" ht="19.95" customHeight="1">
      <c r="A4" s="20" t="s">
        <v>26</v>
      </c>
      <c r="B4" s="2">
        <v>2</v>
      </c>
      <c r="C4" s="2"/>
      <c r="D4" s="2"/>
      <c r="E4" s="2">
        <v>456</v>
      </c>
      <c r="F4" s="4">
        <v>45431</v>
      </c>
      <c r="G4" s="2"/>
      <c r="H4" s="3"/>
      <c r="I4" s="2"/>
      <c r="J4" s="4">
        <v>45431</v>
      </c>
      <c r="K4" s="21"/>
      <c r="L4" s="3">
        <v>3311.12</v>
      </c>
      <c r="M4" s="22">
        <f t="shared" si="0"/>
        <v>3973.3439999999996</v>
      </c>
    </row>
    <row r="5" spans="1:13" ht="19.95" customHeight="1">
      <c r="A5" s="20" t="s">
        <v>27</v>
      </c>
      <c r="B5" s="2">
        <v>3</v>
      </c>
      <c r="C5" s="2"/>
      <c r="D5" s="2" t="s">
        <v>34</v>
      </c>
      <c r="E5" s="2">
        <v>422</v>
      </c>
      <c r="F5" s="4">
        <v>45433</v>
      </c>
      <c r="G5" s="2"/>
      <c r="H5" s="3"/>
      <c r="I5" s="2"/>
      <c r="J5" s="4"/>
      <c r="K5" s="21"/>
      <c r="L5" s="3">
        <v>1027.44</v>
      </c>
      <c r="M5" s="22">
        <f t="shared" si="0"/>
        <v>1232.9280000000001</v>
      </c>
    </row>
    <row r="6" spans="1:13" ht="19.95" customHeight="1">
      <c r="A6" s="20" t="s">
        <v>28</v>
      </c>
      <c r="B6" s="2">
        <v>4</v>
      </c>
      <c r="D6" s="2"/>
      <c r="E6" s="2">
        <v>478</v>
      </c>
      <c r="F6" s="4">
        <v>45445</v>
      </c>
      <c r="G6" s="2"/>
      <c r="H6" s="3"/>
      <c r="I6" s="2"/>
      <c r="J6" s="4">
        <v>45445</v>
      </c>
      <c r="K6" s="21"/>
      <c r="L6" s="3">
        <v>927.56</v>
      </c>
      <c r="M6" s="22">
        <f t="shared" si="0"/>
        <v>1113.0719999999999</v>
      </c>
    </row>
    <row r="7" spans="1:13" ht="19.95" customHeight="1">
      <c r="A7" s="20" t="s">
        <v>29</v>
      </c>
      <c r="B7" s="2">
        <v>5</v>
      </c>
      <c r="C7" s="32"/>
      <c r="D7" s="2"/>
      <c r="E7" s="2">
        <v>479</v>
      </c>
      <c r="F7" s="4">
        <v>45558</v>
      </c>
      <c r="G7" s="2"/>
      <c r="H7" s="3"/>
      <c r="I7" s="2"/>
      <c r="J7" s="4">
        <v>45558</v>
      </c>
      <c r="K7" s="21" t="s">
        <v>23</v>
      </c>
      <c r="L7" s="3">
        <v>988.69</v>
      </c>
      <c r="M7" s="22">
        <f t="shared" si="0"/>
        <v>1186.4280000000001</v>
      </c>
    </row>
    <row r="8" spans="1:13" ht="19.95" customHeight="1">
      <c r="A8" s="20" t="s">
        <v>30</v>
      </c>
      <c r="B8" s="2">
        <v>6</v>
      </c>
      <c r="C8" s="2"/>
      <c r="D8" s="2"/>
      <c r="E8" s="2">
        <v>533</v>
      </c>
      <c r="F8" s="4">
        <v>45582</v>
      </c>
      <c r="G8" s="2"/>
      <c r="H8" s="3"/>
      <c r="I8" s="2"/>
      <c r="J8" s="4">
        <v>45582</v>
      </c>
      <c r="K8" s="21" t="s">
        <v>23</v>
      </c>
      <c r="L8" s="3">
        <v>433</v>
      </c>
      <c r="M8" s="22">
        <f t="shared" si="0"/>
        <v>519.6</v>
      </c>
    </row>
    <row r="9" spans="1:13" ht="19.95" customHeight="1">
      <c r="A9" s="20" t="s">
        <v>25</v>
      </c>
      <c r="B9" s="2">
        <v>1</v>
      </c>
      <c r="C9" s="2"/>
      <c r="D9" s="2"/>
      <c r="E9" s="2">
        <v>421</v>
      </c>
      <c r="F9" s="4">
        <v>45586</v>
      </c>
      <c r="G9" s="2"/>
      <c r="H9" s="3"/>
      <c r="I9" s="2"/>
      <c r="J9" s="4">
        <v>45586</v>
      </c>
      <c r="K9" s="21"/>
      <c r="L9" s="3">
        <v>8659.33</v>
      </c>
      <c r="M9" s="22">
        <f t="shared" si="0"/>
        <v>10391.196</v>
      </c>
    </row>
    <row r="10" spans="1:13" ht="19.95" customHeight="1">
      <c r="A10" s="20" t="s">
        <v>28</v>
      </c>
      <c r="B10" s="2">
        <v>4</v>
      </c>
      <c r="C10" s="2"/>
      <c r="D10" s="2"/>
      <c r="E10" s="2">
        <v>127</v>
      </c>
      <c r="F10" s="4">
        <v>45608</v>
      </c>
      <c r="G10" s="2"/>
      <c r="H10" s="3"/>
      <c r="I10" s="2"/>
      <c r="J10" s="4">
        <v>45608</v>
      </c>
      <c r="K10" s="21"/>
      <c r="L10" s="3">
        <v>4545.2700000000004</v>
      </c>
      <c r="M10" s="22">
        <f t="shared" si="0"/>
        <v>5454.3240000000005</v>
      </c>
    </row>
    <row r="11" spans="1:13" ht="19.95" customHeight="1"/>
    <row r="12" spans="1:13" ht="19.95" customHeight="1"/>
    <row r="13" spans="1:13" ht="19.95" customHeight="1"/>
    <row r="14" spans="1:13" ht="19.95" customHeight="1"/>
    <row r="15" spans="1:13" ht="19.95" customHeight="1"/>
    <row r="16" spans="1:13" ht="19.95" customHeight="1"/>
    <row r="17" ht="19.95" customHeight="1"/>
    <row r="18" ht="19.95" customHeight="1"/>
    <row r="19" ht="19.95" customHeight="1"/>
    <row r="20" ht="19.95" customHeight="1"/>
    <row r="21" ht="19.95" customHeight="1"/>
    <row r="22" ht="19.95" customHeight="1"/>
    <row r="23" ht="19.95" customHeight="1"/>
    <row r="24" ht="19.95" customHeight="1"/>
    <row r="25" ht="19.95" customHeight="1"/>
    <row r="26" ht="19.95" customHeight="1"/>
    <row r="27" ht="19.95" customHeight="1"/>
    <row r="28" ht="19.95" customHeight="1"/>
    <row r="29" ht="19.95" customHeight="1"/>
    <row r="30" ht="19.95" customHeight="1"/>
    <row r="31" ht="19.95" customHeight="1"/>
    <row r="32" ht="19.95" customHeight="1"/>
    <row r="33" ht="19.95" customHeight="1"/>
    <row r="34" ht="19.95" customHeight="1"/>
    <row r="35" ht="19.95" customHeight="1"/>
    <row r="36" ht="19.95" customHeight="1"/>
    <row r="37" ht="19.95" customHeight="1"/>
    <row r="38" ht="19.95" customHeight="1"/>
    <row r="39" ht="19.95" customHeight="1"/>
    <row r="40" ht="19.95" customHeight="1"/>
    <row r="41" ht="19.95" customHeight="1"/>
    <row r="42" ht="19.95" customHeight="1"/>
    <row r="43" ht="19.95" customHeight="1"/>
    <row r="44" ht="19.95" customHeight="1"/>
    <row r="45" ht="19.95" customHeight="1"/>
    <row r="46" ht="19.95" customHeight="1"/>
    <row r="47" ht="19.95" customHeight="1"/>
    <row r="48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ht="19.95" customHeight="1"/>
    <row r="98" ht="19.95" customHeight="1"/>
    <row r="99" ht="19.95" customHeight="1"/>
    <row r="100" ht="19.95" customHeight="1"/>
    <row r="101" ht="19.95" customHeight="1"/>
    <row r="102" ht="19.95" customHeight="1"/>
    <row r="103" ht="19.95" customHeight="1"/>
    <row r="104" ht="19.95" customHeight="1"/>
    <row r="105" ht="19.95" customHeight="1"/>
    <row r="106" ht="19.95" customHeight="1"/>
    <row r="107" ht="19.95" customHeight="1"/>
    <row r="108" ht="19.95" customHeight="1"/>
    <row r="109" ht="19.95" customHeight="1"/>
    <row r="110" ht="19.95" customHeight="1"/>
    <row r="111" ht="19.95" customHeight="1"/>
    <row r="112" ht="19.95" customHeight="1"/>
    <row r="113" ht="19.95" customHeight="1"/>
    <row r="114" ht="19.95" customHeight="1"/>
    <row r="115" ht="19.95" customHeight="1"/>
    <row r="116" ht="19.95" customHeight="1"/>
    <row r="117" ht="19.95" customHeight="1"/>
    <row r="118" ht="19.95" customHeight="1"/>
    <row r="119" ht="19.95" customHeight="1"/>
    <row r="120" ht="19.95" customHeight="1"/>
    <row r="121" ht="19.95" customHeight="1"/>
    <row r="122" ht="19.95" customHeight="1"/>
    <row r="123" ht="19.95" customHeight="1"/>
    <row r="124" ht="19.95" customHeight="1"/>
    <row r="125" ht="19.95" customHeight="1"/>
    <row r="126" ht="19.95" customHeight="1"/>
    <row r="127" ht="19.95" customHeight="1"/>
    <row r="128" ht="19.95" customHeight="1"/>
    <row r="129" ht="19.95" customHeight="1"/>
    <row r="130" ht="19.95" customHeight="1"/>
    <row r="131" ht="19.95" customHeight="1"/>
    <row r="132" ht="19.95" customHeight="1"/>
    <row r="133" ht="19.95" customHeight="1"/>
    <row r="134" ht="19.95" customHeight="1"/>
    <row r="135" ht="19.95" customHeight="1"/>
    <row r="136" ht="19.95" customHeight="1"/>
    <row r="137" ht="19.95" customHeight="1"/>
    <row r="138" ht="19.95" customHeight="1"/>
    <row r="139" ht="19.95" customHeight="1"/>
    <row r="140" ht="19.95" customHeight="1"/>
    <row r="141" ht="19.95" customHeight="1"/>
    <row r="142" ht="19.95" customHeight="1"/>
    <row r="143" ht="19.95" customHeight="1"/>
    <row r="144" ht="19.95" customHeight="1"/>
    <row r="145" spans="9:9" ht="19.95" customHeight="1"/>
    <row r="146" spans="9:9" ht="19.95" customHeight="1"/>
    <row r="147" spans="9:9" ht="19.95" customHeight="1"/>
    <row r="148" spans="9:9" ht="19.95" customHeight="1"/>
    <row r="149" spans="9:9" ht="19.95" customHeight="1"/>
    <row r="150" spans="9:9" ht="19.95" customHeight="1"/>
    <row r="151" spans="9:9" ht="19.95" customHeight="1"/>
    <row r="152" spans="9:9" ht="19.95" customHeight="1"/>
    <row r="153" spans="9:9" ht="19.95" customHeight="1"/>
    <row r="154" spans="9:9" ht="19.95" customHeight="1"/>
    <row r="155" spans="9:9" ht="19.95" customHeight="1"/>
    <row r="156" spans="9:9" ht="19.95" customHeight="1"/>
    <row r="157" spans="9:9" ht="19.95" customHeight="1"/>
    <row r="158" spans="9:9" ht="19.95" customHeight="1"/>
    <row r="159" spans="9:9" ht="19.95" customHeight="1">
      <c r="I159" s="6"/>
    </row>
    <row r="160" spans="9:9" ht="19.95" customHeight="1"/>
    <row r="161" ht="19.95" customHeight="1"/>
    <row r="162" ht="19.95" customHeight="1"/>
    <row r="163" ht="19.95" customHeight="1"/>
    <row r="164" ht="19.95" customHeight="1"/>
    <row r="165" ht="19.95" customHeight="1"/>
    <row r="166" ht="19.95" customHeight="1"/>
    <row r="167" ht="19.95" customHeight="1"/>
    <row r="168" ht="19.95" customHeight="1"/>
    <row r="169" ht="19.95" customHeight="1"/>
    <row r="170" ht="19.95" customHeight="1"/>
    <row r="171" ht="19.95" customHeight="1"/>
    <row r="172" ht="19.95" customHeight="1"/>
    <row r="173" ht="19.95" customHeight="1"/>
    <row r="174" ht="19.95" customHeight="1"/>
    <row r="175" ht="19.95" customHeight="1"/>
    <row r="176" ht="19.95" customHeight="1"/>
    <row r="177" ht="19.95" customHeight="1"/>
    <row r="178" ht="19.95" customHeight="1"/>
    <row r="179" ht="19.95" customHeight="1"/>
    <row r="180" ht="19.95" customHeight="1"/>
    <row r="181" ht="19.95" customHeight="1"/>
    <row r="182" ht="19.95" customHeight="1"/>
    <row r="183" ht="19.95" customHeight="1"/>
    <row r="184" ht="19.95" customHeight="1"/>
    <row r="185" ht="19.95" customHeight="1"/>
    <row r="186" ht="19.95" customHeight="1"/>
    <row r="187" ht="19.95" customHeight="1"/>
    <row r="188" ht="19.95" customHeight="1"/>
    <row r="189" ht="19.95" customHeight="1"/>
    <row r="190" ht="19.95" customHeight="1"/>
    <row r="191" ht="19.95" customHeight="1"/>
    <row r="192" ht="19.95" customHeight="1"/>
    <row r="193" ht="19.95" customHeight="1"/>
    <row r="194" ht="19.95" customHeight="1"/>
    <row r="195" ht="19.95" customHeight="1"/>
    <row r="196" ht="19.95" customHeight="1"/>
    <row r="197" ht="19.95" customHeight="1"/>
    <row r="198" ht="19.95" customHeight="1"/>
    <row r="199" ht="19.95" customHeight="1"/>
    <row r="200" ht="19.95" customHeight="1"/>
    <row r="201" ht="19.95" customHeight="1"/>
  </sheetData>
  <phoneticPr fontId="12" type="noConversion"/>
  <conditionalFormatting sqref="A3:M865">
    <cfRule type="expression" dxfId="2" priority="2">
      <formula>AND($J3="",$E3&gt;0)</formula>
    </cfRule>
    <cfRule type="expression" dxfId="1" priority="3">
      <formula>AND($K3="Oui")</formula>
    </cfRule>
  </conditionalFormatting>
  <conditionalFormatting sqref="J3:J865">
    <cfRule type="expression" dxfId="0" priority="1">
      <formula>IFERROR(AND($K3&lt;1,$J3&lt;EDATE(TODAY(),-2)),"")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My Apple</cp:lastModifiedBy>
  <dcterms:created xsi:type="dcterms:W3CDTF">2015-06-05T18:19:34Z</dcterms:created>
  <dcterms:modified xsi:type="dcterms:W3CDTF">2024-11-20T08:18:30Z</dcterms:modified>
</cp:coreProperties>
</file>