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ABB08552-90F2-4646-9994-6C50E2AD699C}" xr6:coauthVersionLast="47" xr6:coauthVersionMax="47" xr10:uidLastSave="{00000000-0000-0000-0000-000000000000}"/>
  <bookViews>
    <workbookView xWindow="-108" yWindow="-108" windowWidth="30936" windowHeight="17496" tabRatio="894" activeTab="2" xr2:uid="{00000000-000D-0000-FFFF-FFFF00000000}"/>
  </bookViews>
  <sheets>
    <sheet name="Liste des choses à faire" sheetId="21" r:id="rId1"/>
    <sheet name="Détails" sheetId="17" r:id="rId2"/>
    <sheet name="Février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2" l="1"/>
  <c r="B4" i="2" s="1"/>
  <c r="B5" i="2" s="1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G1" i="2"/>
  <c r="F1" i="2"/>
  <c r="E1" i="2"/>
  <c r="D1" i="2"/>
  <c r="E11" i="17"/>
  <c r="E10" i="17"/>
  <c r="E9" i="17"/>
  <c r="E8" i="17"/>
  <c r="E7" i="17"/>
  <c r="J3" i="2" l="1"/>
  <c r="I4" i="2"/>
  <c r="A3" i="2"/>
  <c r="K3" i="2"/>
  <c r="L3" i="2" s="1"/>
  <c r="I3" i="2"/>
  <c r="H3" i="2"/>
  <c r="E13" i="17"/>
  <c r="E12" i="17"/>
  <c r="E14" i="17"/>
  <c r="E4" i="17"/>
  <c r="M1" i="17"/>
  <c r="U7" i="17"/>
  <c r="H4" i="2" l="1"/>
  <c r="J4" i="2"/>
  <c r="A4" i="2"/>
  <c r="U2" i="17"/>
  <c r="Q2" i="17"/>
  <c r="Q3" i="17"/>
  <c r="R2" i="17"/>
  <c r="R3" i="17"/>
  <c r="S2" i="17"/>
  <c r="S3" i="17"/>
  <c r="T11" i="17"/>
  <c r="T12" i="17"/>
  <c r="U11" i="17"/>
  <c r="U12" i="17"/>
  <c r="Q5" i="17"/>
  <c r="R5" i="17"/>
  <c r="S5" i="17"/>
  <c r="T2" i="17"/>
  <c r="Q6" i="17"/>
  <c r="R6" i="17"/>
  <c r="S6" i="17"/>
  <c r="T3" i="17"/>
  <c r="U3" i="17"/>
  <c r="Q7" i="17"/>
  <c r="R7" i="17"/>
  <c r="S7" i="17"/>
  <c r="T4" i="17"/>
  <c r="U4" i="17"/>
  <c r="Q8" i="17"/>
  <c r="R8" i="17"/>
  <c r="S8" i="17"/>
  <c r="T5" i="17"/>
  <c r="U5" i="17"/>
  <c r="Q9" i="17"/>
  <c r="R9" i="17"/>
  <c r="S9" i="17"/>
  <c r="T6" i="17"/>
  <c r="U6" i="17"/>
  <c r="Q10" i="17"/>
  <c r="R10" i="17"/>
  <c r="S10" i="17"/>
  <c r="T7" i="17"/>
  <c r="Q11" i="17"/>
  <c r="R11" i="17"/>
  <c r="S11" i="17"/>
  <c r="T8" i="17"/>
  <c r="U8" i="17"/>
  <c r="Q12" i="17"/>
  <c r="R12" i="17"/>
  <c r="S12" i="17"/>
  <c r="T9" i="17"/>
  <c r="U9" i="17"/>
  <c r="Q13" i="17"/>
  <c r="R13" i="17"/>
  <c r="S13" i="17"/>
  <c r="T10" i="17"/>
  <c r="U10" i="17"/>
  <c r="Q4" i="17"/>
  <c r="R4" i="17"/>
  <c r="S4" i="17"/>
  <c r="T13" i="17"/>
  <c r="U13" i="17"/>
  <c r="B1" i="21" a="1"/>
  <c r="B1" i="21" s="1"/>
  <c r="F2" i="21"/>
  <c r="E2" i="21"/>
  <c r="E3" i="21" s="1"/>
  <c r="C2" i="21" a="1"/>
  <c r="C2" i="21" s="1"/>
  <c r="H7" i="17"/>
  <c r="J5" i="2" l="1"/>
  <c r="A5" i="2"/>
  <c r="H5" i="2"/>
  <c r="I5" i="2"/>
  <c r="R14" i="17"/>
  <c r="U14" i="17"/>
  <c r="Q14" i="17"/>
  <c r="T14" i="17"/>
  <c r="S14" i="17"/>
  <c r="J6" i="2" l="1"/>
  <c r="A6" i="2"/>
  <c r="I6" i="2"/>
  <c r="H6" i="2"/>
  <c r="X13" i="17"/>
  <c r="W13" i="17"/>
  <c r="V13" i="17"/>
  <c r="X12" i="17"/>
  <c r="W12" i="17"/>
  <c r="V12" i="17"/>
  <c r="X11" i="17"/>
  <c r="W11" i="17"/>
  <c r="V11" i="17"/>
  <c r="X10" i="17"/>
  <c r="W10" i="17"/>
  <c r="V10" i="17"/>
  <c r="X9" i="17"/>
  <c r="W9" i="17"/>
  <c r="V9" i="17"/>
  <c r="X8" i="17"/>
  <c r="W8" i="17"/>
  <c r="V8" i="17"/>
  <c r="X7" i="17"/>
  <c r="W7" i="17"/>
  <c r="V7" i="17"/>
  <c r="X6" i="17"/>
  <c r="W6" i="17"/>
  <c r="V6" i="17"/>
  <c r="X5" i="17"/>
  <c r="W5" i="17"/>
  <c r="V5" i="17"/>
  <c r="X4" i="17"/>
  <c r="W4" i="17"/>
  <c r="X3" i="17"/>
  <c r="W3" i="17"/>
  <c r="V4" i="17"/>
  <c r="V3" i="17"/>
  <c r="N13" i="17"/>
  <c r="N12" i="17"/>
  <c r="N11" i="17"/>
  <c r="N10" i="17"/>
  <c r="N9" i="17"/>
  <c r="N8" i="17"/>
  <c r="N7" i="17"/>
  <c r="N6" i="17"/>
  <c r="N5" i="17"/>
  <c r="N4" i="17"/>
  <c r="N3" i="17"/>
  <c r="J7" i="2" l="1"/>
  <c r="A7" i="2"/>
  <c r="I7" i="2"/>
  <c r="K7" i="2"/>
  <c r="L7" i="2" s="1"/>
  <c r="H7" i="2"/>
  <c r="B3" i="17"/>
  <c r="B2" i="17"/>
  <c r="J8" i="2" l="1"/>
  <c r="A8" i="2"/>
  <c r="H8" i="2"/>
  <c r="I8" i="2"/>
  <c r="K8" i="2"/>
  <c r="L8" i="2" s="1"/>
  <c r="B4" i="17"/>
  <c r="B14" i="17"/>
  <c r="B9" i="17"/>
  <c r="B13" i="17"/>
  <c r="B12" i="17"/>
  <c r="B11" i="17"/>
  <c r="B10" i="17"/>
  <c r="B8" i="17"/>
  <c r="B7" i="17"/>
  <c r="H5" i="17"/>
  <c r="J9" i="2" l="1"/>
  <c r="A9" i="2"/>
  <c r="H9" i="2"/>
  <c r="I9" i="2"/>
  <c r="X2" i="17"/>
  <c r="X14" i="17" s="1"/>
  <c r="V2" i="17"/>
  <c r="V14" i="17" s="1"/>
  <c r="W2" i="17"/>
  <c r="W14" i="17" s="1"/>
  <c r="N2" i="17"/>
  <c r="N14" i="17" s="1"/>
  <c r="J10" i="2" l="1"/>
  <c r="A10" i="2"/>
  <c r="H10" i="2"/>
  <c r="K10" i="2"/>
  <c r="L10" i="2" s="1"/>
  <c r="I10" i="2"/>
  <c r="K15" i="17"/>
  <c r="K14" i="17"/>
  <c r="K13" i="17"/>
  <c r="K11" i="17"/>
  <c r="K7" i="17"/>
  <c r="K6" i="17"/>
  <c r="K4" i="17"/>
  <c r="K2" i="17"/>
  <c r="J11" i="2" l="1"/>
  <c r="A11" i="2"/>
  <c r="I11" i="2"/>
  <c r="H11" i="2"/>
  <c r="K12" i="17"/>
  <c r="J12" i="2" l="1"/>
  <c r="A12" i="2"/>
  <c r="H12" i="2"/>
  <c r="I12" i="2"/>
  <c r="H2" i="17"/>
  <c r="J13" i="2" l="1"/>
  <c r="A13" i="2"/>
  <c r="H13" i="2"/>
  <c r="I13" i="2"/>
  <c r="K8" i="17"/>
  <c r="K16" i="17"/>
  <c r="J14" i="2" l="1"/>
  <c r="A14" i="2"/>
  <c r="K14" i="2"/>
  <c r="L14" i="2" s="1"/>
  <c r="I14" i="2"/>
  <c r="H14" i="2"/>
  <c r="K9" i="17"/>
  <c r="K5" i="17"/>
  <c r="K3" i="17"/>
  <c r="J15" i="2" l="1"/>
  <c r="A15" i="2"/>
  <c r="K15" i="2"/>
  <c r="L15" i="2" s="1"/>
  <c r="I15" i="2"/>
  <c r="H15" i="2"/>
  <c r="C8" i="2"/>
  <c r="C9" i="2"/>
  <c r="C5" i="2"/>
  <c r="K10" i="17"/>
  <c r="C12" i="2" s="1"/>
  <c r="J16" i="2" l="1"/>
  <c r="A16" i="2"/>
  <c r="I16" i="2"/>
  <c r="H16" i="2"/>
  <c r="C14" i="2"/>
  <c r="C10" i="2"/>
  <c r="C6" i="2"/>
  <c r="C4" i="2"/>
  <c r="C17" i="2"/>
  <c r="C7" i="2"/>
  <c r="C11" i="2"/>
  <c r="C3" i="2"/>
  <c r="C16" i="2"/>
  <c r="C15" i="2"/>
  <c r="C13" i="2"/>
  <c r="E35" i="2"/>
  <c r="AC8" i="17"/>
  <c r="Z2" i="17"/>
  <c r="Z6" i="17"/>
  <c r="Y11" i="17"/>
  <c r="B16" i="17"/>
  <c r="B17" i="17"/>
  <c r="B18" i="17"/>
  <c r="AB9" i="17"/>
  <c r="Y12" i="17"/>
  <c r="O7" i="17"/>
  <c r="P5" i="17"/>
  <c r="B5" i="17"/>
  <c r="B6" i="17"/>
  <c r="C19" i="17"/>
  <c r="E17" i="17"/>
  <c r="E18" i="17"/>
  <c r="E16" i="17"/>
  <c r="AB10" i="17"/>
  <c r="Y2" i="17"/>
  <c r="P3" i="17"/>
  <c r="P4" i="17"/>
  <c r="Z13" i="17"/>
  <c r="P6" i="17"/>
  <c r="E5" i="17"/>
  <c r="O4" i="17"/>
  <c r="P2" i="17"/>
  <c r="P8" i="17"/>
  <c r="Z8" i="17"/>
  <c r="P12" i="17"/>
  <c r="O10" i="17"/>
  <c r="P9" i="17"/>
  <c r="P13" i="17"/>
  <c r="O9" i="17"/>
  <c r="P11" i="17"/>
  <c r="E19" i="17"/>
  <c r="Z3" i="17"/>
  <c r="B19" i="17"/>
  <c r="P10" i="17"/>
  <c r="O5" i="17"/>
  <c r="P7" i="17"/>
  <c r="E6" i="17"/>
  <c r="O13" i="17"/>
  <c r="Y5" i="17"/>
  <c r="Y3" i="17"/>
  <c r="O3" i="17"/>
  <c r="Z10" i="17"/>
  <c r="Z9" i="17"/>
  <c r="Z12" i="17"/>
  <c r="Z4" i="17"/>
  <c r="Y7" i="17"/>
  <c r="Z7" i="17"/>
  <c r="O12" i="17"/>
  <c r="Z5" i="17"/>
  <c r="O2" i="17"/>
  <c r="O11" i="17"/>
  <c r="Y10" i="17"/>
  <c r="O6" i="17"/>
  <c r="Y6" i="17"/>
  <c r="Y9" i="17"/>
  <c r="Y4" i="17"/>
  <c r="Y8" i="17"/>
  <c r="Z11" i="17"/>
  <c r="AC4" i="17"/>
  <c r="O8" i="17"/>
  <c r="Y13" i="17"/>
  <c r="AA7" i="17"/>
  <c r="AC11" i="17"/>
  <c r="AA8" i="17"/>
  <c r="AB3" i="17"/>
  <c r="AC3" i="17"/>
  <c r="AA9" i="17"/>
  <c r="AA4" i="17"/>
  <c r="AC9" i="17"/>
  <c r="AB6" i="17"/>
  <c r="AA11" i="17"/>
  <c r="AB11" i="17"/>
  <c r="AC5" i="17"/>
  <c r="AC6" i="17"/>
  <c r="AC13" i="17"/>
  <c r="AC12" i="17"/>
  <c r="AC7" i="17"/>
  <c r="AC10" i="17"/>
  <c r="AB12" i="17"/>
  <c r="AC2" i="17"/>
  <c r="AA13" i="17"/>
  <c r="AA10" i="17"/>
  <c r="AA5" i="17"/>
  <c r="AB8" i="17"/>
  <c r="AB13" i="17"/>
  <c r="AB2" i="17"/>
  <c r="AA12" i="17"/>
  <c r="AB7" i="17"/>
  <c r="AA6" i="17"/>
  <c r="AA3" i="17"/>
  <c r="AB4" i="17"/>
  <c r="AB5" i="17"/>
  <c r="AA2" i="17"/>
  <c r="J17" i="2" l="1"/>
  <c r="A17" i="2"/>
  <c r="I17" i="2"/>
  <c r="H17" i="2"/>
  <c r="K17" i="2"/>
  <c r="L17" i="2" s="1"/>
  <c r="O14" i="17"/>
  <c r="P14" i="17"/>
  <c r="Y14" i="17"/>
  <c r="AC14" i="17"/>
  <c r="AA14" i="17"/>
  <c r="AB14" i="17"/>
  <c r="Z14" i="17"/>
  <c r="J18" i="2" l="1"/>
  <c r="A18" i="2"/>
  <c r="H18" i="2"/>
  <c r="I18" i="2"/>
  <c r="C18" i="2"/>
  <c r="J19" i="2" l="1"/>
  <c r="A19" i="2"/>
  <c r="I19" i="2"/>
  <c r="H19" i="2"/>
  <c r="C19" i="2"/>
  <c r="J20" i="2" l="1"/>
  <c r="A20" i="2"/>
  <c r="H20" i="2"/>
  <c r="I20" i="2"/>
  <c r="C20" i="2"/>
  <c r="E15" i="17" a="1"/>
  <c r="J21" i="2" l="1"/>
  <c r="A21" i="2"/>
  <c r="I21" i="2"/>
  <c r="K21" i="2"/>
  <c r="L21" i="2" s="1"/>
  <c r="H21" i="2"/>
  <c r="C21" i="2"/>
  <c r="E15" i="17"/>
  <c r="B15" i="17" a="1"/>
  <c r="J22" i="2" l="1"/>
  <c r="A22" i="2"/>
  <c r="I22" i="2"/>
  <c r="H22" i="2"/>
  <c r="K22" i="2"/>
  <c r="L22" i="2" s="1"/>
  <c r="C22" i="2"/>
  <c r="B15" i="17"/>
  <c r="J23" i="2" l="1"/>
  <c r="A23" i="2"/>
  <c r="I23" i="2"/>
  <c r="H23" i="2"/>
  <c r="C23" i="2"/>
  <c r="J24" i="2" l="1"/>
  <c r="A24" i="2"/>
  <c r="H24" i="2"/>
  <c r="I24" i="2"/>
  <c r="K24" i="2"/>
  <c r="L24" i="2" s="1"/>
  <c r="C24" i="2"/>
  <c r="J25" i="2" l="1"/>
  <c r="A25" i="2"/>
  <c r="H25" i="2"/>
  <c r="I25" i="2"/>
  <c r="C25" i="2"/>
  <c r="J26" i="2" l="1"/>
  <c r="A26" i="2"/>
  <c r="H26" i="2"/>
  <c r="I26" i="2"/>
  <c r="C26" i="2"/>
  <c r="J27" i="2" l="1"/>
  <c r="A27" i="2"/>
  <c r="H27" i="2"/>
  <c r="I27" i="2"/>
  <c r="C27" i="2"/>
  <c r="J28" i="2" l="1"/>
  <c r="A28" i="2"/>
  <c r="K28" i="2"/>
  <c r="L28" i="2" s="1"/>
  <c r="H28" i="2"/>
  <c r="I28" i="2"/>
  <c r="C28" i="2"/>
  <c r="J29" i="2" l="1"/>
  <c r="A29" i="2"/>
  <c r="K29" i="2"/>
  <c r="L29" i="2" s="1"/>
  <c r="H29" i="2"/>
  <c r="I29" i="2"/>
  <c r="C29" i="2"/>
  <c r="J30" i="2" l="1"/>
  <c r="A30" i="2"/>
  <c r="I30" i="2"/>
  <c r="H30" i="2"/>
  <c r="C30" i="2"/>
  <c r="J31" i="2" l="1"/>
  <c r="I31" i="2"/>
  <c r="A31" i="2"/>
  <c r="H31" i="2"/>
  <c r="C31" i="2"/>
  <c r="A32" i="2" l="1"/>
  <c r="J32" i="2"/>
  <c r="C32" i="2"/>
  <c r="I32" i="2"/>
  <c r="H32" i="2"/>
  <c r="I1" i="2" l="1"/>
  <c r="I33" i="2"/>
  <c r="C33" i="2"/>
  <c r="H33" i="2"/>
  <c r="J33" i="2"/>
  <c r="A33" i="2"/>
  <c r="K4" i="2"/>
  <c r="K11" i="2"/>
  <c r="L11" i="2" s="1"/>
  <c r="K18" i="2"/>
  <c r="L18" i="2" s="1"/>
  <c r="K25" i="2"/>
  <c r="L25" i="2" s="1"/>
  <c r="K32" i="2" l="1"/>
  <c r="L32" i="2" s="1"/>
  <c r="K30" i="2"/>
  <c r="L30" i="2" s="1"/>
  <c r="J1" i="2"/>
  <c r="H1" i="2"/>
  <c r="N5" i="2" a="1"/>
  <c r="N5" i="2" s="1"/>
  <c r="B1" i="2"/>
  <c r="N6" i="2" a="1"/>
  <c r="N6" i="2" s="1"/>
  <c r="L4" i="2"/>
  <c r="K9" i="2" l="1"/>
  <c r="L9" i="2" s="1"/>
  <c r="K16" i="2"/>
  <c r="L16" i="2" s="1"/>
  <c r="K23" i="2"/>
  <c r="L23" i="2" s="1"/>
  <c r="K5" i="2"/>
  <c r="L5" i="2" s="1"/>
  <c r="K12" i="2"/>
  <c r="L12" i="2" s="1"/>
  <c r="K19" i="2"/>
  <c r="L19" i="2" s="1"/>
  <c r="K26" i="2"/>
  <c r="L26" i="2" s="1"/>
  <c r="K33" i="2"/>
  <c r="L33" i="2" s="1"/>
  <c r="K13" i="2"/>
  <c r="L13" i="2" s="1"/>
  <c r="K6" i="2"/>
  <c r="K20" i="2"/>
  <c r="L20" i="2" s="1"/>
  <c r="K27" i="2"/>
  <c r="L27" i="2" s="1"/>
  <c r="K31" i="2"/>
  <c r="L31" i="2" s="1"/>
  <c r="N4" i="2"/>
  <c r="N3" i="2"/>
  <c r="L6" i="2" l="1"/>
  <c r="L1" i="2" s="1"/>
  <c r="K1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My Apple</author>
  </authors>
  <commentList>
    <comment ref="A3" authorId="0" shapeId="0" xr:uid="{A5E9ECDB-057A-43C6-AF6B-7F8C4008F1DD}">
      <text>
        <r>
          <rPr>
            <b/>
            <sz val="12"/>
            <color indexed="81"/>
            <rFont val="Tahoma"/>
            <family val="2"/>
          </rPr>
          <t xml:space="preserve">Formule du type :
</t>
        </r>
        <r>
          <rPr>
            <sz val="12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=</t>
        </r>
        <r>
          <rPr>
            <b/>
            <i/>
            <sz val="16"/>
            <color indexed="81"/>
            <rFont val="Tahoma"/>
            <family val="2"/>
          </rPr>
          <t>SI(B3 = "" ; "";</t>
        </r>
        <r>
          <rPr>
            <sz val="16"/>
            <color indexed="81"/>
            <rFont val="Tahoma"/>
            <family val="2"/>
          </rPr>
          <t xml:space="preserve"> formule)</t>
        </r>
      </text>
    </comment>
    <comment ref="B3" authorId="0" shapeId="0" xr:uid="{D3394CB3-A467-40B1-B7B1-37F62077C219}">
      <text>
        <r>
          <rPr>
            <b/>
            <sz val="12"/>
            <color indexed="81"/>
            <rFont val="Tahoma"/>
            <family val="2"/>
          </rPr>
          <t xml:space="preserve">Formule Normale
Ne commence pas par :
</t>
        </r>
        <r>
          <rPr>
            <sz val="12"/>
            <color indexed="81"/>
            <rFont val="Tahoma"/>
            <family val="2"/>
          </rPr>
          <t xml:space="preserve">
=SI(B3 = "" ; ""; formule)</t>
        </r>
      </text>
    </comment>
    <comment ref="C3" authorId="0" shapeId="0" xr:uid="{6CF0A636-1EED-44B5-8489-C9AD87B7EA57}">
      <text>
        <r>
          <rPr>
            <b/>
            <sz val="12"/>
            <color indexed="81"/>
            <rFont val="Tahoma"/>
            <family val="2"/>
          </rPr>
          <t xml:space="preserve">Formule du type :
</t>
        </r>
        <r>
          <rPr>
            <sz val="12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=</t>
        </r>
        <r>
          <rPr>
            <b/>
            <i/>
            <sz val="16"/>
            <color indexed="81"/>
            <rFont val="Tahoma"/>
            <family val="2"/>
          </rPr>
          <t>SI(B3 = "" ; "";</t>
        </r>
        <r>
          <rPr>
            <sz val="16"/>
            <color indexed="81"/>
            <rFont val="Tahoma"/>
            <family val="2"/>
          </rPr>
          <t xml:space="preserve"> formule)</t>
        </r>
      </text>
    </comment>
    <comment ref="D3" authorId="0" shapeId="0" xr:uid="{91C331E4-2DF3-45E1-9DC9-44AF9B890943}">
      <text>
        <r>
          <rPr>
            <b/>
            <sz val="12"/>
            <color indexed="81"/>
            <rFont val="Tahoma"/>
            <family val="2"/>
          </rPr>
          <t xml:space="preserve">Formule du type :
</t>
        </r>
        <r>
          <rPr>
            <sz val="12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=</t>
        </r>
        <r>
          <rPr>
            <b/>
            <i/>
            <sz val="16"/>
            <color indexed="81"/>
            <rFont val="Tahoma"/>
            <family val="2"/>
          </rPr>
          <t>SI(B3 = "" ; "";</t>
        </r>
        <r>
          <rPr>
            <sz val="16"/>
            <color indexed="81"/>
            <rFont val="Tahoma"/>
            <family val="2"/>
          </rPr>
          <t xml:space="preserve"> formule)</t>
        </r>
      </text>
    </comment>
    <comment ref="E3" authorId="0" shapeId="0" xr:uid="{28019613-CC5C-4B04-B455-8D29442C3C25}">
      <text>
        <r>
          <rPr>
            <b/>
            <sz val="12"/>
            <color indexed="81"/>
            <rFont val="Tahoma"/>
            <family val="2"/>
          </rPr>
          <t xml:space="preserve">Formule du type :
</t>
        </r>
        <r>
          <rPr>
            <sz val="12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=</t>
        </r>
        <r>
          <rPr>
            <b/>
            <i/>
            <sz val="16"/>
            <color indexed="81"/>
            <rFont val="Tahoma"/>
            <family val="2"/>
          </rPr>
          <t>SI(B3 = "" ; "";</t>
        </r>
        <r>
          <rPr>
            <sz val="16"/>
            <color indexed="81"/>
            <rFont val="Tahoma"/>
            <family val="2"/>
          </rPr>
          <t xml:space="preserve"> formule)</t>
        </r>
      </text>
    </comment>
    <comment ref="F3" authorId="0" shapeId="0" xr:uid="{F07D58A0-0B9B-4243-8019-DCA007D32E64}">
      <text>
        <r>
          <rPr>
            <b/>
            <sz val="12"/>
            <color indexed="81"/>
            <rFont val="Tahoma"/>
            <family val="2"/>
          </rPr>
          <t xml:space="preserve">Formule du type :
</t>
        </r>
        <r>
          <rPr>
            <sz val="12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=</t>
        </r>
        <r>
          <rPr>
            <b/>
            <i/>
            <sz val="16"/>
            <color indexed="81"/>
            <rFont val="Tahoma"/>
            <family val="2"/>
          </rPr>
          <t>SI(B3 = "" ; "";</t>
        </r>
        <r>
          <rPr>
            <sz val="16"/>
            <color indexed="81"/>
            <rFont val="Tahoma"/>
            <family val="2"/>
          </rPr>
          <t xml:space="preserve"> formule)</t>
        </r>
      </text>
    </comment>
    <comment ref="G3" authorId="0" shapeId="0" xr:uid="{28A38092-C4A2-4B50-958B-7B3AD5AEA9E4}">
      <text>
        <r>
          <rPr>
            <b/>
            <sz val="12"/>
            <color indexed="81"/>
            <rFont val="Tahoma"/>
            <family val="2"/>
          </rPr>
          <t xml:space="preserve">Formule du type :
</t>
        </r>
        <r>
          <rPr>
            <sz val="12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=</t>
        </r>
        <r>
          <rPr>
            <b/>
            <i/>
            <sz val="16"/>
            <color indexed="81"/>
            <rFont val="Tahoma"/>
            <family val="2"/>
          </rPr>
          <t>SI(B3 = "" ; "";</t>
        </r>
        <r>
          <rPr>
            <sz val="16"/>
            <color indexed="81"/>
            <rFont val="Tahoma"/>
            <family val="2"/>
          </rPr>
          <t xml:space="preserve"> formule)</t>
        </r>
      </text>
    </comment>
    <comment ref="H3" authorId="0" shapeId="0" xr:uid="{B8C8FA95-4BD6-4F31-A315-06A68D29D057}">
      <text>
        <r>
          <rPr>
            <b/>
            <sz val="12"/>
            <color indexed="81"/>
            <rFont val="Tahoma"/>
            <family val="2"/>
          </rPr>
          <t xml:space="preserve">Formule du type :
</t>
        </r>
        <r>
          <rPr>
            <sz val="12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=</t>
        </r>
        <r>
          <rPr>
            <b/>
            <i/>
            <sz val="16"/>
            <color indexed="81"/>
            <rFont val="Tahoma"/>
            <family val="2"/>
          </rPr>
          <t>SI(B3 = "" ; "";</t>
        </r>
        <r>
          <rPr>
            <sz val="16"/>
            <color indexed="81"/>
            <rFont val="Tahoma"/>
            <family val="2"/>
          </rPr>
          <t xml:space="preserve"> formule)</t>
        </r>
      </text>
    </comment>
    <comment ref="I3" authorId="0" shapeId="0" xr:uid="{113C32A8-09CA-4387-AE46-93847CEAE0FD}">
      <text>
        <r>
          <rPr>
            <b/>
            <sz val="12"/>
            <color indexed="81"/>
            <rFont val="Tahoma"/>
            <family val="2"/>
          </rPr>
          <t xml:space="preserve">Formule du type :
</t>
        </r>
        <r>
          <rPr>
            <sz val="12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=</t>
        </r>
        <r>
          <rPr>
            <b/>
            <i/>
            <sz val="16"/>
            <color indexed="81"/>
            <rFont val="Tahoma"/>
            <family val="2"/>
          </rPr>
          <t>SI(B3 = "" ; "";</t>
        </r>
        <r>
          <rPr>
            <sz val="16"/>
            <color indexed="81"/>
            <rFont val="Tahoma"/>
            <family val="2"/>
          </rPr>
          <t xml:space="preserve"> formule)</t>
        </r>
      </text>
    </comment>
    <comment ref="J3" authorId="0" shapeId="0" xr:uid="{CC54DABF-F343-40D8-9482-54650CF3C6CB}">
      <text>
        <r>
          <rPr>
            <b/>
            <sz val="12"/>
            <color indexed="81"/>
            <rFont val="Tahoma"/>
            <family val="2"/>
          </rPr>
          <t xml:space="preserve">Formule du type :
</t>
        </r>
        <r>
          <rPr>
            <sz val="12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=</t>
        </r>
        <r>
          <rPr>
            <b/>
            <i/>
            <sz val="16"/>
            <color indexed="81"/>
            <rFont val="Tahoma"/>
            <family val="2"/>
          </rPr>
          <t>SI(B3 = "" ; "";</t>
        </r>
        <r>
          <rPr>
            <sz val="16"/>
            <color indexed="81"/>
            <rFont val="Tahoma"/>
            <family val="2"/>
          </rPr>
          <t xml:space="preserve"> formule)</t>
        </r>
      </text>
    </comment>
    <comment ref="K3" authorId="0" shapeId="0" xr:uid="{1A4B4C30-439B-41CC-BA6E-FAC32FD3A6B5}">
      <text>
        <r>
          <rPr>
            <b/>
            <sz val="12"/>
            <color indexed="81"/>
            <rFont val="Tahoma"/>
            <family val="2"/>
          </rPr>
          <t xml:space="preserve">Formule du type :
</t>
        </r>
        <r>
          <rPr>
            <sz val="12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=</t>
        </r>
        <r>
          <rPr>
            <b/>
            <i/>
            <sz val="16"/>
            <color indexed="81"/>
            <rFont val="Tahoma"/>
            <family val="2"/>
          </rPr>
          <t>SI(B3 = "" ; "";</t>
        </r>
        <r>
          <rPr>
            <sz val="16"/>
            <color indexed="81"/>
            <rFont val="Tahoma"/>
            <family val="2"/>
          </rPr>
          <t xml:space="preserve"> formule)</t>
        </r>
      </text>
    </comment>
    <comment ref="L3" authorId="0" shapeId="0" xr:uid="{02F63C3A-AFDA-4CAF-8A61-2B19D2E50336}">
      <text>
        <r>
          <rPr>
            <b/>
            <sz val="12"/>
            <color indexed="81"/>
            <rFont val="Tahoma"/>
            <family val="2"/>
          </rPr>
          <t xml:space="preserve">Formule du type :
</t>
        </r>
        <r>
          <rPr>
            <sz val="12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=</t>
        </r>
        <r>
          <rPr>
            <b/>
            <i/>
            <sz val="16"/>
            <color indexed="81"/>
            <rFont val="Tahoma"/>
            <family val="2"/>
          </rPr>
          <t>SI(B3 = "" ; "";</t>
        </r>
        <r>
          <rPr>
            <sz val="16"/>
            <color indexed="81"/>
            <rFont val="Tahoma"/>
            <family val="2"/>
          </rPr>
          <t xml:space="preserve"> formule)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<sst xmlns="http://schemas.openxmlformats.org/spreadsheetml/2006/main" count="113" uniqueCount="97">
  <si>
    <t>Heures supplémentaires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</si>
  <si>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</si>
  <si>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</si>
  <si>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</si>
  <si>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</si>
  <si>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</si>
  <si>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</si>
  <si>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</si>
  <si>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</si>
  <si>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</si>
  <si>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</si>
  <si>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</si>
  <si>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</si>
  <si>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</si>
  <si>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Ordre</t>
  </si>
  <si>
    <t>Heures de nuit</t>
  </si>
  <si>
    <t>Fermeture de poste</t>
  </si>
  <si>
    <t>Heures de jour</t>
  </si>
  <si>
    <t>Ouverture de poste</t>
  </si>
  <si>
    <t>Total semaine</t>
  </si>
  <si>
    <t xml:space="preserve">Jours fériés </t>
  </si>
  <si>
    <t>Jour de l'an</t>
  </si>
  <si>
    <t>Vendredi saint</t>
  </si>
  <si>
    <t>Lundi de Pâques</t>
  </si>
  <si>
    <t>Fête du travail</t>
  </si>
  <si>
    <t xml:space="preserve">Ascension </t>
  </si>
  <si>
    <t>Lundi de Pentecôte</t>
  </si>
  <si>
    <t>Fête Nationale</t>
  </si>
  <si>
    <t>Assomption</t>
  </si>
  <si>
    <t>Toussaint</t>
  </si>
  <si>
    <t>Commémoration de la victoire de 1945</t>
  </si>
  <si>
    <t>Commémoration de la victoire de 1918</t>
  </si>
  <si>
    <t>Noël</t>
  </si>
  <si>
    <t>Saint-Étienne</t>
  </si>
  <si>
    <t>Pentecôte</t>
  </si>
  <si>
    <t>Pâques</t>
  </si>
  <si>
    <t>Contrat</t>
  </si>
  <si>
    <t>Journalier</t>
  </si>
  <si>
    <t>Hedomadaire</t>
  </si>
  <si>
    <t>Mensuel</t>
  </si>
  <si>
    <t>Semaine</t>
  </si>
  <si>
    <t>Total Heures</t>
  </si>
  <si>
    <t>Pause entre 06:00 et 21:00</t>
  </si>
  <si>
    <t>Pause entre 21:00 et 06:00</t>
  </si>
  <si>
    <t>du</t>
  </si>
  <si>
    <t>au</t>
  </si>
  <si>
    <t>Premier jour de l'année</t>
  </si>
  <si>
    <t>Dernier jour de l'année</t>
  </si>
  <si>
    <t>Nombre de jour dans l'année</t>
  </si>
  <si>
    <t>Nombre de jours ouvrés</t>
  </si>
  <si>
    <t>Nombre de jours fériés en semaine</t>
  </si>
  <si>
    <t>Nombre de jours fériés le week-end</t>
  </si>
  <si>
    <t>Calcul entre deux dates</t>
  </si>
  <si>
    <t>Nombre de jours</t>
  </si>
  <si>
    <t>Congés annuel</t>
  </si>
  <si>
    <t>Jours</t>
  </si>
  <si>
    <t>Jours ouvrables</t>
  </si>
  <si>
    <t>Samedi</t>
  </si>
  <si>
    <t>Dimanche</t>
  </si>
  <si>
    <t>Jours fériés</t>
  </si>
  <si>
    <t>Jours fériés le week-end</t>
  </si>
  <si>
    <t>Jour travaillé par semaine</t>
  </si>
  <si>
    <t>Jour de travail prévu par la convention</t>
  </si>
  <si>
    <t>Liste de contrôle</t>
  </si>
  <si>
    <t>À faire</t>
  </si>
  <si>
    <t>Réalisées</t>
  </si>
  <si>
    <t>Restantes</t>
  </si>
  <si>
    <t xml:space="preserve"> Renseigner le nombre d'heures journalières, en cellule Détails!E2.</t>
  </si>
  <si>
    <t>Renseigner le nombre d'heures mensuelles, en cellule Détails!E5.</t>
  </si>
  <si>
    <t>Renseigner les heures de nuit, en cellule Détails!D11 et Détails!E11.</t>
  </si>
  <si>
    <t>Renseigner le nombre de jous travaillés en semaine, en cellule Détails!E3.</t>
  </si>
  <si>
    <t xml:space="preserve">Repporter le nombre de congés payés N-1 (en cellule Absences!E5) et N (en cellule Absences!E9) acquis. </t>
  </si>
  <si>
    <t xml:space="preserve">Renseigner le nombre de jour de congés payés acquis en fin de mois, en cellule Détails!E8. Si celui-ci est de 2,08, indiquer 2,083333333 en cellule Détails!E8. </t>
  </si>
  <si>
    <t>Si le nombre de congés annuel en cellule Détails!E7 est de 30, renseigner cette formule en cellule Absences!C2 =NB.JOURS.OUVRES.INTL(A2;B2;11;Détails!H$2:H$16).</t>
  </si>
  <si>
    <t>Jours fériés en semaine</t>
  </si>
  <si>
    <t>Lundi</t>
  </si>
  <si>
    <t>Mardi</t>
  </si>
  <si>
    <t>Mercredi</t>
  </si>
  <si>
    <t>Jeudi</t>
  </si>
  <si>
    <t>Vendredi</t>
  </si>
  <si>
    <t>Jours fériés le samedi</t>
  </si>
  <si>
    <t>Jours fériés le dimanche</t>
  </si>
  <si>
    <t>Jours ouvrés</t>
  </si>
  <si>
    <t>Nombre de jours ouvrables</t>
  </si>
  <si>
    <t>Nombre de jours fériés le samedi</t>
  </si>
  <si>
    <t>Nombre de jours fériés le dimanche</t>
  </si>
  <si>
    <t>Nombre de jours fériés</t>
  </si>
  <si>
    <t>Nombre de samedis</t>
  </si>
  <si>
    <t>Nombre de dimanches</t>
  </si>
  <si>
    <t>Nombre de lundis</t>
  </si>
  <si>
    <t>Nombre de mardis</t>
  </si>
  <si>
    <t>Nombre de mercredis</t>
  </si>
  <si>
    <t>Nombre de jeudis</t>
  </si>
  <si>
    <t>Nombre de vendredis</t>
  </si>
  <si>
    <t>Nombre de samedis et dimanches</t>
  </si>
  <si>
    <t>Samedi et dimanche</t>
  </si>
  <si>
    <t>Congés acquis en fin de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</si>
</sst>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[$-F800]dddd\,\ mmmm\ dd\,\ yyyy"/>
    <numFmt numFmtId="165" formatCode="h:mm;@"/>
    <numFmt numFmtId="166" formatCode="[hh]:mm"/>
    <numFmt numFmtId="167" formatCode="[hh]:mm;\-0.000;"/>
    <numFmt numFmtId="168" formatCode="#,##0.00\ _€"/>
    <numFmt numFmtId="169" formatCode=";;;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Bahnschrift"/>
      <family val="2"/>
    </font>
    <font>
      <b/>
      <sz val="9"/>
      <color theme="1"/>
      <name val="Bahnschrift"/>
      <family val="2"/>
    </font>
    <font>
      <sz val="9"/>
      <color theme="1"/>
      <name val="Bahnschrift"/>
      <family val="2"/>
    </font>
    <font>
      <sz val="9"/>
      <color theme="0"/>
      <name val="Bahnschrift"/>
      <family val="2"/>
    </font>
    <font>
      <sz val="11"/>
      <color rgb="FFFF0000"/>
      <name val="Bahnschrift"/>
      <family val="2"/>
    </font>
    <font>
      <b/>
      <sz val="12"/>
      <color theme="1"/>
      <name val="Bahnschrift"/>
      <family val="2"/>
    </font>
    <font>
      <b/>
      <sz val="14"/>
      <color rgb="FFFF0000"/>
      <name val="Bahnschrift"/>
      <family val="2"/>
    </font>
    <font>
      <b/>
      <sz val="11"/>
      <color theme="1"/>
      <name val="Bahnschrift"/>
      <family val="2"/>
    </font>
    <font>
      <sz val="11"/>
      <color theme="1"/>
      <name val="Calibri"/>
      <family val="2"/>
      <scheme val="minor"/>
    </font>
    <font>
      <b/>
      <sz val="16"/>
      <color theme="0"/>
      <name val="Bahnschrift"/>
      <family val="2"/>
    </font>
    <font>
      <b/>
      <sz val="12"/>
      <color theme="0"/>
      <name val="Bahnschrift"/>
      <family val="2"/>
    </font>
    <font>
      <b/>
      <sz val="11"/>
      <color theme="0"/>
      <name val="Bahnschrift"/>
      <family val="2"/>
    </font>
    <font>
      <b/>
      <sz val="20"/>
      <name val="Bahnschrift"/>
      <family val="2"/>
    </font>
    <font>
      <b/>
      <sz val="20"/>
      <color theme="0"/>
      <name val="Bahnschrift"/>
      <family val="2"/>
    </font>
    <font>
      <sz val="20"/>
      <color rgb="FFFF0000"/>
      <name val="Bahnschrift"/>
      <family val="2"/>
    </font>
    <font>
      <b/>
      <sz val="20"/>
      <color theme="1"/>
      <name val="Bahnschrift"/>
      <family val="2"/>
    </font>
    <font>
      <b/>
      <sz val="11"/>
      <color rgb="FFFF0000"/>
      <name val="Bahnschrift"/>
      <family val="2"/>
    </font>
    <font>
      <b/>
      <sz val="10"/>
      <name val="Bahnschrift"/>
      <family val="2"/>
    </font>
    <font>
      <b/>
      <sz val="10"/>
      <color theme="1"/>
      <name val="Bahnschrift"/>
      <family val="2"/>
    </font>
    <font>
      <sz val="10"/>
      <color theme="1"/>
      <name val="Bahnschrift"/>
      <family val="2"/>
    </font>
    <font>
      <b/>
      <sz val="14"/>
      <color theme="0"/>
      <name val="Bahnschrift"/>
      <family val="2"/>
    </font>
    <font>
      <b/>
      <sz val="11"/>
      <color rgb="FF92D050"/>
      <name val="Bahnschrift"/>
      <family val="2"/>
    </font>
    <font>
      <sz val="7"/>
      <color theme="1"/>
      <name val="Bahnschrift"/>
      <family val="2"/>
    </font>
    <font>
      <sz val="11"/>
      <color theme="0"/>
      <name val="Bahnschrift"/>
      <family val="2"/>
    </font>
    <font>
      <sz val="9"/>
      <color rgb="FFFF0000"/>
      <name val="Bahnschrift"/>
      <family val="2"/>
    </font>
    <font>
      <b/>
      <sz val="12"/>
      <color indexed="81"/>
      <name val="Tahoma"/>
      <family val="2"/>
    </font>
    <font>
      <sz val="12"/>
      <color indexed="81"/>
      <name val="Tahoma"/>
      <family val="2"/>
    </font>
    <font>
      <sz val="16"/>
      <color indexed="81"/>
      <name val="Tahoma"/>
      <family val="2"/>
    </font>
    <font>
      <sz val="11"/>
      <color rgb="FF0000FF"/>
      <name val="Bahnschrift"/>
      <family val="2"/>
    </font>
    <font>
      <b/>
      <i/>
      <sz val="16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gradientFill>
        <stop position="0">
          <color theme="0"/>
        </stop>
        <stop position="0.5">
          <color rgb="FF92D050"/>
        </stop>
        <stop position="1">
          <color theme="0"/>
        </stop>
      </gradient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9" fillId="0" borderId="0" applyFont="0" applyFill="0" applyBorder="0" applyAlignment="0" applyProtection="0"/>
  </cellStyleXfs>
  <cellXfs count="85">
    <xf numFmtId="0" fontId="0" fillId="0" borderId="0" xfId="0"/>
    <xf numFmtId="0" fontId="2" fillId="5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164" fontId="3" fillId="5" borderId="1" xfId="0" applyNumberFormat="1" applyFont="1" applyFill="1" applyBorder="1" applyAlignment="1">
      <alignment horizontal="center" vertical="center"/>
    </xf>
    <xf numFmtId="164" fontId="3" fillId="5" borderId="0" xfId="0" applyNumberFormat="1" applyFont="1" applyFill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166" fontId="3" fillId="5" borderId="1" xfId="0" applyNumberFormat="1" applyFont="1" applyFill="1" applyBorder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65" fontId="3" fillId="5" borderId="1" xfId="0" applyNumberFormat="1" applyFont="1" applyFill="1" applyBorder="1" applyAlignment="1">
      <alignment horizontal="center" vertical="center"/>
    </xf>
    <xf numFmtId="1" fontId="3" fillId="5" borderId="1" xfId="0" applyNumberFormat="1" applyFont="1" applyFill="1" applyBorder="1" applyAlignment="1">
      <alignment horizontal="center" vertical="center"/>
    </xf>
    <xf numFmtId="1" fontId="3" fillId="5" borderId="0" xfId="0" applyNumberFormat="1" applyFont="1" applyFill="1" applyAlignment="1">
      <alignment horizontal="center" vertical="center"/>
    </xf>
    <xf numFmtId="168" fontId="3" fillId="5" borderId="0" xfId="0" applyNumberFormat="1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7" fillId="5" borderId="0" xfId="0" applyFont="1" applyFill="1" applyAlignment="1">
      <alignment horizontal="center" vertical="center"/>
    </xf>
    <xf numFmtId="20" fontId="7" fillId="5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1" fontId="1" fillId="5" borderId="1" xfId="0" applyNumberFormat="1" applyFont="1" applyFill="1" applyBorder="1" applyAlignment="1">
      <alignment horizontal="center" vertical="center"/>
    </xf>
    <xf numFmtId="165" fontId="1" fillId="5" borderId="1" xfId="0" applyNumberFormat="1" applyFont="1" applyFill="1" applyBorder="1" applyAlignment="1">
      <alignment horizontal="center" vertical="center"/>
    </xf>
    <xf numFmtId="165" fontId="8" fillId="5" borderId="1" xfId="0" applyNumberFormat="1" applyFont="1" applyFill="1" applyBorder="1" applyAlignment="1">
      <alignment horizontal="center" vertical="center"/>
    </xf>
    <xf numFmtId="167" fontId="1" fillId="5" borderId="1" xfId="0" applyNumberFormat="1" applyFont="1" applyFill="1" applyBorder="1" applyAlignment="1">
      <alignment horizontal="center" vertical="center"/>
    </xf>
    <xf numFmtId="167" fontId="5" fillId="5" borderId="1" xfId="0" applyNumberFormat="1" applyFont="1" applyFill="1" applyBorder="1" applyAlignment="1">
      <alignment horizontal="center" vertical="center"/>
    </xf>
    <xf numFmtId="165" fontId="1" fillId="5" borderId="0" xfId="0" applyNumberFormat="1" applyFont="1" applyFill="1" applyAlignment="1">
      <alignment horizontal="center" vertical="center"/>
    </xf>
    <xf numFmtId="1" fontId="1" fillId="5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left" vertical="center"/>
    </xf>
    <xf numFmtId="167" fontId="1" fillId="5" borderId="0" xfId="0" applyNumberFormat="1" applyFont="1" applyFill="1" applyAlignment="1">
      <alignment horizontal="center" vertical="center"/>
    </xf>
    <xf numFmtId="167" fontId="5" fillId="5" borderId="0" xfId="0" applyNumberFormat="1" applyFont="1" applyFill="1" applyAlignment="1">
      <alignment horizontal="center" vertical="center"/>
    </xf>
    <xf numFmtId="1" fontId="1" fillId="6" borderId="2" xfId="0" applyNumberFormat="1" applyFont="1" applyFill="1" applyBorder="1" applyAlignment="1">
      <alignment horizontal="center" vertical="center" wrapText="1"/>
    </xf>
    <xf numFmtId="0" fontId="8" fillId="6" borderId="3" xfId="0" applyFont="1" applyFill="1" applyBorder="1" applyAlignment="1">
      <alignment horizontal="center" vertical="center" wrapText="1"/>
    </xf>
    <xf numFmtId="167" fontId="8" fillId="6" borderId="3" xfId="0" applyNumberFormat="1" applyFont="1" applyFill="1" applyBorder="1" applyAlignment="1">
      <alignment horizontal="center" vertical="center" wrapText="1"/>
    </xf>
    <xf numFmtId="167" fontId="12" fillId="6" borderId="3" xfId="0" applyNumberFormat="1" applyFont="1" applyFill="1" applyBorder="1" applyAlignment="1">
      <alignment horizontal="center" vertical="center" wrapText="1"/>
    </xf>
    <xf numFmtId="167" fontId="12" fillId="6" borderId="4" xfId="0" applyNumberFormat="1" applyFont="1" applyFill="1" applyBorder="1" applyAlignment="1">
      <alignment horizontal="center" vertical="center" wrapText="1"/>
    </xf>
    <xf numFmtId="167" fontId="13" fillId="5" borderId="0" xfId="0" applyNumberFormat="1" applyFont="1" applyFill="1" applyAlignment="1">
      <alignment horizontal="center" vertical="center" shrinkToFit="1"/>
    </xf>
    <xf numFmtId="167" fontId="15" fillId="5" borderId="1" xfId="0" applyNumberFormat="1" applyFont="1" applyFill="1" applyBorder="1" applyAlignment="1">
      <alignment horizontal="center" vertical="center"/>
    </xf>
    <xf numFmtId="167" fontId="15" fillId="5" borderId="0" xfId="0" applyNumberFormat="1" applyFont="1" applyFill="1" applyAlignment="1">
      <alignment horizontal="center" vertical="center"/>
    </xf>
    <xf numFmtId="1" fontId="13" fillId="5" borderId="0" xfId="0" applyNumberFormat="1" applyFont="1" applyFill="1" applyAlignment="1">
      <alignment horizontal="center" vertical="center" shrinkToFit="1"/>
    </xf>
    <xf numFmtId="0" fontId="14" fillId="5" borderId="0" xfId="0" applyFont="1" applyFill="1" applyAlignment="1">
      <alignment horizontal="center" vertical="center" shrinkToFit="1"/>
    </xf>
    <xf numFmtId="167" fontId="16" fillId="5" borderId="0" xfId="0" applyNumberFormat="1" applyFont="1" applyFill="1" applyAlignment="1">
      <alignment horizontal="center" vertical="center" shrinkToFit="1"/>
    </xf>
    <xf numFmtId="167" fontId="17" fillId="5" borderId="1" xfId="0" applyNumberFormat="1" applyFont="1" applyFill="1" applyBorder="1" applyAlignment="1">
      <alignment horizontal="center" vertical="center"/>
    </xf>
    <xf numFmtId="167" fontId="14" fillId="5" borderId="0" xfId="0" applyNumberFormat="1" applyFont="1" applyFill="1" applyAlignment="1">
      <alignment horizontal="center" vertical="center" shrinkToFit="1"/>
    </xf>
    <xf numFmtId="0" fontId="18" fillId="5" borderId="0" xfId="0" applyFont="1" applyFill="1" applyAlignment="1">
      <alignment horizontal="center" vertical="center" wrapText="1" shrinkToFit="1"/>
    </xf>
    <xf numFmtId="0" fontId="19" fillId="6" borderId="3" xfId="0" applyFont="1" applyFill="1" applyBorder="1" applyAlignment="1">
      <alignment horizontal="center" vertical="center" wrapText="1"/>
    </xf>
    <xf numFmtId="0" fontId="20" fillId="5" borderId="1" xfId="0" applyFont="1" applyFill="1" applyBorder="1" applyAlignment="1">
      <alignment horizontal="center" vertical="center" wrapText="1"/>
    </xf>
    <xf numFmtId="0" fontId="20" fillId="5" borderId="0" xfId="0" applyFont="1" applyFill="1" applyAlignment="1">
      <alignment horizontal="center" vertical="center" wrapText="1"/>
    </xf>
    <xf numFmtId="2" fontId="3" fillId="5" borderId="1" xfId="0" applyNumberFormat="1" applyFont="1" applyFill="1" applyBorder="1" applyAlignment="1">
      <alignment horizontal="center" vertical="center"/>
    </xf>
    <xf numFmtId="0" fontId="22" fillId="5" borderId="0" xfId="0" applyFont="1" applyFill="1" applyAlignment="1">
      <alignment horizontal="center" vertical="center"/>
    </xf>
    <xf numFmtId="169" fontId="1" fillId="5" borderId="0" xfId="0" applyNumberFormat="1" applyFont="1" applyFill="1" applyAlignment="1">
      <alignment horizontal="center" vertical="center"/>
    </xf>
    <xf numFmtId="9" fontId="1" fillId="5" borderId="0" xfId="0" applyNumberFormat="1" applyFont="1" applyFill="1" applyAlignment="1">
      <alignment horizontal="center" vertical="center"/>
    </xf>
    <xf numFmtId="0" fontId="23" fillId="5" borderId="0" xfId="0" applyFont="1" applyFill="1" applyAlignment="1">
      <alignment horizontal="center" vertical="center" wrapText="1"/>
    </xf>
    <xf numFmtId="0" fontId="1" fillId="5" borderId="0" xfId="0" applyFont="1" applyFill="1" applyAlignment="1">
      <alignment horizontal="center" vertical="center" wrapText="1"/>
    </xf>
    <xf numFmtId="0" fontId="14" fillId="5" borderId="0" xfId="1" applyNumberFormat="1" applyFont="1" applyFill="1" applyAlignment="1" applyProtection="1">
      <alignment horizontal="center" vertical="center" shrinkToFit="1"/>
      <protection locked="0"/>
    </xf>
    <xf numFmtId="0" fontId="24" fillId="5" borderId="0" xfId="0" applyFont="1" applyFill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21" fillId="7" borderId="0" xfId="0" applyFont="1" applyFill="1" applyAlignment="1">
      <alignment horizontal="center" vertical="center" wrapText="1"/>
    </xf>
    <xf numFmtId="0" fontId="21" fillId="7" borderId="0" xfId="0" applyFont="1" applyFill="1" applyAlignment="1">
      <alignment horizontal="center" vertical="center"/>
    </xf>
    <xf numFmtId="0" fontId="24" fillId="5" borderId="0" xfId="0" applyFont="1" applyFill="1" applyAlignment="1">
      <alignment horizontal="center" vertical="center" wrapText="1"/>
    </xf>
    <xf numFmtId="1" fontId="24" fillId="5" borderId="0" xfId="0" applyNumberFormat="1" applyFont="1" applyFill="1" applyAlignment="1">
      <alignment horizontal="center" vertical="center"/>
    </xf>
    <xf numFmtId="0" fontId="25" fillId="5" borderId="0" xfId="0" applyFont="1" applyFill="1" applyAlignment="1">
      <alignment horizontal="center" vertical="center"/>
    </xf>
    <xf numFmtId="0" fontId="11" fillId="4" borderId="5" xfId="0" applyFont="1" applyFill="1" applyBorder="1" applyAlignment="1">
      <alignment horizontal="center" vertical="center"/>
    </xf>
    <xf numFmtId="0" fontId="11" fillId="4" borderId="6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11" fillId="3" borderId="7" xfId="0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164" fontId="29" fillId="0" borderId="1" xfId="0" applyNumberFormat="1" applyFont="1" applyFill="1" applyBorder="1" applyAlignment="1">
      <alignment horizontal="left" vertical="center"/>
    </xf>
    <xf numFmtId="0" fontId="20" fillId="0" borderId="1" xfId="0" applyNumberFormat="1" applyFont="1" applyFill="1" applyBorder="1" applyAlignment="1">
      <alignment horizontal="center" vertical="center" wrapText="1"/>
    </xf>
    <xf numFmtId="165" fontId="1" fillId="0" borderId="1" xfId="0" applyNumberFormat="1" applyFont="1" applyFill="1" applyBorder="1" applyAlignment="1">
      <alignment horizontal="center" vertical="center"/>
    </xf>
    <xf numFmtId="165" fontId="8" fillId="5" borderId="5" xfId="0" applyNumberFormat="1" applyFont="1" applyFill="1" applyBorder="1" applyAlignment="1">
      <alignment horizontal="center" vertical="center"/>
    </xf>
    <xf numFmtId="165" fontId="8" fillId="0" borderId="1" xfId="0" applyNumberFormat="1" applyFont="1" applyFill="1" applyBorder="1" applyAlignment="1">
      <alignment horizontal="center" vertical="center"/>
    </xf>
    <xf numFmtId="165" fontId="1" fillId="0" borderId="6" xfId="0" applyNumberFormat="1" applyFont="1" applyFill="1" applyBorder="1" applyAlignment="1">
      <alignment horizontal="center" vertical="center"/>
    </xf>
    <xf numFmtId="167" fontId="1" fillId="0" borderId="1" xfId="0" applyNumberFormat="1" applyFont="1" applyFill="1" applyBorder="1" applyAlignment="1">
      <alignment horizontal="center" vertical="center"/>
    </xf>
    <xf numFmtId="167" fontId="15" fillId="0" borderId="1" xfId="0" applyNumberFormat="1" applyFont="1" applyFill="1" applyBorder="1" applyAlignment="1">
      <alignment horizontal="center" vertical="center"/>
    </xf>
    <xf numFmtId="167" fontId="5" fillId="0" borderId="1" xfId="0" applyNumberFormat="1" applyFont="1" applyFill="1" applyBorder="1" applyAlignment="1">
      <alignment horizontal="center" vertical="center"/>
    </xf>
    <xf numFmtId="164" fontId="29" fillId="0" borderId="9" xfId="0" applyNumberFormat="1" applyFont="1" applyFill="1" applyBorder="1" applyAlignment="1">
      <alignment horizontal="left" vertical="center"/>
    </xf>
    <xf numFmtId="0" fontId="20" fillId="0" borderId="9" xfId="0" applyNumberFormat="1" applyFont="1" applyFill="1" applyBorder="1" applyAlignment="1">
      <alignment horizontal="center" vertical="center" wrapText="1"/>
    </xf>
    <xf numFmtId="165" fontId="1" fillId="0" borderId="9" xfId="0" applyNumberFormat="1" applyFont="1" applyFill="1" applyBorder="1" applyAlignment="1">
      <alignment horizontal="center" vertical="center"/>
    </xf>
    <xf numFmtId="165" fontId="8" fillId="5" borderId="10" xfId="0" applyNumberFormat="1" applyFont="1" applyFill="1" applyBorder="1" applyAlignment="1">
      <alignment horizontal="center" vertical="center"/>
    </xf>
    <xf numFmtId="165" fontId="8" fillId="0" borderId="9" xfId="0" applyNumberFormat="1" applyFont="1" applyFill="1" applyBorder="1" applyAlignment="1">
      <alignment horizontal="center" vertical="center"/>
    </xf>
    <xf numFmtId="165" fontId="1" fillId="0" borderId="11" xfId="0" applyNumberFormat="1" applyFont="1" applyFill="1" applyBorder="1" applyAlignment="1">
      <alignment horizontal="center" vertical="center"/>
    </xf>
    <xf numFmtId="167" fontId="1" fillId="0" borderId="9" xfId="0" applyNumberFormat="1" applyFont="1" applyFill="1" applyBorder="1" applyAlignment="1">
      <alignment horizontal="center" vertical="center"/>
    </xf>
    <xf numFmtId="167" fontId="15" fillId="0" borderId="9" xfId="0" applyNumberFormat="1" applyFont="1" applyFill="1" applyBorder="1" applyAlignment="1">
      <alignment horizontal="center" vertical="center"/>
    </xf>
    <xf numFmtId="167" fontId="5" fillId="0" borderId="9" xfId="0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FF"/>
        <name val="Bahnschrift"/>
        <family val="2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ont>
        <strike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2417979002624673"/>
          <c:y val="0"/>
          <c:w val="0.91072640868974886"/>
          <c:h val="1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E35E-4637-BD8D-A961A9C3F16E}"/>
              </c:ext>
            </c:extLst>
          </c:dPt>
          <c:dPt>
            <c:idx val="1"/>
            <c:bubble3D val="0"/>
            <c:spPr>
              <a:solidFill>
                <a:srgbClr val="92D050">
                  <a:alpha val="5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E35E-4637-BD8D-A961A9C3F16E}"/>
              </c:ext>
            </c:extLst>
          </c:dPt>
          <c:cat>
            <c:strRef>
              <c:f>'Liste des choses à faire'!$E$1:$F$1</c:f>
              <c:strCache>
                <c:ptCount val="2"/>
                <c:pt idx="0">
                  <c:v>Réalisées</c:v>
                </c:pt>
                <c:pt idx="1">
                  <c:v>Restantes</c:v>
                </c:pt>
              </c:strCache>
            </c:strRef>
          </c:cat>
          <c:val>
            <c:numRef>
              <c:f>'Liste des choses à faire'!$E$2:$F$2</c:f>
              <c:numCache>
                <c:formatCode>General</c:formatCode>
                <c:ptCount val="2"/>
                <c:pt idx="0">
                  <c:v>0</c:v>
                </c:pt>
                <c:pt idx="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35E-4637-BD8D-A961A9C3F16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0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CheckBox" fmlaLink="B2" lockText="1" noThreeD="1"/>
</file>

<file path=xl/ctrlProps/ctrlProp2.xml><?xml version="1.0" encoding="utf-8"?>
<formControlPr xmlns="http://schemas.microsoft.com/office/spreadsheetml/2009/9/main" objectType="CheckBox" fmlaLink="B3" lockText="1" noThreeD="1"/>
</file>

<file path=xl/ctrlProps/ctrlProp3.xml><?xml version="1.0" encoding="utf-8"?>
<formControlPr xmlns="http://schemas.microsoft.com/office/spreadsheetml/2009/9/main" objectType="CheckBox" fmlaLink="B4" lockText="1" noThreeD="1"/>
</file>

<file path=xl/ctrlProps/ctrlProp4.xml><?xml version="1.0" encoding="utf-8"?>
<formControlPr xmlns="http://schemas.microsoft.com/office/spreadsheetml/2009/9/main" objectType="CheckBox" fmlaLink="B5" lockText="1" noThreeD="1"/>
</file>

<file path=xl/ctrlProps/ctrlProp5.xml><?xml version="1.0" encoding="utf-8"?>
<formControlPr xmlns="http://schemas.microsoft.com/office/spreadsheetml/2009/9/main" objectType="CheckBox" fmlaLink="B6" lockText="1" noThreeD="1"/>
</file>

<file path=xl/ctrlProps/ctrlProp6.xml><?xml version="1.0" encoding="utf-8"?>
<formControlPr xmlns="http://schemas.microsoft.com/office/spreadsheetml/2009/9/main" objectType="CheckBox" fmlaLink="B7" lockText="1" noThreeD="1"/>
</file>

<file path=xl/ctrlProps/ctrlProp7.xml><?xml version="1.0" encoding="utf-8"?>
<formControlPr xmlns="http://schemas.microsoft.com/office/spreadsheetml/2009/9/main" objectType="CheckBox" fmlaLink="B8" lockText="1" noThreeD="1"/>
</file>

<file path=xl/ctrlProps/ctrlProp8.xml><?xml version="1.0" encoding="utf-8"?>
<formControlPr xmlns="http://schemas.microsoft.com/office/spreadsheetml/2009/9/main" objectType="CheckBox" fmlaLink="B9" lockText="1" noThreeD="1"/>
</file>

<file path=xl/ctrlProps/ctrlProp9.xml><?xml version="1.0" encoding="utf-8"?>
<formControlPr xmlns="http://schemas.microsoft.com/office/spreadsheetml/2009/9/main" objectType="CheckBox" fmlaLink="B10" lockText="1" noThreeD="1"/>
</file>

<file path=xl/ctrlProps/ctrlProp10.xml><?xml version="1.0" encoding="utf-8"?>
<formControlPr xmlns="http://schemas.microsoft.com/office/spreadsheetml/2009/9/main" objectType="CheckBox" fmlaLink="B11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28574</xdr:colOff>
      <xdr:row>2</xdr:row>
      <xdr:rowOff>45720</xdr:rowOff>
    </xdr:from>
    <xdr:to>
      <xdr:col>10</xdr:col>
      <xdr:colOff>586739</xdr:colOff>
      <xdr:row>9</xdr:row>
      <xdr:rowOff>276225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1</xdr:row>
          <xdr:rowOff>60960</xdr:rowOff>
        </xdr:from>
        <xdr:to>
          <xdr:col>1</xdr:col>
          <xdr:colOff>457200</xdr:colOff>
          <xdr:row>1</xdr:row>
          <xdr:rowOff>266700</xdr:rowOff>
        </xdr:to>
        <xdr:sp macro="" textlink="">
          <xdr:nvSpPr>
            <xdr:cNvPr id="34873" name="Check Box 57" hidden="1">
              <a:extLst>
                <a:ext uri="{63B3BB69-23CF-44E3-9099-C40C66FF867C}">
                  <a14:compatExt spid="_x0000_s34873"/>
                </a:ext>
                <a:ext uri="{FF2B5EF4-FFF2-40B4-BE49-F238E27FC236}">
                  <a16:creationId xmlns:a16="http://schemas.microsoft.com/office/drawing/2014/main" id="{00000000-0008-0000-0000-000039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2</xdr:row>
          <xdr:rowOff>60960</xdr:rowOff>
        </xdr:from>
        <xdr:to>
          <xdr:col>1</xdr:col>
          <xdr:colOff>457200</xdr:colOff>
          <xdr:row>2</xdr:row>
          <xdr:rowOff>266700</xdr:rowOff>
        </xdr:to>
        <xdr:sp macro="" textlink="">
          <xdr:nvSpPr>
            <xdr:cNvPr id="34901" name="Check Box 85" hidden="1">
              <a:extLst>
                <a:ext uri="{63B3BB69-23CF-44E3-9099-C40C66FF867C}">
                  <a14:compatExt spid="_x0000_s34901"/>
                </a:ext>
                <a:ext uri="{FF2B5EF4-FFF2-40B4-BE49-F238E27FC236}">
                  <a16:creationId xmlns:a16="http://schemas.microsoft.com/office/drawing/2014/main" id="{00000000-0008-0000-0000-000055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3</xdr:row>
          <xdr:rowOff>60960</xdr:rowOff>
        </xdr:from>
        <xdr:to>
          <xdr:col>1</xdr:col>
          <xdr:colOff>457200</xdr:colOff>
          <xdr:row>3</xdr:row>
          <xdr:rowOff>266700</xdr:rowOff>
        </xdr:to>
        <xdr:sp macro="" textlink="">
          <xdr:nvSpPr>
            <xdr:cNvPr id="34902" name="Check Box 86" hidden="1">
              <a:extLst>
                <a:ext uri="{63B3BB69-23CF-44E3-9099-C40C66FF867C}">
                  <a14:compatExt spid="_x0000_s34902"/>
                </a:ext>
                <a:ext uri="{FF2B5EF4-FFF2-40B4-BE49-F238E27FC236}">
                  <a16:creationId xmlns:a16="http://schemas.microsoft.com/office/drawing/2014/main" id="{00000000-0008-0000-0000-000056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4</xdr:row>
          <xdr:rowOff>60960</xdr:rowOff>
        </xdr:from>
        <xdr:to>
          <xdr:col>1</xdr:col>
          <xdr:colOff>457200</xdr:colOff>
          <xdr:row>4</xdr:row>
          <xdr:rowOff>266700</xdr:rowOff>
        </xdr:to>
        <xdr:sp macro="" textlink="">
          <xdr:nvSpPr>
            <xdr:cNvPr id="34903" name="Check Box 87" hidden="1">
              <a:extLst>
                <a:ext uri="{63B3BB69-23CF-44E3-9099-C40C66FF867C}">
                  <a14:compatExt spid="_x0000_s34903"/>
                </a:ext>
                <a:ext uri="{FF2B5EF4-FFF2-40B4-BE49-F238E27FC236}">
                  <a16:creationId xmlns:a16="http://schemas.microsoft.com/office/drawing/2014/main" id="{00000000-0008-0000-0000-000057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5</xdr:row>
          <xdr:rowOff>60960</xdr:rowOff>
        </xdr:from>
        <xdr:to>
          <xdr:col>1</xdr:col>
          <xdr:colOff>457200</xdr:colOff>
          <xdr:row>5</xdr:row>
          <xdr:rowOff>266700</xdr:rowOff>
        </xdr:to>
        <xdr:sp macro="" textlink="">
          <xdr:nvSpPr>
            <xdr:cNvPr id="34904" name="Check Box 88" hidden="1">
              <a:extLst>
                <a:ext uri="{63B3BB69-23CF-44E3-9099-C40C66FF867C}">
                  <a14:compatExt spid="_x0000_s34904"/>
                </a:ext>
                <a:ext uri="{FF2B5EF4-FFF2-40B4-BE49-F238E27FC236}">
                  <a16:creationId xmlns:a16="http://schemas.microsoft.com/office/drawing/2014/main" id="{00000000-0008-0000-0000-000058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6</xdr:row>
          <xdr:rowOff>60960</xdr:rowOff>
        </xdr:from>
        <xdr:to>
          <xdr:col>1</xdr:col>
          <xdr:colOff>457200</xdr:colOff>
          <xdr:row>6</xdr:row>
          <xdr:rowOff>266700</xdr:rowOff>
        </xdr:to>
        <xdr:sp macro="" textlink="">
          <xdr:nvSpPr>
            <xdr:cNvPr id="34905" name="Check Box 89" hidden="1">
              <a:extLst>
                <a:ext uri="{63B3BB69-23CF-44E3-9099-C40C66FF867C}">
                  <a14:compatExt spid="_x0000_s34905"/>
                </a:ext>
                <a:ext uri="{FF2B5EF4-FFF2-40B4-BE49-F238E27FC236}">
                  <a16:creationId xmlns:a16="http://schemas.microsoft.com/office/drawing/2014/main" id="{00000000-0008-0000-0000-000059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7</xdr:row>
          <xdr:rowOff>60960</xdr:rowOff>
        </xdr:from>
        <xdr:to>
          <xdr:col>1</xdr:col>
          <xdr:colOff>457200</xdr:colOff>
          <xdr:row>7</xdr:row>
          <xdr:rowOff>266700</xdr:rowOff>
        </xdr:to>
        <xdr:sp macro="" textlink="">
          <xdr:nvSpPr>
            <xdr:cNvPr id="34906" name="Check Box 90" hidden="1">
              <a:extLst>
                <a:ext uri="{63B3BB69-23CF-44E3-9099-C40C66FF867C}">
                  <a14:compatExt spid="_x0000_s34906"/>
                </a:ext>
                <a:ext uri="{FF2B5EF4-FFF2-40B4-BE49-F238E27FC236}">
                  <a16:creationId xmlns:a16="http://schemas.microsoft.com/office/drawing/2014/main" id="{00000000-0008-0000-0000-00005A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8</xdr:row>
          <xdr:rowOff>60960</xdr:rowOff>
        </xdr:from>
        <xdr:to>
          <xdr:col>1</xdr:col>
          <xdr:colOff>457200</xdr:colOff>
          <xdr:row>8</xdr:row>
          <xdr:rowOff>266700</xdr:rowOff>
        </xdr:to>
        <xdr:sp macro="" textlink="">
          <xdr:nvSpPr>
            <xdr:cNvPr id="34907" name="Check Box 91" hidden="1">
              <a:extLst>
                <a:ext uri="{63B3BB69-23CF-44E3-9099-C40C66FF867C}">
                  <a14:compatExt spid="_x0000_s34907"/>
                </a:ext>
                <a:ext uri="{FF2B5EF4-FFF2-40B4-BE49-F238E27FC236}">
                  <a16:creationId xmlns:a16="http://schemas.microsoft.com/office/drawing/2014/main" id="{00000000-0008-0000-0000-00005B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9</xdr:row>
          <xdr:rowOff>60960</xdr:rowOff>
        </xdr:from>
        <xdr:to>
          <xdr:col>1</xdr:col>
          <xdr:colOff>457200</xdr:colOff>
          <xdr:row>9</xdr:row>
          <xdr:rowOff>266700</xdr:rowOff>
        </xdr:to>
        <xdr:sp macro="" textlink="">
          <xdr:nvSpPr>
            <xdr:cNvPr id="34908" name="Check Box 92" hidden="1">
              <a:extLst>
                <a:ext uri="{63B3BB69-23CF-44E3-9099-C40C66FF867C}">
                  <a14:compatExt spid="_x0000_s34908"/>
                </a:ext>
                <a:ext uri="{FF2B5EF4-FFF2-40B4-BE49-F238E27FC236}">
                  <a16:creationId xmlns:a16="http://schemas.microsoft.com/office/drawing/2014/main" id="{00000000-0008-0000-0000-00005C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10</xdr:row>
          <xdr:rowOff>60960</xdr:rowOff>
        </xdr:from>
        <xdr:to>
          <xdr:col>1</xdr:col>
          <xdr:colOff>457200</xdr:colOff>
          <xdr:row>10</xdr:row>
          <xdr:rowOff>266700</xdr:rowOff>
        </xdr:to>
        <xdr:sp macro="" textlink="">
          <xdr:nvSpPr>
            <xdr:cNvPr id="34909" name="Check Box 93" hidden="1">
              <a:extLst>
                <a:ext uri="{63B3BB69-23CF-44E3-9099-C40C66FF867C}">
                  <a14:compatExt spid="_x0000_s34909"/>
                </a:ext>
                <a:ext uri="{FF2B5EF4-FFF2-40B4-BE49-F238E27FC236}">
                  <a16:creationId xmlns:a16="http://schemas.microsoft.com/office/drawing/2014/main" id="{00000000-0008-0000-0000-00005D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0.33436</cdr:x>
      <cdr:y>0.28941</cdr:y>
    </cdr:from>
    <cdr:to>
      <cdr:x>0.76997</cdr:x>
      <cdr:y>0.68537</cdr:y>
    </cdr:to>
    <cdr:sp macro="" textlink="'Liste des choses à faire'!$E$3">
      <cdr:nvSpPr>
        <cdr:cNvPr id="3" name="ZoneTexte 2">
          <a:extLst xmlns:a="http://schemas.openxmlformats.org/drawingml/2006/main">
            <a:ext uri="{FF2B5EF4-FFF2-40B4-BE49-F238E27FC236}">
              <a16:creationId xmlns:a16="http://schemas.microsoft.com/office/drawing/2014/main" id="{85C5BD04-5F0E-CE37-8CF4-951050E18473}"/>
            </a:ext>
          </a:extLst>
        </cdr:cNvPr>
        <cdr:cNvSpPr txBox="1"/>
      </cdr:nvSpPr>
      <cdr:spPr>
        <a:xfrm xmlns:a="http://schemas.openxmlformats.org/drawingml/2006/main">
          <a:off x="1182189" y="853440"/>
          <a:ext cx="1540165" cy="1167679"/>
        </a:xfrm>
        <a:prstGeom xmlns:a="http://schemas.openxmlformats.org/drawingml/2006/main" prst="rect">
          <a:avLst/>
        </a:prstGeom>
        <a:noFill xmlns:a="http://schemas.openxmlformats.org/drawingml/2006/main"/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vertOverflow="clip" horzOverflow="clip" wrap="square" rtlCol="0" anchor="ctr">
          <a:noAutofit/>
        </a:bodyPr>
        <a:lstStyle xmlns:a="http://schemas.openxmlformats.org/drawingml/2006/main"/>
        <a:p xmlns:a="http://schemas.openxmlformats.org/drawingml/2006/main">
          <a:pPr algn="ctr"/>
          <a:fld id="{5BDD0F10-E5EC-4273-81C8-CACA2C6FE7EB}" type="TxLink">
            <a:rPr lang="en-US" sz="2400" b="0" i="0" u="none" strike="noStrike">
              <a:solidFill>
                <a:srgbClr val="92D050"/>
              </a:solidFill>
              <a:latin typeface="Bahnschrift"/>
            </a:rPr>
            <a:pPr algn="ctr"/>
            <a:t>0%</a:t>
          </a:fld>
          <a:endParaRPr lang="fr-FR" sz="4000" b="0" i="0" u="none" strike="noStrike">
            <a:solidFill>
              <a:srgbClr val="92D050"/>
            </a:solidFill>
            <a:latin typeface="Bahnschrift"/>
          </a:endParaRPr>
        </a:p>
      </cdr:txBody>
    </cdr:sp>
  </cdr:relSizeAnchor>
</c:userShap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EC5700F-39D9-4D9D-B445-973BCE71562B}" name="Février" displayName="Février" ref="A2:L33" totalsRowShown="0" headerRowDxfId="22" dataDxfId="21">
  <sortState xmlns:xlrd2="http://schemas.microsoft.com/office/spreadsheetml/2017/richdata2" ref="A3:L31">
    <sortCondition ref="B2:B31"/>
  </sortState>
  <tableColumns count="12">
    <tableColumn id="1" xr3:uid="{B4320BAD-8B6C-4402-9B33-6DC9C6CBAA49}" name="Semaine" dataDxfId="20">
      <calculatedColumnFormula>IF(B3="","",""&amp;WEEKNUM(B3,2))</calculatedColumnFormula>
    </tableColumn>
    <tableColumn id="2" xr3:uid="{241220C1-2772-4094-B54F-83025275C82C}" name="Date" dataDxfId="0">
      <calculatedColumnFormula>IF(B2="","",IF(ISTEXT(B2),DATE(Détails!A1,2,1),IF(B2+1 &gt; EOMONTH(B2,0),"",B2+1)))</calculatedColumnFormula>
    </tableColumn>
    <tableColumn id="3" xr3:uid="{51D2967C-F3DD-4013-BD7A-5DCB99652B51}" name="Ordre" dataDxfId="19">
      <calculatedColumnFormula>IF(B3="","",IF(ISNUMBER(Février[[#This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familial",IFERROR(IF(VLOOKUP($B3,Détails!$K$2:$K$16,1,0),"Férié",""),"")))))))</calculatedColumnFormula>
    </tableColumn>
    <tableColumn id="4" xr3:uid="{6CB6AFC8-5662-49A7-810B-7183BA912FBC}" name="Ouverture de poste" dataDxfId="18"/>
    <tableColumn id="12" xr3:uid="{1183BA25-5F0B-44D6-B0FB-1019002A46F7}" name="Pause entre 06:00 et 21:00" dataDxfId="17"/>
    <tableColumn id="5" xr3:uid="{1A9856AF-0145-41D7-A332-56DDB17D15B5}" name="Pause entre 21:00 et 06:00" dataDxfId="16"/>
    <tableColumn id="6" xr3:uid="{C710A357-B5C7-405B-9DF8-14A2FB12FDDE}" name="Fermeture de poste" dataDxfId="15"/>
    <tableColumn id="7" xr3:uid="{7D34F368-9DF5-431E-9CE1-15764B0C31AD}" name="Total Heures" dataDxfId="14">
      <calculatedColumnFormula>IF(B3="","",IF(OR(D3&lt;&gt;"",G3&lt;&gt;""),MOD(G3-D3-F3-E3,1),""))</calculatedColumnFormula>
    </tableColumn>
    <tableColumn id="8" xr3:uid="{5CB6A4C0-B744-4C95-9151-36DDA2166322}" name="Heures de jour" dataDxfId="13">
      <calculatedColumnFormula>IF(B3="","",IF($G3&gt;$D3,MEDIAN($G3,Détails!$G$11,Détails!$H$11)-MEDIAN($D3,Détails!$G$11,Détails!$H$11),($G3&lt;$D3)*(Détails!$G$11-Détails!$H$11)+MEDIAN($G3,Détails!$H$11,Détails!$G$11)-MEDIAN($D3,Détails!$H$11,Détails!$G$11))-$E3)</calculatedColumnFormula>
    </tableColumn>
    <tableColumn id="9" xr3:uid="{A50EF8E1-23C6-4F9F-8945-716B3FBEBCCA}" name="Heures de nuit" dataDxfId="6">
      <calculatedColumnFormula>IF(B3="","",IF($G3&gt;$D3,MEDIAN($G3,Détails!$G$11,Détails!$H$11)-MEDIAN($D3,Détails!$G$11,Détails!$H$11),($G3&lt;$D3)*(Détails!$G$11-Détails!$H$11)+MEDIAN($G3,Détails!$H$11,Détails!$G$11)-MEDIAN($D3,Détails!$H$11,Détails!$G$11))-$E3)</calculatedColumnFormula>
    </tableColumn>
    <tableColumn id="10" xr3:uid="{278F9091-8906-4165-970F-191AC2708F3F}" name="Total semaine" dataDxfId="12">
      <calculatedColumnFormula>IF(B3="","",IF(OR(WEEKDAY(Février[[#This Row],[Date]],2)=7, DAY(Février[[#This Row],[Date]])=DAY(EOMONTH(Février[[#This Row],[Date]],0))),SUMIF(Février[Semaine],Février[[#This Row],[Semaine]],Février[Total Heures]),0))</calculatedColumnFormula>
    </tableColumn>
    <tableColumn id="11" xr3:uid="{5839DA0B-3A6D-46B2-A1F9-EA4A3D102268}" name="Heures supplémentaires" dataDxfId="11">
      <calculatedColumnFormula>IF(B3="","",IFERROR(IF(K3&gt;Détails!H$4,K3-Détails!H$4,""),0))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>
        <a:noFill/>
      </a:spPr>
      <a:bodyPr vertOverflow="clip" horzOverflow="clip" wrap="square" rtlCol="0" anchor="ctr">
        <a:noAutofit/>
      </a:bodyPr>
      <a:lstStyle>
        <a:defPPr algn="ctr">
          <a:defRPr sz="1100" b="0" i="0" u="none" strike="noStrike">
            <a:solidFill>
              <a:srgbClr val="000000"/>
            </a:solidFill>
            <a:latin typeface="Bahnschrift"/>
          </a:defRPr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a:style>
    </a:tx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91F73A-424D-470D-8B92-27F0C705D13F}">
  <dimension ref="A1:F11"/>
  <sheetViews>
    <sheetView zoomScaleNormal="100" workbookViewId="0">
      <selection activeCell="G1" sqref="G1"/>
    </sheetView>
  </sheetViews>
  <sheetFormatPr baseColWidth="10" defaultColWidth="10.6640625" defaultRowHeight="10.199999999999999" customHeight="1" x14ac:dyDescent="0.3"/>
  <cols>
    <col min="1" max="1" width="60.6640625" style="18" customWidth="1"/>
    <col min="2" max="2" width="10.6640625" style="18"/>
    <col min="3" max="3" width="60.6640625" style="51" customWidth="1"/>
    <col min="4" max="4" width="10.6640625" style="18"/>
    <col min="5" max="6" width="10.6640625" style="18" hidden="1" customWidth="1"/>
    <col min="7" max="16384" width="10.6640625" style="18"/>
  </cols>
  <sheetData>
    <row r="1" spans="1:6" ht="30" customHeight="1" x14ac:dyDescent="0.3">
      <c r="A1" s="56" t="s">
        <v>63</v>
      </c>
      <c r="B1" s="47" t="str" cm="1">
        <f t="array" ref="B1">COUNTIF(B2:B11,TRUE)&amp;"/"&amp;COUNTA(B2:B11="Vrai")</f>
        <v>0/10</v>
      </c>
      <c r="C1" s="55" t="s">
        <v>64</v>
      </c>
      <c r="E1" s="18" t="s">
        <v>65</v>
      </c>
      <c r="F1" s="18" t="s">
        <v>66</v>
      </c>
    </row>
    <row r="2" spans="1:6" ht="30" customHeight="1" x14ac:dyDescent="0.3">
      <c r="A2" s="50" t="s">
        <v>67</v>
      </c>
      <c r="B2" s="48" t="b">
        <v>0</v>
      </c>
      <c r="C2" s="50" t="str" cm="1">
        <f t="array" ref="C2:C11">_xlfn._xlws.FILTER(A2:A11,B2:B11=FALSE,"Aucune")</f>
        <v xml:space="preserve"> Renseigner le nombre d'heures journalières, en cellule Détails!E2.</v>
      </c>
      <c r="E2" s="18">
        <f>COUNTIF(B2:B11,TRUE)</f>
        <v>0</v>
      </c>
      <c r="F2" s="18">
        <f>COUNTIF(B2:B11,FALSE)</f>
        <v>10</v>
      </c>
    </row>
    <row r="3" spans="1:6" ht="30" customHeight="1" x14ac:dyDescent="0.3">
      <c r="A3" s="50" t="s">
        <v>70</v>
      </c>
      <c r="B3" s="48" t="b">
        <v>0</v>
      </c>
      <c r="C3" s="50" t="str">
        <v>Renseigner le nombre de jous travaillés en semaine, en cellule Détails!E3.</v>
      </c>
      <c r="E3" s="49">
        <f>E2/COUNTA(B2:B11)</f>
        <v>0</v>
      </c>
    </row>
    <row r="4" spans="1:6" ht="30" customHeight="1" x14ac:dyDescent="0.3">
      <c r="A4" s="50" t="s">
        <v>68</v>
      </c>
      <c r="B4" s="48" t="b">
        <v>0</v>
      </c>
      <c r="C4" s="50" t="str">
        <v>Renseigner le nombre d'heures mensuelles, en cellule Détails!E5.</v>
      </c>
    </row>
    <row r="5" spans="1:6" ht="30" customHeight="1" x14ac:dyDescent="0.3">
      <c r="A5" s="50" t="s">
        <v>72</v>
      </c>
      <c r="B5" s="48" t="b">
        <v>0</v>
      </c>
      <c r="C5" s="50" t="str">
        <v xml:space="preserve">Renseigner le nombre de jour de congés payés acquis en fin de mois, en cellule Détails!E8. Si celui-ci est de 2,08, indiquer 2,083333333 en cellule Détails!E8. </v>
      </c>
    </row>
    <row r="6" spans="1:6" ht="30" customHeight="1" x14ac:dyDescent="0.3">
      <c r="A6" s="50" t="s">
        <v>73</v>
      </c>
      <c r="B6" s="48" t="b">
        <v>0</v>
      </c>
      <c r="C6" s="50" t="str">
        <v>Si le nombre de congés annuel en cellule Détails!E7 est de 30, renseigner cette formule en cellule Absences!C2 =NB.JOURS.OUVRES.INTL(A2;B2;11;Détails!H$2:H$16).</v>
      </c>
    </row>
    <row r="7" spans="1:6" ht="30" customHeight="1" x14ac:dyDescent="0.3">
      <c r="A7" s="50" t="s">
        <v>69</v>
      </c>
      <c r="B7" s="48" t="b">
        <v>0</v>
      </c>
      <c r="C7" s="50" t="str">
        <v>Renseigner les heures de nuit, en cellule Détails!D11 et Détails!E11.</v>
      </c>
    </row>
    <row r="8" spans="1:6" ht="30" customHeight="1" x14ac:dyDescent="0.3">
      <c r="A8" s="50" t="s">
        <v>71</v>
      </c>
      <c r="B8" s="48" t="b">
        <v>0</v>
      </c>
      <c r="C8" s="50" t="str">
        <v xml:space="preserve">Repporter le nombre de congés payés N-1 (en cellule Absences!E5) et N (en cellule Absences!E9) acquis. </v>
      </c>
    </row>
    <row r="9" spans="1:6" ht="30" customHeight="1" x14ac:dyDescent="0.3">
      <c r="A9" s="50">
        <v>8</v>
      </c>
      <c r="B9" s="48" t="b">
        <v>0</v>
      </c>
      <c r="C9" s="50">
        <v>8</v>
      </c>
    </row>
    <row r="10" spans="1:6" ht="30" customHeight="1" x14ac:dyDescent="0.3">
      <c r="A10" s="50">
        <v>9</v>
      </c>
      <c r="B10" s="48" t="b">
        <v>0</v>
      </c>
      <c r="C10" s="50">
        <v>9</v>
      </c>
    </row>
    <row r="11" spans="1:6" ht="30" customHeight="1" x14ac:dyDescent="0.3">
      <c r="A11" s="50">
        <v>10</v>
      </c>
      <c r="B11" s="48" t="b">
        <v>0</v>
      </c>
      <c r="C11" s="50">
        <v>10</v>
      </c>
    </row>
  </sheetData>
  <conditionalFormatting sqref="A2:B11">
    <cfRule type="expression" dxfId="5" priority="1">
      <formula>$B2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73" r:id="rId4" name="Check Box 57">
              <controlPr defaultSize="0" autoFill="0" autoLine="0" autoPict="0">
                <anchor moveWithCells="1">
                  <from>
                    <xdr:col>1</xdr:col>
                    <xdr:colOff>259080</xdr:colOff>
                    <xdr:row>1</xdr:row>
                    <xdr:rowOff>60960</xdr:rowOff>
                  </from>
                  <to>
                    <xdr:col>1</xdr:col>
                    <xdr:colOff>457200</xdr:colOff>
                    <xdr:row>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1" r:id="rId5" name="Check Box 85">
              <controlPr defaultSize="0" autoFill="0" autoLine="0" autoPict="0">
                <anchor moveWithCells="1">
                  <from>
                    <xdr:col>1</xdr:col>
                    <xdr:colOff>259080</xdr:colOff>
                    <xdr:row>2</xdr:row>
                    <xdr:rowOff>60960</xdr:rowOff>
                  </from>
                  <to>
                    <xdr:col>1</xdr:col>
                    <xdr:colOff>457200</xdr:colOff>
                    <xdr:row>2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2" r:id="rId6" name="Check Box 86">
              <controlPr defaultSize="0" autoFill="0" autoLine="0" autoPict="0">
                <anchor moveWithCells="1">
                  <from>
                    <xdr:col>1</xdr:col>
                    <xdr:colOff>259080</xdr:colOff>
                    <xdr:row>3</xdr:row>
                    <xdr:rowOff>60960</xdr:rowOff>
                  </from>
                  <to>
                    <xdr:col>1</xdr:col>
                    <xdr:colOff>457200</xdr:colOff>
                    <xdr:row>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3" r:id="rId7" name="Check Box 87">
              <controlPr defaultSize="0" autoFill="0" autoLine="0" autoPict="0">
                <anchor moveWithCells="1">
                  <from>
                    <xdr:col>1</xdr:col>
                    <xdr:colOff>259080</xdr:colOff>
                    <xdr:row>4</xdr:row>
                    <xdr:rowOff>60960</xdr:rowOff>
                  </from>
                  <to>
                    <xdr:col>1</xdr:col>
                    <xdr:colOff>457200</xdr:colOff>
                    <xdr:row>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4" r:id="rId8" name="Check Box 88">
              <controlPr defaultSize="0" autoFill="0" autoLine="0" autoPict="0">
                <anchor moveWithCells="1">
                  <from>
                    <xdr:col>1</xdr:col>
                    <xdr:colOff>259080</xdr:colOff>
                    <xdr:row>5</xdr:row>
                    <xdr:rowOff>60960</xdr:rowOff>
                  </from>
                  <to>
                    <xdr:col>1</xdr:col>
                    <xdr:colOff>457200</xdr:colOff>
                    <xdr:row>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5" r:id="rId9" name="Check Box 89">
              <controlPr defaultSize="0" autoFill="0" autoLine="0" autoPict="0">
                <anchor moveWithCells="1">
                  <from>
                    <xdr:col>1</xdr:col>
                    <xdr:colOff>259080</xdr:colOff>
                    <xdr:row>6</xdr:row>
                    <xdr:rowOff>60960</xdr:rowOff>
                  </from>
                  <to>
                    <xdr:col>1</xdr:col>
                    <xdr:colOff>457200</xdr:colOff>
                    <xdr:row>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6" r:id="rId10" name="Check Box 90">
              <controlPr defaultSize="0" autoFill="0" autoLine="0" autoPict="0">
                <anchor moveWithCells="1">
                  <from>
                    <xdr:col>1</xdr:col>
                    <xdr:colOff>259080</xdr:colOff>
                    <xdr:row>7</xdr:row>
                    <xdr:rowOff>60960</xdr:rowOff>
                  </from>
                  <to>
                    <xdr:col>1</xdr:col>
                    <xdr:colOff>457200</xdr:colOff>
                    <xdr:row>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7" r:id="rId11" name="Check Box 91">
              <controlPr defaultSize="0" autoFill="0" autoLine="0" autoPict="0">
                <anchor moveWithCells="1">
                  <from>
                    <xdr:col>1</xdr:col>
                    <xdr:colOff>259080</xdr:colOff>
                    <xdr:row>8</xdr:row>
                    <xdr:rowOff>60960</xdr:rowOff>
                  </from>
                  <to>
                    <xdr:col>1</xdr:col>
                    <xdr:colOff>457200</xdr:colOff>
                    <xdr:row>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8" r:id="rId12" name="Check Box 92">
              <controlPr defaultSize="0" autoFill="0" autoLine="0" autoPict="0">
                <anchor moveWithCells="1">
                  <from>
                    <xdr:col>1</xdr:col>
                    <xdr:colOff>259080</xdr:colOff>
                    <xdr:row>9</xdr:row>
                    <xdr:rowOff>60960</xdr:rowOff>
                  </from>
                  <to>
                    <xdr:col>1</xdr:col>
                    <xdr:colOff>457200</xdr:colOff>
                    <xdr:row>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9" r:id="rId13" name="Check Box 93">
              <controlPr defaultSize="0" autoFill="0" autoLine="0" autoPict="0">
                <anchor moveWithCells="1">
                  <from>
                    <xdr:col>1</xdr:col>
                    <xdr:colOff>259080</xdr:colOff>
                    <xdr:row>10</xdr:row>
                    <xdr:rowOff>60960</xdr:rowOff>
                  </from>
                  <to>
                    <xdr:col>1</xdr:col>
                    <xdr:colOff>457200</xdr:colOff>
                    <xdr:row>10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29"/>
  <sheetViews>
    <sheetView zoomScale="85" zoomScaleNormal="85" workbookViewId="0">
      <selection sqref="A1:B1"/>
    </sheetView>
  </sheetViews>
  <sheetFormatPr baseColWidth="10" defaultColWidth="11.5546875" defaultRowHeight="11.4" x14ac:dyDescent="0.3"/>
  <cols>
    <col min="1" max="2" width="30.6640625" style="3" customWidth="1"/>
    <col min="3" max="3" width="8.6640625" style="3" customWidth="1"/>
    <col min="4" max="5" width="30.77734375" style="3" customWidth="1"/>
    <col min="6" max="6" width="8.6640625" style="3" customWidth="1"/>
    <col min="7" max="8" width="30.6640625" style="3" customWidth="1"/>
    <col min="9" max="9" width="8.6640625" style="3" customWidth="1"/>
    <col min="10" max="11" width="30.6640625" style="3" customWidth="1"/>
    <col min="12" max="12" width="8.6640625" style="3" customWidth="1"/>
    <col min="13" max="29" width="20.6640625" style="3" customWidth="1"/>
    <col min="30" max="16384" width="11.5546875" style="3"/>
  </cols>
  <sheetData>
    <row r="1" spans="1:29" ht="30" customHeight="1" x14ac:dyDescent="0.3">
      <c r="A1" s="64">
        <v>2025</v>
      </c>
      <c r="B1" s="64"/>
      <c r="C1" s="1"/>
      <c r="D1" s="60" t="s">
        <v>52</v>
      </c>
      <c r="E1" s="61"/>
      <c r="F1" s="1"/>
      <c r="G1" s="63" t="s">
        <v>36</v>
      </c>
      <c r="H1" s="63"/>
      <c r="I1" s="2"/>
      <c r="J1" s="62" t="s">
        <v>20</v>
      </c>
      <c r="K1" s="62"/>
      <c r="M1" s="54">
        <f>A1</f>
        <v>2025</v>
      </c>
      <c r="N1" s="6" t="s">
        <v>55</v>
      </c>
      <c r="O1" s="6" t="s">
        <v>82</v>
      </c>
      <c r="P1" s="6" t="s">
        <v>56</v>
      </c>
      <c r="Q1" s="6" t="s">
        <v>75</v>
      </c>
      <c r="R1" s="6" t="s">
        <v>76</v>
      </c>
      <c r="S1" s="6" t="s">
        <v>77</v>
      </c>
      <c r="T1" s="6" t="s">
        <v>78</v>
      </c>
      <c r="U1" s="6" t="s">
        <v>79</v>
      </c>
      <c r="V1" s="6" t="s">
        <v>57</v>
      </c>
      <c r="W1" s="6" t="s">
        <v>58</v>
      </c>
      <c r="X1" s="6" t="s">
        <v>95</v>
      </c>
      <c r="Y1" s="6" t="s">
        <v>59</v>
      </c>
      <c r="Z1" s="6" t="s">
        <v>74</v>
      </c>
      <c r="AA1" s="6" t="s">
        <v>80</v>
      </c>
      <c r="AB1" s="6" t="s">
        <v>81</v>
      </c>
      <c r="AC1" s="15" t="s">
        <v>60</v>
      </c>
    </row>
    <row r="2" spans="1:29" ht="30" customHeight="1" x14ac:dyDescent="0.3">
      <c r="A2" s="4" t="s">
        <v>46</v>
      </c>
      <c r="B2" s="4">
        <f>DATE(A1,1,1)</f>
        <v>45658</v>
      </c>
      <c r="C2" s="5"/>
      <c r="D2" s="6" t="s">
        <v>44</v>
      </c>
      <c r="E2" s="4">
        <v>45413</v>
      </c>
      <c r="F2" s="5"/>
      <c r="G2" s="6" t="s">
        <v>37</v>
      </c>
      <c r="H2" s="7">
        <f>H4/H3</f>
        <v>0.32500000000000001</v>
      </c>
      <c r="I2" s="8"/>
      <c r="J2" s="9" t="s">
        <v>21</v>
      </c>
      <c r="K2" s="4">
        <f>DATE(A1,1,1)</f>
        <v>45658</v>
      </c>
      <c r="M2" s="6" t="s">
        <v>1</v>
      </c>
      <c r="N2" s="11" t="e">
        <f>DAY(EOMONTH(#REF!,0))</f>
        <v>#REF!</v>
      </c>
      <c r="O2" s="11" t="e">
        <f>NETWORKDAYS.INTL(#REF!,EOMONTH(#REF!,0),,$K$2:$K$16)</f>
        <v>#REF!</v>
      </c>
      <c r="P2" s="11" t="e">
        <f>NETWORKDAYS.INTL(#REF!,EOMONTH(#REF!,0),"0000001",$K$2:$K$16)</f>
        <v>#REF!</v>
      </c>
      <c r="Q2" s="11" t="e">
        <f>NETWORKDAYS.INTL(#REF!,EOMONTH(#REF!,0),"0111111")</f>
        <v>#REF!</v>
      </c>
      <c r="R2" s="11" t="e">
        <f>NETWORKDAYS.INTL(#REF!,EOMONTH(#REF!,0),"1011111")</f>
        <v>#REF!</v>
      </c>
      <c r="S2" s="11" t="e">
        <f>NETWORKDAYS.INTL(#REF!,EOMONTH(#REF!,0),"1101111")</f>
        <v>#REF!</v>
      </c>
      <c r="T2" s="11" t="e">
        <f>NETWORKDAYS.INTL(#REF!,EOMONTH(#REF!,0),"1110111")</f>
        <v>#REF!</v>
      </c>
      <c r="U2" s="11" t="e">
        <f>NETWORKDAYS.INTL(#REF!,EOMONTH(#REF!,0),"1111011")</f>
        <v>#REF!</v>
      </c>
      <c r="V2" s="11" t="e">
        <f>NETWORKDAYS.INTL(#REF!,EOMONTH(#REF!,0),"1111101")</f>
        <v>#REF!</v>
      </c>
      <c r="W2" s="11" t="e">
        <f>NETWORKDAYS.INTL(#REF!,EOMONTH(#REF!,0),"1111110")</f>
        <v>#REF!</v>
      </c>
      <c r="X2" s="11" t="e">
        <f>NETWORKDAYS.INTL(#REF!,EOMONTH(#REF!,0),"1111100")</f>
        <v>#REF!</v>
      </c>
      <c r="Y2" s="11" t="e">
        <f>DAY(EOMONTH(#REF!,0))-NETWORKDAYS.INTL(#REF!,EOMONTH(#REF!,0),"0000000",$K$2:$K$16)</f>
        <v>#REF!</v>
      </c>
      <c r="Z2" s="11" t="e">
        <f>NETWORKDAYS.INTL(#REF!,EOMONTH(#REF!,0),"0000011")-NETWORKDAYS.INTL(#REF!,EOMONTH(#REF!,0),"0000011",$K$2:$K$16)</f>
        <v>#REF!</v>
      </c>
      <c r="AA2" s="11" t="e">
        <f>NETWORKDAYS.INTL(#REF!,EOMONTH(#REF!,0),"1111101")-NETWORKDAYS.INTL(#REF!,EOMONTH(#REF!,0),"1111101",$K$2:$K$16)</f>
        <v>#REF!</v>
      </c>
      <c r="AB2" s="11" t="e">
        <f>NETWORKDAYS.INTL(#REF!,EOMONTH(#REF!,0),"1111110")-NETWORKDAYS.INTL(#REF!,EOMONTH(#REF!,0),"1111110",$K$2:$K$16)</f>
        <v>#REF!</v>
      </c>
      <c r="AC2" s="11" t="e">
        <f>NETWORKDAYS.INTL(#REF!,EOMONTH(#REF!,0),"1111100")-NETWORKDAYS.INTL(#REF!,EOMONTH(#REF!,0),"1111100",$K$2:$K$16)</f>
        <v>#REF!</v>
      </c>
    </row>
    <row r="3" spans="1:29" ht="30" customHeight="1" x14ac:dyDescent="0.3">
      <c r="A3" s="4" t="s">
        <v>47</v>
      </c>
      <c r="B3" s="4">
        <f>DATE(A1,12,31)</f>
        <v>46022</v>
      </c>
      <c r="C3" s="5"/>
      <c r="D3" s="6" t="s">
        <v>45</v>
      </c>
      <c r="E3" s="4">
        <v>45432</v>
      </c>
      <c r="F3" s="5"/>
      <c r="G3" s="6" t="s">
        <v>61</v>
      </c>
      <c r="H3" s="6">
        <v>5</v>
      </c>
      <c r="I3" s="8"/>
      <c r="J3" s="9" t="s">
        <v>22</v>
      </c>
      <c r="K3" s="4">
        <f>K4-2</f>
        <v>45765</v>
      </c>
      <c r="M3" s="6" t="s">
        <v>2</v>
      </c>
      <c r="N3" s="11">
        <f>DAY(EOMONTH(Février!$B$3,0))</f>
        <v>28</v>
      </c>
      <c r="O3" s="11">
        <f>NETWORKDAYS.INTL(Février!$B$3,EOMONTH(Février!$B$3,0),,$K$2:$K$16)</f>
        <v>20</v>
      </c>
      <c r="P3" s="11">
        <f>NETWORKDAYS.INTL(Février!$B$3,EOMONTH(Février!$B$3,0),"0000001",$K$2:$K$16)</f>
        <v>24</v>
      </c>
      <c r="Q3" s="11">
        <f>NETWORKDAYS.INTL(Février!$B$3,EOMONTH(Février!$B$3,0),"0111111")</f>
        <v>4</v>
      </c>
      <c r="R3" s="11">
        <f>NETWORKDAYS.INTL(Février!$B$3,EOMONTH(Février!$B$3,0),"1011111")</f>
        <v>4</v>
      </c>
      <c r="S3" s="11">
        <f>NETWORKDAYS.INTL(Février!$B$3,EOMONTH(Février!$B$3,0),"1101111")</f>
        <v>4</v>
      </c>
      <c r="T3" s="11">
        <f>NETWORKDAYS.INTL(Février!$B$3,EOMONTH(Février!$B$3,0),"1110111")</f>
        <v>4</v>
      </c>
      <c r="U3" s="11">
        <f>NETWORKDAYS.INTL(Février!$B$3,EOMONTH(Février!$B$3,0),"1111011")</f>
        <v>4</v>
      </c>
      <c r="V3" s="11">
        <f>NETWORKDAYS.INTL(Février!$B$3,EOMONTH(Février!$B$3,0),"1111101")</f>
        <v>4</v>
      </c>
      <c r="W3" s="11">
        <f>NETWORKDAYS.INTL(Février!$B$3,EOMONTH(Février!$B$3,0),"1111110")</f>
        <v>4</v>
      </c>
      <c r="X3" s="11">
        <f>NETWORKDAYS.INTL(Février!$B$3,EOMONTH(Février!$B$3,0),"1111100")</f>
        <v>8</v>
      </c>
      <c r="Y3" s="11">
        <f>DAY(EOMONTH(Février!$B$3,0))-NETWORKDAYS.INTL(Février!$B$3,EOMONTH(Février!$B$3,0),"0000000",$K$2:$K$16)</f>
        <v>0</v>
      </c>
      <c r="Z3" s="11">
        <f>NETWORKDAYS.INTL(Février!$B$3,EOMONTH(Février!$B$3,0),"0000011")-NETWORKDAYS.INTL(Février!$B$3,EOMONTH(Février!$B$3,0),"0000011",$K$2:$K$16)</f>
        <v>0</v>
      </c>
      <c r="AA3" s="11">
        <f>NETWORKDAYS.INTL(Février!$B$3,EOMONTH(Février!$B$3,0),"1111101")-NETWORKDAYS.INTL(Février!$B$3,EOMONTH(Février!$B$3,0),"1111101",$K$2:$K$16)</f>
        <v>0</v>
      </c>
      <c r="AB3" s="11">
        <f>NETWORKDAYS.INTL(Février!$B$3,EOMONTH(Février!$B$3,0),"1111110")-NETWORKDAYS.INTL(Février!$B$3,EOMONTH(Février!$B$3,0),"1111110",$K$2:$K$16)</f>
        <v>0</v>
      </c>
      <c r="AC3" s="11">
        <f>NETWORKDAYS.INTL(Février!$B$3,EOMONTH(Février!$B$3,0),"1111100")-NETWORKDAYS.INTL(Février!$B$3,EOMONTH(Février!$B$3,0),"1111100",$K$2:$K$16)</f>
        <v>0</v>
      </c>
    </row>
    <row r="4" spans="1:29" ht="30" customHeight="1" x14ac:dyDescent="0.3">
      <c r="A4" s="6" t="s">
        <v>48</v>
      </c>
      <c r="B4" s="11">
        <f>+$B$3-$B$2+1</f>
        <v>365</v>
      </c>
      <c r="C4" s="12"/>
      <c r="D4" s="6" t="s">
        <v>53</v>
      </c>
      <c r="E4" s="11">
        <f>+$E$3-$E$2+1</f>
        <v>20</v>
      </c>
      <c r="F4" s="12"/>
      <c r="G4" s="6" t="s">
        <v>38</v>
      </c>
      <c r="H4" s="7">
        <v>1.625</v>
      </c>
      <c r="I4" s="13"/>
      <c r="J4" s="9" t="s">
        <v>35</v>
      </c>
      <c r="K4" s="4">
        <f>ROUND(DATE(A1,4,MOD(234-11*MOD($A$1,19),30))/7,)*7-6</f>
        <v>45767</v>
      </c>
      <c r="M4" s="6" t="s">
        <v>3</v>
      </c>
      <c r="N4" s="11" t="e">
        <f>DAY(EOMONTH(#REF!,0))</f>
        <v>#REF!</v>
      </c>
      <c r="O4" s="11" t="e">
        <f>NETWORKDAYS.INTL(#REF!,EOMONTH(#REF!,0),,$K$2:$K$16)</f>
        <v>#REF!</v>
      </c>
      <c r="P4" s="11" t="e">
        <f>NETWORKDAYS.INTL(#REF!,EOMONTH(#REF!,0),"0000001",$K$2:$K$16)</f>
        <v>#REF!</v>
      </c>
      <c r="Q4" s="11" t="e">
        <f>NETWORKDAYS.INTL(#REF!,EOMONTH(#REF!,0),"0111111")</f>
        <v>#REF!</v>
      </c>
      <c r="R4" s="11" t="e">
        <f>NETWORKDAYS.INTL(#REF!,EOMONTH(#REF!,0),"1011111")</f>
        <v>#REF!</v>
      </c>
      <c r="S4" s="11" t="e">
        <f>NETWORKDAYS.INTL(#REF!,EOMONTH(#REF!,0),"1101111")</f>
        <v>#REF!</v>
      </c>
      <c r="T4" s="11" t="e">
        <f>NETWORKDAYS.INTL(#REF!,EOMONTH(#REF!,0),"1110111")</f>
        <v>#REF!</v>
      </c>
      <c r="U4" s="11" t="e">
        <f>NETWORKDAYS.INTL(#REF!,EOMONTH(#REF!,0),"1111011")</f>
        <v>#REF!</v>
      </c>
      <c r="V4" s="11" t="e">
        <f>NETWORKDAYS.INTL(#REF!,EOMONTH(#REF!,0),"1111101")</f>
        <v>#REF!</v>
      </c>
      <c r="W4" s="11" t="e">
        <f>NETWORKDAYS.INTL(#REF!,EOMONTH(#REF!,0),"1111110")</f>
        <v>#REF!</v>
      </c>
      <c r="X4" s="11" t="e">
        <f>NETWORKDAYS.INTL(#REF!,EOMONTH(#REF!,0),"1111100")</f>
        <v>#REF!</v>
      </c>
      <c r="Y4" s="11" t="e">
        <f>DAY(EOMONTH(#REF!,0))-NETWORKDAYS.INTL(#REF!,EOMONTH(#REF!,0),"0000000",$K$2:$K$16)</f>
        <v>#REF!</v>
      </c>
      <c r="Z4" s="11" t="e">
        <f>NETWORKDAYS.INTL(#REF!,EOMONTH(#REF!,0),"0000011")-NETWORKDAYS.INTL(#REF!,EOMONTH(#REF!,0),"0000011",$K$2:$K$16)</f>
        <v>#REF!</v>
      </c>
      <c r="AA4" s="11" t="e">
        <f>NETWORKDAYS.INTL(#REF!,EOMONTH(#REF!,0),"1111101")-NETWORKDAYS.INTL(#REF!,EOMONTH(#REF!,0),"1111101",$K$2:$K$16)</f>
        <v>#REF!</v>
      </c>
      <c r="AB4" s="11" t="e">
        <f>NETWORKDAYS.INTL(#REF!,EOMONTH(#REF!,0),"1111110")-NETWORKDAYS.INTL(#REF!,EOMONTH(#REF!,0),"1111110",$K$2:$K$16)</f>
        <v>#REF!</v>
      </c>
      <c r="AC4" s="11" t="e">
        <f>NETWORKDAYS.INTL(#REF!,EOMONTH(#REF!,0),"1111100")-NETWORKDAYS.INTL(#REF!,EOMONTH(#REF!,0),"1111100",$K$2:$K$16)</f>
        <v>#REF!</v>
      </c>
    </row>
    <row r="5" spans="1:29" ht="30" customHeight="1" x14ac:dyDescent="0.3">
      <c r="A5" s="6" t="s">
        <v>49</v>
      </c>
      <c r="B5" s="6">
        <f>NETWORKDAYS.INTL(B2,B3,,$K$2:$K$16)</f>
        <v>249</v>
      </c>
      <c r="D5" s="6" t="s">
        <v>49</v>
      </c>
      <c r="E5" s="6">
        <f>NETWORKDAYS.INTL($E$2,$E$3,,$K$2:$K$16)</f>
        <v>14</v>
      </c>
      <c r="G5" s="6" t="s">
        <v>39</v>
      </c>
      <c r="H5" s="7">
        <f>H4*4.33333</f>
        <v>7.0416612500000006</v>
      </c>
      <c r="I5" s="8"/>
      <c r="J5" s="9" t="s">
        <v>23</v>
      </c>
      <c r="K5" s="4">
        <f>K4+1</f>
        <v>45768</v>
      </c>
      <c r="M5" s="6" t="s">
        <v>4</v>
      </c>
      <c r="N5" s="11" t="e">
        <f>DAY(EOMONTH(#REF!,0))</f>
        <v>#REF!</v>
      </c>
      <c r="O5" s="11" t="e">
        <f>NETWORKDAYS.INTL(#REF!,EOMONTH(#REF!,0),,$K$2:$K$16)</f>
        <v>#REF!</v>
      </c>
      <c r="P5" s="11" t="e">
        <f>NETWORKDAYS.INTL(#REF!,EOMONTH(#REF!,0),"0000001",$K$2:$K$16)</f>
        <v>#REF!</v>
      </c>
      <c r="Q5" s="11" t="e">
        <f>NETWORKDAYS.INTL(#REF!,EOMONTH(#REF!,0),"0111111")</f>
        <v>#REF!</v>
      </c>
      <c r="R5" s="11" t="e">
        <f>NETWORKDAYS.INTL(#REF!,EOMONTH(#REF!,0),"1011111")</f>
        <v>#REF!</v>
      </c>
      <c r="S5" s="11" t="e">
        <f>NETWORKDAYS.INTL(#REF!,EOMONTH(#REF!,0),"1101111")</f>
        <v>#REF!</v>
      </c>
      <c r="T5" s="11" t="e">
        <f>NETWORKDAYS.INTL(#REF!,EOMONTH(#REF!,0),"1110111")</f>
        <v>#REF!</v>
      </c>
      <c r="U5" s="11" t="e">
        <f>NETWORKDAYS.INTL(#REF!,EOMONTH(#REF!,0),"1111011")</f>
        <v>#REF!</v>
      </c>
      <c r="V5" s="11" t="e">
        <f>NETWORKDAYS.INTL(#REF!,EOMONTH(#REF!,0),"1111101")</f>
        <v>#REF!</v>
      </c>
      <c r="W5" s="11" t="e">
        <f>NETWORKDAYS.INTL(#REF!,EOMONTH(#REF!,0),"1111110")</f>
        <v>#REF!</v>
      </c>
      <c r="X5" s="11" t="e">
        <f>NETWORKDAYS.INTL(#REF!,EOMONTH(#REF!,0),"1111100")</f>
        <v>#REF!</v>
      </c>
      <c r="Y5" s="11" t="e">
        <f>DAY(EOMONTH(#REF!,0))-NETWORKDAYS.INTL(#REF!,EOMONTH(#REF!,0),"0000000",$K$2:$K$16)</f>
        <v>#REF!</v>
      </c>
      <c r="Z5" s="11" t="e">
        <f>NETWORKDAYS.INTL(#REF!,EOMONTH(#REF!,0),"0000011")-NETWORKDAYS.INTL(#REF!,EOMONTH(#REF!,0),"0000011",$K$2:$K$16)</f>
        <v>#REF!</v>
      </c>
      <c r="AA5" s="11" t="e">
        <f>NETWORKDAYS.INTL(#REF!,EOMONTH(#REF!,0),"1111101")-NETWORKDAYS.INTL(#REF!,EOMONTH(#REF!,0),"1111101",$K$2:$K$16)</f>
        <v>#REF!</v>
      </c>
      <c r="AB5" s="11" t="e">
        <f>NETWORKDAYS.INTL(#REF!,EOMONTH(#REF!,0),"1111110")-NETWORKDAYS.INTL(#REF!,EOMONTH(#REF!,0),"1111110",$K$2:$K$16)</f>
        <v>#REF!</v>
      </c>
      <c r="AC5" s="11" t="e">
        <f>NETWORKDAYS.INTL(#REF!,EOMONTH(#REF!,0),"1111100")-NETWORKDAYS.INTL(#REF!,EOMONTH(#REF!,0),"1111100",$K$2:$K$16)</f>
        <v>#REF!</v>
      </c>
    </row>
    <row r="6" spans="1:29" ht="30" customHeight="1" x14ac:dyDescent="0.3">
      <c r="A6" s="6" t="s">
        <v>83</v>
      </c>
      <c r="B6" s="6">
        <f>NETWORKDAYS.INTL($B$2,$B$3,"0000001",$K$2:$K$16)</f>
        <v>300</v>
      </c>
      <c r="D6" s="6" t="s">
        <v>83</v>
      </c>
      <c r="E6" s="6">
        <f>NETWORKDAYS.INTL($E$2,$E$3,"0000001",$K$2:$K$16)</f>
        <v>17</v>
      </c>
      <c r="G6" s="6" t="s">
        <v>62</v>
      </c>
      <c r="H6" s="6">
        <v>218</v>
      </c>
      <c r="I6" s="8"/>
      <c r="J6" s="9" t="s">
        <v>24</v>
      </c>
      <c r="K6" s="4">
        <f>DATE(A1,5,1)</f>
        <v>45778</v>
      </c>
      <c r="M6" s="6" t="s">
        <v>5</v>
      </c>
      <c r="N6" s="11" t="e">
        <f>DAY(EOMONTH(#REF!,0))</f>
        <v>#REF!</v>
      </c>
      <c r="O6" s="11" t="e">
        <f>NETWORKDAYS.INTL(#REF!,EOMONTH(#REF!,0),,$K$2:$K$16)</f>
        <v>#REF!</v>
      </c>
      <c r="P6" s="11" t="e">
        <f>NETWORKDAYS.INTL(#REF!,EOMONTH(#REF!,0),"0000001",$K$2:$K$16)</f>
        <v>#REF!</v>
      </c>
      <c r="Q6" s="11" t="e">
        <f>NETWORKDAYS.INTL(#REF!,EOMONTH(#REF!,0),"0111111")</f>
        <v>#REF!</v>
      </c>
      <c r="R6" s="11" t="e">
        <f>NETWORKDAYS.INTL(#REF!,EOMONTH(#REF!,0),"1011111")</f>
        <v>#REF!</v>
      </c>
      <c r="S6" s="11" t="e">
        <f>NETWORKDAYS.INTL(#REF!,EOMONTH(#REF!,0),"1101111")</f>
        <v>#REF!</v>
      </c>
      <c r="T6" s="11" t="e">
        <f>NETWORKDAYS.INTL(#REF!,EOMONTH(#REF!,0),"1110111")</f>
        <v>#REF!</v>
      </c>
      <c r="U6" s="11" t="e">
        <f>NETWORKDAYS.INTL(#REF!,EOMONTH(#REF!,0),"1111011")</f>
        <v>#REF!</v>
      </c>
      <c r="V6" s="11" t="e">
        <f>NETWORKDAYS.INTL(#REF!,EOMONTH(#REF!,0),"1111101")</f>
        <v>#REF!</v>
      </c>
      <c r="W6" s="11" t="e">
        <f>NETWORKDAYS.INTL(#REF!,EOMONTH(#REF!,0),"1111110")</f>
        <v>#REF!</v>
      </c>
      <c r="X6" s="11" t="e">
        <f>NETWORKDAYS.INTL(#REF!,EOMONTH(#REF!,0),"1111100")</f>
        <v>#REF!</v>
      </c>
      <c r="Y6" s="11" t="e">
        <f>DAY(EOMONTH(#REF!,0))-NETWORKDAYS.INTL(#REF!,EOMONTH(#REF!,0),"0000000",$K$2:$K$16)</f>
        <v>#REF!</v>
      </c>
      <c r="Z6" s="11" t="e">
        <f>NETWORKDAYS.INTL(#REF!,EOMONTH(#REF!,0),"0000011")-NETWORKDAYS.INTL(#REF!,EOMONTH(#REF!,0),"0000011",$K$2:$K$16)</f>
        <v>#REF!</v>
      </c>
      <c r="AA6" s="11" t="e">
        <f>NETWORKDAYS.INTL(#REF!,EOMONTH(#REF!,0),"1111101")-NETWORKDAYS.INTL(#REF!,EOMONTH(#REF!,0),"1111101",$K$2:$K$16)</f>
        <v>#REF!</v>
      </c>
      <c r="AB6" s="11" t="e">
        <f>NETWORKDAYS.INTL(#REF!,EOMONTH(#REF!,0),"1111110")-NETWORKDAYS.INTL(#REF!,EOMONTH(#REF!,0),"1111110",$K$2:$K$16)</f>
        <v>#REF!</v>
      </c>
      <c r="AC6" s="11" t="e">
        <f>NETWORKDAYS.INTL(#REF!,EOMONTH(#REF!,0),"1111100")-NETWORKDAYS.INTL(#REF!,EOMONTH(#REF!,0),"1111100",$K$2:$K$16)</f>
        <v>#REF!</v>
      </c>
    </row>
    <row r="7" spans="1:29" ht="30" customHeight="1" x14ac:dyDescent="0.3">
      <c r="A7" s="6" t="s">
        <v>89</v>
      </c>
      <c r="B7" s="6">
        <f>NETWORKDAYS.INTL($B$2,$B$3,"0111111")</f>
        <v>52</v>
      </c>
      <c r="D7" s="6" t="s">
        <v>89</v>
      </c>
      <c r="E7" s="11">
        <f>NETWORKDAYS.INTL($E$2,$E$3,"0111111")</f>
        <v>3</v>
      </c>
      <c r="G7" s="6" t="s">
        <v>54</v>
      </c>
      <c r="H7" s="6">
        <f>H8*12</f>
        <v>24.999999996</v>
      </c>
      <c r="I7" s="8"/>
      <c r="J7" s="9" t="s">
        <v>30</v>
      </c>
      <c r="K7" s="4">
        <f>DATE(A1,5,8)</f>
        <v>45785</v>
      </c>
      <c r="M7" s="6" t="s">
        <v>6</v>
      </c>
      <c r="N7" s="11" t="e">
        <f>DAY(EOMONTH(#REF!,0))</f>
        <v>#REF!</v>
      </c>
      <c r="O7" s="11" t="e">
        <f>NETWORKDAYS.INTL(#REF!,EOMONTH(#REF!,0),,$K$2:$K$16)</f>
        <v>#REF!</v>
      </c>
      <c r="P7" s="11" t="e">
        <f>NETWORKDAYS.INTL(#REF!,EOMONTH(#REF!,0),"0000001",$K$2:$K$16)</f>
        <v>#REF!</v>
      </c>
      <c r="Q7" s="11" t="e">
        <f>NETWORKDAYS.INTL(#REF!,EOMONTH(#REF!,0),"0111111")</f>
        <v>#REF!</v>
      </c>
      <c r="R7" s="11" t="e">
        <f>NETWORKDAYS.INTL(#REF!,EOMONTH(#REF!,0),"1011111")</f>
        <v>#REF!</v>
      </c>
      <c r="S7" s="11" t="e">
        <f>NETWORKDAYS.INTL(#REF!,EOMONTH(#REF!,0),"1101111")</f>
        <v>#REF!</v>
      </c>
      <c r="T7" s="11" t="e">
        <f>NETWORKDAYS.INTL(#REF!,EOMONTH(#REF!,0),"1110111")</f>
        <v>#REF!</v>
      </c>
      <c r="U7" s="11" t="e">
        <f>NETWORKDAYS.INTL(#REF!,EOMONTH(#REF!,0),"1111011")</f>
        <v>#REF!</v>
      </c>
      <c r="V7" s="11" t="e">
        <f>NETWORKDAYS.INTL(#REF!,EOMONTH(#REF!,0),"1111101")</f>
        <v>#REF!</v>
      </c>
      <c r="W7" s="11" t="e">
        <f>NETWORKDAYS.INTL(#REF!,EOMONTH(#REF!,0),"1111110")</f>
        <v>#REF!</v>
      </c>
      <c r="X7" s="11" t="e">
        <f>NETWORKDAYS.INTL(#REF!,EOMONTH(#REF!,0),"1111100")</f>
        <v>#REF!</v>
      </c>
      <c r="Y7" s="11" t="e">
        <f>DAY(EOMONTH(#REF!,0))-NETWORKDAYS.INTL(#REF!,EOMONTH(#REF!,0),"0000000",$K$2:$K$16)</f>
        <v>#REF!</v>
      </c>
      <c r="Z7" s="11" t="e">
        <f>NETWORKDAYS.INTL(#REF!,EOMONTH(#REF!,0),"0000011")-NETWORKDAYS.INTL(#REF!,EOMONTH(#REF!,0),"0000011",$K$2:$K$16)</f>
        <v>#REF!</v>
      </c>
      <c r="AA7" s="11" t="e">
        <f>NETWORKDAYS.INTL(#REF!,EOMONTH(#REF!,0),"1111101")-NETWORKDAYS.INTL(#REF!,EOMONTH(#REF!,0),"1111101",$K$2:$K$16)</f>
        <v>#REF!</v>
      </c>
      <c r="AB7" s="11" t="e">
        <f>NETWORKDAYS.INTL(#REF!,EOMONTH(#REF!,0),"1111110")-NETWORKDAYS.INTL(#REF!,EOMONTH(#REF!,0),"1111110",$K$2:$K$16)</f>
        <v>#REF!</v>
      </c>
      <c r="AC7" s="11" t="e">
        <f>NETWORKDAYS.INTL(#REF!,EOMONTH(#REF!,0),"1111100")-NETWORKDAYS.INTL(#REF!,EOMONTH(#REF!,0),"1111100",$K$2:$K$16)</f>
        <v>#REF!</v>
      </c>
    </row>
    <row r="8" spans="1:29" ht="30" customHeight="1" x14ac:dyDescent="0.3">
      <c r="A8" s="6" t="s">
        <v>90</v>
      </c>
      <c r="B8" s="6">
        <f>NETWORKDAYS.INTL($B$2,$B$3,"1011111")</f>
        <v>52</v>
      </c>
      <c r="D8" s="6" t="s">
        <v>90</v>
      </c>
      <c r="E8" s="11">
        <f>NETWORKDAYS.INTL($E$2,$E$3,"1011111")</f>
        <v>2</v>
      </c>
      <c r="G8" s="6" t="s">
        <v>96</v>
      </c>
      <c r="H8" s="46">
        <v>2.0833333330000001</v>
      </c>
      <c r="I8" s="8"/>
      <c r="J8" s="9" t="s">
        <v>25</v>
      </c>
      <c r="K8" s="4">
        <f>K4+39</f>
        <v>45806</v>
      </c>
      <c r="M8" s="6" t="s">
        <v>7</v>
      </c>
      <c r="N8" s="11" t="e">
        <f>DAY(EOMONTH(#REF!,0))</f>
        <v>#REF!</v>
      </c>
      <c r="O8" s="11" t="e">
        <f>NETWORKDAYS.INTL(#REF!,EOMONTH(#REF!,0),,$K$2:$K$16)</f>
        <v>#REF!</v>
      </c>
      <c r="P8" s="11" t="e">
        <f>NETWORKDAYS.INTL(#REF!,EOMONTH(#REF!,0),"0000001",$K$2:$K$16)</f>
        <v>#REF!</v>
      </c>
      <c r="Q8" s="11" t="e">
        <f>NETWORKDAYS.INTL(#REF!,EOMONTH(#REF!,0),"0111111")</f>
        <v>#REF!</v>
      </c>
      <c r="R8" s="11" t="e">
        <f>NETWORKDAYS.INTL(#REF!,EOMONTH(#REF!,0),"1011111")</f>
        <v>#REF!</v>
      </c>
      <c r="S8" s="11" t="e">
        <f>NETWORKDAYS.INTL(#REF!,EOMONTH(#REF!,0),"1101111")</f>
        <v>#REF!</v>
      </c>
      <c r="T8" s="11" t="e">
        <f>NETWORKDAYS.INTL(#REF!,EOMONTH(#REF!,0),"1110111")</f>
        <v>#REF!</v>
      </c>
      <c r="U8" s="11" t="e">
        <f>NETWORKDAYS.INTL(#REF!,EOMONTH(#REF!,0),"1111011")</f>
        <v>#REF!</v>
      </c>
      <c r="V8" s="11" t="e">
        <f>NETWORKDAYS.INTL(#REF!,EOMONTH(#REF!,0),"1111101")</f>
        <v>#REF!</v>
      </c>
      <c r="W8" s="11" t="e">
        <f>NETWORKDAYS.INTL(#REF!,EOMONTH(#REF!,0),"1111110")</f>
        <v>#REF!</v>
      </c>
      <c r="X8" s="11" t="e">
        <f>NETWORKDAYS.INTL(#REF!,EOMONTH(#REF!,0),"1111100")</f>
        <v>#REF!</v>
      </c>
      <c r="Y8" s="11" t="e">
        <f>DAY(EOMONTH(#REF!,0))-NETWORKDAYS.INTL(#REF!,EOMONTH(#REF!,0),"0000000",$K$2:$K$16)</f>
        <v>#REF!</v>
      </c>
      <c r="Z8" s="11" t="e">
        <f>NETWORKDAYS.INTL(#REF!,EOMONTH(#REF!,0),"0000011")-NETWORKDAYS.INTL(#REF!,EOMONTH(#REF!,0),"0000011",$K$2:$K$16)</f>
        <v>#REF!</v>
      </c>
      <c r="AA8" s="11" t="e">
        <f>NETWORKDAYS.INTL(#REF!,EOMONTH(#REF!,0),"1111101")-NETWORKDAYS.INTL(#REF!,EOMONTH(#REF!,0),"1111101",$K$2:$K$16)</f>
        <v>#REF!</v>
      </c>
      <c r="AB8" s="11" t="e">
        <f>NETWORKDAYS.INTL(#REF!,EOMONTH(#REF!,0),"1111110")-NETWORKDAYS.INTL(#REF!,EOMONTH(#REF!,0),"1111110",$K$2:$K$16)</f>
        <v>#REF!</v>
      </c>
      <c r="AC8" s="11" t="e">
        <f>NETWORKDAYS.INTL(#REF!,EOMONTH(#REF!,0),"1111100")-NETWORKDAYS.INTL(#REF!,EOMONTH(#REF!,0),"1111100",$K$2:$K$16)</f>
        <v>#REF!</v>
      </c>
    </row>
    <row r="9" spans="1:29" ht="30" customHeight="1" x14ac:dyDescent="0.3">
      <c r="A9" s="6" t="s">
        <v>91</v>
      </c>
      <c r="B9" s="6">
        <f>NETWORKDAYS.INTL($B$2,$B$3,"1101111")</f>
        <v>53</v>
      </c>
      <c r="D9" s="6" t="s">
        <v>91</v>
      </c>
      <c r="E9" s="11">
        <f>NETWORKDAYS.INTL($E$2,$E$3,"1101111")</f>
        <v>3</v>
      </c>
      <c r="G9" s="14"/>
      <c r="I9" s="8"/>
      <c r="J9" s="9" t="s">
        <v>34</v>
      </c>
      <c r="K9" s="4">
        <f>K4+49</f>
        <v>45816</v>
      </c>
      <c r="M9" s="6" t="s">
        <v>8</v>
      </c>
      <c r="N9" s="11" t="e">
        <f>DAY(EOMONTH(#REF!,0))</f>
        <v>#REF!</v>
      </c>
      <c r="O9" s="11" t="e">
        <f>NETWORKDAYS.INTL(#REF!,EOMONTH(#REF!,0),,$K$2:$K$16)</f>
        <v>#REF!</v>
      </c>
      <c r="P9" s="11" t="e">
        <f>NETWORKDAYS.INTL(#REF!,EOMONTH(#REF!,0),"0000001",$K$2:$K$16)</f>
        <v>#REF!</v>
      </c>
      <c r="Q9" s="11" t="e">
        <f>NETWORKDAYS.INTL(#REF!,EOMONTH(#REF!,0),"0111111")</f>
        <v>#REF!</v>
      </c>
      <c r="R9" s="11" t="e">
        <f>NETWORKDAYS.INTL(#REF!,EOMONTH(#REF!,0),"1011111")</f>
        <v>#REF!</v>
      </c>
      <c r="S9" s="11" t="e">
        <f>NETWORKDAYS.INTL(#REF!,EOMONTH(#REF!,0),"1101111")</f>
        <v>#REF!</v>
      </c>
      <c r="T9" s="11" t="e">
        <f>NETWORKDAYS.INTL(#REF!,EOMONTH(#REF!,0),"1110111")</f>
        <v>#REF!</v>
      </c>
      <c r="U9" s="11" t="e">
        <f>NETWORKDAYS.INTL(#REF!,EOMONTH(#REF!,0),"1111011")</f>
        <v>#REF!</v>
      </c>
      <c r="V9" s="11" t="e">
        <f>NETWORKDAYS.INTL(#REF!,EOMONTH(#REF!,0),"1111101")</f>
        <v>#REF!</v>
      </c>
      <c r="W9" s="11" t="e">
        <f>NETWORKDAYS.INTL(#REF!,EOMONTH(#REF!,0),"1111110")</f>
        <v>#REF!</v>
      </c>
      <c r="X9" s="11" t="e">
        <f>NETWORKDAYS.INTL(#REF!,EOMONTH(#REF!,0),"1111100")</f>
        <v>#REF!</v>
      </c>
      <c r="Y9" s="11" t="e">
        <f>DAY(EOMONTH(#REF!,0))-NETWORKDAYS.INTL(#REF!,EOMONTH(#REF!,0),"0000000",$K$2:$K$16)</f>
        <v>#REF!</v>
      </c>
      <c r="Z9" s="11" t="e">
        <f>NETWORKDAYS.INTL(#REF!,EOMONTH(#REF!,0),"0000011")-NETWORKDAYS.INTL(#REF!,EOMONTH(#REF!,0),"0000011",$K$2:$K$16)</f>
        <v>#REF!</v>
      </c>
      <c r="AA9" s="11" t="e">
        <f>NETWORKDAYS.INTL(#REF!,EOMONTH(#REF!,0),"1111101")-NETWORKDAYS.INTL(#REF!,EOMONTH(#REF!,0),"1111101",$K$2:$K$16)</f>
        <v>#REF!</v>
      </c>
      <c r="AB9" s="11" t="e">
        <f>NETWORKDAYS.INTL(#REF!,EOMONTH(#REF!,0),"1111110")-NETWORKDAYS.INTL(#REF!,EOMONTH(#REF!,0),"1111110",$K$2:$K$16)</f>
        <v>#REF!</v>
      </c>
      <c r="AC9" s="11" t="e">
        <f>NETWORKDAYS.INTL(#REF!,EOMONTH(#REF!,0),"1111100")-NETWORKDAYS.INTL(#REF!,EOMONTH(#REF!,0),"1111100",$K$2:$K$16)</f>
        <v>#REF!</v>
      </c>
    </row>
    <row r="10" spans="1:29" ht="30" customHeight="1" x14ac:dyDescent="0.3">
      <c r="A10" s="6" t="s">
        <v>92</v>
      </c>
      <c r="B10" s="6">
        <f>NETWORKDAYS.INTL($B$2,$B$3,"1110111")</f>
        <v>52</v>
      </c>
      <c r="C10" s="8"/>
      <c r="D10" s="6" t="s">
        <v>92</v>
      </c>
      <c r="E10" s="11">
        <f>NETWORKDAYS.INTL($E$2,$E$3,"1110111")</f>
        <v>3</v>
      </c>
      <c r="F10" s="8"/>
      <c r="G10" s="65" t="s">
        <v>15</v>
      </c>
      <c r="H10" s="66"/>
      <c r="I10" s="8"/>
      <c r="J10" s="9" t="s">
        <v>26</v>
      </c>
      <c r="K10" s="4">
        <f>K9+1</f>
        <v>45817</v>
      </c>
      <c r="M10" s="6" t="s">
        <v>9</v>
      </c>
      <c r="N10" s="11" t="e">
        <f>DAY(EOMONTH(#REF!,0))</f>
        <v>#REF!</v>
      </c>
      <c r="O10" s="11" t="e">
        <f>NETWORKDAYS.INTL(#REF!,EOMONTH(#REF!,0),,$K$2:$K$16)</f>
        <v>#REF!</v>
      </c>
      <c r="P10" s="11" t="e">
        <f>NETWORKDAYS.INTL(#REF!,EOMONTH(#REF!,0),"0000001",$K$2:$K$16)</f>
        <v>#REF!</v>
      </c>
      <c r="Q10" s="11" t="e">
        <f>NETWORKDAYS.INTL(#REF!,EOMONTH(#REF!,0),"0111111")</f>
        <v>#REF!</v>
      </c>
      <c r="R10" s="11" t="e">
        <f>NETWORKDAYS.INTL(#REF!,EOMONTH(#REF!,0),"1011111")</f>
        <v>#REF!</v>
      </c>
      <c r="S10" s="11" t="e">
        <f>NETWORKDAYS.INTL(#REF!,EOMONTH(#REF!,0),"1101111")</f>
        <v>#REF!</v>
      </c>
      <c r="T10" s="11" t="e">
        <f>NETWORKDAYS.INTL(#REF!,EOMONTH(#REF!,0),"1110111")</f>
        <v>#REF!</v>
      </c>
      <c r="U10" s="11" t="e">
        <f>NETWORKDAYS.INTL(#REF!,EOMONTH(#REF!,0),"1111011")</f>
        <v>#REF!</v>
      </c>
      <c r="V10" s="11" t="e">
        <f>NETWORKDAYS.INTL(#REF!,EOMONTH(#REF!,0),"1111101")</f>
        <v>#REF!</v>
      </c>
      <c r="W10" s="11" t="e">
        <f>NETWORKDAYS.INTL(#REF!,EOMONTH(#REF!,0),"1111110")</f>
        <v>#REF!</v>
      </c>
      <c r="X10" s="11" t="e">
        <f>NETWORKDAYS.INTL(#REF!,EOMONTH(#REF!,0),"1111100")</f>
        <v>#REF!</v>
      </c>
      <c r="Y10" s="11" t="e">
        <f>DAY(EOMONTH(#REF!,0))-NETWORKDAYS.INTL(#REF!,EOMONTH(#REF!,0),"0000000",$K$2:$K$16)</f>
        <v>#REF!</v>
      </c>
      <c r="Z10" s="11" t="e">
        <f>NETWORKDAYS.INTL(#REF!,EOMONTH(#REF!,0),"0000011")-NETWORKDAYS.INTL(#REF!,EOMONTH(#REF!,0),"0000011",$K$2:$K$16)</f>
        <v>#REF!</v>
      </c>
      <c r="AA10" s="11" t="e">
        <f>NETWORKDAYS.INTL(#REF!,EOMONTH(#REF!,0),"1111101")-NETWORKDAYS.INTL(#REF!,EOMONTH(#REF!,0),"1111101",$K$2:$K$16)</f>
        <v>#REF!</v>
      </c>
      <c r="AB10" s="11" t="e">
        <f>NETWORKDAYS.INTL(#REF!,EOMONTH(#REF!,0),"1111110")-NETWORKDAYS.INTL(#REF!,EOMONTH(#REF!,0),"1111110",$K$2:$K$16)</f>
        <v>#REF!</v>
      </c>
      <c r="AC10" s="11" t="e">
        <f>NETWORKDAYS.INTL(#REF!,EOMONTH(#REF!,0),"1111100")-NETWORKDAYS.INTL(#REF!,EOMONTH(#REF!,0),"1111100",$K$2:$K$16)</f>
        <v>#REF!</v>
      </c>
    </row>
    <row r="11" spans="1:29" ht="30" customHeight="1" x14ac:dyDescent="0.3">
      <c r="A11" s="6" t="s">
        <v>93</v>
      </c>
      <c r="B11" s="6">
        <f>NETWORKDAYS.INTL($B$2,$B$3,"1111011")</f>
        <v>52</v>
      </c>
      <c r="C11" s="59"/>
      <c r="D11" s="6" t="s">
        <v>93</v>
      </c>
      <c r="E11" s="11">
        <f>NETWORKDAYS.INTL($E$2,$E$3,"1111011")</f>
        <v>3</v>
      </c>
      <c r="F11" s="59"/>
      <c r="G11" s="10">
        <v>0.875</v>
      </c>
      <c r="H11" s="10">
        <v>0.25</v>
      </c>
      <c r="I11" s="8"/>
      <c r="J11" s="9" t="s">
        <v>27</v>
      </c>
      <c r="K11" s="4">
        <f>DATE(A1,7,14)</f>
        <v>45852</v>
      </c>
      <c r="M11" s="6" t="s">
        <v>10</v>
      </c>
      <c r="N11" s="11" t="e">
        <f>DAY(EOMONTH(#REF!,0))</f>
        <v>#REF!</v>
      </c>
      <c r="O11" s="11" t="e">
        <f>NETWORKDAYS.INTL(#REF!,EOMONTH(#REF!,0),,$K$2:$K$16)</f>
        <v>#REF!</v>
      </c>
      <c r="P11" s="11" t="e">
        <f>NETWORKDAYS.INTL(#REF!,EOMONTH(#REF!,0),"0000001",$K$2:$K$16)</f>
        <v>#REF!</v>
      </c>
      <c r="Q11" s="11" t="e">
        <f>NETWORKDAYS.INTL(#REF!,EOMONTH(#REF!,0),"0111111")</f>
        <v>#REF!</v>
      </c>
      <c r="R11" s="11" t="e">
        <f>NETWORKDAYS.INTL(#REF!,EOMONTH(#REF!,0),"1011111")</f>
        <v>#REF!</v>
      </c>
      <c r="S11" s="11" t="e">
        <f>NETWORKDAYS.INTL(#REF!,EOMONTH(#REF!,0),"1101111")</f>
        <v>#REF!</v>
      </c>
      <c r="T11" s="11" t="e">
        <f>NETWORKDAYS.INTL(#REF!,EOMONTH(#REF!,0),"1110111")</f>
        <v>#REF!</v>
      </c>
      <c r="U11" s="11" t="e">
        <f>NETWORKDAYS.INTL(#REF!,EOMONTH(#REF!,0),"1111011")</f>
        <v>#REF!</v>
      </c>
      <c r="V11" s="11" t="e">
        <f>NETWORKDAYS.INTL(#REF!,EOMONTH(#REF!,0),"1111101")</f>
        <v>#REF!</v>
      </c>
      <c r="W11" s="11" t="e">
        <f>NETWORKDAYS.INTL(#REF!,EOMONTH(#REF!,0),"1111110")</f>
        <v>#REF!</v>
      </c>
      <c r="X11" s="11" t="e">
        <f>NETWORKDAYS.INTL(#REF!,EOMONTH(#REF!,0),"1111100")</f>
        <v>#REF!</v>
      </c>
      <c r="Y11" s="11" t="e">
        <f>DAY(EOMONTH(#REF!,0))-NETWORKDAYS.INTL(#REF!,EOMONTH(#REF!,0),"0000000",$K$2:$K$16)</f>
        <v>#REF!</v>
      </c>
      <c r="Z11" s="11" t="e">
        <f>NETWORKDAYS.INTL(#REF!,EOMONTH(#REF!,0),"0000011")-NETWORKDAYS.INTL(#REF!,EOMONTH(#REF!,0),"0000011",$K$2:$K$16)</f>
        <v>#REF!</v>
      </c>
      <c r="AA11" s="11" t="e">
        <f>NETWORKDAYS.INTL(#REF!,EOMONTH(#REF!,0),"1111101")-NETWORKDAYS.INTL(#REF!,EOMONTH(#REF!,0),"1111101",$K$2:$K$16)</f>
        <v>#REF!</v>
      </c>
      <c r="AB11" s="11" t="e">
        <f>NETWORKDAYS.INTL(#REF!,EOMONTH(#REF!,0),"1111110")-NETWORKDAYS.INTL(#REF!,EOMONTH(#REF!,0),"1111110",$K$2:$K$16)</f>
        <v>#REF!</v>
      </c>
      <c r="AC11" s="11" t="e">
        <f>NETWORKDAYS.INTL(#REF!,EOMONTH(#REF!,0),"1111100")-NETWORKDAYS.INTL(#REF!,EOMONTH(#REF!,0),"1111100",$K$2:$K$16)</f>
        <v>#REF!</v>
      </c>
    </row>
    <row r="12" spans="1:29" ht="30" customHeight="1" x14ac:dyDescent="0.3">
      <c r="A12" s="6" t="s">
        <v>87</v>
      </c>
      <c r="B12" s="6">
        <f>NETWORKDAYS.INTL($B$2,$B$3,"1111101")</f>
        <v>52</v>
      </c>
      <c r="C12" s="8"/>
      <c r="D12" s="6" t="s">
        <v>87</v>
      </c>
      <c r="E12" s="11">
        <f>NETWORKDAYS.INTL($E$2,$E$3,"1111101")</f>
        <v>3</v>
      </c>
      <c r="F12" s="8"/>
      <c r="I12" s="8"/>
      <c r="J12" s="9" t="s">
        <v>28</v>
      </c>
      <c r="K12" s="4">
        <f>DATE($A$1,8,15)</f>
        <v>45884</v>
      </c>
      <c r="M12" s="6" t="s">
        <v>11</v>
      </c>
      <c r="N12" s="11" t="e">
        <f>DAY(EOMONTH(#REF!,0))</f>
        <v>#REF!</v>
      </c>
      <c r="O12" s="11" t="e">
        <f>NETWORKDAYS.INTL(#REF!,EOMONTH(#REF!,0),,$K$2:$K$16)</f>
        <v>#REF!</v>
      </c>
      <c r="P12" s="11" t="e">
        <f>NETWORKDAYS.INTL(#REF!,EOMONTH(#REF!,0),"0000001",$K$2:$K$16)</f>
        <v>#REF!</v>
      </c>
      <c r="Q12" s="11" t="e">
        <f>NETWORKDAYS.INTL(#REF!,EOMONTH(#REF!,0),"0111111")</f>
        <v>#REF!</v>
      </c>
      <c r="R12" s="11" t="e">
        <f>NETWORKDAYS.INTL(#REF!,EOMONTH(#REF!,0),"1011111")</f>
        <v>#REF!</v>
      </c>
      <c r="S12" s="11" t="e">
        <f>NETWORKDAYS.INTL(#REF!,EOMONTH(#REF!,0),"1101111")</f>
        <v>#REF!</v>
      </c>
      <c r="T12" s="11" t="e">
        <f>NETWORKDAYS.INTL(#REF!,EOMONTH(#REF!,0),"1110111")</f>
        <v>#REF!</v>
      </c>
      <c r="U12" s="11" t="e">
        <f>NETWORKDAYS.INTL(#REF!,EOMONTH(#REF!,0),"1111011")</f>
        <v>#REF!</v>
      </c>
      <c r="V12" s="11" t="e">
        <f>NETWORKDAYS.INTL(#REF!,EOMONTH(#REF!,0),"1111101")</f>
        <v>#REF!</v>
      </c>
      <c r="W12" s="11" t="e">
        <f>NETWORKDAYS.INTL(#REF!,EOMONTH(#REF!,0),"1111110")</f>
        <v>#REF!</v>
      </c>
      <c r="X12" s="11" t="e">
        <f>NETWORKDAYS.INTL(#REF!,EOMONTH(#REF!,0),"1111100")</f>
        <v>#REF!</v>
      </c>
      <c r="Y12" s="11" t="e">
        <f>DAY(EOMONTH(#REF!,0))-NETWORKDAYS.INTL(#REF!,EOMONTH(#REF!,0),"0000000",$K$2:$K$16)</f>
        <v>#REF!</v>
      </c>
      <c r="Z12" s="11" t="e">
        <f>NETWORKDAYS.INTL(#REF!,EOMONTH(#REF!,0),"0000011")-NETWORKDAYS.INTL(#REF!,EOMONTH(#REF!,0),"0000011",$K$2:$K$16)</f>
        <v>#REF!</v>
      </c>
      <c r="AA12" s="11" t="e">
        <f>NETWORKDAYS.INTL(#REF!,EOMONTH(#REF!,0),"1111101")-NETWORKDAYS.INTL(#REF!,EOMONTH(#REF!,0),"1111101",$K$2:$K$16)</f>
        <v>#REF!</v>
      </c>
      <c r="AB12" s="11" t="e">
        <f>NETWORKDAYS.INTL(#REF!,EOMONTH(#REF!,0),"1111110")-NETWORKDAYS.INTL(#REF!,EOMONTH(#REF!,0),"1111110",$K$2:$K$16)</f>
        <v>#REF!</v>
      </c>
      <c r="AC12" s="11" t="e">
        <f>NETWORKDAYS.INTL(#REF!,EOMONTH(#REF!,0),"1111100")-NETWORKDAYS.INTL(#REF!,EOMONTH(#REF!,0),"1111100",$K$2:$K$16)</f>
        <v>#REF!</v>
      </c>
    </row>
    <row r="13" spans="1:29" ht="30" customHeight="1" x14ac:dyDescent="0.3">
      <c r="A13" s="6" t="s">
        <v>88</v>
      </c>
      <c r="B13" s="6">
        <f>NETWORKDAYS.INTL($B$2,$B$3,"1111110")</f>
        <v>52</v>
      </c>
      <c r="C13" s="12"/>
      <c r="D13" s="6" t="s">
        <v>88</v>
      </c>
      <c r="E13" s="11">
        <f>NETWORKDAYS.INTL($E$2,$E$3,"1111110")</f>
        <v>3</v>
      </c>
      <c r="F13" s="12"/>
      <c r="I13" s="8"/>
      <c r="J13" s="9" t="s">
        <v>29</v>
      </c>
      <c r="K13" s="4">
        <f>DATE(A1,11,1)</f>
        <v>45962</v>
      </c>
      <c r="M13" s="6" t="s">
        <v>12</v>
      </c>
      <c r="N13" s="11" t="e">
        <f>DAY(EOMONTH(#REF!,0))</f>
        <v>#REF!</v>
      </c>
      <c r="O13" s="11" t="e">
        <f>NETWORKDAYS.INTL(#REF!,EOMONTH(#REF!,0),,$K$2:$K$16)</f>
        <v>#REF!</v>
      </c>
      <c r="P13" s="11" t="e">
        <f>NETWORKDAYS.INTL(#REF!,EOMONTH(#REF!,0),"0000001",$K$2:$K$16)</f>
        <v>#REF!</v>
      </c>
      <c r="Q13" s="11" t="e">
        <f>NETWORKDAYS.INTL(#REF!,EOMONTH(#REF!,0),"0111111")</f>
        <v>#REF!</v>
      </c>
      <c r="R13" s="11" t="e">
        <f>NETWORKDAYS.INTL(#REF!,EOMONTH(#REF!,0),"1011111")</f>
        <v>#REF!</v>
      </c>
      <c r="S13" s="11" t="e">
        <f>NETWORKDAYS.INTL(#REF!,EOMONTH(#REF!,0),"1101111")</f>
        <v>#REF!</v>
      </c>
      <c r="T13" s="11" t="e">
        <f>NETWORKDAYS.INTL(#REF!,EOMONTH(#REF!,0),"1110111")</f>
        <v>#REF!</v>
      </c>
      <c r="U13" s="11" t="e">
        <f>NETWORKDAYS.INTL(#REF!,EOMONTH(#REF!,0),"1111011")</f>
        <v>#REF!</v>
      </c>
      <c r="V13" s="11" t="e">
        <f>NETWORKDAYS.INTL(#REF!,EOMONTH(#REF!,0),"1111101")</f>
        <v>#REF!</v>
      </c>
      <c r="W13" s="11" t="e">
        <f>NETWORKDAYS.INTL(#REF!,EOMONTH(#REF!,0),"1111110")</f>
        <v>#REF!</v>
      </c>
      <c r="X13" s="11" t="e">
        <f>NETWORKDAYS.INTL(#REF!,EOMONTH(#REF!,0),"1111100")</f>
        <v>#REF!</v>
      </c>
      <c r="Y13" s="11" t="e">
        <f>DAY(EOMONTH(#REF!,0))-NETWORKDAYS.INTL(#REF!,EOMONTH(#REF!,0),"0000000",$K$2:$K$16)</f>
        <v>#REF!</v>
      </c>
      <c r="Z13" s="11" t="e">
        <f>NETWORKDAYS.INTL(#REF!,EOMONTH(#REF!,0),"0000011")-NETWORKDAYS.INTL(#REF!,EOMONTH(#REF!,0),"0000011",$K$2:$K$16)</f>
        <v>#REF!</v>
      </c>
      <c r="AA13" s="11" t="e">
        <f>NETWORKDAYS.INTL(#REF!,EOMONTH(#REF!,0),"1111101")-NETWORKDAYS.INTL(#REF!,EOMONTH(#REF!,0),"1111101",$K$2:$K$16)</f>
        <v>#REF!</v>
      </c>
      <c r="AB13" s="11" t="e">
        <f>NETWORKDAYS.INTL(#REF!,EOMONTH(#REF!,0),"1111110")-NETWORKDAYS.INTL(#REF!,EOMONTH(#REF!,0),"1111110",$K$2:$K$16)</f>
        <v>#REF!</v>
      </c>
      <c r="AC13" s="11" t="e">
        <f>NETWORKDAYS.INTL(#REF!,EOMONTH(#REF!,0),"1111100")-NETWORKDAYS.INTL(#REF!,EOMONTH(#REF!,0),"1111100",$K$2:$K$16)</f>
        <v>#REF!</v>
      </c>
    </row>
    <row r="14" spans="1:29" ht="30" customHeight="1" x14ac:dyDescent="0.3">
      <c r="A14" s="6" t="s">
        <v>94</v>
      </c>
      <c r="B14" s="6">
        <f>NETWORKDAYS.INTL($B$2,$B$3,"1111100")</f>
        <v>104</v>
      </c>
      <c r="D14" s="6" t="s">
        <v>94</v>
      </c>
      <c r="E14" s="11">
        <f>NETWORKDAYS.INTL($E$2,$E$3,"1111100")</f>
        <v>6</v>
      </c>
      <c r="I14" s="8"/>
      <c r="J14" s="9" t="s">
        <v>31</v>
      </c>
      <c r="K14" s="4">
        <f>DATE(A1,11,11)</f>
        <v>45972</v>
      </c>
      <c r="N14" s="11" t="e">
        <f>SUM(N2:N13)</f>
        <v>#REF!</v>
      </c>
      <c r="O14" s="11" t="e">
        <f>SUM(O2:O13)</f>
        <v>#REF!</v>
      </c>
      <c r="P14" s="11" t="e">
        <f>SUM(P2:P13)</f>
        <v>#REF!</v>
      </c>
      <c r="Q14" s="11" t="e">
        <f t="shared" ref="Q14:R14" si="0">SUM(Q2:Q13)</f>
        <v>#REF!</v>
      </c>
      <c r="R14" s="11" t="e">
        <f t="shared" si="0"/>
        <v>#REF!</v>
      </c>
      <c r="S14" s="11" t="e">
        <f t="shared" ref="S14" si="1">SUM(S2:S13)</f>
        <v>#REF!</v>
      </c>
      <c r="T14" s="11" t="e">
        <f t="shared" ref="T14" si="2">SUM(T2:T13)</f>
        <v>#REF!</v>
      </c>
      <c r="U14" s="11" t="e">
        <f t="shared" ref="U14" si="3">SUM(U2:U13)</f>
        <v>#REF!</v>
      </c>
      <c r="V14" s="11" t="e">
        <f t="shared" ref="V14:AC14" si="4">SUM(V2:V13)</f>
        <v>#REF!</v>
      </c>
      <c r="W14" s="11" t="e">
        <f t="shared" si="4"/>
        <v>#REF!</v>
      </c>
      <c r="X14" s="11" t="e">
        <f t="shared" si="4"/>
        <v>#REF!</v>
      </c>
      <c r="Y14" s="11" t="e">
        <f t="shared" si="4"/>
        <v>#REF!</v>
      </c>
      <c r="Z14" s="11" t="e">
        <f t="shared" si="4"/>
        <v>#REF!</v>
      </c>
      <c r="AA14" s="11" t="e">
        <f t="shared" ref="AA14" si="5">SUM(AA2:AA13)</f>
        <v>#REF!</v>
      </c>
      <c r="AB14" s="11" t="e">
        <f t="shared" ref="AB14" si="6">SUM(AB2:AB13)</f>
        <v>#REF!</v>
      </c>
      <c r="AC14" s="11" t="e">
        <f t="shared" si="4"/>
        <v>#REF!</v>
      </c>
    </row>
    <row r="15" spans="1:29" ht="30" customHeight="1" x14ac:dyDescent="0.3">
      <c r="A15" s="6" t="s">
        <v>86</v>
      </c>
      <c r="B15" s="6" cm="1">
        <f t="array" aca="1" ref="B15" ca="1">SUMPRODUCT(--(COUNTIF($K$2:$K$16,ROW(INDIRECT($B$2&amp;":"&amp;$B$3)))=1))</f>
        <v>15</v>
      </c>
      <c r="D15" s="6" t="s">
        <v>86</v>
      </c>
      <c r="E15" s="11" cm="1">
        <f t="array" aca="1" ref="E15" ca="1">SUMPRODUCT(--(COUNTIF($K$2:$K$16,ROW(INDIRECT($E$2&amp;":"&amp;$E$3)))=1))</f>
        <v>0</v>
      </c>
      <c r="I15" s="8"/>
      <c r="J15" s="9" t="s">
        <v>32</v>
      </c>
      <c r="K15" s="4">
        <f>DATE(A1,12,25)</f>
        <v>46016</v>
      </c>
    </row>
    <row r="16" spans="1:29" ht="30" customHeight="1" x14ac:dyDescent="0.3">
      <c r="A16" s="6" t="s">
        <v>50</v>
      </c>
      <c r="B16" s="6">
        <f>NETWORKDAYS.INTL($B$2,$B$3)-NETWORKDAYS.INTL($B$2,$B$3,,$K$2:$K$16)</f>
        <v>12</v>
      </c>
      <c r="D16" s="6" t="s">
        <v>50</v>
      </c>
      <c r="E16" s="11">
        <f>NETWORKDAYS.INTL($E$2,$E$3)-NETWORKDAYS.INTL($E$2,$E$3,,$K$2:$K$16)</f>
        <v>0</v>
      </c>
      <c r="I16" s="8"/>
      <c r="J16" s="9" t="s">
        <v>33</v>
      </c>
      <c r="K16" s="4">
        <f>K15+1</f>
        <v>46017</v>
      </c>
    </row>
    <row r="17" spans="1:9" ht="30" customHeight="1" x14ac:dyDescent="0.3">
      <c r="A17" s="6" t="s">
        <v>84</v>
      </c>
      <c r="B17" s="6">
        <f>NETWORKDAYS.INTL($B$2,$B$3,"1111101")-NETWORKDAYS.INTL($B$2,$B$3,"1111101",$K$2:$K$16)</f>
        <v>1</v>
      </c>
      <c r="D17" s="6" t="s">
        <v>84</v>
      </c>
      <c r="E17" s="6">
        <f>NETWORKDAYS.INTL($E$2,$E$3,"1111101")-NETWORKDAYS.INTL($E$2,$E$3,"1111101",$K$2:$K$16)</f>
        <v>0</v>
      </c>
      <c r="I17" s="8"/>
    </row>
    <row r="18" spans="1:9" ht="30" customHeight="1" x14ac:dyDescent="0.3">
      <c r="A18" s="6" t="s">
        <v>85</v>
      </c>
      <c r="B18" s="6">
        <f>NETWORKDAYS.INTL($B$2,$B$3,"1111110")-NETWORKDAYS.INTL($B$2,$B$3,"1111110",$K$2:$K$16)</f>
        <v>2</v>
      </c>
      <c r="C18" s="8"/>
      <c r="D18" s="6" t="s">
        <v>85</v>
      </c>
      <c r="E18" s="6">
        <f>NETWORKDAYS.INTL($E$2,$E$3,"1111110")-NETWORKDAYS.INTL($E$2,$E$3,"1111110",$K$2:$K$16)</f>
        <v>0</v>
      </c>
      <c r="F18" s="8"/>
      <c r="I18" s="8"/>
    </row>
    <row r="19" spans="1:9" ht="30" customHeight="1" x14ac:dyDescent="0.3">
      <c r="A19" s="6" t="s">
        <v>51</v>
      </c>
      <c r="B19" s="6">
        <f>NETWORKDAYS.INTL(B2,B3,"1111100")-NETWORKDAYS.INTL(B2,B3,"1111100",$K$2:$K$16)</f>
        <v>3</v>
      </c>
      <c r="C19" s="8" t="e">
        <f>DAY(EOMONTH(#REF!,0))-NETWORKDAYS.INTL(#REF!,EOMONTH(#REF!,0),"0000000",$K$2:$K$16)</f>
        <v>#REF!</v>
      </c>
      <c r="D19" s="6" t="s">
        <v>51</v>
      </c>
      <c r="E19" s="6">
        <f>NETWORKDAYS.INTL($E$2,$E$3,"1111100")-NETWORKDAYS.INTL($E$2,$E$3,"1111100",$K$2:$K$16)</f>
        <v>0</v>
      </c>
      <c r="F19" s="8"/>
      <c r="I19" s="8"/>
    </row>
    <row r="20" spans="1:9" ht="30" customHeight="1" x14ac:dyDescent="0.3">
      <c r="C20" s="8"/>
      <c r="F20" s="8"/>
      <c r="G20" s="8"/>
      <c r="H20" s="8"/>
      <c r="I20" s="8"/>
    </row>
    <row r="21" spans="1:9" ht="11.4" customHeight="1" x14ac:dyDescent="0.3">
      <c r="C21" s="59"/>
      <c r="D21" s="59"/>
      <c r="E21" s="59"/>
      <c r="F21" s="59"/>
      <c r="G21" s="8"/>
      <c r="H21" s="8"/>
      <c r="I21" s="8"/>
    </row>
    <row r="22" spans="1:9" ht="11.4" customHeight="1" x14ac:dyDescent="0.3"/>
    <row r="23" spans="1:9" ht="11.4" customHeight="1" x14ac:dyDescent="0.3"/>
    <row r="24" spans="1:9" ht="11.4" customHeight="1" x14ac:dyDescent="0.3"/>
    <row r="25" spans="1:9" ht="11.4" customHeight="1" x14ac:dyDescent="0.3"/>
    <row r="26" spans="1:9" ht="11.4" customHeight="1" x14ac:dyDescent="0.3"/>
    <row r="27" spans="1:9" ht="11.4" customHeight="1" x14ac:dyDescent="0.3"/>
    <row r="28" spans="1:9" ht="11.4" customHeight="1" x14ac:dyDescent="0.3"/>
    <row r="29" spans="1:9" ht="11.4" customHeight="1" x14ac:dyDescent="0.3"/>
  </sheetData>
  <mergeCells count="5">
    <mergeCell ref="D1:E1"/>
    <mergeCell ref="J1:K1"/>
    <mergeCell ref="G1:H1"/>
    <mergeCell ref="A1:B1"/>
    <mergeCell ref="G10:H1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P36"/>
  <sheetViews>
    <sheetView tabSelected="1" zoomScale="85" zoomScaleNormal="85" workbookViewId="0">
      <selection activeCell="B3" sqref="B3"/>
    </sheetView>
  </sheetViews>
  <sheetFormatPr baseColWidth="10" defaultColWidth="11.5546875" defaultRowHeight="24.6" x14ac:dyDescent="0.3"/>
  <cols>
    <col min="1" max="1" width="10.6640625" style="25" customWidth="1"/>
    <col min="2" max="2" width="30.6640625" style="26" customWidth="1"/>
    <col min="3" max="3" width="20.6640625" style="45" customWidth="1"/>
    <col min="4" max="7" width="20.6640625" style="18" customWidth="1"/>
    <col min="8" max="10" width="20.6640625" style="27" customWidth="1"/>
    <col min="11" max="11" width="20.6640625" style="36" customWidth="1"/>
    <col min="12" max="12" width="20.6640625" style="28" customWidth="1"/>
    <col min="13" max="16384" width="11.5546875" style="18"/>
  </cols>
  <sheetData>
    <row r="1" spans="1:16" s="16" customFormat="1" ht="30" customHeight="1" x14ac:dyDescent="0.3">
      <c r="A1" s="37"/>
      <c r="B1" s="38">
        <f>SUBTOTAL(102,Février[Date])</f>
        <v>28</v>
      </c>
      <c r="C1" s="42"/>
      <c r="D1" s="52">
        <f>SUBTOTAL(102,Février[Ouverture de poste])</f>
        <v>0</v>
      </c>
      <c r="E1" s="38">
        <f>SUBTOTAL(102,Février[Pause entre 06:00 et 21:00])</f>
        <v>0</v>
      </c>
      <c r="F1" s="38">
        <f>SUBTOTAL(102,Février[Pause entre 21:00 et 06:00])</f>
        <v>0</v>
      </c>
      <c r="G1" s="38">
        <f>SUBTOTAL(102,Février[Fermeture de poste])</f>
        <v>0</v>
      </c>
      <c r="H1" s="41">
        <f>SUBTOTAL(109,Février[Total Heures])</f>
        <v>0</v>
      </c>
      <c r="I1" s="39">
        <f>SUBTOTAL(109,Février[Heures de jour])</f>
        <v>0</v>
      </c>
      <c r="J1" s="39">
        <f>SUBTOTAL(109,Février[Heures de nuit])</f>
        <v>0</v>
      </c>
      <c r="K1" s="34">
        <f>SUBTOTAL(109,Février[Total semaine])</f>
        <v>0</v>
      </c>
      <c r="L1" s="39">
        <f>SUBTOTAL(109,Février[Heures supplémentaires])</f>
        <v>0</v>
      </c>
      <c r="N1" s="17"/>
    </row>
    <row r="2" spans="1:16" ht="30" customHeight="1" x14ac:dyDescent="0.3">
      <c r="A2" s="29" t="s">
        <v>40</v>
      </c>
      <c r="B2" s="30" t="s">
        <v>13</v>
      </c>
      <c r="C2" s="43" t="s">
        <v>14</v>
      </c>
      <c r="D2" s="30" t="s">
        <v>18</v>
      </c>
      <c r="E2" s="30" t="s">
        <v>42</v>
      </c>
      <c r="F2" s="30" t="s">
        <v>43</v>
      </c>
      <c r="G2" s="30" t="s">
        <v>16</v>
      </c>
      <c r="H2" s="31" t="s">
        <v>41</v>
      </c>
      <c r="I2" s="31" t="s">
        <v>17</v>
      </c>
      <c r="J2" s="31" t="s">
        <v>15</v>
      </c>
      <c r="K2" s="32" t="s">
        <v>19</v>
      </c>
      <c r="L2" s="33" t="s">
        <v>0</v>
      </c>
      <c r="N2" s="53"/>
    </row>
    <row r="3" spans="1:16" ht="29.4" customHeight="1" x14ac:dyDescent="0.3">
      <c r="A3" s="19" t="str">
        <f t="shared" ref="A3:A33" si="0">IF(B3="","",""&amp;WEEKNUM(B3,2))</f>
        <v>5</v>
      </c>
      <c r="B3" s="76">
        <f>IF(B2="","",IF(ISTEXT(B2),DATE(Détails!A1,2,1),IF(B2+1 &gt; EOMONTH(B2,0),"",B2+1)))</f>
        <v>45689</v>
      </c>
      <c r="C3" s="44" t="str">
        <f>IF(B3="","",IF(ISNUMBER(Février[[#This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familial",IFERROR(IF(VLOOKUP($B3,Détails!$K$2:$K$16,1,0),"Férié",""),"")))))))</f>
        <v/>
      </c>
      <c r="D3" s="20"/>
      <c r="E3" s="21"/>
      <c r="F3" s="21"/>
      <c r="G3" s="20"/>
      <c r="H3" s="22" t="str">
        <f t="shared" ref="H3:H31" si="1">IF(B3="","",IF(OR(D3&lt;&gt;"",G3&lt;&gt;""),MOD(G3-D3-F3-E3,1),""))</f>
        <v/>
      </c>
      <c r="I3" s="22">
        <f>IF(B3="","",IF($G3&gt;$D3,MEDIAN($G3,Détails!$G$11,Détails!$H$11)-MEDIAN($D3,Détails!$G$11,Détails!$H$11),($G3&lt;$D3)*(Détails!$G$11-Détails!$H$11)+MEDIAN($G3,Détails!$H$11,Détails!$G$11)-MEDIAN($D3,Détails!$H$11,Détails!$G$11))-$E3)</f>
        <v>0</v>
      </c>
      <c r="J3" s="22">
        <f>IF(B3="","",IF($G3&gt;$D3,MEDIAN($G3,Détails!$G$11,Détails!$H$11)-MEDIAN($D3,Détails!$G$11,Détails!$H$11),($G3&lt;$D3)*(Détails!$G$11-Détails!$H$11)+MEDIAN($G3,Détails!$H$11,Détails!$G$11)-MEDIAN($D3,Détails!$H$11,Détails!$G$11))-$E3)</f>
        <v>0</v>
      </c>
      <c r="K3" s="35">
        <f>IF(B3="","",IF(OR(WEEKDAY(Février[[#This Row],[Date]],2)=7, DAY(Février[[#This Row],[Date]])=DAY(EOMONTH(Février[[#This Row],[Date]],0))),SUMIF(Février[Semaine],Février[[#This Row],[Semaine]],Février[Total Heures]),0))</f>
        <v>0</v>
      </c>
      <c r="L3" s="23" t="str">
        <f>IF(B3="","",IFERROR(IF(K3&gt;Détails!H$4,K3-Détails!H$4,""),0))</f>
        <v/>
      </c>
      <c r="N3" s="57">
        <f>COUNTIFS(Février[Ordre],"En poste")</f>
        <v>0</v>
      </c>
      <c r="O3" s="24"/>
      <c r="P3" s="24"/>
    </row>
    <row r="4" spans="1:16" ht="29.4" customHeight="1" x14ac:dyDescent="0.3">
      <c r="A4" s="19" t="str">
        <f t="shared" si="0"/>
        <v>5</v>
      </c>
      <c r="B4" s="76">
        <f>IF(B3="","",IF(ISTEXT(B3),DATE(Détails!A2,2,1),IF(B3+1 &gt; EOMONTH(B3,0),"",B3+1)))</f>
        <v>45690</v>
      </c>
      <c r="C4" s="44" t="str">
        <f>IF(B4="","",IF(ISNUMBER(Février[[#This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familial",IFERROR(IF(VLOOKUP($B4,Détails!$K$2:$K$16,1,0),"Férié",""),"")))))))</f>
        <v/>
      </c>
      <c r="D4" s="20"/>
      <c r="E4" s="21"/>
      <c r="F4" s="21"/>
      <c r="G4" s="20"/>
      <c r="H4" s="22" t="str">
        <f t="shared" si="1"/>
        <v/>
      </c>
      <c r="I4" s="22">
        <f>IF(B4="","",IF($G4&gt;$D4,MEDIAN($G4,Détails!$G$11,Détails!$H$11)-MEDIAN($D4,Détails!$G$11,Détails!$H$11),($G4&lt;$D4)*(Détails!$G$11-Détails!$H$11)+MEDIAN($G4,Détails!$H$11,Détails!$G$11)-MEDIAN($D4,Détails!$H$11,Détails!$G$11))-$E4)</f>
        <v>0</v>
      </c>
      <c r="J4" s="22">
        <f>IF(B4="","",IF($G4&gt;$D4,MEDIAN($G4,Détails!$G$11,Détails!$H$11)-MEDIAN($D4,Détails!$G$11,Détails!$H$11),($G4&lt;$D4)*(Détails!$G$11-Détails!$H$11)+MEDIAN($G4,Détails!$H$11,Détails!$G$11)-MEDIAN($D4,Détails!$H$11,Détails!$G$11))-$E4)</f>
        <v>0</v>
      </c>
      <c r="K4" s="35">
        <f>IF(B4="","",IF(OR(WEEKDAY(Février[[#This Row],[Date]],2)=7, DAY(Février[[#This Row],[Date]])=DAY(EOMONTH(Février[[#This Row],[Date]],0))),SUMIF(Février[Semaine],Février[[#This Row],[Semaine]],Février[Total Heures]),0))</f>
        <v>0</v>
      </c>
      <c r="L4" s="23" t="str">
        <f>IF(B4="","",IFERROR(IF(K4&gt;Détails!H$4,K4-Détails!H$4,""),0))</f>
        <v/>
      </c>
      <c r="N4" s="57">
        <f>COUNTIFS(Février[Ordre],"Férié")</f>
        <v>0</v>
      </c>
    </row>
    <row r="5" spans="1:16" ht="29.4" customHeight="1" x14ac:dyDescent="0.3">
      <c r="A5" s="19" t="str">
        <f t="shared" si="0"/>
        <v>6</v>
      </c>
      <c r="B5" s="76">
        <f>IF(B4="","",IF(ISTEXT(B4),DATE(Détails!A3,2,1),IF(B4+1 &gt; EOMONTH(B4,0),"",B4+1)))</f>
        <v>45691</v>
      </c>
      <c r="C5" s="44" t="str">
        <f>IF(B5="","",IF(ISNUMBER(Février[[#This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familial",IFERROR(IF(VLOOKUP($B5,Détails!$K$2:$K$16,1,0),"Férié",""),"")))))))</f>
        <v/>
      </c>
      <c r="D5" s="20"/>
      <c r="E5" s="21"/>
      <c r="F5" s="21"/>
      <c r="G5" s="20"/>
      <c r="H5" s="22" t="str">
        <f t="shared" si="1"/>
        <v/>
      </c>
      <c r="I5" s="22">
        <f>IF(B5="","",IF($G5&gt;$D5,MEDIAN($G5,Détails!$G$11,Détails!$H$11)-MEDIAN($D5,Détails!$G$11,Détails!$H$11),($G5&lt;$D5)*(Détails!$G$11-Détails!$H$11)+MEDIAN($G5,Détails!$H$11,Détails!$G$11)-MEDIAN($D5,Détails!$H$11,Détails!$G$11))-$E5)</f>
        <v>0</v>
      </c>
      <c r="J5" s="22">
        <f>IF(B5="","",IF($G5&gt;$D5,MEDIAN($G5,Détails!$G$11,Détails!$H$11)-MEDIAN($D5,Détails!$G$11,Détails!$H$11),($G5&lt;$D5)*(Détails!$G$11-Détails!$H$11)+MEDIAN($G5,Détails!$H$11,Détails!$G$11)-MEDIAN($D5,Détails!$H$11,Détails!$G$11))-$E5)</f>
        <v>0</v>
      </c>
      <c r="K5" s="35">
        <f>IF(B5="","",IF(OR(WEEKDAY(Février[[#This Row],[Date]],2)=7, DAY(Février[[#This Row],[Date]])=DAY(EOMONTH(Février[[#This Row],[Date]],0))),SUMIF(Février[Semaine],Février[[#This Row],[Semaine]],Février[Total Heures]),0))</f>
        <v>0</v>
      </c>
      <c r="L5" s="23" t="str">
        <f>IF(B5="","",IFERROR(IF(K5&gt;Détails!H$4,K5-Détails!H$4,""),0))</f>
        <v/>
      </c>
      <c r="N5" s="58" cm="1">
        <f t="array" ref="N5">SUMPRODUCT(ISNUMBER(MATCH(Février[Date],Détails!K2:K16,0))*(ISNUMBER(Février[Ouverture de poste])))</f>
        <v>0</v>
      </c>
    </row>
    <row r="6" spans="1:16" ht="29.4" customHeight="1" x14ac:dyDescent="0.3">
      <c r="A6" s="19" t="str">
        <f t="shared" si="0"/>
        <v>6</v>
      </c>
      <c r="B6" s="76">
        <f>IF(B5="","",IF(ISTEXT(B5),DATE(Détails!A4,2,1),IF(B5+1 &gt; EOMONTH(B5,0),"",B5+1)))</f>
        <v>45692</v>
      </c>
      <c r="C6" s="44" t="str">
        <f>IF(B6="","",IF(ISNUMBER(Février[[#This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familial",IFERROR(IF(VLOOKUP($B6,Détails!$K$2:$K$16,1,0),"Férié",""),"")))))))</f>
        <v/>
      </c>
      <c r="D6" s="20"/>
      <c r="E6" s="21"/>
      <c r="F6" s="21"/>
      <c r="G6" s="20"/>
      <c r="H6" s="22" t="str">
        <f t="shared" si="1"/>
        <v/>
      </c>
      <c r="I6" s="22">
        <f>IF(B6="","",IF($G6&gt;$D6,MEDIAN($G6,Détails!$G$11,Détails!$H$11)-MEDIAN($D6,Détails!$G$11,Détails!$H$11),($G6&lt;$D6)*(Détails!$G$11-Détails!$H$11)+MEDIAN($G6,Détails!$H$11,Détails!$G$11)-MEDIAN($D6,Détails!$H$11,Détails!$G$11))-$E6)</f>
        <v>0</v>
      </c>
      <c r="J6" s="22">
        <f>IF(B6="","",IF($G6&gt;$D6,MEDIAN($G6,Détails!$G$11,Détails!$H$11)-MEDIAN($D6,Détails!$G$11,Détails!$H$11),($G6&lt;$D6)*(Détails!$G$11-Détails!$H$11)+MEDIAN($G6,Détails!$H$11,Détails!$G$11)-MEDIAN($D6,Détails!$H$11,Détails!$G$11))-$E6)</f>
        <v>0</v>
      </c>
      <c r="K6" s="35">
        <f>IF(B6="","",IF(OR(WEEKDAY(Février[[#This Row],[Date]],2)=7, DAY(Février[[#This Row],[Date]])=DAY(EOMONTH(Février[[#This Row],[Date]],0))),SUMIF(Février[Semaine],Février[[#This Row],[Semaine]],Février[Total Heures]),0))</f>
        <v>0</v>
      </c>
      <c r="L6" s="23" t="str">
        <f>IF(B6="","",IFERROR(IF(K6&gt;Détails!H$4,K6-Détails!H$4,""),0))</f>
        <v/>
      </c>
      <c r="N6" s="53" cm="1">
        <f t="array" aca="1" ref="N6" ca="1">SUM(--(Février[Date]&lt;TODAY())*(Février[Ouverture de poste] = ""))</f>
        <v>0</v>
      </c>
    </row>
    <row r="7" spans="1:16" ht="29.4" customHeight="1" x14ac:dyDescent="0.3">
      <c r="A7" s="19" t="str">
        <f t="shared" si="0"/>
        <v>6</v>
      </c>
      <c r="B7" s="76">
        <f>IF(B6="","",IF(ISTEXT(B6),DATE(Détails!A5,2,1),IF(B6+1 &gt; EOMONTH(B6,0),"",B6+1)))</f>
        <v>45693</v>
      </c>
      <c r="C7" s="44" t="str">
        <f>IF(B7="","",IF(ISNUMBER(Février[[#This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familial",IFERROR(IF(VLOOKUP($B7,Détails!$K$2:$K$16,1,0),"Férié",""),"")))))))</f>
        <v/>
      </c>
      <c r="D7" s="20"/>
      <c r="E7" s="21"/>
      <c r="F7" s="21"/>
      <c r="G7" s="20"/>
      <c r="H7" s="22" t="str">
        <f t="shared" si="1"/>
        <v/>
      </c>
      <c r="I7" s="22">
        <f>IF(B7="","",IF($G7&gt;$D7,MEDIAN($G7,Détails!$G$11,Détails!$H$11)-MEDIAN($D7,Détails!$G$11,Détails!$H$11),($G7&lt;$D7)*(Détails!$G$11-Détails!$H$11)+MEDIAN($G7,Détails!$H$11,Détails!$G$11)-MEDIAN($D7,Détails!$H$11,Détails!$G$11))-$E7)</f>
        <v>0</v>
      </c>
      <c r="J7" s="22">
        <f>IF(B7="","",IF($G7&gt;$D7,MEDIAN($G7,Détails!$G$11,Détails!$H$11)-MEDIAN($D7,Détails!$G$11,Détails!$H$11),($G7&lt;$D7)*(Détails!$G$11-Détails!$H$11)+MEDIAN($G7,Détails!$H$11,Détails!$G$11)-MEDIAN($D7,Détails!$H$11,Détails!$G$11))-$E7)</f>
        <v>0</v>
      </c>
      <c r="K7" s="35">
        <f>IF(B7="","",IF(OR(WEEKDAY(Février[[#This Row],[Date]],2)=7, DAY(Février[[#This Row],[Date]])=DAY(EOMONTH(Février[[#This Row],[Date]],0))),SUMIF(Février[Semaine],Février[[#This Row],[Semaine]],Février[Total Heures]),0))</f>
        <v>0</v>
      </c>
      <c r="L7" s="23" t="str">
        <f>IF(B7="","",IFERROR(IF(K7&gt;Détails!H$4,K7-Détails!H$4,""),0))</f>
        <v/>
      </c>
      <c r="N7" s="53"/>
    </row>
    <row r="8" spans="1:16" ht="29.4" customHeight="1" x14ac:dyDescent="0.3">
      <c r="A8" s="19" t="str">
        <f t="shared" si="0"/>
        <v>6</v>
      </c>
      <c r="B8" s="76">
        <f>IF(B7="","",IF(ISTEXT(B7),DATE(Détails!A6,2,1),IF(B7+1 &gt; EOMONTH(B7,0),"",B7+1)))</f>
        <v>45694</v>
      </c>
      <c r="C8" s="44" t="str">
        <f>IF(B8="","",IF(ISNUMBER(Février[[#This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familial",IFERROR(IF(VLOOKUP($B8,Détails!$K$2:$K$16,1,0),"Férié",""),"")))))))</f>
        <v/>
      </c>
      <c r="D8" s="20"/>
      <c r="E8" s="21"/>
      <c r="F8" s="21"/>
      <c r="G8" s="20"/>
      <c r="H8" s="22" t="str">
        <f t="shared" si="1"/>
        <v/>
      </c>
      <c r="I8" s="22">
        <f>IF(B8="","",IF($G8&gt;$D8,MEDIAN($G8,Détails!$G$11,Détails!$H$11)-MEDIAN($D8,Détails!$G$11,Détails!$H$11),($G8&lt;$D8)*(Détails!$G$11-Détails!$H$11)+MEDIAN($G8,Détails!$H$11,Détails!$G$11)-MEDIAN($D8,Détails!$H$11,Détails!$G$11))-$E8)</f>
        <v>0</v>
      </c>
      <c r="J8" s="22">
        <f>IF(B8="","",IF($G8&gt;$D8,MEDIAN($G8,Détails!$G$11,Détails!$H$11)-MEDIAN($D8,Détails!$G$11,Détails!$H$11),($G8&lt;$D8)*(Détails!$G$11-Détails!$H$11)+MEDIAN($G8,Détails!$H$11,Détails!$G$11)-MEDIAN($D8,Détails!$H$11,Détails!$G$11))-$E8)</f>
        <v>0</v>
      </c>
      <c r="K8" s="35">
        <f>IF(B8="","",IF(OR(WEEKDAY(Février[[#This Row],[Date]],2)=7, DAY(Février[[#This Row],[Date]])=DAY(EOMONTH(Février[[#This Row],[Date]],0))),SUMIF(Février[Semaine],Février[[#This Row],[Semaine]],Février[Total Heures]),0))</f>
        <v>0</v>
      </c>
      <c r="L8" s="23" t="str">
        <f>IF(B8="","",IFERROR(IF(K8&gt;Détails!H$4,K8-Détails!H$4,""),0))</f>
        <v/>
      </c>
      <c r="N8" s="53"/>
    </row>
    <row r="9" spans="1:16" ht="29.4" customHeight="1" x14ac:dyDescent="0.3">
      <c r="A9" s="19" t="str">
        <f t="shared" si="0"/>
        <v>6</v>
      </c>
      <c r="B9" s="76">
        <f>IF(B8="","",IF(ISTEXT(B8),DATE(Détails!A7,2,1),IF(B8+1 &gt; EOMONTH(B8,0),"",B8+1)))</f>
        <v>45695</v>
      </c>
      <c r="C9" s="44" t="str">
        <f>IF(B9="","",IF(ISNUMBER(Février[[#This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familial",IFERROR(IF(VLOOKUP($B9,Détails!$K$2:$K$16,1,0),"Férié",""),"")))))))</f>
        <v/>
      </c>
      <c r="D9" s="20"/>
      <c r="E9" s="21"/>
      <c r="F9" s="21"/>
      <c r="G9" s="20"/>
      <c r="H9" s="22" t="str">
        <f t="shared" si="1"/>
        <v/>
      </c>
      <c r="I9" s="22">
        <f>IF(B9="","",IF($G9&gt;$D9,MEDIAN($G9,Détails!$G$11,Détails!$H$11)-MEDIAN($D9,Détails!$G$11,Détails!$H$11),($G9&lt;$D9)*(Détails!$G$11-Détails!$H$11)+MEDIAN($G9,Détails!$H$11,Détails!$G$11)-MEDIAN($D9,Détails!$H$11,Détails!$G$11))-$E9)</f>
        <v>0</v>
      </c>
      <c r="J9" s="22">
        <f>IF(B9="","",IF($G9&gt;$D9,MEDIAN($G9,Détails!$G$11,Détails!$H$11)-MEDIAN($D9,Détails!$G$11,Détails!$H$11),($G9&lt;$D9)*(Détails!$G$11-Détails!$H$11)+MEDIAN($G9,Détails!$H$11,Détails!$G$11)-MEDIAN($D9,Détails!$H$11,Détails!$G$11))-$E9)</f>
        <v>0</v>
      </c>
      <c r="K9" s="35">
        <f>IF(B9="","",IF(OR(WEEKDAY(Février[[#This Row],[Date]],2)=7, DAY(Février[[#This Row],[Date]])=DAY(EOMONTH(Février[[#This Row],[Date]],0))),SUMIF(Février[Semaine],Février[[#This Row],[Semaine]],Février[Total Heures]),0))</f>
        <v>0</v>
      </c>
      <c r="L9" s="40" t="str">
        <f>IF(B9="","",IFERROR(IF(K9&gt;Détails!H$4,K9-Détails!H$4,""),0))</f>
        <v/>
      </c>
    </row>
    <row r="10" spans="1:16" ht="29.4" customHeight="1" x14ac:dyDescent="0.3">
      <c r="A10" s="19" t="str">
        <f t="shared" si="0"/>
        <v>6</v>
      </c>
      <c r="B10" s="76">
        <f>IF(B9="","",IF(ISTEXT(B9),DATE(Détails!A8,2,1),IF(B9+1 &gt; EOMONTH(B9,0),"",B9+1)))</f>
        <v>45696</v>
      </c>
      <c r="C10" s="44" t="str">
        <f>IF(B10="","",IF(ISNUMBER(Février[[#This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familial",IFERROR(IF(VLOOKUP($B10,Détails!$K$2:$K$16,1,0),"Férié",""),"")))))))</f>
        <v/>
      </c>
      <c r="D10" s="20"/>
      <c r="E10" s="21"/>
      <c r="F10" s="21"/>
      <c r="G10" s="20"/>
      <c r="H10" s="22" t="str">
        <f t="shared" si="1"/>
        <v/>
      </c>
      <c r="I10" s="22">
        <f>IF(B10="","",IF($G10&gt;$D10,MEDIAN($G10,Détails!$G$11,Détails!$H$11)-MEDIAN($D10,Détails!$G$11,Détails!$H$11),($G10&lt;$D10)*(Détails!$G$11-Détails!$H$11)+MEDIAN($G10,Détails!$H$11,Détails!$G$11)-MEDIAN($D10,Détails!$H$11,Détails!$G$11))-$E10)</f>
        <v>0</v>
      </c>
      <c r="J10" s="22">
        <f>IF(B10="","",IF($G10&gt;$D10,MEDIAN($G10,Détails!$G$11,Détails!$H$11)-MEDIAN($D10,Détails!$G$11,Détails!$H$11),($G10&lt;$D10)*(Détails!$G$11-Détails!$H$11)+MEDIAN($G10,Détails!$H$11,Détails!$G$11)-MEDIAN($D10,Détails!$H$11,Détails!$G$11))-$E10)</f>
        <v>0</v>
      </c>
      <c r="K10" s="35">
        <f>IF(B10="","",IF(OR(WEEKDAY(Février[[#This Row],[Date]],2)=7, DAY(Février[[#This Row],[Date]])=DAY(EOMONTH(Février[[#This Row],[Date]],0))),SUMIF(Février[Semaine],Février[[#This Row],[Semaine]],Février[Total Heures]),0))</f>
        <v>0</v>
      </c>
      <c r="L10" s="23" t="str">
        <f>IF(B10="","",IFERROR(IF(K10&gt;Détails!H$4,K10-Détails!H$4,""),0))</f>
        <v/>
      </c>
    </row>
    <row r="11" spans="1:16" ht="29.4" customHeight="1" x14ac:dyDescent="0.3">
      <c r="A11" s="19" t="str">
        <f t="shared" si="0"/>
        <v>6</v>
      </c>
      <c r="B11" s="76">
        <f>IF(B10="","",IF(ISTEXT(B10),DATE(Détails!A9,2,1),IF(B10+1 &gt; EOMONTH(B10,0),"",B10+1)))</f>
        <v>45697</v>
      </c>
      <c r="C11" s="44" t="str">
        <f>IF(B11="","",IF(ISNUMBER(Février[[#This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familial",IFERROR(IF(VLOOKUP($B11,Détails!$K$2:$K$16,1,0),"Férié",""),"")))))))</f>
        <v/>
      </c>
      <c r="D11" s="20"/>
      <c r="E11" s="21"/>
      <c r="F11" s="21"/>
      <c r="G11" s="20"/>
      <c r="H11" s="22" t="str">
        <f t="shared" si="1"/>
        <v/>
      </c>
      <c r="I11" s="22">
        <f>IF(B11="","",IF($G11&gt;$D11,MEDIAN($G11,Détails!$G$11,Détails!$H$11)-MEDIAN($D11,Détails!$G$11,Détails!$H$11),($G11&lt;$D11)*(Détails!$G$11-Détails!$H$11)+MEDIAN($G11,Détails!$H$11,Détails!$G$11)-MEDIAN($D11,Détails!$H$11,Détails!$G$11))-$E11)</f>
        <v>0</v>
      </c>
      <c r="J11" s="22">
        <f>IF(B11="","",IF($G11&gt;$D11,MEDIAN($G11,Détails!$G$11,Détails!$H$11)-MEDIAN($D11,Détails!$G$11,Détails!$H$11),($G11&lt;$D11)*(Détails!$G$11-Détails!$H$11)+MEDIAN($G11,Détails!$H$11,Détails!$G$11)-MEDIAN($D11,Détails!$H$11,Détails!$G$11))-$E11)</f>
        <v>0</v>
      </c>
      <c r="K11" s="35">
        <f>IF(B11="","",IF(OR(WEEKDAY(Février[[#This Row],[Date]],2)=7, DAY(Février[[#This Row],[Date]])=DAY(EOMONTH(Février[[#This Row],[Date]],0))),SUMIF(Février[Semaine],Février[[#This Row],[Semaine]],Février[Total Heures]),0))</f>
        <v>0</v>
      </c>
      <c r="L11" s="23" t="str">
        <f>IF(B11="","",IFERROR(IF(K11&gt;Détails!H$4,K11-Détails!H$4,""),0))</f>
        <v/>
      </c>
      <c r="N11" s="24"/>
    </row>
    <row r="12" spans="1:16" ht="29.4" customHeight="1" x14ac:dyDescent="0.3">
      <c r="A12" s="19" t="str">
        <f t="shared" si="0"/>
        <v>7</v>
      </c>
      <c r="B12" s="76">
        <f>IF(B11="","",IF(ISTEXT(B11),DATE(Détails!A10,2,1),IF(B11+1 &gt; EOMONTH(B11,0),"",B11+1)))</f>
        <v>45698</v>
      </c>
      <c r="C12" s="44" t="str">
        <f>IF(B12="","",IF(ISNUMBER(Février[[#This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familial",IFERROR(IF(VLOOKUP($B12,Détails!$K$2:$K$16,1,0),"Férié",""),"")))))))</f>
        <v/>
      </c>
      <c r="D12" s="20"/>
      <c r="E12" s="21"/>
      <c r="F12" s="21"/>
      <c r="G12" s="20"/>
      <c r="H12" s="22" t="str">
        <f t="shared" si="1"/>
        <v/>
      </c>
      <c r="I12" s="22">
        <f>IF(B12="","",IF($G12&gt;$D12,MEDIAN($G12,Détails!$G$11,Détails!$H$11)-MEDIAN($D12,Détails!$G$11,Détails!$H$11),($G12&lt;$D12)*(Détails!$G$11-Détails!$H$11)+MEDIAN($G12,Détails!$H$11,Détails!$G$11)-MEDIAN($D12,Détails!$H$11,Détails!$G$11))-$E12)</f>
        <v>0</v>
      </c>
      <c r="J12" s="22">
        <f>IF(B12="","",IF($G12&gt;$D12,MEDIAN($G12,Détails!$G$11,Détails!$H$11)-MEDIAN($D12,Détails!$G$11,Détails!$H$11),($G12&lt;$D12)*(Détails!$G$11-Détails!$H$11)+MEDIAN($G12,Détails!$H$11,Détails!$G$11)-MEDIAN($D12,Détails!$H$11,Détails!$G$11))-$E12)</f>
        <v>0</v>
      </c>
      <c r="K12" s="35">
        <f>IF(B12="","",IF(OR(WEEKDAY(Février[[#This Row],[Date]],2)=7, DAY(Février[[#This Row],[Date]])=DAY(EOMONTH(Février[[#This Row],[Date]],0))),SUMIF(Février[Semaine],Février[[#This Row],[Semaine]],Février[Total Heures]),0))</f>
        <v>0</v>
      </c>
      <c r="L12" s="23" t="str">
        <f>IF(B12="","",IFERROR(IF(K12&gt;Détails!H$4,K12-Détails!H$4,""),0))</f>
        <v/>
      </c>
      <c r="N12" s="24"/>
    </row>
    <row r="13" spans="1:16" ht="29.4" customHeight="1" x14ac:dyDescent="0.3">
      <c r="A13" s="19" t="str">
        <f t="shared" si="0"/>
        <v>7</v>
      </c>
      <c r="B13" s="76">
        <f>IF(B12="","",IF(ISTEXT(B12),DATE(Détails!A11,2,1),IF(B12+1 &gt; EOMONTH(B12,0),"",B12+1)))</f>
        <v>45699</v>
      </c>
      <c r="C13" s="44" t="str">
        <f>IF(B13="","",IF(ISNUMBER(Février[[#This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familial",IFERROR(IF(VLOOKUP($B13,Détails!$K$2:$K$16,1,0),"Férié",""),"")))))))</f>
        <v/>
      </c>
      <c r="D13" s="20"/>
      <c r="E13" s="21"/>
      <c r="F13" s="21"/>
      <c r="G13" s="20"/>
      <c r="H13" s="22" t="str">
        <f t="shared" si="1"/>
        <v/>
      </c>
      <c r="I13" s="22">
        <f>IF(B13="","",IF($G13&gt;$D13,MEDIAN($G13,Détails!$G$11,Détails!$H$11)-MEDIAN($D13,Détails!$G$11,Détails!$H$11),($G13&lt;$D13)*(Détails!$G$11-Détails!$H$11)+MEDIAN($G13,Détails!$H$11,Détails!$G$11)-MEDIAN($D13,Détails!$H$11,Détails!$G$11))-$E13)</f>
        <v>0</v>
      </c>
      <c r="J13" s="22">
        <f>IF(B13="","",IF($G13&gt;$D13,MEDIAN($G13,Détails!$G$11,Détails!$H$11)-MEDIAN($D13,Détails!$G$11,Détails!$H$11),($G13&lt;$D13)*(Détails!$G$11-Détails!$H$11)+MEDIAN($G13,Détails!$H$11,Détails!$G$11)-MEDIAN($D13,Détails!$H$11,Détails!$G$11))-$E13)</f>
        <v>0</v>
      </c>
      <c r="K13" s="35">
        <f>IF(B13="","",IF(OR(WEEKDAY(Février[[#This Row],[Date]],2)=7, DAY(Février[[#This Row],[Date]])=DAY(EOMONTH(Février[[#This Row],[Date]],0))),SUMIF(Février[Semaine],Février[[#This Row],[Semaine]],Février[Total Heures]),0))</f>
        <v>0</v>
      </c>
      <c r="L13" s="23" t="str">
        <f>IF(B13="","",IFERROR(IF(K13&gt;Détails!H$4,K13-Détails!H$4,""),0))</f>
        <v/>
      </c>
      <c r="N13" s="24"/>
    </row>
    <row r="14" spans="1:16" ht="29.4" customHeight="1" x14ac:dyDescent="0.3">
      <c r="A14" s="19" t="str">
        <f t="shared" si="0"/>
        <v>7</v>
      </c>
      <c r="B14" s="76">
        <f>IF(B13="","",IF(ISTEXT(B13),DATE(Détails!A12,2,1),IF(B13+1 &gt; EOMONTH(B13,0),"",B13+1)))</f>
        <v>45700</v>
      </c>
      <c r="C14" s="44" t="str">
        <f>IF(B14="","",IF(ISNUMBER(Février[[#This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familial",IFERROR(IF(VLOOKUP($B14,Détails!$K$2:$K$16,1,0),"Férié",""),"")))))))</f>
        <v/>
      </c>
      <c r="D14" s="20"/>
      <c r="E14" s="21"/>
      <c r="F14" s="21"/>
      <c r="G14" s="20"/>
      <c r="H14" s="22" t="str">
        <f t="shared" si="1"/>
        <v/>
      </c>
      <c r="I14" s="22">
        <f>IF(B14="","",IF($G14&gt;$D14,MEDIAN($G14,Détails!$G$11,Détails!$H$11)-MEDIAN($D14,Détails!$G$11,Détails!$H$11),($G14&lt;$D14)*(Détails!$G$11-Détails!$H$11)+MEDIAN($G14,Détails!$H$11,Détails!$G$11)-MEDIAN($D14,Détails!$H$11,Détails!$G$11))-$E14)</f>
        <v>0</v>
      </c>
      <c r="J14" s="22">
        <f>IF(B14="","",IF($G14&gt;$D14,MEDIAN($G14,Détails!$G$11,Détails!$H$11)-MEDIAN($D14,Détails!$G$11,Détails!$H$11),($G14&lt;$D14)*(Détails!$G$11-Détails!$H$11)+MEDIAN($G14,Détails!$H$11,Détails!$G$11)-MEDIAN($D14,Détails!$H$11,Détails!$G$11))-$E14)</f>
        <v>0</v>
      </c>
      <c r="K14" s="35">
        <f>IF(B14="","",IF(OR(WEEKDAY(Février[[#This Row],[Date]],2)=7, DAY(Février[[#This Row],[Date]])=DAY(EOMONTH(Février[[#This Row],[Date]],0))),SUMIF(Février[Semaine],Février[[#This Row],[Semaine]],Février[Total Heures]),0))</f>
        <v>0</v>
      </c>
      <c r="L14" s="23" t="str">
        <f>IF(B14="","",IFERROR(IF(K14&gt;Détails!H$4,K14-Détails!H$4,""),0))</f>
        <v/>
      </c>
      <c r="N14" s="24"/>
    </row>
    <row r="15" spans="1:16" ht="29.4" customHeight="1" x14ac:dyDescent="0.3">
      <c r="A15" s="19" t="str">
        <f t="shared" si="0"/>
        <v>7</v>
      </c>
      <c r="B15" s="76">
        <f>IF(B14="","",IF(ISTEXT(B14),DATE(Détails!A13,2,1),IF(B14+1 &gt; EOMONTH(B14,0),"",B14+1)))</f>
        <v>45701</v>
      </c>
      <c r="C15" s="44" t="str">
        <f>IF(B15="","",IF(ISNUMBER(Février[[#This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familial",IFERROR(IF(VLOOKUP($B15,Détails!$K$2:$K$16,1,0),"Férié",""),"")))))))</f>
        <v/>
      </c>
      <c r="D15" s="20"/>
      <c r="E15" s="21"/>
      <c r="F15" s="21"/>
      <c r="G15" s="20"/>
      <c r="H15" s="22" t="str">
        <f t="shared" si="1"/>
        <v/>
      </c>
      <c r="I15" s="22">
        <f>IF(B15="","",IF($G15&gt;$D15,MEDIAN($G15,Détails!$G$11,Détails!$H$11)-MEDIAN($D15,Détails!$G$11,Détails!$H$11),($G15&lt;$D15)*(Détails!$G$11-Détails!$H$11)+MEDIAN($G15,Détails!$H$11,Détails!$G$11)-MEDIAN($D15,Détails!$H$11,Détails!$G$11))-$E15)</f>
        <v>0</v>
      </c>
      <c r="J15" s="22">
        <f>IF(B15="","",IF($G15&gt;$D15,MEDIAN($G15,Détails!$G$11,Détails!$H$11)-MEDIAN($D15,Détails!$G$11,Détails!$H$11),($G15&lt;$D15)*(Détails!$G$11-Détails!$H$11)+MEDIAN($G15,Détails!$H$11,Détails!$G$11)-MEDIAN($D15,Détails!$H$11,Détails!$G$11))-$E15)</f>
        <v>0</v>
      </c>
      <c r="K15" s="35">
        <f>IF(B15="","",IF(OR(WEEKDAY(Février[[#This Row],[Date]],2)=7, DAY(Février[[#This Row],[Date]])=DAY(EOMONTH(Février[[#This Row],[Date]],0))),SUMIF(Février[Semaine],Février[[#This Row],[Semaine]],Février[Total Heures]),0))</f>
        <v>0</v>
      </c>
      <c r="L15" s="23" t="str">
        <f>IF(B15="","",IFERROR(IF(K15&gt;Détails!H$4,K15-Détails!H$4,""),0))</f>
        <v/>
      </c>
      <c r="N15" s="24"/>
    </row>
    <row r="16" spans="1:16" ht="29.4" customHeight="1" x14ac:dyDescent="0.3">
      <c r="A16" s="19" t="str">
        <f t="shared" si="0"/>
        <v>7</v>
      </c>
      <c r="B16" s="76">
        <f>IF(B15="","",IF(ISTEXT(B15),DATE(Détails!A14,2,1),IF(B15+1 &gt; EOMONTH(B15,0),"",B15+1)))</f>
        <v>45702</v>
      </c>
      <c r="C16" s="44" t="str">
        <f>IF(B16="","",IF(ISNUMBER(Février[[#This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familial",IFERROR(IF(VLOOKUP($B16,Détails!$K$2:$K$16,1,0),"Férié",""),"")))))))</f>
        <v/>
      </c>
      <c r="D16" s="20"/>
      <c r="E16" s="21"/>
      <c r="F16" s="21"/>
      <c r="G16" s="20"/>
      <c r="H16" s="22" t="str">
        <f t="shared" si="1"/>
        <v/>
      </c>
      <c r="I16" s="22">
        <f>IF(B16="","",IF($G16&gt;$D16,MEDIAN($G16,Détails!$G$11,Détails!$H$11)-MEDIAN($D16,Détails!$G$11,Détails!$H$11),($G16&lt;$D16)*(Détails!$G$11-Détails!$H$11)+MEDIAN($G16,Détails!$H$11,Détails!$G$11)-MEDIAN($D16,Détails!$H$11,Détails!$G$11))-$E16)</f>
        <v>0</v>
      </c>
      <c r="J16" s="22">
        <f>IF(B16="","",IF($G16&gt;$D16,MEDIAN($G16,Détails!$G$11,Détails!$H$11)-MEDIAN($D16,Détails!$G$11,Détails!$H$11),($G16&lt;$D16)*(Détails!$G$11-Détails!$H$11)+MEDIAN($G16,Détails!$H$11,Détails!$G$11)-MEDIAN($D16,Détails!$H$11,Détails!$G$11))-$E16)</f>
        <v>0</v>
      </c>
      <c r="K16" s="35">
        <f>IF(B16="","",IF(OR(WEEKDAY(Février[[#This Row],[Date]],2)=7, DAY(Février[[#This Row],[Date]])=DAY(EOMONTH(Février[[#This Row],[Date]],0))),SUMIF(Février[Semaine],Février[[#This Row],[Semaine]],Février[Total Heures]),0))</f>
        <v>0</v>
      </c>
      <c r="L16" s="23" t="str">
        <f>IF(B16="","",IFERROR(IF(K16&gt;Détails!H$4,K16-Détails!H$4,""),0))</f>
        <v/>
      </c>
      <c r="N16" s="24"/>
    </row>
    <row r="17" spans="1:14" ht="29.4" customHeight="1" x14ac:dyDescent="0.3">
      <c r="A17" s="19" t="str">
        <f t="shared" si="0"/>
        <v>7</v>
      </c>
      <c r="B17" s="76">
        <f>IF(B16="","",IF(ISTEXT(B16),DATE(Détails!A15,2,1),IF(B16+1 &gt; EOMONTH(B16,0),"",B16+1)))</f>
        <v>45703</v>
      </c>
      <c r="C17" s="44" t="str">
        <f>IF(B17="","",IF(ISNUMBER(Février[[#This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familial",IFERROR(IF(VLOOKUP($B17,Détails!$K$2:$K$16,1,0),"Férié",""),"")))))))</f>
        <v/>
      </c>
      <c r="D17" s="20"/>
      <c r="E17" s="21"/>
      <c r="F17" s="21"/>
      <c r="G17" s="20"/>
      <c r="H17" s="22" t="str">
        <f t="shared" si="1"/>
        <v/>
      </c>
      <c r="I17" s="22">
        <f>IF(B17="","",IF($G17&gt;$D17,MEDIAN($G17,Détails!$G$11,Détails!$H$11)-MEDIAN($D17,Détails!$G$11,Détails!$H$11),($G17&lt;$D17)*(Détails!$G$11-Détails!$H$11)+MEDIAN($G17,Détails!$H$11,Détails!$G$11)-MEDIAN($D17,Détails!$H$11,Détails!$G$11))-$E17)</f>
        <v>0</v>
      </c>
      <c r="J17" s="22">
        <f>IF(B17="","",IF($G17&gt;$D17,MEDIAN($G17,Détails!$G$11,Détails!$H$11)-MEDIAN($D17,Détails!$G$11,Détails!$H$11),($G17&lt;$D17)*(Détails!$G$11-Détails!$H$11)+MEDIAN($G17,Détails!$H$11,Détails!$G$11)-MEDIAN($D17,Détails!$H$11,Détails!$G$11))-$E17)</f>
        <v>0</v>
      </c>
      <c r="K17" s="35">
        <f>IF(B17="","",IF(OR(WEEKDAY(Février[[#This Row],[Date]],2)=7, DAY(Février[[#This Row],[Date]])=DAY(EOMONTH(Février[[#This Row],[Date]],0))),SUMIF(Février[Semaine],Février[[#This Row],[Semaine]],Février[Total Heures]),0))</f>
        <v>0</v>
      </c>
      <c r="L17" s="23" t="str">
        <f>IF(B17="","",IFERROR(IF(K17&gt;Détails!H$4,K17-Détails!H$4,""),0))</f>
        <v/>
      </c>
      <c r="N17" s="24"/>
    </row>
    <row r="18" spans="1:14" ht="29.4" customHeight="1" x14ac:dyDescent="0.3">
      <c r="A18" s="19" t="str">
        <f t="shared" si="0"/>
        <v>7</v>
      </c>
      <c r="B18" s="76">
        <f>IF(B17="","",IF(ISTEXT(B17),DATE(Détails!A16,2,1),IF(B17+1 &gt; EOMONTH(B17,0),"",B17+1)))</f>
        <v>45704</v>
      </c>
      <c r="C18" s="44" t="str">
        <f>IF(B18="","",IF(ISNUMBER(Février[[#This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familial",IFERROR(IF(VLOOKUP($B18,Détails!$K$2:$K$16,1,0),"Férié",""),"")))))))</f>
        <v/>
      </c>
      <c r="D18" s="20"/>
      <c r="E18" s="21"/>
      <c r="F18" s="21"/>
      <c r="G18" s="20"/>
      <c r="H18" s="22" t="str">
        <f t="shared" si="1"/>
        <v/>
      </c>
      <c r="I18" s="22">
        <f>IF(B18="","",IF($G18&gt;$D18,MEDIAN($G18,Détails!$G$11,Détails!$H$11)-MEDIAN($D18,Détails!$G$11,Détails!$H$11),($G18&lt;$D18)*(Détails!$G$11-Détails!$H$11)+MEDIAN($G18,Détails!$H$11,Détails!$G$11)-MEDIAN($D18,Détails!$H$11,Détails!$G$11))-$E18)</f>
        <v>0</v>
      </c>
      <c r="J18" s="22">
        <f>IF(B18="","",IF($G18&gt;$D18,MEDIAN($G18,Détails!$G$11,Détails!$H$11)-MEDIAN($D18,Détails!$G$11,Détails!$H$11),($G18&lt;$D18)*(Détails!$G$11-Détails!$H$11)+MEDIAN($G18,Détails!$H$11,Détails!$G$11)-MEDIAN($D18,Détails!$H$11,Détails!$G$11))-$E18)</f>
        <v>0</v>
      </c>
      <c r="K18" s="35">
        <f>IF(B18="","",IF(OR(WEEKDAY(Février[[#This Row],[Date]],2)=7, DAY(Février[[#This Row],[Date]])=DAY(EOMONTH(Février[[#This Row],[Date]],0))),SUMIF(Février[Semaine],Février[[#This Row],[Semaine]],Février[Total Heures]),0))</f>
        <v>0</v>
      </c>
      <c r="L18" s="23" t="str">
        <f>IF(B18="","",IFERROR(IF(K18&gt;Détails!H$4,K18-Détails!H$4,""),0))</f>
        <v/>
      </c>
      <c r="N18" s="24"/>
    </row>
    <row r="19" spans="1:14" ht="29.4" customHeight="1" x14ac:dyDescent="0.3">
      <c r="A19" s="19" t="str">
        <f t="shared" si="0"/>
        <v>8</v>
      </c>
      <c r="B19" s="76">
        <f>IF(B18="","",IF(ISTEXT(B18),DATE(Détails!A17,2,1),IF(B18+1 &gt; EOMONTH(B18,0),"",B18+1)))</f>
        <v>45705</v>
      </c>
      <c r="C19" s="44" t="str">
        <f>IF(B19="","",IF(ISNUMBER(Février[[#This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familial",IFERROR(IF(VLOOKUP($B19,Détails!$K$2:$K$16,1,0),"Férié",""),"")))))))</f>
        <v/>
      </c>
      <c r="D19" s="20"/>
      <c r="E19" s="21"/>
      <c r="F19" s="21"/>
      <c r="G19" s="20"/>
      <c r="H19" s="22" t="str">
        <f t="shared" si="1"/>
        <v/>
      </c>
      <c r="I19" s="22">
        <f>IF(B19="","",IF($G19&gt;$D19,MEDIAN($G19,Détails!$G$11,Détails!$H$11)-MEDIAN($D19,Détails!$G$11,Détails!$H$11),($G19&lt;$D19)*(Détails!$G$11-Détails!$H$11)+MEDIAN($G19,Détails!$H$11,Détails!$G$11)-MEDIAN($D19,Détails!$H$11,Détails!$G$11))-$E19)</f>
        <v>0</v>
      </c>
      <c r="J19" s="22">
        <f>IF(B19="","",IF($G19&gt;$D19,MEDIAN($G19,Détails!$G$11,Détails!$H$11)-MEDIAN($D19,Détails!$G$11,Détails!$H$11),($G19&lt;$D19)*(Détails!$G$11-Détails!$H$11)+MEDIAN($G19,Détails!$H$11,Détails!$G$11)-MEDIAN($D19,Détails!$H$11,Détails!$G$11))-$E19)</f>
        <v>0</v>
      </c>
      <c r="K19" s="35">
        <f>IF(B19="","",IF(OR(WEEKDAY(Février[[#This Row],[Date]],2)=7, DAY(Février[[#This Row],[Date]])=DAY(EOMONTH(Février[[#This Row],[Date]],0))),SUMIF(Février[Semaine],Février[[#This Row],[Semaine]],Février[Total Heures]),0))</f>
        <v>0</v>
      </c>
      <c r="L19" s="23" t="str">
        <f>IF(B19="","",IFERROR(IF(K19&gt;Détails!H$4,K19-Détails!H$4,""),0))</f>
        <v/>
      </c>
      <c r="N19" s="24"/>
    </row>
    <row r="20" spans="1:14" ht="29.4" customHeight="1" x14ac:dyDescent="0.3">
      <c r="A20" s="19" t="str">
        <f t="shared" si="0"/>
        <v>8</v>
      </c>
      <c r="B20" s="76">
        <f>IF(B19="","",IF(ISTEXT(B19),DATE(Détails!A18,2,1),IF(B19+1 &gt; EOMONTH(B19,0),"",B19+1)))</f>
        <v>45706</v>
      </c>
      <c r="C20" s="44" t="str">
        <f>IF(B20="","",IF(ISNUMBER(Février[[#This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familial",IFERROR(IF(VLOOKUP($B20,Détails!$K$2:$K$16,1,0),"Férié",""),"")))))))</f>
        <v/>
      </c>
      <c r="D20" s="20"/>
      <c r="E20" s="21"/>
      <c r="F20" s="21"/>
      <c r="G20" s="20"/>
      <c r="H20" s="22" t="str">
        <f t="shared" si="1"/>
        <v/>
      </c>
      <c r="I20" s="22">
        <f>IF(B20="","",IF($G20&gt;$D20,MEDIAN($G20,Détails!$G$11,Détails!$H$11)-MEDIAN($D20,Détails!$G$11,Détails!$H$11),($G20&lt;$D20)*(Détails!$G$11-Détails!$H$11)+MEDIAN($G20,Détails!$H$11,Détails!$G$11)-MEDIAN($D20,Détails!$H$11,Détails!$G$11))-$E20)</f>
        <v>0</v>
      </c>
      <c r="J20" s="22">
        <f>IF(B20="","",IF($G20&gt;$D20,MEDIAN($G20,Détails!$G$11,Détails!$H$11)-MEDIAN($D20,Détails!$G$11,Détails!$H$11),($G20&lt;$D20)*(Détails!$G$11-Détails!$H$11)+MEDIAN($G20,Détails!$H$11,Détails!$G$11)-MEDIAN($D20,Détails!$H$11,Détails!$G$11))-$E20)</f>
        <v>0</v>
      </c>
      <c r="K20" s="35">
        <f>IF(B20="","",IF(OR(WEEKDAY(Février[[#This Row],[Date]],2)=7, DAY(Février[[#This Row],[Date]])=DAY(EOMONTH(Février[[#This Row],[Date]],0))),SUMIF(Février[Semaine],Février[[#This Row],[Semaine]],Février[Total Heures]),0))</f>
        <v>0</v>
      </c>
      <c r="L20" s="23" t="str">
        <f>IF(B20="","",IFERROR(IF(K20&gt;Détails!H$4,K20-Détails!H$4,""),0))</f>
        <v/>
      </c>
      <c r="N20" s="24"/>
    </row>
    <row r="21" spans="1:14" ht="29.4" customHeight="1" x14ac:dyDescent="0.3">
      <c r="A21" s="19" t="str">
        <f t="shared" si="0"/>
        <v>8</v>
      </c>
      <c r="B21" s="76">
        <f>IF(B20="","",IF(ISTEXT(B20),DATE(Détails!A19,2,1),IF(B20+1 &gt; EOMONTH(B20,0),"",B20+1)))</f>
        <v>45707</v>
      </c>
      <c r="C21" s="44" t="str">
        <f>IF(B21="","",IF(ISNUMBER(Février[[#This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familial",IFERROR(IF(VLOOKUP($B21,Détails!$K$2:$K$16,1,0),"Férié",""),"")))))))</f>
        <v/>
      </c>
      <c r="D21" s="20"/>
      <c r="E21" s="21"/>
      <c r="F21" s="21"/>
      <c r="G21" s="20"/>
      <c r="H21" s="22" t="str">
        <f t="shared" si="1"/>
        <v/>
      </c>
      <c r="I21" s="22">
        <f>IF(B21="","",IF($G21&gt;$D21,MEDIAN($G21,Détails!$G$11,Détails!$H$11)-MEDIAN($D21,Détails!$G$11,Détails!$H$11),($G21&lt;$D21)*(Détails!$G$11-Détails!$H$11)+MEDIAN($G21,Détails!$H$11,Détails!$G$11)-MEDIAN($D21,Détails!$H$11,Détails!$G$11))-$E21)</f>
        <v>0</v>
      </c>
      <c r="J21" s="22">
        <f>IF(B21="","",IF($G21&gt;$D21,MEDIAN($G21,Détails!$G$11,Détails!$H$11)-MEDIAN($D21,Détails!$G$11,Détails!$H$11),($G21&lt;$D21)*(Détails!$G$11-Détails!$H$11)+MEDIAN($G21,Détails!$H$11,Détails!$G$11)-MEDIAN($D21,Détails!$H$11,Détails!$G$11))-$E21)</f>
        <v>0</v>
      </c>
      <c r="K21" s="35">
        <f>IF(B21="","",IF(OR(WEEKDAY(Février[[#This Row],[Date]],2)=7, DAY(Février[[#This Row],[Date]])=DAY(EOMONTH(Février[[#This Row],[Date]],0))),SUMIF(Février[Semaine],Février[[#This Row],[Semaine]],Février[Total Heures]),0))</f>
        <v>0</v>
      </c>
      <c r="L21" s="23" t="str">
        <f>IF(B21="","",IFERROR(IF(K21&gt;Détails!H$4,K21-Détails!H$4,""),0))</f>
        <v/>
      </c>
      <c r="N21" s="24"/>
    </row>
    <row r="22" spans="1:14" ht="29.4" customHeight="1" x14ac:dyDescent="0.3">
      <c r="A22" s="19" t="str">
        <f t="shared" si="0"/>
        <v>8</v>
      </c>
      <c r="B22" s="76">
        <f>IF(B21="","",IF(ISTEXT(B21),DATE(Détails!A20,2,1),IF(B21+1 &gt; EOMONTH(B21,0),"",B21+1)))</f>
        <v>45708</v>
      </c>
      <c r="C22" s="44" t="str">
        <f>IF(B22="","",IF(ISNUMBER(Février[[#This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familial",IFERROR(IF(VLOOKUP($B22,Détails!$K$2:$K$16,1,0),"Férié",""),"")))))))</f>
        <v/>
      </c>
      <c r="D22" s="20"/>
      <c r="E22" s="21"/>
      <c r="F22" s="21"/>
      <c r="G22" s="20"/>
      <c r="H22" s="22" t="str">
        <f t="shared" si="1"/>
        <v/>
      </c>
      <c r="I22" s="22">
        <f>IF(B22="","",IF($G22&gt;$D22,MEDIAN($G22,Détails!$G$11,Détails!$H$11)-MEDIAN($D22,Détails!$G$11,Détails!$H$11),($G22&lt;$D22)*(Détails!$G$11-Détails!$H$11)+MEDIAN($G22,Détails!$H$11,Détails!$G$11)-MEDIAN($D22,Détails!$H$11,Détails!$G$11))-$E22)</f>
        <v>0</v>
      </c>
      <c r="J22" s="22">
        <f>IF(B22="","",IF($G22&gt;$D22,MEDIAN($G22,Détails!$G$11,Détails!$H$11)-MEDIAN($D22,Détails!$G$11,Détails!$H$11),($G22&lt;$D22)*(Détails!$G$11-Détails!$H$11)+MEDIAN($G22,Détails!$H$11,Détails!$G$11)-MEDIAN($D22,Détails!$H$11,Détails!$G$11))-$E22)</f>
        <v>0</v>
      </c>
      <c r="K22" s="35">
        <f>IF(B22="","",IF(OR(WEEKDAY(Février[[#This Row],[Date]],2)=7, DAY(Février[[#This Row],[Date]])=DAY(EOMONTH(Février[[#This Row],[Date]],0))),SUMIF(Février[Semaine],Février[[#This Row],[Semaine]],Février[Total Heures]),0))</f>
        <v>0</v>
      </c>
      <c r="L22" s="23" t="str">
        <f>IF(B22="","",IFERROR(IF(K22&gt;Détails!H$4,K22-Détails!H$4,""),0))</f>
        <v/>
      </c>
      <c r="N22" s="24"/>
    </row>
    <row r="23" spans="1:14" ht="29.4" customHeight="1" x14ac:dyDescent="0.3">
      <c r="A23" s="19" t="str">
        <f t="shared" si="0"/>
        <v>8</v>
      </c>
      <c r="B23" s="76">
        <f>IF(B22="","",IF(ISTEXT(B22),DATE(Détails!A21,2,1),IF(B22+1 &gt; EOMONTH(B22,0),"",B22+1)))</f>
        <v>45709</v>
      </c>
      <c r="C23" s="44" t="str">
        <f>IF(B23="","",IF(ISNUMBER(Février[[#This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familial",IFERROR(IF(VLOOKUP($B23,Détails!$K$2:$K$16,1,0),"Férié",""),"")))))))</f>
        <v/>
      </c>
      <c r="D23" s="20"/>
      <c r="E23" s="21"/>
      <c r="F23" s="21"/>
      <c r="G23" s="20"/>
      <c r="H23" s="22" t="str">
        <f t="shared" si="1"/>
        <v/>
      </c>
      <c r="I23" s="22">
        <f>IF(B23="","",IF($G23&gt;$D23,MEDIAN($G23,Détails!$G$11,Détails!$H$11)-MEDIAN($D23,Détails!$G$11,Détails!$H$11),($G23&lt;$D23)*(Détails!$G$11-Détails!$H$11)+MEDIAN($G23,Détails!$H$11,Détails!$G$11)-MEDIAN($D23,Détails!$H$11,Détails!$G$11))-$E23)</f>
        <v>0</v>
      </c>
      <c r="J23" s="22">
        <f>IF(B23="","",IF($G23&gt;$D23,MEDIAN($G23,Détails!$G$11,Détails!$H$11)-MEDIAN($D23,Détails!$G$11,Détails!$H$11),($G23&lt;$D23)*(Détails!$G$11-Détails!$H$11)+MEDIAN($G23,Détails!$H$11,Détails!$G$11)-MEDIAN($D23,Détails!$H$11,Détails!$G$11))-$E23)</f>
        <v>0</v>
      </c>
      <c r="K23" s="35">
        <f>IF(B23="","",IF(OR(WEEKDAY(Février[[#This Row],[Date]],2)=7, DAY(Février[[#This Row],[Date]])=DAY(EOMONTH(Février[[#This Row],[Date]],0))),SUMIF(Février[Semaine],Février[[#This Row],[Semaine]],Février[Total Heures]),0))</f>
        <v>0</v>
      </c>
      <c r="L23" s="23" t="str">
        <f>IF(B23="","",IFERROR(IF(K23&gt;Détails!H$4,K23-Détails!H$4,""),0))</f>
        <v/>
      </c>
    </row>
    <row r="24" spans="1:14" ht="29.4" customHeight="1" x14ac:dyDescent="0.3">
      <c r="A24" s="19" t="str">
        <f t="shared" si="0"/>
        <v>8</v>
      </c>
      <c r="B24" s="76">
        <f>IF(B23="","",IF(ISTEXT(B23),DATE(Détails!A22,2,1),IF(B23+1 &gt; EOMONTH(B23,0),"",B23+1)))</f>
        <v>45710</v>
      </c>
      <c r="C24" s="44" t="str">
        <f>IF(B24="","",IF(ISNUMBER(Février[[#This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familial",IFERROR(IF(VLOOKUP($B24,Détails!$K$2:$K$16,1,0),"Férié",""),"")))))))</f>
        <v/>
      </c>
      <c r="D24" s="20"/>
      <c r="E24" s="21"/>
      <c r="F24" s="21"/>
      <c r="G24" s="20"/>
      <c r="H24" s="22" t="str">
        <f t="shared" si="1"/>
        <v/>
      </c>
      <c r="I24" s="22">
        <f>IF(B24="","",IF($G24&gt;$D24,MEDIAN($G24,Détails!$G$11,Détails!$H$11)-MEDIAN($D24,Détails!$G$11,Détails!$H$11),($G24&lt;$D24)*(Détails!$G$11-Détails!$H$11)+MEDIAN($G24,Détails!$H$11,Détails!$G$11)-MEDIAN($D24,Détails!$H$11,Détails!$G$11))-$E24)</f>
        <v>0</v>
      </c>
      <c r="J24" s="22">
        <f>IF(B24="","",IF($G24&gt;$D24,MEDIAN($G24,Détails!$G$11,Détails!$H$11)-MEDIAN($D24,Détails!$G$11,Détails!$H$11),($G24&lt;$D24)*(Détails!$G$11-Détails!$H$11)+MEDIAN($G24,Détails!$H$11,Détails!$G$11)-MEDIAN($D24,Détails!$H$11,Détails!$G$11))-$E24)</f>
        <v>0</v>
      </c>
      <c r="K24" s="35">
        <f>IF(B24="","",IF(OR(WEEKDAY(Février[[#This Row],[Date]],2)=7, DAY(Février[[#This Row],[Date]])=DAY(EOMONTH(Février[[#This Row],[Date]],0))),SUMIF(Février[Semaine],Février[[#This Row],[Semaine]],Février[Total Heures]),0))</f>
        <v>0</v>
      </c>
      <c r="L24" s="23" t="str">
        <f>IF(B24="","",IFERROR(IF(K24&gt;Détails!H$4,K24-Détails!H$4,""),0))</f>
        <v/>
      </c>
    </row>
    <row r="25" spans="1:14" ht="29.4" customHeight="1" x14ac:dyDescent="0.3">
      <c r="A25" s="19" t="str">
        <f t="shared" si="0"/>
        <v>8</v>
      </c>
      <c r="B25" s="76">
        <f>IF(B24="","",IF(ISTEXT(B24),DATE(Détails!A23,2,1),IF(B24+1 &gt; EOMONTH(B24,0),"",B24+1)))</f>
        <v>45711</v>
      </c>
      <c r="C25" s="44" t="str">
        <f>IF(B25="","",IF(ISNUMBER(Février[[#This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familial",IFERROR(IF(VLOOKUP($B25,Détails!$K$2:$K$16,1,0),"Férié",""),"")))))))</f>
        <v/>
      </c>
      <c r="D25" s="20"/>
      <c r="E25" s="21"/>
      <c r="F25" s="21"/>
      <c r="G25" s="20"/>
      <c r="H25" s="22" t="str">
        <f t="shared" si="1"/>
        <v/>
      </c>
      <c r="I25" s="22">
        <f>IF(B25="","",IF($G25&gt;$D25,MEDIAN($G25,Détails!$G$11,Détails!$H$11)-MEDIAN($D25,Détails!$G$11,Détails!$H$11),($G25&lt;$D25)*(Détails!$G$11-Détails!$H$11)+MEDIAN($G25,Détails!$H$11,Détails!$G$11)-MEDIAN($D25,Détails!$H$11,Détails!$G$11))-$E25)</f>
        <v>0</v>
      </c>
      <c r="J25" s="22">
        <f>IF(B25="","",IF($G25&gt;$D25,MEDIAN($G25,Détails!$G$11,Détails!$H$11)-MEDIAN($D25,Détails!$G$11,Détails!$H$11),($G25&lt;$D25)*(Détails!$G$11-Détails!$H$11)+MEDIAN($G25,Détails!$H$11,Détails!$G$11)-MEDIAN($D25,Détails!$H$11,Détails!$G$11))-$E25)</f>
        <v>0</v>
      </c>
      <c r="K25" s="35">
        <f>IF(B25="","",IF(OR(WEEKDAY(Février[[#This Row],[Date]],2)=7, DAY(Février[[#This Row],[Date]])=DAY(EOMONTH(Février[[#This Row],[Date]],0))),SUMIF(Février[Semaine],Février[[#This Row],[Semaine]],Février[Total Heures]),0))</f>
        <v>0</v>
      </c>
      <c r="L25" s="23" t="str">
        <f>IF(B25="","",IFERROR(IF(K25&gt;Détails!H$4,K25-Détails!H$4,""),0))</f>
        <v/>
      </c>
    </row>
    <row r="26" spans="1:14" ht="29.4" customHeight="1" x14ac:dyDescent="0.3">
      <c r="A26" s="19" t="str">
        <f t="shared" si="0"/>
        <v>9</v>
      </c>
      <c r="B26" s="76">
        <f>IF(B25="","",IF(ISTEXT(B25),DATE(Détails!A24,2,1),IF(B25+1 &gt; EOMONTH(B25,0),"",B25+1)))</f>
        <v>45712</v>
      </c>
      <c r="C26" s="44" t="str">
        <f>IF(B26="","",IF(ISNUMBER(Février[[#This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familial",IFERROR(IF(VLOOKUP($B26,Détails!$K$2:$K$16,1,0),"Férié",""),"")))))))</f>
        <v/>
      </c>
      <c r="D26" s="20"/>
      <c r="E26" s="21"/>
      <c r="F26" s="21"/>
      <c r="G26" s="20"/>
      <c r="H26" s="22" t="str">
        <f t="shared" si="1"/>
        <v/>
      </c>
      <c r="I26" s="22">
        <f>IF(B26="","",IF($G26&gt;$D26,MEDIAN($G26,Détails!$G$11,Détails!$H$11)-MEDIAN($D26,Détails!$G$11,Détails!$H$11),($G26&lt;$D26)*(Détails!$G$11-Détails!$H$11)+MEDIAN($G26,Détails!$H$11,Détails!$G$11)-MEDIAN($D26,Détails!$H$11,Détails!$G$11))-$E26)</f>
        <v>0</v>
      </c>
      <c r="J26" s="22">
        <f>IF(B26="","",IF($G26&gt;$D26,MEDIAN($G26,Détails!$G$11,Détails!$H$11)-MEDIAN($D26,Détails!$G$11,Détails!$H$11),($G26&lt;$D26)*(Détails!$G$11-Détails!$H$11)+MEDIAN($G26,Détails!$H$11,Détails!$G$11)-MEDIAN($D26,Détails!$H$11,Détails!$G$11))-$E26)</f>
        <v>0</v>
      </c>
      <c r="K26" s="35">
        <f>IF(B26="","",IF(OR(WEEKDAY(Février[[#This Row],[Date]],2)=7, DAY(Février[[#This Row],[Date]])=DAY(EOMONTH(Février[[#This Row],[Date]],0))),SUMIF(Février[Semaine],Février[[#This Row],[Semaine]],Février[Total Heures]),0))</f>
        <v>0</v>
      </c>
      <c r="L26" s="23" t="str">
        <f>IF(B26="","",IFERROR(IF(K26&gt;Détails!H$4,K26-Détails!H$4,""),0))</f>
        <v/>
      </c>
    </row>
    <row r="27" spans="1:14" ht="29.4" customHeight="1" x14ac:dyDescent="0.3">
      <c r="A27" s="19" t="str">
        <f t="shared" si="0"/>
        <v>9</v>
      </c>
      <c r="B27" s="76">
        <f>IF(B26="","",IF(ISTEXT(B26),DATE(Détails!A25,2,1),IF(B26+1 &gt; EOMONTH(B26,0),"",B26+1)))</f>
        <v>45713</v>
      </c>
      <c r="C27" s="44" t="str">
        <f>IF(B27="","",IF(ISNUMBER(Février[[#This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familial",IFERROR(IF(VLOOKUP($B27,Détails!$K$2:$K$16,1,0),"Férié",""),"")))))))</f>
        <v/>
      </c>
      <c r="D27" s="20"/>
      <c r="E27" s="21"/>
      <c r="F27" s="21"/>
      <c r="G27" s="20"/>
      <c r="H27" s="22" t="str">
        <f t="shared" si="1"/>
        <v/>
      </c>
      <c r="I27" s="22">
        <f>IF(B27="","",IF($G27&gt;$D27,MEDIAN($G27,Détails!$G$11,Détails!$H$11)-MEDIAN($D27,Détails!$G$11,Détails!$H$11),($G27&lt;$D27)*(Détails!$G$11-Détails!$H$11)+MEDIAN($G27,Détails!$H$11,Détails!$G$11)-MEDIAN($D27,Détails!$H$11,Détails!$G$11))-$E27)</f>
        <v>0</v>
      </c>
      <c r="J27" s="22">
        <f>IF(B27="","",IF($G27&gt;$D27,MEDIAN($G27,Détails!$G$11,Détails!$H$11)-MEDIAN($D27,Détails!$G$11,Détails!$H$11),($G27&lt;$D27)*(Détails!$G$11-Détails!$H$11)+MEDIAN($G27,Détails!$H$11,Détails!$G$11)-MEDIAN($D27,Détails!$H$11,Détails!$G$11))-$E27)</f>
        <v>0</v>
      </c>
      <c r="K27" s="35">
        <f>IF(B27="","",IF(OR(WEEKDAY(Février[[#This Row],[Date]],2)=7, DAY(Février[[#This Row],[Date]])=DAY(EOMONTH(Février[[#This Row],[Date]],0))),SUMIF(Février[Semaine],Février[[#This Row],[Semaine]],Février[Total Heures]),0))</f>
        <v>0</v>
      </c>
      <c r="L27" s="23" t="str">
        <f>IF(B27="","",IFERROR(IF(K27&gt;Détails!H$4,K27-Détails!H$4,""),0))</f>
        <v/>
      </c>
    </row>
    <row r="28" spans="1:14" ht="29.4" customHeight="1" x14ac:dyDescent="0.3">
      <c r="A28" s="19" t="str">
        <f t="shared" si="0"/>
        <v>9</v>
      </c>
      <c r="B28" s="76">
        <f>IF(B27="","",IF(ISTEXT(B27),DATE(Détails!A26,2,1),IF(B27+1 &gt; EOMONTH(B27,0),"",B27+1)))</f>
        <v>45714</v>
      </c>
      <c r="C28" s="44" t="str">
        <f>IF(B28="","",IF(ISNUMBER(Février[[#This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familial",IFERROR(IF(VLOOKUP($B28,Détails!$K$2:$K$16,1,0),"Férié",""),"")))))))</f>
        <v/>
      </c>
      <c r="D28" s="20"/>
      <c r="E28" s="21"/>
      <c r="F28" s="21"/>
      <c r="G28" s="20"/>
      <c r="H28" s="22" t="str">
        <f t="shared" si="1"/>
        <v/>
      </c>
      <c r="I28" s="22">
        <f>IF(B28="","",IF($G28&gt;$D28,MEDIAN($G28,Détails!$G$11,Détails!$H$11)-MEDIAN($D28,Détails!$G$11,Détails!$H$11),($G28&lt;$D28)*(Détails!$G$11-Détails!$H$11)+MEDIAN($G28,Détails!$H$11,Détails!$G$11)-MEDIAN($D28,Détails!$H$11,Détails!$G$11))-$E28)</f>
        <v>0</v>
      </c>
      <c r="J28" s="22">
        <f>IF(B28="","",IF($G28&gt;$D28,MEDIAN($G28,Détails!$G$11,Détails!$H$11)-MEDIAN($D28,Détails!$G$11,Détails!$H$11),($G28&lt;$D28)*(Détails!$G$11-Détails!$H$11)+MEDIAN($G28,Détails!$H$11,Détails!$G$11)-MEDIAN($D28,Détails!$H$11,Détails!$G$11))-$E28)</f>
        <v>0</v>
      </c>
      <c r="K28" s="35">
        <f>IF(B28="","",IF(OR(WEEKDAY(Février[[#This Row],[Date]],2)=7, DAY(Février[[#This Row],[Date]])=DAY(EOMONTH(Février[[#This Row],[Date]],0))),SUMIF(Février[Semaine],Février[[#This Row],[Semaine]],Février[Total Heures]),0))</f>
        <v>0</v>
      </c>
      <c r="L28" s="23" t="str">
        <f>IF(B28="","",IFERROR(IF(K28&gt;Détails!H$4,K28-Détails!H$4,""),0))</f>
        <v/>
      </c>
    </row>
    <row r="29" spans="1:14" ht="29.4" customHeight="1" x14ac:dyDescent="0.3">
      <c r="A29" s="19" t="str">
        <f t="shared" si="0"/>
        <v>9</v>
      </c>
      <c r="B29" s="76">
        <f>IF(B28="","",IF(ISTEXT(B28),DATE(Détails!A27,2,1),IF(B28+1 &gt; EOMONTH(B28,0),"",B28+1)))</f>
        <v>45715</v>
      </c>
      <c r="C29" s="44" t="str">
        <f>IF(B29="","",IF(ISNUMBER(Février[[#This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familial",IFERROR(IF(VLOOKUP($B29,Détails!$K$2:$K$16,1,0),"Férié",""),"")))))))</f>
        <v/>
      </c>
      <c r="D29" s="20"/>
      <c r="E29" s="21"/>
      <c r="F29" s="21"/>
      <c r="G29" s="20"/>
      <c r="H29" s="22" t="str">
        <f t="shared" si="1"/>
        <v/>
      </c>
      <c r="I29" s="22">
        <f>IF(B29="","",IF($G29&gt;$D29,MEDIAN($G29,Détails!$G$11,Détails!$H$11)-MEDIAN($D29,Détails!$G$11,Détails!$H$11),($G29&lt;$D29)*(Détails!$G$11-Détails!$H$11)+MEDIAN($G29,Détails!$H$11,Détails!$G$11)-MEDIAN($D29,Détails!$H$11,Détails!$G$11))-$E29)</f>
        <v>0</v>
      </c>
      <c r="J29" s="22">
        <f>IF(B29="","",IF($G29&gt;$D29,MEDIAN($G29,Détails!$G$11,Détails!$H$11)-MEDIAN($D29,Détails!$G$11,Détails!$H$11),($G29&lt;$D29)*(Détails!$G$11-Détails!$H$11)+MEDIAN($G29,Détails!$H$11,Détails!$G$11)-MEDIAN($D29,Détails!$H$11,Détails!$G$11))-$E29)</f>
        <v>0</v>
      </c>
      <c r="K29" s="35">
        <f>IF(B29="","",IF(OR(WEEKDAY(Février[[#This Row],[Date]],2)=7, DAY(Février[[#This Row],[Date]])=DAY(EOMONTH(Février[[#This Row],[Date]],0))),SUMIF(Février[Semaine],Février[[#This Row],[Semaine]],Février[Total Heures]),0))</f>
        <v>0</v>
      </c>
      <c r="L29" s="23" t="str">
        <f>IF(B29="","",IFERROR(IF(K29&gt;Détails!H$4,K29-Détails!H$4,""),0))</f>
        <v/>
      </c>
    </row>
    <row r="30" spans="1:14" ht="29.4" customHeight="1" x14ac:dyDescent="0.3">
      <c r="A30" s="19" t="str">
        <f t="shared" si="0"/>
        <v>9</v>
      </c>
      <c r="B30" s="76">
        <f>IF(B29="","",IF(ISTEXT(B29),DATE(Détails!A28,2,1),IF(B29+1 &gt; EOMONTH(B29,0),"",B29+1)))</f>
        <v>45716</v>
      </c>
      <c r="C30" s="44" t="str">
        <f>IF(B30="","",IF(ISNUMBER(Février[[#This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familial",IFERROR(IF(VLOOKUP($B30,Détails!$K$2:$K$16,1,0),"Férié",""),"")))))))</f>
        <v/>
      </c>
      <c r="D30" s="20"/>
      <c r="E30" s="21"/>
      <c r="F30" s="21"/>
      <c r="G30" s="20"/>
      <c r="H30" s="22" t="str">
        <f t="shared" si="1"/>
        <v/>
      </c>
      <c r="I30" s="22">
        <f>IF(B30="","",IF($G30&gt;$D30,MEDIAN($G30,Détails!$G$11,Détails!$H$11)-MEDIAN($D30,Détails!$G$11,Détails!$H$11),($G30&lt;$D30)*(Détails!$G$11-Détails!$H$11)+MEDIAN($G30,Détails!$H$11,Détails!$G$11)-MEDIAN($D30,Détails!$H$11,Détails!$G$11))-$E30)</f>
        <v>0</v>
      </c>
      <c r="J30" s="22">
        <f>IF(B30="","",IF($G30&gt;$D30,MEDIAN($G30,Détails!$G$11,Détails!$H$11)-MEDIAN($D30,Détails!$G$11,Détails!$H$11),($G30&lt;$D30)*(Détails!$G$11-Détails!$H$11)+MEDIAN($G30,Détails!$H$11,Détails!$G$11)-MEDIAN($D30,Détails!$H$11,Détails!$G$11))-$E30)</f>
        <v>0</v>
      </c>
      <c r="K30" s="35">
        <f>IF(B30="","",IF(OR(WEEKDAY(Février[[#This Row],[Date]],2)=7, DAY(Février[[#This Row],[Date]])=DAY(EOMONTH(Février[[#This Row],[Date]],0))),SUMIF(Février[Semaine],Février[[#This Row],[Semaine]],Février[Total Heures]),0))</f>
        <v>0</v>
      </c>
      <c r="L30" s="23" t="str">
        <f>IF(B30="","",IFERROR(IF(K30&gt;Détails!H$4,K30-Détails!H$4,""),0))</f>
        <v/>
      </c>
    </row>
    <row r="31" spans="1:14" ht="29.4" customHeight="1" x14ac:dyDescent="0.3">
      <c r="A31" s="19" t="str">
        <f t="shared" si="0"/>
        <v/>
      </c>
      <c r="B31" s="76" t="str">
        <f>IF(B30="","",IF(ISTEXT(B30),DATE(Détails!A29,2,1),IF(B30+1 &gt; EOMONTH(B30,0),"",B30+1)))</f>
        <v/>
      </c>
      <c r="C31" s="44" t="str">
        <f>IF(B31="","",IF(ISNUMBER(Février[[#This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familial",IFERROR(IF(VLOOKUP($B31,Détails!$K$2:$K$16,1,0),"Férié",""),"")))))))</f>
        <v/>
      </c>
      <c r="D31" s="20"/>
      <c r="E31" s="21"/>
      <c r="F31" s="21"/>
      <c r="G31" s="20"/>
      <c r="H31" s="22" t="str">
        <f t="shared" si="1"/>
        <v/>
      </c>
      <c r="I31" s="22" t="str">
        <f>IF(B31="","",IF($G31&gt;$D31,MEDIAN($G31,Détails!$G$11,Détails!$H$11)-MEDIAN($D31,Détails!$G$11,Détails!$H$11),($G31&lt;$D31)*(Détails!$G$11-Détails!$H$11)+MEDIAN($G31,Détails!$H$11,Détails!$G$11)-MEDIAN($D31,Détails!$H$11,Détails!$G$11))-$E31)</f>
        <v/>
      </c>
      <c r="J31" s="22" t="str">
        <f>IF(B31="","",IF($G31&gt;$D31,MEDIAN($G31,Détails!$G$11,Détails!$H$11)-MEDIAN($D31,Détails!$G$11,Détails!$H$11),($G31&lt;$D31)*(Détails!$G$11-Détails!$H$11)+MEDIAN($G31,Détails!$H$11,Détails!$G$11)-MEDIAN($D31,Détails!$H$11,Détails!$G$11))-$E31)</f>
        <v/>
      </c>
      <c r="K31" s="35" t="str">
        <f>IF(B31="","",IF(OR(WEEKDAY(Février[[#This Row],[Date]],2)=7, DAY(Février[[#This Row],[Date]])=DAY(EOMONTH(Février[[#This Row],[Date]],0))),SUMIF(Février[Semaine],Février[[#This Row],[Semaine]],Février[Total Heures]),0))</f>
        <v/>
      </c>
      <c r="L31" s="23" t="str">
        <f>IF(B31="","",IFERROR(IF(K31&gt;Détails!H$4,K31-Détails!H$4,""),0))</f>
        <v/>
      </c>
    </row>
    <row r="32" spans="1:14" ht="29.4" customHeight="1" x14ac:dyDescent="0.3">
      <c r="A32" s="19" t="str">
        <f t="shared" si="0"/>
        <v/>
      </c>
      <c r="B32" s="76" t="str">
        <f>IF(B31="","",IF(ISTEXT(B31),DATE(Détails!A30,2,1),IF(B31+1 &gt; EOMONTH(B31,0),"",B31+1)))</f>
        <v/>
      </c>
      <c r="C32" s="77" t="str">
        <f>IF(B32="","",IF(ISNUMBER(Février[[#This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familial",IFERROR(IF(VLOOKUP($B32,Détails!$K$2:$K$16,1,0),"Férié",""),"")))))))</f>
        <v/>
      </c>
      <c r="D32" s="78"/>
      <c r="E32" s="79"/>
      <c r="F32" s="80"/>
      <c r="G32" s="81"/>
      <c r="H32" s="82" t="str">
        <f>IF(B32="","",IF(OR(D32&lt;&gt;"",G32&lt;&gt;""),MOD(G32-D32-F32-E32,1),""))</f>
        <v/>
      </c>
      <c r="I32" s="82" t="str">
        <f>IF(B32="","",IF($G32&gt;$D32,MEDIAN($G32,Détails!$G$11,Détails!$H$11)-MEDIAN($D32,Détails!$G$11,Détails!$H$11),($G32&lt;$D32)*(Détails!$G$11-Détails!$H$11)+MEDIAN($G32,Détails!$H$11,Détails!$G$11)-MEDIAN($D32,Détails!$H$11,Détails!$G$11))-$E32)</f>
        <v/>
      </c>
      <c r="J32" s="82" t="str">
        <f>IF(B32="","",IF($G32&gt;$D32,MEDIAN($G32,Détails!$G$11,Détails!$H$11)-MEDIAN($D32,Détails!$G$11,Détails!$H$11),($G32&lt;$D32)*(Détails!$G$11-Détails!$H$11)+MEDIAN($G32,Détails!$H$11,Détails!$G$11)-MEDIAN($D32,Détails!$H$11,Détails!$G$11))-$E32)</f>
        <v/>
      </c>
      <c r="K32" s="83" t="str">
        <f>IF(B32="","",IF(OR(WEEKDAY(Février[[#This Row],[Date]],2)=7, DAY(Février[[#This Row],[Date]])=DAY(EOMONTH(Février[[#This Row],[Date]],0))),SUMIF(Février[Semaine],Février[[#This Row],[Semaine]],Février[Total Heures]),0))</f>
        <v/>
      </c>
      <c r="L32" s="84" t="str">
        <f>IF(B32="","",IFERROR(IF(K32&gt;Détails!H$4,K32-Détails!H$4,""),0))</f>
        <v/>
      </c>
    </row>
    <row r="33" spans="1:12" x14ac:dyDescent="0.3">
      <c r="A33" s="19" t="str">
        <f t="shared" si="0"/>
        <v/>
      </c>
      <c r="B33" s="67" t="str">
        <f>IF(B32="","",IF(ISTEXT(B32),DATE(Détails!A31,2,1),IF(B32+1 &gt; EOMONTH(B32,0),"",B32+1)))</f>
        <v/>
      </c>
      <c r="C33" s="68" t="str">
        <f>IF(B33="","",IF(ISNUMBER(Février[[#This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familial",IFERROR(IF(VLOOKUP($B33,Détails!$K$2:$K$16,1,0),"Férié",""),"")))))))</f>
        <v/>
      </c>
      <c r="D33" s="69"/>
      <c r="E33" s="70"/>
      <c r="F33" s="71"/>
      <c r="G33" s="72"/>
      <c r="H33" s="73" t="str">
        <f>IF(B33="","",IF(OR(D33&lt;&gt;"",G33&lt;&gt;""),MOD(G33-D33-F33-E33,1),""))</f>
        <v/>
      </c>
      <c r="I33" s="73" t="str">
        <f>IF(B33="","",IF($G33&gt;$D33,MEDIAN($G33,Détails!$G$11,Détails!$H$11)-MEDIAN($D33,Détails!$G$11,Détails!$H$11),($G33&lt;$D33)*(Détails!$G$11-Détails!$H$11)+MEDIAN($G33,Détails!$H$11,Détails!$G$11)-MEDIAN($D33,Détails!$H$11,Détails!$G$11))-$E33)</f>
        <v/>
      </c>
      <c r="J33" s="73" t="str">
        <f>IF(B33="","",IF($G33&gt;$D33,MEDIAN($G33,Détails!$G$11,Détails!$H$11)-MEDIAN($D33,Détails!$G$11,Détails!$H$11),($G33&lt;$D33)*(Détails!$G$11-Détails!$H$11)+MEDIAN($G33,Détails!$H$11,Détails!$G$11)-MEDIAN($D33,Détails!$H$11,Détails!$G$11))-$E33)</f>
        <v/>
      </c>
      <c r="K33" s="74" t="str">
        <f>IF(B33="","",IF(OR(WEEKDAY(Février[[#This Row],[Date]],2)=7, DAY(Février[[#This Row],[Date]])=DAY(EOMONTH(Février[[#This Row],[Date]],0))),SUMIF(Février[Semaine],Février[[#This Row],[Semaine]],Février[Total Heures]),0))</f>
        <v/>
      </c>
      <c r="L33" s="75" t="str">
        <f>IF(B33="","",IFERROR(IF(K33&gt;Détails!H$4,K33-Détails!H$4,""),0))</f>
        <v/>
      </c>
    </row>
    <row r="35" spans="1:12" x14ac:dyDescent="0.3">
      <c r="E35" s="18" t="str">
        <f>IFERROR(IF(VLOOKUP($B4,Détails!$K$2:$K$16,1,0),"Férié",""),"")</f>
        <v/>
      </c>
    </row>
    <row r="36" spans="1:12" ht="30" customHeight="1" x14ac:dyDescent="0.3"/>
  </sheetData>
  <conditionalFormatting sqref="A3:L31 B32:L32 A32:A33">
    <cfRule type="expression" dxfId="4" priority="1">
      <formula>OR($C3="Arrêt maladie",$C3="Accident du travail")</formula>
    </cfRule>
    <cfRule type="expression" dxfId="3" priority="2">
      <formula>OR($C3="Congé",$C3="Congé pour évènement familial")</formula>
    </cfRule>
    <cfRule type="expression" dxfId="1" priority="4">
      <formula>WEEKDAY($B3,2)&gt;5</formula>
    </cfRule>
  </conditionalFormatting>
  <dataValidations count="1">
    <dataValidation type="list" errorStyle="information" allowBlank="1" showInputMessage="1" sqref="C3:C33" xr:uid="{DCBC8C90-82A8-4450-A37E-B303704C1491}">
      <formula1>#REF!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6BD405CB-77D3-4E98-9936-6C90E8826A59}">
            <xm:f>NOT(ISNA(VLOOKUP($B3,Détails!$K$2:$K$16,1,0)))</xm:f>
            <x14:dxf>
              <fill>
                <patternFill>
                  <bgColor rgb="FF92D050"/>
                </patternFill>
              </fill>
            </x14:dxf>
          </x14:cfRule>
          <xm:sqref>A3:L31 B32:L32 A32:A33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DC46E09-905B-45F6-A0F8-36A8B2E07CD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des choses à faire</vt:lpstr>
      <vt:lpstr>Détails</vt:lpstr>
      <vt:lpstr>Février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My Apple</cp:lastModifiedBy>
  <dcterms:created xsi:type="dcterms:W3CDTF">2015-06-05T18:19:34Z</dcterms:created>
  <dcterms:modified xsi:type="dcterms:W3CDTF">2024-06-18T14:13:17Z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2024-06-10T13:37:44Z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9c01a3cc-3eb6-43a3-aa16-4ff6870854b5</vt:lpwstr>
  </property>
  <property fmtid="{D5CDD505-2E9C-101B-9397-08002B2CF9AE}" pid="8" name="MSIP_Label_a401b303-ecb1-4a9d-936a-70858c2d9a3e_ContentBits">
    <vt:lpwstr>0</vt:lpwstr>
  </property>
</Properties>
</file>