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A43CA647-008F-4AF2-9055-91239349BCA2}" xr6:coauthVersionLast="46" xr6:coauthVersionMax="46" xr10:uidLastSave="{00000000-0000-0000-0000-000000000000}"/>
  <bookViews>
    <workbookView xWindow="-120" yWindow="-120" windowWidth="24240" windowHeight="13290" tabRatio="620" xr2:uid="{00000000-000D-0000-FFFF-FFFF00000000}"/>
  </bookViews>
  <sheets>
    <sheet name="Janvier" sheetId="70" r:id="rId1"/>
    <sheet name="Février" sheetId="80" r:id="rId2"/>
    <sheet name="Mars" sheetId="81" r:id="rId3"/>
    <sheet name="Avril" sheetId="82" r:id="rId4"/>
    <sheet name="Mai" sheetId="83" r:id="rId5"/>
    <sheet name="Juin" sheetId="84" r:id="rId6"/>
    <sheet name="Juillet" sheetId="85" r:id="rId7"/>
    <sheet name="Août" sheetId="86" r:id="rId8"/>
    <sheet name="Septembre" sheetId="87" r:id="rId9"/>
    <sheet name="Octobre" sheetId="89" r:id="rId10"/>
    <sheet name="Novembre" sheetId="88" r:id="rId11"/>
    <sheet name="Décembre" sheetId="90" r:id="rId12"/>
  </sheets>
  <definedNames>
    <definedName name="CalendarYear" localSheetId="7">Août!$AI$4</definedName>
    <definedName name="CalendarYear" localSheetId="3">Avril!$AI$4</definedName>
    <definedName name="CalendarYear" localSheetId="11">Décembre!$AI$4</definedName>
    <definedName name="CalendarYear" localSheetId="1">Février!$AI$4</definedName>
    <definedName name="CalendarYear" localSheetId="6">Juillet!$AI$4</definedName>
    <definedName name="CalendarYear" localSheetId="5">Juin!$AI$4</definedName>
    <definedName name="CalendarYear" localSheetId="4">Mai!$AI$4</definedName>
    <definedName name="CalendarYear" localSheetId="2">Mars!$AI$4</definedName>
    <definedName name="CalendarYear" localSheetId="10">Novembre!$AI$4</definedName>
    <definedName name="CalendarYear" localSheetId="9">Octobre!$AI$4</definedName>
    <definedName name="CalendarYear" localSheetId="8">Septembre!$AI$4</definedName>
    <definedName name="CalendarYear">Janvier!$AI$4</definedName>
    <definedName name="KeyAutreStiuation" localSheetId="7">Août!$AC$14</definedName>
    <definedName name="KeyAutreStiuation" localSheetId="3">Avril!$AC$14</definedName>
    <definedName name="KeyAutreStiuation" localSheetId="11">Décembre!$AC$14</definedName>
    <definedName name="KeyAutreStiuation" localSheetId="1">Février!$AC$14</definedName>
    <definedName name="KeyAutreStiuation" localSheetId="6">Juillet!$AC$14</definedName>
    <definedName name="KeyAutreStiuation" localSheetId="5">Juin!$AC$14</definedName>
    <definedName name="KeyAutreStiuation" localSheetId="4">Mai!$AC$14</definedName>
    <definedName name="KeyAutreStiuation" localSheetId="2">Mars!$AC$14</definedName>
    <definedName name="KeyAutreStiuation" localSheetId="10">Novembre!$AC$14</definedName>
    <definedName name="KeyAutreStiuation" localSheetId="9">Octobre!$AC$14</definedName>
    <definedName name="KeyAutreStiuation" localSheetId="8">Septembre!$AC$14</definedName>
    <definedName name="KeyAutreStiuation">Janvier!$AC$14</definedName>
    <definedName name="KeyChomageTech" localSheetId="7">Août!$E$14</definedName>
    <definedName name="KeyChomageTech" localSheetId="3">Avril!$E$14</definedName>
    <definedName name="KeyChomageTech" localSheetId="11">Décembre!$E$14</definedName>
    <definedName name="KeyChomageTech" localSheetId="1">Février!$E$14</definedName>
    <definedName name="KeyChomageTech" localSheetId="6">Juillet!$E$14</definedName>
    <definedName name="KeyChomageTech" localSheetId="5">Juin!$E$14</definedName>
    <definedName name="KeyChomageTech" localSheetId="4">Mai!$E$14</definedName>
    <definedName name="KeyChomageTech" localSheetId="2">Mars!$E$14</definedName>
    <definedName name="KeyChomageTech" localSheetId="10">Novembre!$E$14</definedName>
    <definedName name="KeyChomageTech" localSheetId="9">Octobre!$E$14</definedName>
    <definedName name="KeyChomageTech" localSheetId="8">Septembre!$E$14</definedName>
    <definedName name="KeyChomageTech">Janvier!$E$14</definedName>
    <definedName name="KeyCustom1" localSheetId="7">Août!$U$14</definedName>
    <definedName name="KeyCustom1" localSheetId="3">Avril!$U$14</definedName>
    <definedName name="KeyCustom1" localSheetId="11">Décembre!$U$14</definedName>
    <definedName name="KeyCustom1" localSheetId="1">Février!$U$14</definedName>
    <definedName name="KeyCustom1" localSheetId="6">Juillet!$U$14</definedName>
    <definedName name="KeyCustom1" localSheetId="5">Juin!$U$14</definedName>
    <definedName name="KeyCustom1" localSheetId="4">Mai!$U$14</definedName>
    <definedName name="KeyCustom1" localSheetId="2">Mars!$U$14</definedName>
    <definedName name="KeyCustom1" localSheetId="10">Novembre!$U$14</definedName>
    <definedName name="KeyCustom1" localSheetId="9">Octobre!$U$14</definedName>
    <definedName name="KeyCustom1" localSheetId="8">Septembre!$U$14</definedName>
    <definedName name="KeyCustom1">Janvier!$U$14</definedName>
    <definedName name="KeyCustom1Label" localSheetId="7">Août!$V$14</definedName>
    <definedName name="KeyCustom1Label" localSheetId="3">Avril!$V$14</definedName>
    <definedName name="KeyCustom1Label" localSheetId="11">Décembre!$V$14</definedName>
    <definedName name="KeyCustom1Label" localSheetId="1">Février!$V$14</definedName>
    <definedName name="KeyCustom1Label" localSheetId="6">Juillet!$V$14</definedName>
    <definedName name="KeyCustom1Label" localSheetId="5">Juin!$V$14</definedName>
    <definedName name="KeyCustom1Label" localSheetId="4">Mai!$V$14</definedName>
    <definedName name="KeyCustom1Label" localSheetId="2">Mars!$V$14</definedName>
    <definedName name="KeyCustom1Label" localSheetId="10">Novembre!$V$14</definedName>
    <definedName name="KeyCustom1Label" localSheetId="9">Octobre!$V$14</definedName>
    <definedName name="KeyCustom1Label" localSheetId="8">Septembre!$V$14</definedName>
    <definedName name="KeyCustom1Label">Janvier!$V$14</definedName>
    <definedName name="KeyCustom2" localSheetId="7">Août!$Y$14</definedName>
    <definedName name="KeyCustom2" localSheetId="3">Avril!$Y$14</definedName>
    <definedName name="KeyCustom2" localSheetId="11">Décembre!$Y$14</definedName>
    <definedName name="KeyCustom2" localSheetId="1">Février!$Y$14</definedName>
    <definedName name="KeyCustom2" localSheetId="6">Juillet!$Y$14</definedName>
    <definedName name="KeyCustom2" localSheetId="5">Juin!$Y$14</definedName>
    <definedName name="KeyCustom2" localSheetId="4">Mai!$Y$14</definedName>
    <definedName name="KeyCustom2" localSheetId="2">Mars!$Y$14</definedName>
    <definedName name="KeyCustom2" localSheetId="10">Novembre!$Y$14</definedName>
    <definedName name="KeyCustom2" localSheetId="9">Octobre!$Y$14</definedName>
    <definedName name="KeyCustom2" localSheetId="8">Septembre!$Y$14</definedName>
    <definedName name="KeyCustom2">Janvier!$Y$14</definedName>
    <definedName name="KeyCustom2Label" localSheetId="7">Août!$Z$14</definedName>
    <definedName name="KeyCustom2Label" localSheetId="3">Avril!$Z$14</definedName>
    <definedName name="KeyCustom2Label" localSheetId="11">Décembre!$Z$14</definedName>
    <definedName name="KeyCustom2Label" localSheetId="1">Février!$Z$14</definedName>
    <definedName name="KeyCustom2Label" localSheetId="6">Juillet!$Z$14</definedName>
    <definedName name="KeyCustom2Label" localSheetId="5">Juin!$Z$14</definedName>
    <definedName name="KeyCustom2Label" localSheetId="4">Mai!$Z$14</definedName>
    <definedName name="KeyCustom2Label" localSheetId="2">Mars!$Z$14</definedName>
    <definedName name="KeyCustom2Label" localSheetId="10">Novembre!$Z$14</definedName>
    <definedName name="KeyCustom2Label" localSheetId="9">Octobre!$Z$14</definedName>
    <definedName name="KeyCustom2Label" localSheetId="8">Septembre!$Z$14</definedName>
    <definedName name="KeyCustom2Label">Janvier!$Z$14</definedName>
    <definedName name="KeyNaissance">Janvier!$Y$14</definedName>
    <definedName name="KeyPersonal" localSheetId="7">Août!$M$14</definedName>
    <definedName name="KeyPersonal" localSheetId="3">Avril!$M$14</definedName>
    <definedName name="KeyPersonal" localSheetId="11">Décembre!$M$14</definedName>
    <definedName name="KeyPersonal" localSheetId="1">Février!$M$14</definedName>
    <definedName name="KeyPersonal" localSheetId="6">Juillet!$M$14</definedName>
    <definedName name="KeyPersonal" localSheetId="5">Juin!$M$14</definedName>
    <definedName name="KeyPersonal" localSheetId="4">Mai!$M$14</definedName>
    <definedName name="KeyPersonal" localSheetId="2">Mars!$M$14</definedName>
    <definedName name="KeyPersonal" localSheetId="10">Novembre!$M$14</definedName>
    <definedName name="KeyPersonal" localSheetId="9">Octobre!$M$14</definedName>
    <definedName name="KeyPersonal" localSheetId="8">Septembre!$M$14</definedName>
    <definedName name="KeyPersonal">Janvier!$M$14</definedName>
    <definedName name="KeyPersonalLabel" localSheetId="7">Août!$N$14</definedName>
    <definedName name="KeyPersonalLabel" localSheetId="3">Avril!$N$14</definedName>
    <definedName name="KeyPersonalLabel" localSheetId="11">Décembre!$N$14</definedName>
    <definedName name="KeyPersonalLabel" localSheetId="1">Février!$N$14</definedName>
    <definedName name="KeyPersonalLabel" localSheetId="6">Juillet!$N$14</definedName>
    <definedName name="KeyPersonalLabel" localSheetId="5">Juin!$N$14</definedName>
    <definedName name="KeyPersonalLabel" localSheetId="4">Mai!$N$14</definedName>
    <definedName name="KeyPersonalLabel" localSheetId="2">Mars!$N$14</definedName>
    <definedName name="KeyPersonalLabel" localSheetId="10">Novembre!$N$14</definedName>
    <definedName name="KeyPersonalLabel" localSheetId="9">Octobre!$N$14</definedName>
    <definedName name="KeyPersonalLabel" localSheetId="8">Septembre!$N$14</definedName>
    <definedName name="KeyPersonalLabel">Janvier!$N$14</definedName>
    <definedName name="KeySick" localSheetId="7">Août!$Q$14</definedName>
    <definedName name="KeySick" localSheetId="3">Avril!$Q$14</definedName>
    <definedName name="KeySick" localSheetId="11">Décembre!$Q$14</definedName>
    <definedName name="KeySick" localSheetId="1">Février!$Q$14</definedName>
    <definedName name="KeySick" localSheetId="6">Juillet!$Q$14</definedName>
    <definedName name="KeySick" localSheetId="5">Juin!$Q$14</definedName>
    <definedName name="KeySick" localSheetId="4">Mai!$Q$14</definedName>
    <definedName name="KeySick" localSheetId="2">Mars!$Q$14</definedName>
    <definedName name="KeySick" localSheetId="10">Novembre!$Q$14</definedName>
    <definedName name="KeySick" localSheetId="9">Octobre!$Q$14</definedName>
    <definedName name="KeySick" localSheetId="8">Septembre!$Q$14</definedName>
    <definedName name="KeySick">Janvier!$Q$14</definedName>
    <definedName name="KeySickLabel" localSheetId="7">Août!$R$14</definedName>
    <definedName name="KeySickLabel" localSheetId="3">Avril!$R$14</definedName>
    <definedName name="KeySickLabel" localSheetId="11">Décembre!$R$14</definedName>
    <definedName name="KeySickLabel" localSheetId="1">Février!$R$14</definedName>
    <definedName name="KeySickLabel" localSheetId="6">Juillet!$R$14</definedName>
    <definedName name="KeySickLabel" localSheetId="5">Juin!$R$14</definedName>
    <definedName name="KeySickLabel" localSheetId="4">Mai!$R$14</definedName>
    <definedName name="KeySickLabel" localSheetId="2">Mars!$R$14</definedName>
    <definedName name="KeySickLabel" localSheetId="10">Novembre!$R$14</definedName>
    <definedName name="KeySickLabel" localSheetId="9">Octobre!$R$14</definedName>
    <definedName name="KeySickLabel" localSheetId="8">Septembre!$R$14</definedName>
    <definedName name="KeySickLabel">Janvier!$R$14</definedName>
    <definedName name="KeyVacation" localSheetId="7">Août!$I$14</definedName>
    <definedName name="KeyVacation" localSheetId="3">Avril!$I$14</definedName>
    <definedName name="KeyVacation" localSheetId="11">Décembre!$I$14</definedName>
    <definedName name="KeyVacation" localSheetId="1">Février!$I$14</definedName>
    <definedName name="KeyVacation" localSheetId="6">Juillet!$I$14</definedName>
    <definedName name="KeyVacation" localSheetId="5">Juin!$I$14</definedName>
    <definedName name="KeyVacation" localSheetId="4">Mai!$I$14</definedName>
    <definedName name="KeyVacation" localSheetId="2">Mars!$I$14</definedName>
    <definedName name="KeyVacation" localSheetId="10">Novembre!$I$14</definedName>
    <definedName name="KeyVacation" localSheetId="9">Octobre!$I$14</definedName>
    <definedName name="KeyVacation" localSheetId="8">Septembre!$I$14</definedName>
    <definedName name="KeyVacation">Janvier!$I$14</definedName>
    <definedName name="KeyVacationLabel" localSheetId="7">Août!$J$14</definedName>
    <definedName name="KeyVacationLabel" localSheetId="3">Avril!$J$14</definedName>
    <definedName name="KeyVacationLabel" localSheetId="11">Décembre!$J$14</definedName>
    <definedName name="KeyVacationLabel" localSheetId="1">Février!$J$14</definedName>
    <definedName name="KeyVacationLabel" localSheetId="6">Juillet!$J$14</definedName>
    <definedName name="KeyVacationLabel" localSheetId="5">Juin!$J$14</definedName>
    <definedName name="KeyVacationLabel" localSheetId="4">Mai!$J$14</definedName>
    <definedName name="KeyVacationLabel" localSheetId="2">Mars!$J$14</definedName>
    <definedName name="KeyVacationLabel" localSheetId="10">Novembre!$J$14</definedName>
    <definedName name="KeyVacationLabel" localSheetId="9">Octobre!$J$14</definedName>
    <definedName name="KeyVacationLabel" localSheetId="8">Septembre!$J$14</definedName>
    <definedName name="KeyVacationLabel">Janvier!$J$14</definedName>
    <definedName name="Mois">Janvier!$BE$4:$BE$15</definedName>
    <definedName name="MonthName" localSheetId="7">Août!$C$5</definedName>
    <definedName name="MonthName" localSheetId="3">Avril!$C$5</definedName>
    <definedName name="MonthName" localSheetId="11">Décembre!$C$5</definedName>
    <definedName name="MonthName" localSheetId="1">Février!$C$5</definedName>
    <definedName name="MonthName" localSheetId="0">Janvier!$C$5</definedName>
    <definedName name="MonthName" localSheetId="6">Juillet!$C$5</definedName>
    <definedName name="MonthName" localSheetId="5">Juin!$C$5</definedName>
    <definedName name="MonthName" localSheetId="4">Mai!$C$5</definedName>
    <definedName name="MonthName" localSheetId="2">Mars!$C$5</definedName>
    <definedName name="MonthName" localSheetId="10">Novembre!$C$5</definedName>
    <definedName name="MonthName" localSheetId="9">Octobre!$C$5</definedName>
    <definedName name="MonthName" localSheetId="8">Septembre!$C$5</definedName>
  </definedNames>
  <calcPr calcId="181029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C12" i="80" l="1"/>
  <c r="AH12" i="90"/>
  <c r="AG12" i="90"/>
  <c r="AF12" i="90"/>
  <c r="AE12" i="90"/>
  <c r="AD12" i="90"/>
  <c r="AC12" i="90"/>
  <c r="AB12" i="90"/>
  <c r="AA12" i="90"/>
  <c r="Z12" i="90"/>
  <c r="Y12" i="90"/>
  <c r="X12" i="90"/>
  <c r="W12" i="90"/>
  <c r="V12" i="90"/>
  <c r="U12" i="90"/>
  <c r="T12" i="90"/>
  <c r="S12" i="90"/>
  <c r="R12" i="90"/>
  <c r="Q12" i="90"/>
  <c r="P12" i="90"/>
  <c r="O12" i="90"/>
  <c r="N12" i="90"/>
  <c r="M12" i="90"/>
  <c r="L12" i="90"/>
  <c r="K12" i="90"/>
  <c r="J12" i="90"/>
  <c r="I12" i="90"/>
  <c r="H12" i="90"/>
  <c r="G12" i="90"/>
  <c r="F12" i="90"/>
  <c r="E12" i="90"/>
  <c r="D12" i="90"/>
  <c r="C12" i="90"/>
  <c r="AI11" i="90"/>
  <c r="AI10" i="90"/>
  <c r="AI9" i="90"/>
  <c r="AI8" i="90"/>
  <c r="AI7" i="90"/>
  <c r="AI4" i="90"/>
  <c r="C2" i="90"/>
  <c r="AH12" i="89"/>
  <c r="AG12" i="89"/>
  <c r="AF12" i="89"/>
  <c r="AE12" i="89"/>
  <c r="AD12" i="89"/>
  <c r="AC12" i="89"/>
  <c r="AB12" i="89"/>
  <c r="AA12" i="89"/>
  <c r="Z12" i="89"/>
  <c r="Y12" i="89"/>
  <c r="X12" i="89"/>
  <c r="W12" i="89"/>
  <c r="V12" i="89"/>
  <c r="U12" i="89"/>
  <c r="T12" i="89"/>
  <c r="S12" i="89"/>
  <c r="R12" i="89"/>
  <c r="Q12" i="89"/>
  <c r="P12" i="89"/>
  <c r="O12" i="89"/>
  <c r="N12" i="89"/>
  <c r="M12" i="89"/>
  <c r="L12" i="89"/>
  <c r="K12" i="89"/>
  <c r="J12" i="89"/>
  <c r="I12" i="89"/>
  <c r="H12" i="89"/>
  <c r="G12" i="89"/>
  <c r="F12" i="89"/>
  <c r="E12" i="89"/>
  <c r="D12" i="89"/>
  <c r="C12" i="89"/>
  <c r="AI11" i="89"/>
  <c r="AI10" i="89"/>
  <c r="AI9" i="89"/>
  <c r="AI8" i="89"/>
  <c r="AI7" i="89"/>
  <c r="AI4" i="89"/>
  <c r="C2" i="89"/>
  <c r="AH12" i="88"/>
  <c r="AG12" i="88"/>
  <c r="AF12" i="88"/>
  <c r="AE12" i="88"/>
  <c r="AD12" i="88"/>
  <c r="AC12" i="88"/>
  <c r="AB12" i="88"/>
  <c r="AA12" i="88"/>
  <c r="Z12" i="88"/>
  <c r="Y12" i="88"/>
  <c r="X12" i="88"/>
  <c r="W12" i="88"/>
  <c r="V12" i="88"/>
  <c r="U12" i="88"/>
  <c r="T12" i="88"/>
  <c r="S12" i="88"/>
  <c r="R12" i="88"/>
  <c r="Q12" i="88"/>
  <c r="P12" i="88"/>
  <c r="O12" i="88"/>
  <c r="N12" i="88"/>
  <c r="M12" i="88"/>
  <c r="L12" i="88"/>
  <c r="K12" i="88"/>
  <c r="J12" i="88"/>
  <c r="I12" i="88"/>
  <c r="H12" i="88"/>
  <c r="G12" i="88"/>
  <c r="F12" i="88"/>
  <c r="E12" i="88"/>
  <c r="D12" i="88"/>
  <c r="C12" i="88"/>
  <c r="AI11" i="88"/>
  <c r="AI10" i="88"/>
  <c r="AI9" i="88"/>
  <c r="AI8" i="88"/>
  <c r="AI7" i="88"/>
  <c r="AI12" i="88" s="1"/>
  <c r="AI4" i="88"/>
  <c r="C2" i="88"/>
  <c r="AH12" i="87"/>
  <c r="AG12" i="87"/>
  <c r="AF12" i="87"/>
  <c r="AE12" i="87"/>
  <c r="AD12" i="87"/>
  <c r="AC12" i="87"/>
  <c r="AB12" i="87"/>
  <c r="AA12" i="87"/>
  <c r="Z12" i="87"/>
  <c r="Y12" i="87"/>
  <c r="X12" i="87"/>
  <c r="W12" i="87"/>
  <c r="V12" i="87"/>
  <c r="U12" i="87"/>
  <c r="T12" i="87"/>
  <c r="S12" i="87"/>
  <c r="R12" i="87"/>
  <c r="Q12" i="87"/>
  <c r="P12" i="87"/>
  <c r="O12" i="87"/>
  <c r="N12" i="87"/>
  <c r="M12" i="87"/>
  <c r="L12" i="87"/>
  <c r="K12" i="87"/>
  <c r="J12" i="87"/>
  <c r="I12" i="87"/>
  <c r="H12" i="87"/>
  <c r="G12" i="87"/>
  <c r="F12" i="87"/>
  <c r="E12" i="87"/>
  <c r="D12" i="87"/>
  <c r="C12" i="87"/>
  <c r="AI11" i="87"/>
  <c r="AI10" i="87"/>
  <c r="AI9" i="87"/>
  <c r="AI8" i="87"/>
  <c r="AI7" i="87"/>
  <c r="AI12" i="87" s="1"/>
  <c r="AI4" i="87"/>
  <c r="C2" i="87"/>
  <c r="AH12" i="86"/>
  <c r="AG12" i="86"/>
  <c r="AF12" i="86"/>
  <c r="AE12" i="86"/>
  <c r="AD12" i="86"/>
  <c r="AC12" i="86"/>
  <c r="AB12" i="86"/>
  <c r="AA12" i="86"/>
  <c r="Z12" i="86"/>
  <c r="Y12" i="86"/>
  <c r="X12" i="86"/>
  <c r="W12" i="86"/>
  <c r="V12" i="86"/>
  <c r="U12" i="86"/>
  <c r="T12" i="86"/>
  <c r="S12" i="86"/>
  <c r="R12" i="86"/>
  <c r="Q12" i="86"/>
  <c r="P12" i="86"/>
  <c r="O12" i="86"/>
  <c r="N12" i="86"/>
  <c r="M12" i="86"/>
  <c r="L12" i="86"/>
  <c r="K12" i="86"/>
  <c r="J12" i="86"/>
  <c r="I12" i="86"/>
  <c r="H12" i="86"/>
  <c r="G12" i="86"/>
  <c r="F12" i="86"/>
  <c r="E12" i="86"/>
  <c r="D12" i="86"/>
  <c r="C12" i="86"/>
  <c r="AI11" i="86"/>
  <c r="AI10" i="86"/>
  <c r="AI9" i="86"/>
  <c r="AI8" i="86"/>
  <c r="AI7" i="86"/>
  <c r="AI12" i="86" s="1"/>
  <c r="AI4" i="86"/>
  <c r="C2" i="86"/>
  <c r="AH12" i="85"/>
  <c r="AG12" i="85"/>
  <c r="AF12" i="85"/>
  <c r="AE12" i="85"/>
  <c r="AD12" i="85"/>
  <c r="AC12" i="85"/>
  <c r="AB12" i="85"/>
  <c r="AA12" i="85"/>
  <c r="Z12" i="85"/>
  <c r="Y12" i="85"/>
  <c r="X12" i="85"/>
  <c r="W12" i="85"/>
  <c r="V12" i="85"/>
  <c r="U12" i="85"/>
  <c r="T12" i="85"/>
  <c r="S12" i="85"/>
  <c r="R12" i="85"/>
  <c r="Q12" i="85"/>
  <c r="P12" i="85"/>
  <c r="O12" i="85"/>
  <c r="N12" i="85"/>
  <c r="M12" i="85"/>
  <c r="L12" i="85"/>
  <c r="K12" i="85"/>
  <c r="J12" i="85"/>
  <c r="I12" i="85"/>
  <c r="H12" i="85"/>
  <c r="G12" i="85"/>
  <c r="F12" i="85"/>
  <c r="E12" i="85"/>
  <c r="D12" i="85"/>
  <c r="C12" i="85"/>
  <c r="AI11" i="85"/>
  <c r="AI10" i="85"/>
  <c r="AI9" i="85"/>
  <c r="AI8" i="85"/>
  <c r="AI7" i="85"/>
  <c r="AI4" i="85"/>
  <c r="C2" i="85"/>
  <c r="AH12" i="84"/>
  <c r="AG12" i="84"/>
  <c r="AF12" i="84"/>
  <c r="AE12" i="84"/>
  <c r="AD12" i="84"/>
  <c r="AC12" i="84"/>
  <c r="AB12" i="84"/>
  <c r="AA12" i="84"/>
  <c r="Z12" i="84"/>
  <c r="Y12" i="84"/>
  <c r="X12" i="84"/>
  <c r="W12" i="84"/>
  <c r="V12" i="84"/>
  <c r="U12" i="84"/>
  <c r="T12" i="84"/>
  <c r="S12" i="84"/>
  <c r="R12" i="84"/>
  <c r="Q12" i="84"/>
  <c r="P12" i="84"/>
  <c r="O12" i="84"/>
  <c r="N12" i="84"/>
  <c r="M12" i="84"/>
  <c r="L12" i="84"/>
  <c r="K12" i="84"/>
  <c r="J12" i="84"/>
  <c r="I12" i="84"/>
  <c r="H12" i="84"/>
  <c r="G12" i="84"/>
  <c r="F12" i="84"/>
  <c r="E12" i="84"/>
  <c r="D12" i="84"/>
  <c r="C12" i="84"/>
  <c r="AI11" i="84"/>
  <c r="AI10" i="84"/>
  <c r="AI9" i="84"/>
  <c r="AI8" i="84"/>
  <c r="AI7" i="84"/>
  <c r="AI12" i="84" s="1"/>
  <c r="AI4" i="84"/>
  <c r="C2" i="84"/>
  <c r="AH12" i="83"/>
  <c r="AG12" i="83"/>
  <c r="AF12" i="83"/>
  <c r="AE12" i="83"/>
  <c r="AD12" i="83"/>
  <c r="AC12" i="83"/>
  <c r="AB12" i="83"/>
  <c r="AA12" i="83"/>
  <c r="Z12" i="83"/>
  <c r="Y12" i="83"/>
  <c r="X12" i="83"/>
  <c r="W12" i="83"/>
  <c r="V12" i="83"/>
  <c r="U12" i="83"/>
  <c r="T12" i="83"/>
  <c r="S12" i="83"/>
  <c r="R12" i="83"/>
  <c r="Q12" i="83"/>
  <c r="P12" i="83"/>
  <c r="O12" i="83"/>
  <c r="N12" i="83"/>
  <c r="M12" i="83"/>
  <c r="L12" i="83"/>
  <c r="K12" i="83"/>
  <c r="J12" i="83"/>
  <c r="I12" i="83"/>
  <c r="H12" i="83"/>
  <c r="G12" i="83"/>
  <c r="F12" i="83"/>
  <c r="E12" i="83"/>
  <c r="D12" i="83"/>
  <c r="C12" i="83"/>
  <c r="AI11" i="83"/>
  <c r="AI10" i="83"/>
  <c r="AI9" i="83"/>
  <c r="AI8" i="83"/>
  <c r="AI7" i="83"/>
  <c r="AI4" i="83"/>
  <c r="C2" i="83"/>
  <c r="AH12" i="82"/>
  <c r="AG12" i="82"/>
  <c r="AF12" i="82"/>
  <c r="AE12" i="82"/>
  <c r="AD12" i="82"/>
  <c r="AC12" i="82"/>
  <c r="AB12" i="82"/>
  <c r="AA12" i="82"/>
  <c r="Z12" i="82"/>
  <c r="Y12" i="82"/>
  <c r="X12" i="82"/>
  <c r="W12" i="82"/>
  <c r="V12" i="82"/>
  <c r="U12" i="82"/>
  <c r="T12" i="82"/>
  <c r="S12" i="82"/>
  <c r="R12" i="82"/>
  <c r="Q12" i="82"/>
  <c r="P12" i="82"/>
  <c r="O12" i="82"/>
  <c r="N12" i="82"/>
  <c r="M12" i="82"/>
  <c r="L12" i="82"/>
  <c r="K12" i="82"/>
  <c r="J12" i="82"/>
  <c r="I12" i="82"/>
  <c r="H12" i="82"/>
  <c r="G12" i="82"/>
  <c r="F12" i="82"/>
  <c r="E12" i="82"/>
  <c r="D12" i="82"/>
  <c r="C12" i="82"/>
  <c r="AI11" i="82"/>
  <c r="AI10" i="82"/>
  <c r="AI9" i="82"/>
  <c r="AI8" i="82"/>
  <c r="AI7" i="82"/>
  <c r="AI12" i="82" s="1"/>
  <c r="AI4" i="82"/>
  <c r="C2" i="82"/>
  <c r="AH12" i="81"/>
  <c r="AG12" i="81"/>
  <c r="AF12" i="81"/>
  <c r="AE12" i="81"/>
  <c r="AD12" i="81"/>
  <c r="AC12" i="81"/>
  <c r="AB12" i="81"/>
  <c r="AA12" i="81"/>
  <c r="Z12" i="81"/>
  <c r="Y12" i="81"/>
  <c r="X12" i="81"/>
  <c r="W12" i="81"/>
  <c r="V12" i="81"/>
  <c r="U12" i="81"/>
  <c r="T12" i="81"/>
  <c r="S12" i="81"/>
  <c r="R12" i="81"/>
  <c r="Q12" i="81"/>
  <c r="P12" i="81"/>
  <c r="O12" i="81"/>
  <c r="N12" i="81"/>
  <c r="M12" i="81"/>
  <c r="L12" i="81"/>
  <c r="K12" i="81"/>
  <c r="J12" i="81"/>
  <c r="I12" i="81"/>
  <c r="H12" i="81"/>
  <c r="G12" i="81"/>
  <c r="F12" i="81"/>
  <c r="E12" i="81"/>
  <c r="D12" i="81"/>
  <c r="C12" i="81"/>
  <c r="AI11" i="81"/>
  <c r="AI10" i="81"/>
  <c r="AI9" i="81"/>
  <c r="AI8" i="81"/>
  <c r="AI7" i="81"/>
  <c r="AI4" i="81"/>
  <c r="C2" i="81"/>
  <c r="AH12" i="80"/>
  <c r="AG12" i="80"/>
  <c r="AF12" i="80"/>
  <c r="AE12" i="80"/>
  <c r="AD12" i="80"/>
  <c r="AC12" i="80"/>
  <c r="AB12" i="80"/>
  <c r="AA12" i="80"/>
  <c r="Z12" i="80"/>
  <c r="Y12" i="80"/>
  <c r="X12" i="80"/>
  <c r="W12" i="80"/>
  <c r="V12" i="80"/>
  <c r="U12" i="80"/>
  <c r="T12" i="80"/>
  <c r="S12" i="80"/>
  <c r="R12" i="80"/>
  <c r="Q12" i="80"/>
  <c r="P12" i="80"/>
  <c r="O12" i="80"/>
  <c r="N12" i="80"/>
  <c r="M12" i="80"/>
  <c r="L12" i="80"/>
  <c r="K12" i="80"/>
  <c r="J12" i="80"/>
  <c r="I12" i="80"/>
  <c r="H12" i="80"/>
  <c r="G12" i="80"/>
  <c r="F12" i="80"/>
  <c r="E12" i="80"/>
  <c r="D12" i="80"/>
  <c r="AI11" i="80"/>
  <c r="AI10" i="80"/>
  <c r="AI9" i="80"/>
  <c r="AI8" i="80"/>
  <c r="AI7" i="80"/>
  <c r="AI12" i="80" s="1"/>
  <c r="AI4" i="80"/>
  <c r="C2" i="80"/>
  <c r="AI12" i="90" l="1"/>
  <c r="AI12" i="89"/>
  <c r="AI12" i="85"/>
  <c r="AI12" i="83"/>
  <c r="AI12" i="81"/>
  <c r="AH12" i="70"/>
  <c r="AG12" i="70"/>
  <c r="AF12" i="70"/>
  <c r="AE12" i="70"/>
  <c r="AD12" i="70"/>
  <c r="AC12" i="70"/>
  <c r="AB12" i="70"/>
  <c r="AA12" i="70"/>
  <c r="Z12" i="70"/>
  <c r="Y12" i="70"/>
  <c r="X12" i="70"/>
  <c r="W12" i="70"/>
  <c r="V12" i="70"/>
  <c r="U12" i="70"/>
  <c r="T12" i="70"/>
  <c r="S12" i="70"/>
  <c r="R12" i="70"/>
  <c r="Q12" i="70"/>
  <c r="P12" i="70"/>
  <c r="O12" i="70"/>
  <c r="N12" i="70"/>
  <c r="M12" i="70"/>
  <c r="L12" i="70"/>
  <c r="K12" i="70"/>
  <c r="J12" i="70"/>
  <c r="I12" i="70"/>
  <c r="H12" i="70"/>
  <c r="G12" i="70"/>
  <c r="F12" i="70"/>
  <c r="E12" i="70"/>
  <c r="D12" i="70"/>
  <c r="C12" i="70"/>
  <c r="AI11" i="70"/>
  <c r="AI10" i="70"/>
  <c r="AI9" i="70"/>
  <c r="AI8" i="70"/>
  <c r="AI7" i="70"/>
  <c r="AI4" i="70"/>
  <c r="C2" i="70"/>
  <c r="AI12" i="70" l="1"/>
</calcChain>
</file>

<file path=xl/sharedStrings.xml><?xml version="1.0" encoding="utf-8"?>
<sst xmlns="http://schemas.openxmlformats.org/spreadsheetml/2006/main" count="856" uniqueCount="68">
  <si>
    <t>Calendrier des absences des employés</t>
  </si>
  <si>
    <t>Dates d'absence</t>
  </si>
  <si>
    <t>Janvier</t>
  </si>
  <si>
    <t>Février</t>
  </si>
  <si>
    <t>Le nom de l'employé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</si>
  <si>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</si>
  <si>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</si>
  <si>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</si>
  <si>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</si>
  <si>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</si>
  <si>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</si>
  <si>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</si>
  <si>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</si>
  <si>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</si>
  <si>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</si>
  <si>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</si>
  <si>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</si>
  <si>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</si>
  <si>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</si>
  <si>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</si>
  <si>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</si>
  <si>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</si>
  <si>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</si>
  <si>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</si>
  <si>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</si>
  <si>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</si>
  <si>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</si>
  <si>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</si>
  <si>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</si>
  <si>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</si>
  <si>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</si>
  <si>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</si>
  <si>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</si>
  <si>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</si>
  <si>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</si>
  <si>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</si>
  <si>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Total Days</t>
  </si>
  <si>
    <t>Mars</t>
  </si>
  <si>
    <t>V</t>
  </si>
  <si>
    <t>A</t>
  </si>
  <si>
    <t>Avril</t>
  </si>
  <si>
    <t>CM</t>
  </si>
  <si>
    <t>P</t>
  </si>
  <si>
    <t>CT</t>
  </si>
  <si>
    <t>Mai</t>
  </si>
  <si>
    <t>Employé 3</t>
  </si>
  <si>
    <t>N</t>
  </si>
  <si>
    <t>Juin</t>
  </si>
  <si>
    <t>Employé 4</t>
  </si>
  <si>
    <t>D</t>
  </si>
  <si>
    <t>Juillet</t>
  </si>
  <si>
    <t>Employé 5</t>
  </si>
  <si>
    <t>Août</t>
  </si>
  <si>
    <t>Septembre</t>
  </si>
  <si>
    <t>Octobre</t>
  </si>
  <si>
    <t>Légende</t>
  </si>
  <si>
    <t>ChomageTech</t>
  </si>
  <si>
    <t>Vacances</t>
  </si>
  <si>
    <t>Personnel</t>
  </si>
  <si>
    <t>Congé Maladie</t>
  </si>
  <si>
    <t>Décès</t>
  </si>
  <si>
    <t>Naissance</t>
  </si>
  <si>
    <t>Autre situation</t>
  </si>
  <si>
    <t>Novembre</t>
  </si>
  <si>
    <t>Décembre</t>
  </si>
  <si>
    <t>v</t>
  </si>
  <si>
    <t>Employé 1</t>
  </si>
  <si>
    <t>Employé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</si>
</sst>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5" formatCode="_(&quot;€&quot;* #,##0.00_);_(&quot;€&quot;* \(#,##0.00\);_(&quot;€&quot;* &quot;-&quot;??_);_(@_)"/>
    <numFmt numFmtId="166" formatCode="_(* #,##0.00_);_(* \(#,##0.00\);_(* &quot;-&quot;??_);_(@_)"/>
    <numFmt numFmtId="175" formatCode="0#&quot; &quot;##&quot; &quot;##&quot; &quot;##&quot; &quot;##"/>
    <numFmt numFmtId="184" formatCode="yyyy"/>
    <numFmt numFmtId="185" formatCode="0;0;"/>
  </numFmts>
  <fonts count="3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61851863155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4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6032593768116"/>
      <name val="Calibri"/>
      <family val="2"/>
      <scheme val="minor"/>
    </font>
    <font>
      <sz val="14"/>
      <color theme="4" tint="-0.24994659260841701"/>
      <name val="Calibri"/>
      <family val="2"/>
      <scheme val="minor"/>
    </font>
    <font>
      <sz val="11"/>
      <color theme="4" tint="-0.499984740745262"/>
      <name val="Calibri Light"/>
      <family val="2"/>
      <scheme val="major"/>
    </font>
    <font>
      <sz val="11"/>
      <color theme="2" tint="-0.749992370372631"/>
      <name val="Calibri"/>
      <family val="2"/>
      <scheme val="minor"/>
    </font>
    <font>
      <b/>
      <sz val="25"/>
      <color theme="0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entury Gothic"/>
      <family val="2"/>
    </font>
    <font>
      <b/>
      <sz val="16"/>
      <color theme="0"/>
      <name val="Calibri"/>
      <family val="2"/>
      <scheme val="minor"/>
    </font>
    <font>
      <b/>
      <sz val="26"/>
      <color theme="3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name val="Calibri Light"/>
      <family val="2"/>
      <scheme val="major"/>
    </font>
    <font>
      <b/>
      <sz val="10"/>
      <name val="Century Gothic"/>
      <family val="2"/>
    </font>
    <font>
      <sz val="18"/>
      <color theme="3"/>
      <name val="Calibri"/>
      <family val="2"/>
      <scheme val="minor"/>
    </font>
    <font>
      <b/>
      <sz val="10"/>
      <color rgb="FF83534F"/>
      <name val="Century Gothic"/>
      <family val="2"/>
    </font>
    <font>
      <b/>
      <sz val="26"/>
      <color theme="0"/>
      <name val="Calibri Light"/>
      <family val="2"/>
    </font>
    <font>
      <sz val="7"/>
      <name val="Calibri"/>
      <family val="2"/>
      <scheme val="minor"/>
    </font>
    <font>
      <sz val="9"/>
      <name val="Century Gothic"/>
      <family val="2"/>
    </font>
    <font>
      <b/>
      <sz val="14"/>
      <color theme="9" tint="-0.499984740745262"/>
      <name val="Times New Roman"/>
      <family val="1"/>
    </font>
    <font>
      <b/>
      <sz val="72"/>
      <color rgb="FFC00000"/>
      <name val="Aquatico"/>
      <family val="3"/>
    </font>
    <font>
      <b/>
      <sz val="26"/>
      <color rgb="FFC00000"/>
      <name val="Arimo Medium"/>
      <family val="2"/>
    </font>
    <font>
      <b/>
      <u/>
      <sz val="24"/>
      <color rgb="FFC00000"/>
      <name val="Arimo Medium"/>
      <family val="2"/>
    </font>
    <font>
      <b/>
      <sz val="18"/>
      <color theme="9" tint="-0.249977111117893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26"/>
      <color rgb="FFC00000"/>
      <name val="Calibri Light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gradientFill degree="90">
        <stop position="0">
          <color theme="0"/>
        </stop>
        <stop position="1">
          <color theme="9" tint="-0.49803155613879818"/>
        </stop>
      </gradientFill>
    </fill>
    <fill>
      <patternFill patternType="solid">
        <fgColor rgb="FF00CC66"/>
        <bgColor indexed="64"/>
      </patternFill>
    </fill>
    <fill>
      <patternFill patternType="solid">
        <fgColor theme="9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ck">
        <color theme="4" tint="0.59996337778862885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6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9" fillId="0" borderId="0" applyFill="0" applyBorder="0">
      <alignment horizontal="left" vertical="center" wrapText="1" indent="1"/>
    </xf>
    <xf numFmtId="165" fontId="9" fillId="0" borderId="0" applyFont="0" applyFill="0" applyBorder="0" applyProtection="0">
      <alignment horizontal="right" vertical="center"/>
    </xf>
    <xf numFmtId="0" fontId="8" fillId="0" borderId="2" applyNumberFormat="0" applyAlignment="0" applyProtection="0"/>
    <xf numFmtId="0" fontId="11" fillId="2" borderId="0" applyNumberFormat="0" applyBorder="0" applyProtection="0">
      <alignment horizontal="left" vertical="top" wrapText="1" indent="1"/>
    </xf>
    <xf numFmtId="0" fontId="12" fillId="0" borderId="2" applyFill="0" applyProtection="0">
      <alignment horizontal="right" vertical="center" indent="1"/>
    </xf>
    <xf numFmtId="0" fontId="13" fillId="4" borderId="0" applyBorder="0" applyProtection="0">
      <alignment horizontal="left" indent="1"/>
    </xf>
    <xf numFmtId="10" fontId="10" fillId="0" borderId="0" applyFill="0" applyBorder="0" applyProtection="0">
      <alignment horizontal="right" vertical="center"/>
    </xf>
    <xf numFmtId="0" fontId="14" fillId="0" borderId="0" applyNumberFormat="0" applyFill="0" applyBorder="0" applyProtection="0">
      <alignment horizontal="left" vertical="center" indent="1"/>
    </xf>
    <xf numFmtId="0" fontId="15" fillId="0" borderId="0" applyNumberFormat="0" applyFill="0" applyBorder="0" applyProtection="0">
      <alignment vertical="center"/>
    </xf>
    <xf numFmtId="14" fontId="16" fillId="0" borderId="0" applyFont="0" applyFill="0" applyBorder="0" applyAlignment="0" applyProtection="0">
      <alignment horizontal="left" wrapText="1"/>
    </xf>
    <xf numFmtId="0" fontId="13" fillId="3" borderId="0" applyNumberFormat="0" applyBorder="0" applyProtection="0">
      <alignment vertical="center" wrapText="1"/>
    </xf>
    <xf numFmtId="175" fontId="13" fillId="0" borderId="0" applyFont="0" applyFill="0" applyBorder="0" applyAlignment="0">
      <alignment vertical="center"/>
    </xf>
    <xf numFmtId="0" fontId="17" fillId="5" borderId="3" applyProtection="0">
      <alignment vertical="center"/>
    </xf>
    <xf numFmtId="0" fontId="3" fillId="0" borderId="0"/>
    <xf numFmtId="0" fontId="7" fillId="0" borderId="0"/>
    <xf numFmtId="166" fontId="7" fillId="0" borderId="0" applyFont="0" applyFill="0" applyBorder="0" applyAlignment="0" applyProtection="0"/>
    <xf numFmtId="0" fontId="2" fillId="0" borderId="0"/>
    <xf numFmtId="0" fontId="18" fillId="6" borderId="4">
      <alignment horizontal="left"/>
    </xf>
    <xf numFmtId="0" fontId="1" fillId="0" borderId="0"/>
    <xf numFmtId="0" fontId="23" fillId="0" borderId="0" applyNumberFormat="0" applyFill="0" applyBorder="0" applyAlignment="0" applyProtection="0"/>
    <xf numFmtId="0" fontId="27" fillId="0" borderId="0" applyNumberFormat="0" applyFill="0" applyBorder="0" applyAlignment="0" applyProtection="0"/>
  </cellStyleXfs>
  <cellXfs count="55">
    <xf numFmtId="0" fontId="0" fillId="0" borderId="0" xfId="0"/>
    <xf numFmtId="14" fontId="21" fillId="0" borderId="0" xfId="23" applyNumberFormat="1" applyFont="1"/>
    <xf numFmtId="0" fontId="21" fillId="0" borderId="0" xfId="23" applyFont="1" applyAlignment="1">
      <alignment horizontal="center"/>
    </xf>
    <xf numFmtId="0" fontId="21" fillId="0" borderId="0" xfId="23" applyFont="1" applyAlignment="1">
      <alignment horizontal="right" indent="2"/>
    </xf>
    <xf numFmtId="0" fontId="21" fillId="0" borderId="0" xfId="23" applyFont="1"/>
    <xf numFmtId="184" fontId="22" fillId="0" borderId="0" xfId="23" applyNumberFormat="1" applyFont="1" applyAlignment="1">
      <alignment horizontal="center"/>
    </xf>
    <xf numFmtId="0" fontId="24" fillId="0" borderId="0" xfId="23" applyFont="1"/>
    <xf numFmtId="0" fontId="25" fillId="0" borderId="0" xfId="23" applyFont="1" applyAlignment="1">
      <alignment horizontal="center" vertical="center"/>
    </xf>
    <xf numFmtId="0" fontId="25" fillId="0" borderId="0" xfId="23" applyFont="1" applyAlignment="1">
      <alignment vertical="center"/>
    </xf>
    <xf numFmtId="0" fontId="26" fillId="0" borderId="0" xfId="23" applyFont="1" applyAlignment="1">
      <alignment vertical="center"/>
    </xf>
    <xf numFmtId="0" fontId="26" fillId="0" borderId="0" xfId="23" applyFont="1" applyAlignment="1">
      <alignment horizontal="center" vertical="center"/>
    </xf>
    <xf numFmtId="0" fontId="28" fillId="0" borderId="0" xfId="23" applyFont="1" applyAlignment="1">
      <alignment vertical="center"/>
    </xf>
    <xf numFmtId="49" fontId="29" fillId="0" borderId="0" xfId="23" applyNumberFormat="1" applyFont="1" applyAlignment="1">
      <alignment horizontal="center" vertical="center"/>
    </xf>
    <xf numFmtId="0" fontId="30" fillId="0" borderId="0" xfId="23" applyFont="1" applyAlignment="1">
      <alignment horizontal="center"/>
    </xf>
    <xf numFmtId="0" fontId="31" fillId="0" borderId="0" xfId="23" applyFont="1" applyAlignment="1">
      <alignment horizontal="center"/>
    </xf>
    <xf numFmtId="0" fontId="31" fillId="0" borderId="0" xfId="23" applyFont="1"/>
    <xf numFmtId="0" fontId="31" fillId="0" borderId="0" xfId="23" applyFont="1" applyAlignment="1">
      <alignment horizontal="center" vertical="center"/>
    </xf>
    <xf numFmtId="0" fontId="31" fillId="0" borderId="0" xfId="23" applyFont="1" applyAlignment="1">
      <alignment vertical="center"/>
    </xf>
    <xf numFmtId="0" fontId="21" fillId="0" borderId="0" xfId="23" applyFont="1" applyAlignment="1">
      <alignment horizontal="center" vertical="center"/>
    </xf>
    <xf numFmtId="0" fontId="21" fillId="0" borderId="0" xfId="23" applyFont="1" applyAlignment="1">
      <alignment vertical="center"/>
    </xf>
    <xf numFmtId="0" fontId="1" fillId="0" borderId="0" xfId="23"/>
    <xf numFmtId="185" fontId="8" fillId="0" borderId="0" xfId="23" applyNumberFormat="1" applyFont="1" applyAlignment="1">
      <alignment vertical="center"/>
    </xf>
    <xf numFmtId="185" fontId="20" fillId="7" borderId="0" xfId="23" applyNumberFormat="1" applyFont="1" applyFill="1" applyAlignment="1">
      <alignment horizontal="center" vertical="center"/>
    </xf>
    <xf numFmtId="185" fontId="20" fillId="8" borderId="0" xfId="23" applyNumberFormat="1" applyFont="1" applyFill="1" applyAlignment="1">
      <alignment horizontal="center" vertical="center"/>
    </xf>
    <xf numFmtId="185" fontId="20" fillId="9" borderId="0" xfId="23" applyNumberFormat="1" applyFont="1" applyFill="1" applyAlignment="1">
      <alignment horizontal="center" vertical="center"/>
    </xf>
    <xf numFmtId="185" fontId="20" fillId="10" borderId="0" xfId="23" applyNumberFormat="1" applyFont="1" applyFill="1" applyAlignment="1">
      <alignment horizontal="center" vertical="center"/>
    </xf>
    <xf numFmtId="185" fontId="20" fillId="11" borderId="0" xfId="23" applyNumberFormat="1" applyFont="1" applyFill="1" applyAlignment="1">
      <alignment horizontal="center" vertical="center"/>
    </xf>
    <xf numFmtId="185" fontId="20" fillId="12" borderId="0" xfId="23" applyNumberFormat="1" applyFont="1" applyFill="1" applyAlignment="1">
      <alignment horizontal="center" vertical="center"/>
    </xf>
    <xf numFmtId="185" fontId="20" fillId="13" borderId="1" xfId="23" applyNumberFormat="1" applyFont="1" applyFill="1" applyBorder="1" applyAlignment="1">
      <alignment horizontal="center" vertical="center"/>
    </xf>
    <xf numFmtId="14" fontId="1" fillId="0" borderId="0" xfId="23" applyNumberFormat="1"/>
    <xf numFmtId="49" fontId="21" fillId="0" borderId="0" xfId="23" applyNumberFormat="1" applyFont="1"/>
    <xf numFmtId="49" fontId="18" fillId="16" borderId="0" xfId="23" applyNumberFormat="1" applyFont="1" applyFill="1" applyAlignment="1">
      <alignment horizontal="left" vertical="center" wrapText="1" indent="2"/>
    </xf>
    <xf numFmtId="0" fontId="32" fillId="0" borderId="0" xfId="23" applyFont="1" applyAlignment="1">
      <alignment vertical="center"/>
    </xf>
    <xf numFmtId="0" fontId="7" fillId="15" borderId="0" xfId="23" applyFont="1" applyFill="1" applyAlignment="1">
      <alignment horizontal="center" vertical="center"/>
    </xf>
    <xf numFmtId="0" fontId="7" fillId="14" borderId="0" xfId="23" applyFont="1" applyFill="1" applyAlignment="1">
      <alignment horizontal="center" vertical="center"/>
    </xf>
    <xf numFmtId="0" fontId="4" fillId="16" borderId="0" xfId="23" applyFont="1" applyFill="1" applyAlignment="1">
      <alignment horizontal="center" vertical="center"/>
    </xf>
    <xf numFmtId="185" fontId="4" fillId="16" borderId="0" xfId="23" applyNumberFormat="1" applyFont="1" applyFill="1" applyAlignment="1">
      <alignment horizontal="center" vertical="center"/>
    </xf>
    <xf numFmtId="49" fontId="4" fillId="16" borderId="0" xfId="23" applyNumberFormat="1" applyFont="1" applyFill="1" applyAlignment="1">
      <alignment horizontal="left" vertical="center" indent="1"/>
    </xf>
    <xf numFmtId="185" fontId="18" fillId="16" borderId="0" xfId="23" applyNumberFormat="1" applyFont="1" applyFill="1" applyAlignment="1">
      <alignment horizontal="center" vertical="center"/>
    </xf>
    <xf numFmtId="185" fontId="20" fillId="18" borderId="0" xfId="23" applyNumberFormat="1" applyFont="1" applyFill="1" applyAlignment="1">
      <alignment horizontal="center" vertical="center"/>
    </xf>
    <xf numFmtId="185" fontId="8" fillId="17" borderId="5" xfId="23" applyNumberFormat="1" applyFont="1" applyFill="1" applyBorder="1" applyAlignment="1">
      <alignment horizontal="left" vertical="top"/>
    </xf>
    <xf numFmtId="185" fontId="8" fillId="17" borderId="0" xfId="23" applyNumberFormat="1" applyFont="1" applyFill="1" applyAlignment="1">
      <alignment horizontal="left" vertical="top"/>
    </xf>
    <xf numFmtId="0" fontId="34" fillId="0" borderId="0" xfId="23" applyFont="1" applyAlignment="1">
      <alignment horizontal="center" vertical="top"/>
    </xf>
    <xf numFmtId="0" fontId="35" fillId="0" borderId="0" xfId="23" applyFont="1" applyAlignment="1">
      <alignment horizontal="center" vertical="center"/>
    </xf>
    <xf numFmtId="184" fontId="36" fillId="14" borderId="0" xfId="25" applyNumberFormat="1" applyFont="1" applyFill="1" applyBorder="1" applyAlignment="1">
      <alignment horizontal="right" vertical="center"/>
    </xf>
    <xf numFmtId="0" fontId="1" fillId="0" borderId="0" xfId="23" applyAlignment="1">
      <alignment horizontal="center" vertical="center"/>
    </xf>
    <xf numFmtId="0" fontId="33" fillId="0" borderId="0" xfId="23" applyFont="1" applyAlignment="1">
      <alignment horizontal="center" vertical="center"/>
    </xf>
    <xf numFmtId="185" fontId="8" fillId="17" borderId="6" xfId="23" applyNumberFormat="1" applyFont="1" applyFill="1" applyBorder="1" applyAlignment="1">
      <alignment horizontal="left" vertical="top"/>
    </xf>
    <xf numFmtId="184" fontId="37" fillId="0" borderId="0" xfId="23" applyNumberFormat="1" applyFont="1" applyAlignment="1">
      <alignment horizontal="center"/>
    </xf>
    <xf numFmtId="49" fontId="38" fillId="0" borderId="0" xfId="23" applyNumberFormat="1" applyFont="1" applyAlignment="1">
      <alignment horizontal="center" vertical="center"/>
    </xf>
    <xf numFmtId="0" fontId="4" fillId="16" borderId="0" xfId="0" applyNumberFormat="1" applyFont="1" applyFill="1" applyBorder="1" applyAlignment="1" applyProtection="1">
      <alignment horizontal="left" vertical="center" indent="2"/>
    </xf>
    <xf numFmtId="185" fontId="4" fillId="16" borderId="0" xfId="0" applyNumberFormat="1" applyFont="1" applyFill="1" applyBorder="1" applyAlignment="1" applyProtection="1">
      <alignment horizontal="center" vertical="center"/>
    </xf>
    <xf numFmtId="185" fontId="18" fillId="19" borderId="0" xfId="0" applyNumberFormat="1" applyFont="1" applyFill="1" applyBorder="1" applyAlignment="1" applyProtection="1">
      <alignment horizontal="center" vertical="center"/>
    </xf>
    <xf numFmtId="185" fontId="4" fillId="19" borderId="0" xfId="0" applyNumberFormat="1" applyFont="1" applyFill="1" applyBorder="1" applyAlignment="1" applyProtection="1">
      <alignment horizontal="center" vertical="center"/>
    </xf>
    <xf numFmtId="0" fontId="32" fillId="0" borderId="0" xfId="23" applyFont="1" applyAlignment="1">
      <alignment horizontal="right" vertical="center"/>
    </xf>
  </cellXfs>
  <cellStyles count="26">
    <cellStyle name="20 % - Accent1 2" xfId="8" xr:uid="{ED460A82-454B-49FB-AE6A-414633C80C69}"/>
    <cellStyle name="60 % - Accent1 2" xfId="15" xr:uid="{0B43F019-5BFF-4A8A-A5E9-EC028C6866E2}"/>
    <cellStyle name="Date" xfId="14" xr:uid="{714D05B2-F563-4B7E-B5E6-87AC851B455F}"/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Milliers 2" xfId="20" xr:uid="{B9964B3E-1978-44C6-B990-11AE42E79C83}"/>
    <cellStyle name="Monétaire 2" xfId="6" xr:uid="{929F7381-F9EB-44FA-8923-4A148C915B9F}"/>
    <cellStyle name="Normal" xfId="0" builtinId="0"/>
    <cellStyle name="Normal 2" xfId="5" xr:uid="{BC91990A-FBC1-4ACA-971F-A99B91B760B9}"/>
    <cellStyle name="Normal 2 2" xfId="19" xr:uid="{BD7D4288-24B1-45D5-9312-9373DB1CC6E2}"/>
    <cellStyle name="Normal 3" xfId="18" xr:uid="{F8199479-5AC9-4093-9BFD-B059FF4AE811}"/>
    <cellStyle name="Normal 3 2" xfId="21" xr:uid="{59E2FB3B-523F-4745-8B19-D25FB4C50D79}"/>
    <cellStyle name="Normal 4" xfId="23" xr:uid="{D8C8C926-3F15-4E34-80BB-BAF3A250E29B}"/>
    <cellStyle name="Pourcentage 2" xfId="11" xr:uid="{D06E9E53-98E9-45CD-9B8F-DF8061AFFCEE}"/>
    <cellStyle name="Style 1" xfId="22" xr:uid="{1CFB7C98-8EA7-448C-89A1-EB8855631515}"/>
    <cellStyle name="Téléphone" xfId="16" xr:uid="{04D53A86-16FE-4BAB-B6C8-FF2FE44425A8}"/>
    <cellStyle name="Titre 2" xfId="17" xr:uid="{7C0DE39B-5779-4968-825B-F490EC05699E}"/>
    <cellStyle name="Titre 3" xfId="24" xr:uid="{165195AD-DE2B-49BC-B073-6CA0B824E47A}"/>
    <cellStyle name="Titre 1 2" xfId="13" xr:uid="{47E06763-7AEC-4D29-991F-6455B8B6BA18}"/>
    <cellStyle name="Titre 1 3" xfId="25" xr:uid="{2811DD78-D775-4612-8E07-E9D8C7A0B6BC}"/>
    <cellStyle name="Titre 2 2" xfId="12" xr:uid="{0A077A83-36F0-4874-B777-964C887CA794}"/>
    <cellStyle name="Titre 3 2" xfId="9" xr:uid="{D55EC69C-B5F4-4129-A4F3-2087F8042317}"/>
    <cellStyle name="Titre 4 2" xfId="10" xr:uid="{13FFFE29-DA2D-44D6-87FA-D9E617E84CA0}"/>
    <cellStyle name="Total 2" xfId="7" xr:uid="{E74B94D5-5E6B-493D-A48A-2DC3F4E0F4F5}"/>
  </cellStyles>
  <dxfs count="89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85" formatCode="0;0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left" vertical="center" textRotation="0" wrapText="0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solid">
          <fgColor indexed="64"/>
          <bgColor theme="9" tint="-0.249977111117893"/>
        </patternFill>
      </fill>
      <alignment horizontal="left" vertical="center" textRotation="0" wrapText="1" indent="2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66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00CC66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none">
          <bgColor auto="1"/>
        </patternFill>
      </fill>
    </dxf>
    <dxf>
      <fill>
        <patternFill patternType="solid">
          <fgColor theme="4" tint="0.79995117038483843"/>
          <bgColor theme="4" tint="0.79998168889431442"/>
        </patternFill>
      </fill>
    </dxf>
    <dxf>
      <font>
        <b val="0"/>
        <i val="0"/>
        <color theme="1" tint="4.9989318521683403E-2"/>
      </font>
    </dxf>
    <dxf>
      <font>
        <b/>
        <i val="0"/>
        <color theme="4" tint="-0.499984740745262"/>
      </font>
      <border>
        <left style="thin">
          <color theme="4"/>
        </left>
        <right style="thin">
          <color theme="4"/>
        </right>
        <top style="double">
          <color theme="4"/>
        </top>
        <bottom style="thin">
          <color theme="4"/>
        </bottom>
      </border>
    </dxf>
    <dxf>
      <font>
        <b val="0"/>
        <i val="0"/>
        <color theme="4" tint="-0.24994659260841701"/>
      </font>
      <border>
        <left style="thin">
          <color theme="4"/>
        </left>
        <right style="thin">
          <color theme="4"/>
        </right>
        <top style="thin">
          <color theme="4"/>
        </top>
        <vertical/>
        <horizontal/>
      </border>
    </dxf>
    <dxf>
      <font>
        <b val="0"/>
        <i val="0"/>
        <color theme="3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</dxfs>
  <tableStyles count="2" defaultTableStyle="TableStyleMedium2" defaultPivotStyle="PivotStyleLight16">
    <tableStyle name="Facture" pivot="0" count="6" xr9:uid="{9169A6E9-7FB7-4332-A7B5-6680C8166892}">
      <tableStyleElement type="wholeTable" dxfId="896"/>
      <tableStyleElement type="headerRow" dxfId="895"/>
      <tableStyleElement type="totalRow" dxfId="894"/>
      <tableStyleElement type="lastColumn" dxfId="893"/>
      <tableStyleElement type="firstRowStripe" dxfId="892"/>
      <tableStyleElement type="secondRowStripe" dxfId="891"/>
    </tableStyle>
    <tableStyle name="Tableau d’entreprise" pivot="0" count="3" xr9:uid="{F4B63322-1264-409B-91AC-001641DB7A25}">
      <tableStyleElement type="wholeTable" dxfId="890"/>
      <tableStyleElement type="headerRow" dxfId="889"/>
      <tableStyleElement type="secondRowStripe" dxfId="888"/>
    </tableStyle>
  </tableStyles>
  <colors>
    <mruColors>
      <color rgb="FF00CC66"/>
      <color rgb="FFCCCC00"/>
      <color rgb="FFC40000"/>
      <color rgb="FFFF2929"/>
      <color rgb="FFFF5757"/>
      <color rgb="FFFF5050"/>
      <color rgb="FFFD4141"/>
      <color rgb="FFFFC5C5"/>
      <color rgb="FFFFCCFF"/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66675</xdr:colOff>
      <xdr:row>3</xdr:row>
      <xdr:rowOff>9525</xdr:rowOff>
    </xdr:from>
    <xdr:to>
      <xdr:col>34</xdr:col>
      <xdr:colOff>1171575</xdr:colOff>
      <xdr:row>3</xdr:row>
      <xdr:rowOff>276225</xdr:rowOff>
    </xdr:to>
    <xdr:sp macro="" textlink="">
      <xdr:nvSpPr>
        <xdr:cNvPr id="2" name="Data Entry Note" descr="Enter Year: Type year in cell AG2" title="Data Entry Tip">
          <a:extLst>
            <a:ext uri="{FF2B5EF4-FFF2-40B4-BE49-F238E27FC236}">
              <a16:creationId xmlns:a16="http://schemas.microsoft.com/office/drawing/2014/main" id="{00000000-0008-0000-1C00-000002000000}"/>
            </a:ext>
          </a:extLst>
        </xdr:cNvPr>
        <xdr:cNvSpPr txBox="1"/>
      </xdr:nvSpPr>
      <xdr:spPr>
        <a:xfrm>
          <a:off x="13382625" y="1076325"/>
          <a:ext cx="110490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Année en cours</a:t>
          </a:r>
          <a:endParaRPr lang="fr-BE" sz="1000">
            <a:solidFill>
              <a:schemeClr val="accent6">
                <a:lumMod val="75000"/>
              </a:schemeClr>
            </a:solidFill>
            <a:effectLst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473996-3629-4C70-B64E-83BD7A636668}" name="tblJanuary" displayName="tblJanuary" ref="C6:AI12" totalsRowCount="1" headerRowDxfId="132">
  <tableColumns count="33">
    <tableColumn id="1" xr3:uid="{90E31122-5170-4F02-837F-CD8C6522175D}" name="Le nom de l'employé" totalsRowFunction="custom" dataDxfId="131" totalsRowDxfId="130" totalsRowCellStyle="Normal 4">
      <totalsRowFormula>MonthName&amp;" Total"</totalsRowFormula>
    </tableColumn>
    <tableColumn id="2" xr3:uid="{76277A2F-026E-434A-B4EE-7B46DCB7C934}" name="1" totalsRowFunction="count" dataDxfId="129" totalsRowDxfId="128" totalsRowCellStyle="Normal 4"/>
    <tableColumn id="3" xr3:uid="{0423FC8E-C44F-4CB3-B47E-ABC94BB125AC}" name="2" totalsRowFunction="count" dataDxfId="127" totalsRowDxfId="126" totalsRowCellStyle="Normal 4"/>
    <tableColumn id="4" xr3:uid="{C16979D1-40D5-4C22-BF76-98B0E2873ADF}" name="3" totalsRowFunction="count" dataDxfId="125" totalsRowDxfId="124" totalsRowCellStyle="Normal 4"/>
    <tableColumn id="5" xr3:uid="{D6562D94-F3AE-4E46-B084-A3FC572BDED0}" name="4" totalsRowFunction="count" dataDxfId="123" totalsRowDxfId="122" totalsRowCellStyle="Normal 4"/>
    <tableColumn id="6" xr3:uid="{D6464411-24A0-41A9-88A1-054F79EE4A67}" name="5" totalsRowFunction="count" dataDxfId="121" totalsRowDxfId="120" totalsRowCellStyle="Normal 4"/>
    <tableColumn id="7" xr3:uid="{D2B158F5-686A-4053-97DC-6D2A78909023}" name="6" totalsRowFunction="count" dataDxfId="119" totalsRowDxfId="118" totalsRowCellStyle="Normal 4"/>
    <tableColumn id="8" xr3:uid="{EBCD74D0-8372-46F7-8DAB-A486D1424A23}" name="7" totalsRowFunction="count" dataDxfId="117" totalsRowDxfId="116" totalsRowCellStyle="Normal 4"/>
    <tableColumn id="9" xr3:uid="{AE17FC0D-2F48-497D-AD30-364057313510}" name="8" totalsRowFunction="count" dataDxfId="115" totalsRowDxfId="114" totalsRowCellStyle="Normal 4"/>
    <tableColumn id="10" xr3:uid="{691A1177-1C35-43CE-BAE1-814B61CE8CB1}" name="9" totalsRowFunction="count" dataDxfId="113" totalsRowDxfId="112" totalsRowCellStyle="Normal 4"/>
    <tableColumn id="11" xr3:uid="{486D6D79-E070-4584-8B01-E0B91EF89DC6}" name="10" totalsRowFunction="count" dataDxfId="111" totalsRowDxfId="110" totalsRowCellStyle="Normal 4"/>
    <tableColumn id="12" xr3:uid="{8FA4E473-F8CB-4BEA-8A9E-E8D87ED893BC}" name="11" totalsRowFunction="count" dataDxfId="109" totalsRowDxfId="108" totalsRowCellStyle="Normal 4"/>
    <tableColumn id="13" xr3:uid="{9AC9D9C5-1DFD-4674-B276-418891ACE36B}" name="12" totalsRowFunction="count" dataDxfId="107" totalsRowDxfId="106" totalsRowCellStyle="Normal 4"/>
    <tableColumn id="14" xr3:uid="{EBDD0F22-5FE3-4D3A-8857-E174CB70E971}" name="13" totalsRowFunction="count" dataDxfId="105" totalsRowDxfId="104" totalsRowCellStyle="Normal 4"/>
    <tableColumn id="15" xr3:uid="{EA9F0B99-0E49-4EAB-8426-1B0B9613F2A4}" name="14" totalsRowFunction="count" dataDxfId="103" totalsRowDxfId="102" totalsRowCellStyle="Normal 4"/>
    <tableColumn id="16" xr3:uid="{6252E8C6-A090-4648-B9D6-0A627D53116E}" name="15" totalsRowFunction="count" dataDxfId="101" totalsRowDxfId="100" totalsRowCellStyle="Normal 4"/>
    <tableColumn id="17" xr3:uid="{D15963C0-9A6F-40CA-96A3-C9A4AACB100B}" name="16" totalsRowFunction="count" dataDxfId="99" totalsRowDxfId="98" totalsRowCellStyle="Normal 4"/>
    <tableColumn id="18" xr3:uid="{0FE2283E-5A51-47BC-97DF-97EA121F1A04}" name="17" totalsRowFunction="count" dataDxfId="97" totalsRowDxfId="96" totalsRowCellStyle="Normal 4"/>
    <tableColumn id="19" xr3:uid="{02AF961B-FB61-4AF3-94FB-62D4DFD97906}" name="18" totalsRowFunction="count" dataDxfId="95" totalsRowDxfId="94" totalsRowCellStyle="Normal 4"/>
    <tableColumn id="20" xr3:uid="{44EA662D-F7BD-4084-9576-D2F44613CE50}" name="19" totalsRowFunction="count" dataDxfId="93" totalsRowDxfId="92" totalsRowCellStyle="Normal 4"/>
    <tableColumn id="21" xr3:uid="{83142B58-F224-44D1-94E7-BBFE37402B5B}" name="20" totalsRowFunction="count" dataDxfId="91" totalsRowDxfId="90" totalsRowCellStyle="Normal 4"/>
    <tableColumn id="22" xr3:uid="{F018EFDE-FE07-406C-A4C4-025570FF0B1F}" name="21" totalsRowFunction="count" dataDxfId="89" totalsRowDxfId="88" totalsRowCellStyle="Normal 4"/>
    <tableColumn id="23" xr3:uid="{0F3FFC48-FCE1-4921-8CE6-03A58346B6FD}" name="22" totalsRowFunction="count" dataDxfId="87" totalsRowDxfId="86" totalsRowCellStyle="Normal 4"/>
    <tableColumn id="24" xr3:uid="{74498E0E-8E85-49CF-AB4F-C60D8BDF2690}" name="23" totalsRowFunction="count" dataDxfId="85" totalsRowDxfId="84" totalsRowCellStyle="Normal 4"/>
    <tableColumn id="25" xr3:uid="{D33A0E43-7021-4E33-8648-664310D94C01}" name="24" totalsRowFunction="count" dataDxfId="83" totalsRowDxfId="82" totalsRowCellStyle="Normal 4"/>
    <tableColumn id="26" xr3:uid="{4F9459B4-D2F9-410F-8DBE-C45F1BE1A45C}" name="25" totalsRowFunction="count" dataDxfId="81" totalsRowDxfId="80" totalsRowCellStyle="Normal 4"/>
    <tableColumn id="27" xr3:uid="{78CED60D-F8C5-4ED3-8C36-53C5BC41476E}" name="26" totalsRowFunction="count" dataDxfId="79" totalsRowDxfId="78" totalsRowCellStyle="Normal 4"/>
    <tableColumn id="28" xr3:uid="{107FEB9E-529A-4B26-B0B6-DED6F71C4481}" name="27" totalsRowFunction="count" dataDxfId="77" totalsRowDxfId="76" totalsRowCellStyle="Normal 4"/>
    <tableColumn id="29" xr3:uid="{F5B24A28-39CA-4238-944F-73835CA7CEF4}" name="28" totalsRowFunction="count" dataDxfId="75" totalsRowDxfId="74" totalsRowCellStyle="Normal 4"/>
    <tableColumn id="30" xr3:uid="{9D83EE55-788B-489A-B82E-8EBD1C127B85}" name="29" totalsRowFunction="count" dataDxfId="73" totalsRowDxfId="72" totalsRowCellStyle="Normal 4"/>
    <tableColumn id="31" xr3:uid="{CC4CA9A2-5D36-42B2-8469-912F5F7687F7}" name="30" totalsRowFunction="count" dataDxfId="71" totalsRowDxfId="70" totalsRowCellStyle="Normal 4"/>
    <tableColumn id="32" xr3:uid="{A4752E42-1A0E-49B5-802B-5FD997F3F7C8}" name="31" totalsRowFunction="count" dataDxfId="69" totalsRowDxfId="68" totalsRowCellStyle="Normal 4"/>
    <tableColumn id="33" xr3:uid="{F57F5A73-0143-4D61-9B0A-10042F95AFA3}" name="Total Days" totalsRowFunction="sum" dataDxfId="67" totalsRowDxfId="66" totalsRowCellStyle="Normal 4">
      <calculatedColumnFormula>COUNTA(tblJanuary[[#This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482EE4A-43FC-47CB-AA9E-A7FB90A89DE7}" name="tblJanuary13" displayName="tblJanuary13" ref="C6:AI12" totalsRowCount="1" headerRowDxfId="873">
  <tableColumns count="33">
    <tableColumn id="1" xr3:uid="{01D735FA-4223-47F5-8FFD-64C16881F2F4}" name="Le nom de l'employé" totalsRowFunction="custom" dataDxfId="872" totalsRowDxfId="32">
      <totalsRowFormula>MonthName&amp;" Total"</totalsRowFormula>
    </tableColumn>
    <tableColumn id="2" xr3:uid="{B07591D0-44A1-4855-9444-5F06FA7BB781}" name="1" totalsRowFunction="count" dataDxfId="871" totalsRowDxfId="31"/>
    <tableColumn id="3" xr3:uid="{FE1AECE8-417C-4CF6-8B03-A9B4F18EB764}" name="2" totalsRowFunction="count" dataDxfId="870" totalsRowDxfId="30"/>
    <tableColumn id="4" xr3:uid="{04056ECB-5CCA-4811-AEA4-EE41A388DD99}" name="3" totalsRowFunction="count" dataDxfId="869" totalsRowDxfId="29"/>
    <tableColumn id="5" xr3:uid="{3D561CF6-DAB0-477F-8E6F-80F2CA9E8EF2}" name="4" totalsRowFunction="count" dataDxfId="868" totalsRowDxfId="28"/>
    <tableColumn id="6" xr3:uid="{27101FFA-C859-43FC-9290-DBEB5F00DFE9}" name="5" totalsRowFunction="count" dataDxfId="867" totalsRowDxfId="27"/>
    <tableColumn id="7" xr3:uid="{CBC46D99-B3CA-4871-B21E-358303873F59}" name="6" totalsRowFunction="count" dataDxfId="866" totalsRowDxfId="26"/>
    <tableColumn id="8" xr3:uid="{9E51C4BD-1298-4EE4-9A23-88906282A6DE}" name="7" totalsRowFunction="count" dataDxfId="865" totalsRowDxfId="25"/>
    <tableColumn id="9" xr3:uid="{D549BA8B-9C32-4148-B025-8A0A0808CE7E}" name="8" totalsRowFunction="count" dataDxfId="864" totalsRowDxfId="24"/>
    <tableColumn id="10" xr3:uid="{E3563FE4-F8C7-4BEC-8812-7D066F7556F6}" name="9" totalsRowFunction="count" dataDxfId="863" totalsRowDxfId="23"/>
    <tableColumn id="11" xr3:uid="{3B732570-3024-42E4-A4D7-3220D5A73B65}" name="10" totalsRowFunction="count" dataDxfId="862" totalsRowDxfId="22"/>
    <tableColumn id="12" xr3:uid="{CE0EC2E6-F381-4CD7-9045-B378B4E7A370}" name="11" totalsRowFunction="count" dataDxfId="861" totalsRowDxfId="21"/>
    <tableColumn id="13" xr3:uid="{4F4C3380-81D6-41D3-AE3E-9D91702BD10D}" name="12" totalsRowFunction="count" dataDxfId="860" totalsRowDxfId="20"/>
    <tableColumn id="14" xr3:uid="{2CB87932-2534-47B5-9996-F2BE976FA05C}" name="13" totalsRowFunction="count" dataDxfId="859" totalsRowDxfId="19"/>
    <tableColumn id="15" xr3:uid="{0310E7E4-3BAA-44EB-B37F-EBCE7E105F66}" name="14" totalsRowFunction="count" dataDxfId="858" totalsRowDxfId="18"/>
    <tableColumn id="16" xr3:uid="{1909A22A-0C37-409C-902D-FF2E32F14DDA}" name="15" totalsRowFunction="count" dataDxfId="857" totalsRowDxfId="17"/>
    <tableColumn id="17" xr3:uid="{A6D2B570-CF46-4479-B211-07B958A35E19}" name="16" totalsRowFunction="count" dataDxfId="856" totalsRowDxfId="16"/>
    <tableColumn id="18" xr3:uid="{E80491E6-C7B1-426A-8929-493B62537013}" name="17" totalsRowFunction="count" dataDxfId="855" totalsRowDxfId="15"/>
    <tableColumn id="19" xr3:uid="{BE71CEC4-111C-4CAE-A924-7AEFD469F0B7}" name="18" totalsRowFunction="count" dataDxfId="854" totalsRowDxfId="14"/>
    <tableColumn id="20" xr3:uid="{A6B62351-553F-49D4-9D02-31C830F2DBB4}" name="19" totalsRowFunction="count" dataDxfId="853" totalsRowDxfId="13"/>
    <tableColumn id="21" xr3:uid="{C99913B9-6ADB-45EB-BD64-5682BAE829D4}" name="20" totalsRowFunction="count" dataDxfId="852" totalsRowDxfId="12"/>
    <tableColumn id="22" xr3:uid="{B5F28801-D5B5-4E68-8F1F-99B25BF3CE40}" name="21" totalsRowFunction="count" dataDxfId="851" totalsRowDxfId="11"/>
    <tableColumn id="23" xr3:uid="{E2478718-1637-47DD-82BD-571323677211}" name="22" totalsRowFunction="count" dataDxfId="850" totalsRowDxfId="10"/>
    <tableColumn id="24" xr3:uid="{89361E2C-0EE9-4DD0-8999-D3FD54B779A2}" name="23" totalsRowFunction="count" dataDxfId="849" totalsRowDxfId="9"/>
    <tableColumn id="25" xr3:uid="{F4741614-8A74-4460-A41C-A7EA25959340}" name="24" totalsRowFunction="count" dataDxfId="848" totalsRowDxfId="8"/>
    <tableColumn id="26" xr3:uid="{4588727D-8D18-4C06-B419-F079E7FF9F0A}" name="25" totalsRowFunction="count" dataDxfId="847" totalsRowDxfId="7"/>
    <tableColumn id="27" xr3:uid="{2B5F63EF-D2D4-401A-9AB5-BDB50285ED35}" name="26" totalsRowFunction="count" dataDxfId="846" totalsRowDxfId="6"/>
    <tableColumn id="28" xr3:uid="{CF9A30E7-6D1C-46D0-A25A-877B270DA7F4}" name="27" totalsRowFunction="count" dataDxfId="845" totalsRowDxfId="5"/>
    <tableColumn id="29" xr3:uid="{997EFE9D-DC49-4603-928E-8E6DB2409231}" name="28" totalsRowFunction="count" dataDxfId="844" totalsRowDxfId="4"/>
    <tableColumn id="30" xr3:uid="{D6FA4F0F-53A3-41BF-82A1-70E2218E7A05}" name="29" totalsRowFunction="count" dataDxfId="843" totalsRowDxfId="3"/>
    <tableColumn id="31" xr3:uid="{904207E5-EEC2-4DB8-A9D9-AFBE44A880CC}" name="30" totalsRowFunction="count" dataDxfId="842" totalsRowDxfId="2"/>
    <tableColumn id="32" xr3:uid="{E7504BCE-030F-4E30-AF97-11F0A8E40DE5}" name="31" totalsRowFunction="count" dataDxfId="841" totalsRowDxfId="1"/>
    <tableColumn id="33" xr3:uid="{BEB4D295-1689-47F0-B0D7-61E3D9BE8CD2}" name="Total Days" totalsRowFunction="sum" dataDxfId="840" totalsRowDxfId="0">
      <calculatedColumnFormula>COUNTA(tblJanuary13[[#This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9A5A59C-B7AC-4518-A6A9-00B3272656BE}" name="tblJanuary1314" displayName="tblJanuary1314" ref="C6:AI12" totalsRowCount="1" headerRowDxfId="832">
  <tableColumns count="33">
    <tableColumn id="1" xr3:uid="{31A4E90B-3949-4347-9D43-116EAAE15CFA}" name="Le nom de l'employé" totalsRowFunction="custom" dataDxfId="831" totalsRowDxfId="429" totalsRowCellStyle="Normal 4">
      <totalsRowFormula>MonthName&amp;" Total"</totalsRowFormula>
    </tableColumn>
    <tableColumn id="2" xr3:uid="{BE333139-C6EA-47DC-B9FA-DACCC61DF34A}" name="1" totalsRowFunction="count" dataDxfId="830" totalsRowDxfId="428" totalsRowCellStyle="Normal 4"/>
    <tableColumn id="3" xr3:uid="{D18E5A13-2284-4007-8077-FD61F6816840}" name="2" totalsRowFunction="count" dataDxfId="829" totalsRowDxfId="427" totalsRowCellStyle="Normal 4"/>
    <tableColumn id="4" xr3:uid="{F4D75550-4E31-41F3-AAE2-A363505395B2}" name="3" totalsRowFunction="count" dataDxfId="828" totalsRowDxfId="426" totalsRowCellStyle="Normal 4"/>
    <tableColumn id="5" xr3:uid="{78CB4644-067D-44F5-A999-AAC1825BC8B5}" name="4" totalsRowFunction="count" dataDxfId="827" totalsRowDxfId="425" totalsRowCellStyle="Normal 4"/>
    <tableColumn id="6" xr3:uid="{EECE4B33-DDD2-402F-9429-F1B154E71F74}" name="5" totalsRowFunction="count" dataDxfId="826" totalsRowDxfId="424" totalsRowCellStyle="Normal 4"/>
    <tableColumn id="7" xr3:uid="{D4BFC227-D109-4DEE-94DE-0AB1E832EC5C}" name="6" totalsRowFunction="count" dataDxfId="825" totalsRowDxfId="423" totalsRowCellStyle="Normal 4"/>
    <tableColumn id="8" xr3:uid="{16E1FEDE-E562-4257-90CF-7FA2DF28803C}" name="7" totalsRowFunction="count" dataDxfId="824" totalsRowDxfId="422" totalsRowCellStyle="Normal 4"/>
    <tableColumn id="9" xr3:uid="{1EC53D0A-0B04-42ED-BEB9-B5236438B4EC}" name="8" totalsRowFunction="count" dataDxfId="823" totalsRowDxfId="421" totalsRowCellStyle="Normal 4"/>
    <tableColumn id="10" xr3:uid="{CFE582EA-7AB2-429B-B90A-02CE2D8C77A0}" name="9" totalsRowFunction="count" dataDxfId="822" totalsRowDxfId="420" totalsRowCellStyle="Normal 4"/>
    <tableColumn id="11" xr3:uid="{DD34BE61-2FD5-4C0A-A4C2-22A895C003CD}" name="10" totalsRowFunction="count" dataDxfId="821" totalsRowDxfId="419" totalsRowCellStyle="Normal 4"/>
    <tableColumn id="12" xr3:uid="{7A0FEA46-AAE0-4BAD-9F0D-51E6EF30904B}" name="11" totalsRowFunction="count" dataDxfId="820" totalsRowDxfId="418" totalsRowCellStyle="Normal 4"/>
    <tableColumn id="13" xr3:uid="{95154A15-4037-4AC7-8D2F-4F7C3B5F4C12}" name="12" totalsRowFunction="count" dataDxfId="819" totalsRowDxfId="417" totalsRowCellStyle="Normal 4"/>
    <tableColumn id="14" xr3:uid="{52332D54-5C8E-4F06-98FB-01744639CB7E}" name="13" totalsRowFunction="count" dataDxfId="818" totalsRowDxfId="416" totalsRowCellStyle="Normal 4"/>
    <tableColumn id="15" xr3:uid="{069CEBC3-D4D7-465C-9834-612004E9D29C}" name="14" totalsRowFunction="count" dataDxfId="817" totalsRowDxfId="415" totalsRowCellStyle="Normal 4"/>
    <tableColumn id="16" xr3:uid="{3D883E0C-A8A3-452D-9516-FCE7D76B61C0}" name="15" totalsRowFunction="count" dataDxfId="816" totalsRowDxfId="414" totalsRowCellStyle="Normal 4"/>
    <tableColumn id="17" xr3:uid="{7B9DF308-887E-4056-920B-56D603B07684}" name="16" totalsRowFunction="count" dataDxfId="815" totalsRowDxfId="413" totalsRowCellStyle="Normal 4"/>
    <tableColumn id="18" xr3:uid="{B5A06F00-929B-468C-9F2B-2AE488229120}" name="17" totalsRowFunction="count" dataDxfId="814" totalsRowDxfId="412" totalsRowCellStyle="Normal 4"/>
    <tableColumn id="19" xr3:uid="{1BEA9CF3-6C6C-4A40-B4C1-18BEA0834E7A}" name="18" totalsRowFunction="count" dataDxfId="813" totalsRowDxfId="411" totalsRowCellStyle="Normal 4"/>
    <tableColumn id="20" xr3:uid="{D18497D8-24D7-4B68-A053-0D7BEE0DB536}" name="19" totalsRowFunction="count" dataDxfId="812" totalsRowDxfId="410" totalsRowCellStyle="Normal 4"/>
    <tableColumn id="21" xr3:uid="{9FEBC639-05F2-44AB-9D33-E1E28EAD4825}" name="20" totalsRowFunction="count" dataDxfId="811" totalsRowDxfId="409" totalsRowCellStyle="Normal 4"/>
    <tableColumn id="22" xr3:uid="{F569CB30-51DB-42D3-BD08-C090A956BD48}" name="21" totalsRowFunction="count" dataDxfId="810" totalsRowDxfId="408" totalsRowCellStyle="Normal 4"/>
    <tableColumn id="23" xr3:uid="{C673146A-6A6F-4CEC-B819-85AA70886515}" name="22" totalsRowFunction="count" dataDxfId="809" totalsRowDxfId="407" totalsRowCellStyle="Normal 4"/>
    <tableColumn id="24" xr3:uid="{38435C70-9EB4-40DA-A088-7C267EA289A8}" name="23" totalsRowFunction="count" dataDxfId="808" totalsRowDxfId="406" totalsRowCellStyle="Normal 4"/>
    <tableColumn id="25" xr3:uid="{DED42344-8B3A-41BA-91B4-9CCE6A231BA4}" name="24" totalsRowFunction="count" dataDxfId="807" totalsRowDxfId="405" totalsRowCellStyle="Normal 4"/>
    <tableColumn id="26" xr3:uid="{1F467106-96F8-4E0F-857B-7BA5D6D29465}" name="25" totalsRowFunction="count" dataDxfId="806" totalsRowDxfId="404" totalsRowCellStyle="Normal 4"/>
    <tableColumn id="27" xr3:uid="{D6A4E54D-0B50-4C77-8E96-A6B665488526}" name="26" totalsRowFunction="count" dataDxfId="805" totalsRowDxfId="403" totalsRowCellStyle="Normal 4"/>
    <tableColumn id="28" xr3:uid="{13CBB722-6237-4ECD-88C1-F08F4D8327D9}" name="27" totalsRowFunction="count" dataDxfId="804" totalsRowDxfId="402" totalsRowCellStyle="Normal 4"/>
    <tableColumn id="29" xr3:uid="{33BD29D8-9145-4290-ABEC-0C6A9DB6EEFA}" name="28" totalsRowFunction="count" dataDxfId="803" totalsRowDxfId="401" totalsRowCellStyle="Normal 4"/>
    <tableColumn id="30" xr3:uid="{A4988B6E-A3B4-4E4C-9624-C901514067F7}" name="29" totalsRowFunction="count" dataDxfId="802" totalsRowDxfId="400" totalsRowCellStyle="Normal 4"/>
    <tableColumn id="31" xr3:uid="{AF0CEA34-FE49-47B8-877E-E4D4CA3F9680}" name="30" totalsRowFunction="count" dataDxfId="801" totalsRowDxfId="399" totalsRowCellStyle="Normal 4"/>
    <tableColumn id="32" xr3:uid="{5D623F6A-6D2F-4151-B07E-F0523838960E}" name="31" totalsRowFunction="count" dataDxfId="800" totalsRowDxfId="398" totalsRowCellStyle="Normal 4"/>
    <tableColumn id="33" xr3:uid="{4BC57E61-43F8-4BD4-9882-187089D1A0B0}" name="Total Days" totalsRowFunction="sum" dataDxfId="799" totalsRowDxfId="397" totalsRowCellStyle="Normal 4">
      <calculatedColumnFormula>COUNTA(tblJanuary1314[[#This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7E5CEAD-AB41-40B2-8901-7A4A60BBD983}" name="tblJanuary131415" displayName="tblJanuary131415" ref="C6:AI12" totalsRowCount="1" headerRowDxfId="791">
  <tableColumns count="33">
    <tableColumn id="1" xr3:uid="{34828574-5197-4CEE-9924-9629B9AC8750}" name="Le nom de l'employé" totalsRowFunction="custom" dataDxfId="790" totalsRowDxfId="396" totalsRowCellStyle="Normal 4">
      <totalsRowFormula>MonthName&amp;" Total"</totalsRowFormula>
    </tableColumn>
    <tableColumn id="2" xr3:uid="{A0329D8F-559C-48A0-B875-2666C219A365}" name="1" totalsRowFunction="count" dataDxfId="789" totalsRowDxfId="395" totalsRowCellStyle="Normal 4"/>
    <tableColumn id="3" xr3:uid="{87712FE3-C26E-40EC-851F-49D739772B8A}" name="2" totalsRowFunction="count" dataDxfId="788" totalsRowDxfId="394" totalsRowCellStyle="Normal 4"/>
    <tableColumn id="4" xr3:uid="{9B89C7FD-7B7F-4E80-8F0A-093CDD7A9EA4}" name="3" totalsRowFunction="count" dataDxfId="787" totalsRowDxfId="393" totalsRowCellStyle="Normal 4"/>
    <tableColumn id="5" xr3:uid="{2D776BAE-21EF-4A4C-878E-4AE1CB7E772F}" name="4" totalsRowFunction="count" dataDxfId="786" totalsRowDxfId="392" totalsRowCellStyle="Normal 4"/>
    <tableColumn id="6" xr3:uid="{1816789D-3170-4D0D-811E-C3CBF72B7EBC}" name="5" totalsRowFunction="count" dataDxfId="785" totalsRowDxfId="391" totalsRowCellStyle="Normal 4"/>
    <tableColumn id="7" xr3:uid="{20689D7D-EFA4-4639-A357-3B6C76EA214C}" name="6" totalsRowFunction="count" dataDxfId="784" totalsRowDxfId="390" totalsRowCellStyle="Normal 4"/>
    <tableColumn id="8" xr3:uid="{F01B6641-89E6-4A3A-A2F0-B2A748F4B7EE}" name="7" totalsRowFunction="count" dataDxfId="783" totalsRowDxfId="389" totalsRowCellStyle="Normal 4"/>
    <tableColumn id="9" xr3:uid="{5046B40D-6357-44C5-A1D4-2B4665349EFE}" name="8" totalsRowFunction="count" dataDxfId="782" totalsRowDxfId="388" totalsRowCellStyle="Normal 4"/>
    <tableColumn id="10" xr3:uid="{D7A2773F-581C-4DDB-9C4A-A28DE06BEB3F}" name="9" totalsRowFunction="count" dataDxfId="781" totalsRowDxfId="387" totalsRowCellStyle="Normal 4"/>
    <tableColumn id="11" xr3:uid="{370A09EF-B2CD-40F6-A06C-8925B5294AB6}" name="10" totalsRowFunction="count" dataDxfId="780" totalsRowDxfId="386" totalsRowCellStyle="Normal 4"/>
    <tableColumn id="12" xr3:uid="{385A8F60-6AD4-4B09-9676-928B18E0C6B8}" name="11" totalsRowFunction="count" dataDxfId="779" totalsRowDxfId="385" totalsRowCellStyle="Normal 4"/>
    <tableColumn id="13" xr3:uid="{C98D85BF-8B52-4D40-9C08-4D290AF22ECD}" name="12" totalsRowFunction="count" dataDxfId="778" totalsRowDxfId="384" totalsRowCellStyle="Normal 4"/>
    <tableColumn id="14" xr3:uid="{2F13BB67-791B-4282-9246-4F83D39F6742}" name="13" totalsRowFunction="count" dataDxfId="777" totalsRowDxfId="383" totalsRowCellStyle="Normal 4"/>
    <tableColumn id="15" xr3:uid="{A94DC91F-45A3-481E-9F7A-B7A449D952BA}" name="14" totalsRowFunction="count" dataDxfId="776" totalsRowDxfId="382" totalsRowCellStyle="Normal 4"/>
    <tableColumn id="16" xr3:uid="{AB1E66CA-C07E-4572-9CA0-5B7FF41A578C}" name="15" totalsRowFunction="count" dataDxfId="775" totalsRowDxfId="381" totalsRowCellStyle="Normal 4"/>
    <tableColumn id="17" xr3:uid="{D136B3DD-D302-467C-9EB0-2BF72F27B98D}" name="16" totalsRowFunction="count" dataDxfId="774" totalsRowDxfId="380" totalsRowCellStyle="Normal 4"/>
    <tableColumn id="18" xr3:uid="{8DDBFD99-2EE3-4133-990E-DBB7F5B49267}" name="17" totalsRowFunction="count" dataDxfId="773" totalsRowDxfId="379" totalsRowCellStyle="Normal 4"/>
    <tableColumn id="19" xr3:uid="{0E70FD07-8EC0-4F28-98F1-63B8D22A3701}" name="18" totalsRowFunction="count" dataDxfId="772" totalsRowDxfId="378" totalsRowCellStyle="Normal 4"/>
    <tableColumn id="20" xr3:uid="{D1074702-122D-4C0A-B899-C4DDC7C155E0}" name="19" totalsRowFunction="count" dataDxfId="771" totalsRowDxfId="377" totalsRowCellStyle="Normal 4"/>
    <tableColumn id="21" xr3:uid="{93AF113E-AB5B-416C-A2C8-CE193E909516}" name="20" totalsRowFunction="count" dataDxfId="770" totalsRowDxfId="376" totalsRowCellStyle="Normal 4"/>
    <tableColumn id="22" xr3:uid="{3C5F2E23-EC4C-4373-B795-EBCEEBD542DA}" name="21" totalsRowFunction="count" dataDxfId="769" totalsRowDxfId="375" totalsRowCellStyle="Normal 4"/>
    <tableColumn id="23" xr3:uid="{E55FA22B-BD80-43DA-A758-2C9291A6D383}" name="22" totalsRowFunction="count" dataDxfId="768" totalsRowDxfId="374" totalsRowCellStyle="Normal 4"/>
    <tableColumn id="24" xr3:uid="{B92B35DD-33D4-4C26-9A91-FA06A618E4CB}" name="23" totalsRowFunction="count" dataDxfId="767" totalsRowDxfId="373" totalsRowCellStyle="Normal 4"/>
    <tableColumn id="25" xr3:uid="{EAB08788-E3C8-48E7-A2B7-293A12EA86EB}" name="24" totalsRowFunction="count" dataDxfId="766" totalsRowDxfId="372" totalsRowCellStyle="Normal 4"/>
    <tableColumn id="26" xr3:uid="{E394424F-7912-43B9-8619-8143BC510D15}" name="25" totalsRowFunction="count" dataDxfId="765" totalsRowDxfId="371" totalsRowCellStyle="Normal 4"/>
    <tableColumn id="27" xr3:uid="{32C797CF-5E7B-4926-99DE-1377C388AA8D}" name="26" totalsRowFunction="count" dataDxfId="764" totalsRowDxfId="370" totalsRowCellStyle="Normal 4"/>
    <tableColumn id="28" xr3:uid="{F93A86A0-2952-435E-BFB3-11A3EC0254F9}" name="27" totalsRowFunction="count" dataDxfId="763" totalsRowDxfId="369" totalsRowCellStyle="Normal 4"/>
    <tableColumn id="29" xr3:uid="{24A6724B-4903-4A7F-ABED-C4281E7575E5}" name="28" totalsRowFunction="count" dataDxfId="762" totalsRowDxfId="368" totalsRowCellStyle="Normal 4"/>
    <tableColumn id="30" xr3:uid="{CABA50C6-29B3-40BB-AC4F-5F4690898F5A}" name="29" totalsRowFunction="count" dataDxfId="761" totalsRowDxfId="367" totalsRowCellStyle="Normal 4"/>
    <tableColumn id="31" xr3:uid="{05937F6A-015C-49F1-8A4E-F915FC865F13}" name="30" totalsRowFunction="count" dataDxfId="760" totalsRowDxfId="366" totalsRowCellStyle="Normal 4"/>
    <tableColumn id="32" xr3:uid="{3243190C-5696-4DE6-AA08-D19FE8D94A86}" name="31" totalsRowFunction="count" dataDxfId="759" totalsRowDxfId="365" totalsRowCellStyle="Normal 4"/>
    <tableColumn id="33" xr3:uid="{0C711CC4-A037-4C3F-A559-D847C5B3B90D}" name="Total Days" totalsRowFunction="sum" dataDxfId="758" totalsRowDxfId="364" totalsRowCellStyle="Normal 4">
      <calculatedColumnFormula>COUNTA(tblJanuary131415[[#This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D4BBB6-9E83-4E92-A3D8-445F7FC55CF3}" name="tblJanuary13141516" displayName="tblJanuary13141516" ref="C6:AI12" totalsRowCount="1" headerRowDxfId="750">
  <tableColumns count="33">
    <tableColumn id="1" xr3:uid="{A42FC15B-8C4C-4A07-8BF0-BA51A443E4EA}" name="Le nom de l'employé" totalsRowFunction="custom" dataDxfId="749" totalsRowDxfId="363" totalsRowCellStyle="Normal 4">
      <totalsRowFormula>MonthName&amp;" Total"</totalsRowFormula>
    </tableColumn>
    <tableColumn id="2" xr3:uid="{73F80EAD-00F9-454D-906F-69D6E90FF8AC}" name="1" totalsRowFunction="count" dataDxfId="748" totalsRowDxfId="362" totalsRowCellStyle="Normal 4"/>
    <tableColumn id="3" xr3:uid="{1828096D-BDC5-48C9-AABA-8BAF6A75FADC}" name="2" totalsRowFunction="count" dataDxfId="747" totalsRowDxfId="361" totalsRowCellStyle="Normal 4"/>
    <tableColumn id="4" xr3:uid="{9C5995BF-79A5-4508-8CE1-36A9C596BFAF}" name="3" totalsRowFunction="count" dataDxfId="746" totalsRowDxfId="360" totalsRowCellStyle="Normal 4"/>
    <tableColumn id="5" xr3:uid="{C2213FD0-26E3-4E17-8A9A-90A9DAE8F2AB}" name="4" totalsRowFunction="count" dataDxfId="745" totalsRowDxfId="359" totalsRowCellStyle="Normal 4"/>
    <tableColumn id="6" xr3:uid="{316AE90C-E705-4F68-97F0-EBCB4CCDA95B}" name="5" totalsRowFunction="count" dataDxfId="744" totalsRowDxfId="358" totalsRowCellStyle="Normal 4"/>
    <tableColumn id="7" xr3:uid="{87A0E169-C192-46DE-83F9-E782401B165B}" name="6" totalsRowFunction="count" dataDxfId="743" totalsRowDxfId="357" totalsRowCellStyle="Normal 4"/>
    <tableColumn id="8" xr3:uid="{2762E797-7108-4AF0-9B29-E217A3FDCE34}" name="7" totalsRowFunction="count" dataDxfId="742" totalsRowDxfId="356" totalsRowCellStyle="Normal 4"/>
    <tableColumn id="9" xr3:uid="{330C6F5C-4997-4E44-86DB-6725023B2056}" name="8" totalsRowFunction="count" dataDxfId="741" totalsRowDxfId="355" totalsRowCellStyle="Normal 4"/>
    <tableColumn id="10" xr3:uid="{192CDB1B-3F13-4D66-A3BE-488BC53018A0}" name="9" totalsRowFunction="count" dataDxfId="740" totalsRowDxfId="354" totalsRowCellStyle="Normal 4"/>
    <tableColumn id="11" xr3:uid="{EC0F3953-7E3A-4988-86AA-4F085B0F8899}" name="10" totalsRowFunction="count" dataDxfId="739" totalsRowDxfId="353" totalsRowCellStyle="Normal 4"/>
    <tableColumn id="12" xr3:uid="{BDB957F8-7C59-45FA-9923-CE948F87D31B}" name="11" totalsRowFunction="count" dataDxfId="738" totalsRowDxfId="352" totalsRowCellStyle="Normal 4"/>
    <tableColumn id="13" xr3:uid="{8A4206A1-41F0-4B00-9F54-4F4C9183167F}" name="12" totalsRowFunction="count" dataDxfId="737" totalsRowDxfId="351" totalsRowCellStyle="Normal 4"/>
    <tableColumn id="14" xr3:uid="{F927E4AA-1DA3-4671-BC62-C490C76E46DB}" name="13" totalsRowFunction="count" dataDxfId="736" totalsRowDxfId="350" totalsRowCellStyle="Normal 4"/>
    <tableColumn id="15" xr3:uid="{0A947329-F584-4204-81FD-1EF1444BC200}" name="14" totalsRowFunction="count" dataDxfId="735" totalsRowDxfId="349" totalsRowCellStyle="Normal 4"/>
    <tableColumn id="16" xr3:uid="{1D91F78B-03DA-4228-83D0-578FD1BE01CB}" name="15" totalsRowFunction="count" dataDxfId="734" totalsRowDxfId="348" totalsRowCellStyle="Normal 4"/>
    <tableColumn id="17" xr3:uid="{8EC5A7DF-C1E4-4508-AC0C-EF805AB2CCC0}" name="16" totalsRowFunction="count" dataDxfId="733" totalsRowDxfId="347" totalsRowCellStyle="Normal 4"/>
    <tableColumn id="18" xr3:uid="{7A0CFEF1-DA95-4B8E-89C3-01FA7943E68C}" name="17" totalsRowFunction="count" dataDxfId="732" totalsRowDxfId="346" totalsRowCellStyle="Normal 4"/>
    <tableColumn id="19" xr3:uid="{30D27E56-09AD-41FA-9C9C-BA4D092254E5}" name="18" totalsRowFunction="count" dataDxfId="731" totalsRowDxfId="345" totalsRowCellStyle="Normal 4"/>
    <tableColumn id="20" xr3:uid="{9509EE1A-6FB9-4EEE-B73F-9AD9A321A63B}" name="19" totalsRowFunction="count" dataDxfId="730" totalsRowDxfId="344" totalsRowCellStyle="Normal 4"/>
    <tableColumn id="21" xr3:uid="{F6CDD2D3-6570-4CDC-B7FE-53D89EA1D66F}" name="20" totalsRowFunction="count" dataDxfId="729" totalsRowDxfId="343" totalsRowCellStyle="Normal 4"/>
    <tableColumn id="22" xr3:uid="{EDF9CF3D-16FD-49F0-A827-7114FF14505F}" name="21" totalsRowFunction="count" dataDxfId="728" totalsRowDxfId="342" totalsRowCellStyle="Normal 4"/>
    <tableColumn id="23" xr3:uid="{569D4171-D2C8-4338-9A58-7FD84A4A20F2}" name="22" totalsRowFunction="count" dataDxfId="727" totalsRowDxfId="341" totalsRowCellStyle="Normal 4"/>
    <tableColumn id="24" xr3:uid="{DFD10362-F8EF-45A7-94A3-092EDADD91A4}" name="23" totalsRowFunction="count" dataDxfId="726" totalsRowDxfId="340" totalsRowCellStyle="Normal 4"/>
    <tableColumn id="25" xr3:uid="{5CB9BCE2-72C0-4D43-BDDE-6CB71EFAA7F1}" name="24" totalsRowFunction="count" dataDxfId="725" totalsRowDxfId="339" totalsRowCellStyle="Normal 4"/>
    <tableColumn id="26" xr3:uid="{4ECB3996-BBE0-47A7-A9FD-716C9ED94CFC}" name="25" totalsRowFunction="count" dataDxfId="724" totalsRowDxfId="338" totalsRowCellStyle="Normal 4"/>
    <tableColumn id="27" xr3:uid="{125BB016-534C-49E4-959B-72A887D7B716}" name="26" totalsRowFunction="count" dataDxfId="723" totalsRowDxfId="337" totalsRowCellStyle="Normal 4"/>
    <tableColumn id="28" xr3:uid="{AD9F8BFB-A527-4D28-A169-91345A4C147F}" name="27" totalsRowFunction="count" dataDxfId="722" totalsRowDxfId="336" totalsRowCellStyle="Normal 4"/>
    <tableColumn id="29" xr3:uid="{20A0B6AB-B0AD-4473-A233-7B0A15A643E7}" name="28" totalsRowFunction="count" dataDxfId="721" totalsRowDxfId="335" totalsRowCellStyle="Normal 4"/>
    <tableColumn id="30" xr3:uid="{5EC5ECC6-E32A-4189-B03D-037A3B1408D4}" name="29" totalsRowFunction="count" dataDxfId="720" totalsRowDxfId="334" totalsRowCellStyle="Normal 4"/>
    <tableColumn id="31" xr3:uid="{F3C83C0A-0A30-484A-AE91-EBB36B6410AA}" name="30" totalsRowFunction="count" dataDxfId="719" totalsRowDxfId="333" totalsRowCellStyle="Normal 4"/>
    <tableColumn id="32" xr3:uid="{DC609DC5-8E4C-4E48-BC73-C233D8C9AB56}" name="31" totalsRowFunction="count" dataDxfId="718" totalsRowDxfId="332" totalsRowCellStyle="Normal 4"/>
    <tableColumn id="33" xr3:uid="{2485B228-8EA2-4A86-9D1A-1CBB0EAF0280}" name="Total Days" totalsRowFunction="sum" dataDxfId="717" totalsRowDxfId="331" totalsRowCellStyle="Normal 4">
      <calculatedColumnFormula>COUNTA(tblJanuary13141516[[#This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3C6BB-DC8A-428A-8621-68665CCC49B3}" name="tblJanuary1314151617" displayName="tblJanuary1314151617" ref="C6:AI12" totalsRowCount="1" headerRowDxfId="709">
  <tableColumns count="33">
    <tableColumn id="1" xr3:uid="{728CAC76-5C68-4BD0-AD6E-27B7FE9DFB91}" name="Le nom de l'employé" totalsRowFunction="custom" dataDxfId="708" totalsRowDxfId="65" totalsRowCellStyle="Normal 4">
      <totalsRowFormula>MonthName&amp;" Total"</totalsRowFormula>
    </tableColumn>
    <tableColumn id="2" xr3:uid="{1AC1C60C-6B5B-4311-8F62-D3E93DA8A9A9}" name="1" totalsRowFunction="count" dataDxfId="707" totalsRowDxfId="64" totalsRowCellStyle="Normal 4"/>
    <tableColumn id="3" xr3:uid="{CDEB32B7-CCEA-4B16-9E6D-74ADDE0D3E07}" name="2" totalsRowFunction="count" dataDxfId="706" totalsRowDxfId="63" totalsRowCellStyle="Normal 4"/>
    <tableColumn id="4" xr3:uid="{09BF4800-2981-408A-AC3A-32D1AD6B9972}" name="3" totalsRowFunction="count" dataDxfId="705" totalsRowDxfId="62" totalsRowCellStyle="Normal 4"/>
    <tableColumn id="5" xr3:uid="{9F2684C1-BE1E-4334-AEAB-0F25A874414B}" name="4" totalsRowFunction="count" dataDxfId="704" totalsRowDxfId="61" totalsRowCellStyle="Normal 4"/>
    <tableColumn id="6" xr3:uid="{F22D441D-079F-49DB-88F6-77541F08EAFE}" name="5" totalsRowFunction="count" dataDxfId="703" totalsRowDxfId="60" totalsRowCellStyle="Normal 4"/>
    <tableColumn id="7" xr3:uid="{462912C8-13E6-4949-B303-5AB06DDF1516}" name="6" totalsRowFunction="count" dataDxfId="702" totalsRowDxfId="59" totalsRowCellStyle="Normal 4"/>
    <tableColumn id="8" xr3:uid="{A496D6AB-5523-4339-9C78-230B01ADCFA0}" name="7" totalsRowFunction="count" dataDxfId="701" totalsRowDxfId="58" totalsRowCellStyle="Normal 4"/>
    <tableColumn id="9" xr3:uid="{2768E7AE-174A-4A52-9A63-F44BE1F816AC}" name="8" totalsRowFunction="count" dataDxfId="700" totalsRowDxfId="57" totalsRowCellStyle="Normal 4"/>
    <tableColumn id="10" xr3:uid="{8275637F-FEAA-4C12-910F-24FD5A12C564}" name="9" totalsRowFunction="count" dataDxfId="699" totalsRowDxfId="56" totalsRowCellStyle="Normal 4"/>
    <tableColumn id="11" xr3:uid="{2E9C639B-674F-45B9-928E-CF032D6A3985}" name="10" totalsRowFunction="count" dataDxfId="698" totalsRowDxfId="55" totalsRowCellStyle="Normal 4"/>
    <tableColumn id="12" xr3:uid="{496B1542-0DF8-44DD-B934-5385C0D56178}" name="11" totalsRowFunction="count" dataDxfId="697" totalsRowDxfId="54" totalsRowCellStyle="Normal 4"/>
    <tableColumn id="13" xr3:uid="{BECE963D-9CF7-408F-9A4A-3173B6AB4882}" name="12" totalsRowFunction="count" dataDxfId="696" totalsRowDxfId="53" totalsRowCellStyle="Normal 4"/>
    <tableColumn id="14" xr3:uid="{E46D5C8D-578B-4730-BECC-96E50A31BBE8}" name="13" totalsRowFunction="count" dataDxfId="695" totalsRowDxfId="52" totalsRowCellStyle="Normal 4"/>
    <tableColumn id="15" xr3:uid="{2CA35B07-8C93-4041-82D0-16CAC29B851F}" name="14" totalsRowFunction="count" dataDxfId="694" totalsRowDxfId="51" totalsRowCellStyle="Normal 4"/>
    <tableColumn id="16" xr3:uid="{7090404C-0F04-4A39-80B8-A5162556D53B}" name="15" totalsRowFunction="count" dataDxfId="693" totalsRowDxfId="50" totalsRowCellStyle="Normal 4"/>
    <tableColumn id="17" xr3:uid="{E0169104-1BA8-44C5-8076-F7A8B63A227D}" name="16" totalsRowFunction="count" dataDxfId="692" totalsRowDxfId="49" totalsRowCellStyle="Normal 4"/>
    <tableColumn id="18" xr3:uid="{729DCD68-A617-4B99-AF50-741A5663C971}" name="17" totalsRowFunction="count" dataDxfId="691" totalsRowDxfId="48" totalsRowCellStyle="Normal 4"/>
    <tableColumn id="19" xr3:uid="{CCFB9268-52D5-44A0-A6D5-AE912028909A}" name="18" totalsRowFunction="count" dataDxfId="690" totalsRowDxfId="47" totalsRowCellStyle="Normal 4"/>
    <tableColumn id="20" xr3:uid="{BD3B7D5E-D023-4B15-8F13-53A7A4A5A23C}" name="19" totalsRowFunction="count" dataDxfId="689" totalsRowDxfId="46" totalsRowCellStyle="Normal 4"/>
    <tableColumn id="21" xr3:uid="{8BF2374F-1906-4CF5-9F28-9F7A52A4BC37}" name="20" totalsRowFunction="count" dataDxfId="688" totalsRowDxfId="45" totalsRowCellStyle="Normal 4"/>
    <tableColumn id="22" xr3:uid="{32C97809-4C28-40E0-B906-90619C8256CD}" name="21" totalsRowFunction="count" dataDxfId="687" totalsRowDxfId="44" totalsRowCellStyle="Normal 4"/>
    <tableColumn id="23" xr3:uid="{D3CF3386-3D6F-41D2-A729-FB047D300E18}" name="22" totalsRowFunction="count" dataDxfId="686" totalsRowDxfId="43" totalsRowCellStyle="Normal 4"/>
    <tableColumn id="24" xr3:uid="{733D18FF-A955-49E7-8535-1DD917A06F07}" name="23" totalsRowFunction="count" dataDxfId="685" totalsRowDxfId="42" totalsRowCellStyle="Normal 4"/>
    <tableColumn id="25" xr3:uid="{F172DBB2-9B05-4D00-9B7B-21574BC57454}" name="24" totalsRowFunction="count" dataDxfId="684" totalsRowDxfId="41" totalsRowCellStyle="Normal 4"/>
    <tableColumn id="26" xr3:uid="{0DC0F843-F370-4734-900B-653212573254}" name="25" totalsRowFunction="count" dataDxfId="683" totalsRowDxfId="40" totalsRowCellStyle="Normal 4"/>
    <tableColumn id="27" xr3:uid="{B38A6F8D-C06F-421F-93E2-2980D0EB159E}" name="26" totalsRowFunction="count" dataDxfId="682" totalsRowDxfId="39" totalsRowCellStyle="Normal 4"/>
    <tableColumn id="28" xr3:uid="{5E06D78A-A008-4BA8-9FB0-68C88BAD687B}" name="27" totalsRowFunction="count" dataDxfId="681" totalsRowDxfId="38" totalsRowCellStyle="Normal 4"/>
    <tableColumn id="29" xr3:uid="{9E99DB3A-6BEA-437E-8F12-33A9D59256ED}" name="28" totalsRowFunction="count" dataDxfId="680" totalsRowDxfId="37" totalsRowCellStyle="Normal 4"/>
    <tableColumn id="30" xr3:uid="{5950CAF5-0721-4E98-B60C-F335548B125E}" name="29" totalsRowFunction="count" dataDxfId="679" totalsRowDxfId="36" totalsRowCellStyle="Normal 4"/>
    <tableColumn id="31" xr3:uid="{D000132D-AF13-43A9-B7A5-1441D545E2EA}" name="30" totalsRowFunction="count" dataDxfId="678" totalsRowDxfId="35" totalsRowCellStyle="Normal 4"/>
    <tableColumn id="32" xr3:uid="{9A61169B-59A8-4ABB-87EE-C85B9060D8C6}" name="31" totalsRowFunction="count" dataDxfId="677" totalsRowDxfId="34" totalsRowCellStyle="Normal 4"/>
    <tableColumn id="33" xr3:uid="{1B119181-0437-4F17-9F5A-CE5ABDA8AA4D}" name="Total Days" totalsRowFunction="sum" dataDxfId="676" totalsRowDxfId="33" totalsRowCellStyle="Normal 4">
      <calculatedColumnFormula>COUNTA(tblJanuary1314151617[[#This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8B10FECC-C084-48F2-933B-23AAC30C5BDF}" name="tblJanuary131415161718" displayName="tblJanuary131415161718" ref="C6:AI12" totalsRowCount="1" headerRowDxfId="668">
  <tableColumns count="33">
    <tableColumn id="1" xr3:uid="{0DD139B3-4613-4096-896A-771E9D66F9FB}" name="Le nom de l'employé" totalsRowFunction="custom" dataDxfId="667" totalsRowDxfId="330" totalsRowCellStyle="Normal 4">
      <totalsRowFormula>MonthName&amp;" Total"</totalsRowFormula>
    </tableColumn>
    <tableColumn id="2" xr3:uid="{9DBB2D93-E696-4AB0-B3B2-B5CD0B6D335E}" name="1" totalsRowFunction="count" dataDxfId="666" totalsRowDxfId="329" totalsRowCellStyle="Normal 4"/>
    <tableColumn id="3" xr3:uid="{855B8429-64B8-48DE-BDD2-6642B354E50F}" name="2" totalsRowFunction="count" dataDxfId="665" totalsRowDxfId="328" totalsRowCellStyle="Normal 4"/>
    <tableColumn id="4" xr3:uid="{8AA82B54-DB6F-42F0-8EBC-153D95E49CF0}" name="3" totalsRowFunction="count" dataDxfId="664" totalsRowDxfId="327" totalsRowCellStyle="Normal 4"/>
    <tableColumn id="5" xr3:uid="{54AFCF30-A506-40B2-80DC-7C49BE916A30}" name="4" totalsRowFunction="count" dataDxfId="663" totalsRowDxfId="326" totalsRowCellStyle="Normal 4"/>
    <tableColumn id="6" xr3:uid="{3A8F2B63-C6DC-408E-80B1-F71CD038C885}" name="5" totalsRowFunction="count" dataDxfId="662" totalsRowDxfId="325" totalsRowCellStyle="Normal 4"/>
    <tableColumn id="7" xr3:uid="{FD717BC7-661E-4056-8E03-4B4643466641}" name="6" totalsRowFunction="count" dataDxfId="661" totalsRowDxfId="324" totalsRowCellStyle="Normal 4"/>
    <tableColumn id="8" xr3:uid="{38F1972C-188C-47B8-B286-DEFA191CC2CE}" name="7" totalsRowFunction="count" dataDxfId="660" totalsRowDxfId="323" totalsRowCellStyle="Normal 4"/>
    <tableColumn id="9" xr3:uid="{C0177992-5444-4B07-926C-C89C41495F62}" name="8" totalsRowFunction="count" dataDxfId="659" totalsRowDxfId="322" totalsRowCellStyle="Normal 4"/>
    <tableColumn id="10" xr3:uid="{F1D84899-AD21-4F09-84A9-DCBF6AD82011}" name="9" totalsRowFunction="count" dataDxfId="658" totalsRowDxfId="321" totalsRowCellStyle="Normal 4"/>
    <tableColumn id="11" xr3:uid="{76FC8C2B-BFCB-471C-8520-DD088B4A45BF}" name="10" totalsRowFunction="count" dataDxfId="657" totalsRowDxfId="320" totalsRowCellStyle="Normal 4"/>
    <tableColumn id="12" xr3:uid="{7FC339A1-93A7-4526-A617-243060846AB7}" name="11" totalsRowFunction="count" dataDxfId="656" totalsRowDxfId="319" totalsRowCellStyle="Normal 4"/>
    <tableColumn id="13" xr3:uid="{9E2F0EC6-90ED-4B61-89E2-C929A4FDD486}" name="12" totalsRowFunction="count" dataDxfId="655" totalsRowDxfId="318" totalsRowCellStyle="Normal 4"/>
    <tableColumn id="14" xr3:uid="{69564B56-A61C-40DD-AC23-F9C0584FA16A}" name="13" totalsRowFunction="count" dataDxfId="654" totalsRowDxfId="317" totalsRowCellStyle="Normal 4"/>
    <tableColumn id="15" xr3:uid="{CD3CF85A-A699-4DED-968D-4389D81652DF}" name="14" totalsRowFunction="count" dataDxfId="653" totalsRowDxfId="316" totalsRowCellStyle="Normal 4"/>
    <tableColumn id="16" xr3:uid="{3C11B8B8-BB2A-45B5-89CF-24B675E994FA}" name="15" totalsRowFunction="count" dataDxfId="652" totalsRowDxfId="315" totalsRowCellStyle="Normal 4"/>
    <tableColumn id="17" xr3:uid="{06EE57AE-B80E-4B78-8272-2B60D14BBE17}" name="16" totalsRowFunction="count" dataDxfId="651" totalsRowDxfId="314" totalsRowCellStyle="Normal 4"/>
    <tableColumn id="18" xr3:uid="{C506624E-0B9E-4727-B5FE-F306F7DBFE14}" name="17" totalsRowFunction="count" dataDxfId="650" totalsRowDxfId="313" totalsRowCellStyle="Normal 4"/>
    <tableColumn id="19" xr3:uid="{96E64880-7D96-47E7-BB78-6E81B757388E}" name="18" totalsRowFunction="count" dataDxfId="649" totalsRowDxfId="312" totalsRowCellStyle="Normal 4"/>
    <tableColumn id="20" xr3:uid="{8449EF6C-7AC3-4EB3-96F0-77E1D68AE18E}" name="19" totalsRowFunction="count" dataDxfId="648" totalsRowDxfId="311" totalsRowCellStyle="Normal 4"/>
    <tableColumn id="21" xr3:uid="{53676B4E-18F8-49E8-95B2-8A0F507B9B4C}" name="20" totalsRowFunction="count" dataDxfId="647" totalsRowDxfId="310" totalsRowCellStyle="Normal 4"/>
    <tableColumn id="22" xr3:uid="{212BA07C-EB2B-4505-B623-63DF8A57F447}" name="21" totalsRowFunction="count" dataDxfId="646" totalsRowDxfId="309" totalsRowCellStyle="Normal 4"/>
    <tableColumn id="23" xr3:uid="{A3DAB860-16EE-4E8E-8F9F-CC734C51D8E6}" name="22" totalsRowFunction="count" dataDxfId="645" totalsRowDxfId="308" totalsRowCellStyle="Normal 4"/>
    <tableColumn id="24" xr3:uid="{6E4E0FD9-1AB4-4CEB-B7A3-F994F75F78A7}" name="23" totalsRowFunction="count" dataDxfId="644" totalsRowDxfId="307" totalsRowCellStyle="Normal 4"/>
    <tableColumn id="25" xr3:uid="{5C4C967E-4BAA-4770-B121-DA12FFAA727F}" name="24" totalsRowFunction="count" dataDxfId="643" totalsRowDxfId="306" totalsRowCellStyle="Normal 4"/>
    <tableColumn id="26" xr3:uid="{A4CCCB62-9869-459A-976C-20B51F58D846}" name="25" totalsRowFunction="count" dataDxfId="642" totalsRowDxfId="305" totalsRowCellStyle="Normal 4"/>
    <tableColumn id="27" xr3:uid="{C68F3CA6-2E64-4E8E-9350-78EEF22BE199}" name="26" totalsRowFunction="count" dataDxfId="641" totalsRowDxfId="304" totalsRowCellStyle="Normal 4"/>
    <tableColumn id="28" xr3:uid="{FC13E060-EBA4-4619-AEF4-832E0B6AC68B}" name="27" totalsRowFunction="count" dataDxfId="640" totalsRowDxfId="303" totalsRowCellStyle="Normal 4"/>
    <tableColumn id="29" xr3:uid="{F387E95E-A83A-4F41-ADD0-9786B43E3911}" name="28" totalsRowFunction="count" dataDxfId="639" totalsRowDxfId="302" totalsRowCellStyle="Normal 4"/>
    <tableColumn id="30" xr3:uid="{7F3F0D8E-CB07-471E-8FC4-8327A5123303}" name="29" totalsRowFunction="count" dataDxfId="638" totalsRowDxfId="301" totalsRowCellStyle="Normal 4"/>
    <tableColumn id="31" xr3:uid="{3FAF1508-3595-492E-B742-6B520BC2F163}" name="30" totalsRowFunction="count" dataDxfId="637" totalsRowDxfId="300" totalsRowCellStyle="Normal 4"/>
    <tableColumn id="32" xr3:uid="{454577B4-7A5C-4474-8890-447CCAF07619}" name="31" totalsRowFunction="count" dataDxfId="636" totalsRowDxfId="299" totalsRowCellStyle="Normal 4"/>
    <tableColumn id="33" xr3:uid="{A3C7C860-2921-4D6E-97E9-7D5941CE40FF}" name="Total Days" totalsRowFunction="sum" dataDxfId="635" totalsRowDxfId="298" totalsRowCellStyle="Normal 4">
      <calculatedColumnFormula>COUNTA(tblJanuary131415161718[[#This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7C8B5F21-E78F-43FB-863F-F16CEF755789}" name="tblJanuary13141516171819" displayName="tblJanuary13141516171819" ref="C6:AI12" totalsRowCount="1" headerRowDxfId="627">
  <tableColumns count="33">
    <tableColumn id="1" xr3:uid="{15E33566-DD6D-486E-A20D-AAD433502692}" name="Le nom de l'employé" totalsRowFunction="custom" dataDxfId="626" totalsRowDxfId="297" totalsRowCellStyle="Normal 4">
      <totalsRowFormula>MonthName&amp;" Total"</totalsRowFormula>
    </tableColumn>
    <tableColumn id="2" xr3:uid="{B4B14076-5187-4834-BC32-C2AFE01BF6BF}" name="1" totalsRowFunction="count" dataDxfId="625" totalsRowDxfId="296" totalsRowCellStyle="Normal 4"/>
    <tableColumn id="3" xr3:uid="{A382904B-9523-420B-89FE-297B6F168455}" name="2" totalsRowFunction="count" dataDxfId="624" totalsRowDxfId="295" totalsRowCellStyle="Normal 4"/>
    <tableColumn id="4" xr3:uid="{637B6C15-0321-4E75-8567-B44F38305581}" name="3" totalsRowFunction="count" dataDxfId="623" totalsRowDxfId="294" totalsRowCellStyle="Normal 4"/>
    <tableColumn id="5" xr3:uid="{37EA5F7E-31B8-4BB4-9203-6E4BC221F96A}" name="4" totalsRowFunction="count" dataDxfId="622" totalsRowDxfId="293" totalsRowCellStyle="Normal 4"/>
    <tableColumn id="6" xr3:uid="{806412A4-8069-4827-A1B5-C03D9A2FC5AF}" name="5" totalsRowFunction="count" dataDxfId="621" totalsRowDxfId="292" totalsRowCellStyle="Normal 4"/>
    <tableColumn id="7" xr3:uid="{66EB7CC8-EA46-4CE3-BC10-6E1FF163EEB6}" name="6" totalsRowFunction="count" dataDxfId="620" totalsRowDxfId="291" totalsRowCellStyle="Normal 4"/>
    <tableColumn id="8" xr3:uid="{73F1AE1D-517A-4299-A93E-21C3B0247C1A}" name="7" totalsRowFunction="count" dataDxfId="619" totalsRowDxfId="290" totalsRowCellStyle="Normal 4"/>
    <tableColumn id="9" xr3:uid="{E2E06168-540F-4AAE-BBB0-53726AF1A972}" name="8" totalsRowFunction="count" dataDxfId="618" totalsRowDxfId="289" totalsRowCellStyle="Normal 4"/>
    <tableColumn id="10" xr3:uid="{F3D2197C-5AD6-40B3-806E-E51FF3FD3864}" name="9" totalsRowFunction="count" dataDxfId="617" totalsRowDxfId="288" totalsRowCellStyle="Normal 4"/>
    <tableColumn id="11" xr3:uid="{B8AA88DD-1806-4A6C-AA20-6A9B918E9225}" name="10" totalsRowFunction="count" dataDxfId="616" totalsRowDxfId="287" totalsRowCellStyle="Normal 4"/>
    <tableColumn id="12" xr3:uid="{1A96348B-2CC1-4F08-BE71-57AE4C0B68BD}" name="11" totalsRowFunction="count" dataDxfId="615" totalsRowDxfId="286" totalsRowCellStyle="Normal 4"/>
    <tableColumn id="13" xr3:uid="{C0F32A6D-58C6-49F2-A79E-5E642ADDF522}" name="12" totalsRowFunction="count" dataDxfId="614" totalsRowDxfId="285" totalsRowCellStyle="Normal 4"/>
    <tableColumn id="14" xr3:uid="{5B28AAB2-CD9F-412B-BC10-DB3AB39C2D6E}" name="13" totalsRowFunction="count" dataDxfId="613" totalsRowDxfId="284" totalsRowCellStyle="Normal 4"/>
    <tableColumn id="15" xr3:uid="{8542B83D-8867-4E6E-A30A-E167D31D31EE}" name="14" totalsRowFunction="count" dataDxfId="612" totalsRowDxfId="283" totalsRowCellStyle="Normal 4"/>
    <tableColumn id="16" xr3:uid="{36AA44FB-EF30-4A9C-9B8C-B116E40F4396}" name="15" totalsRowFunction="count" dataDxfId="611" totalsRowDxfId="282" totalsRowCellStyle="Normal 4"/>
    <tableColumn id="17" xr3:uid="{62F04239-4ED6-436B-9E5A-984A42CAEB78}" name="16" totalsRowFunction="count" dataDxfId="610" totalsRowDxfId="281" totalsRowCellStyle="Normal 4"/>
    <tableColumn id="18" xr3:uid="{7EFF570D-C86F-4A0E-B0DE-8E452DB783BA}" name="17" totalsRowFunction="count" dataDxfId="609" totalsRowDxfId="280" totalsRowCellStyle="Normal 4"/>
    <tableColumn id="19" xr3:uid="{950DC917-20A7-4EF0-9EE1-A857DD1EADA6}" name="18" totalsRowFunction="count" dataDxfId="608" totalsRowDxfId="279" totalsRowCellStyle="Normal 4"/>
    <tableColumn id="20" xr3:uid="{1BF69475-0FA0-42BE-B83A-36B9313003E9}" name="19" totalsRowFunction="count" dataDxfId="607" totalsRowDxfId="278" totalsRowCellStyle="Normal 4"/>
    <tableColumn id="21" xr3:uid="{E0B62C66-A024-44EA-BC15-DF066E045EE3}" name="20" totalsRowFunction="count" dataDxfId="606" totalsRowDxfId="277" totalsRowCellStyle="Normal 4"/>
    <tableColumn id="22" xr3:uid="{7E343F06-3E70-4CEF-979B-6C83E67C9F86}" name="21" totalsRowFunction="count" dataDxfId="605" totalsRowDxfId="276" totalsRowCellStyle="Normal 4"/>
    <tableColumn id="23" xr3:uid="{1573B091-D6BE-4F33-A666-6F9536ACA7B3}" name="22" totalsRowFunction="count" dataDxfId="604" totalsRowDxfId="275" totalsRowCellStyle="Normal 4"/>
    <tableColumn id="24" xr3:uid="{8F8A34C3-631D-49DD-BF38-628373991FF6}" name="23" totalsRowFunction="count" dataDxfId="603" totalsRowDxfId="274" totalsRowCellStyle="Normal 4"/>
    <tableColumn id="25" xr3:uid="{0E8ACE86-9DF2-4800-86C4-DB5B60D5E500}" name="24" totalsRowFunction="count" dataDxfId="602" totalsRowDxfId="273" totalsRowCellStyle="Normal 4"/>
    <tableColumn id="26" xr3:uid="{30F4AD66-8FAD-43AD-A27E-EF0A89F61232}" name="25" totalsRowFunction="count" dataDxfId="601" totalsRowDxfId="272" totalsRowCellStyle="Normal 4"/>
    <tableColumn id="27" xr3:uid="{B77C1C59-CD25-4132-A8A7-7D09D765E135}" name="26" totalsRowFunction="count" dataDxfId="600" totalsRowDxfId="271" totalsRowCellStyle="Normal 4"/>
    <tableColumn id="28" xr3:uid="{50B3C273-3454-4A7C-8DAE-097E27F1249A}" name="27" totalsRowFunction="count" dataDxfId="599" totalsRowDxfId="270" totalsRowCellStyle="Normal 4"/>
    <tableColumn id="29" xr3:uid="{DE8A735B-5A4F-498E-ADBE-C96B314FC7FE}" name="28" totalsRowFunction="count" dataDxfId="598" totalsRowDxfId="269" totalsRowCellStyle="Normal 4"/>
    <tableColumn id="30" xr3:uid="{12C6DCE8-7B93-4647-A390-6807314FF6F5}" name="29" totalsRowFunction="count" dataDxfId="597" totalsRowDxfId="268" totalsRowCellStyle="Normal 4"/>
    <tableColumn id="31" xr3:uid="{F13FFE6B-89FE-440F-91A2-9C3827C0442E}" name="30" totalsRowFunction="count" dataDxfId="596" totalsRowDxfId="267" totalsRowCellStyle="Normal 4"/>
    <tableColumn id="32" xr3:uid="{C4877481-D7F1-4735-A89A-0CAB5F68D6B1}" name="31" totalsRowFunction="count" dataDxfId="595" totalsRowDxfId="266" totalsRowCellStyle="Normal 4"/>
    <tableColumn id="33" xr3:uid="{29ED25AB-FE31-46A6-8FD7-3E08EE0CC7CB}" name="Total Days" totalsRowFunction="sum" dataDxfId="594" totalsRowDxfId="265" totalsRowCellStyle="Normal 4">
      <calculatedColumnFormula>COUNTA(tblJanuary13141516171819[[#This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AE73655C-BEBA-4B17-BC30-2EEA2C85F38F}" name="tblJanuary1314151617181920" displayName="tblJanuary1314151617181920" ref="C6:AI12" totalsRowCount="1" headerRowDxfId="586">
  <tableColumns count="33">
    <tableColumn id="1" xr3:uid="{2B2036DB-8ACF-4001-BE92-C7139AF618CF}" name="Le nom de l'employé" totalsRowFunction="custom" dataDxfId="585" totalsRowDxfId="264" totalsRowCellStyle="Normal 4">
      <totalsRowFormula>MonthName&amp;" Total"</totalsRowFormula>
    </tableColumn>
    <tableColumn id="2" xr3:uid="{B633D0B2-FA15-4787-BC02-8D0BD23531D8}" name="1" totalsRowFunction="count" dataDxfId="584" totalsRowDxfId="263" totalsRowCellStyle="Normal 4"/>
    <tableColumn id="3" xr3:uid="{844F06CF-184D-47A9-BC46-AB062949D48B}" name="2" totalsRowFunction="count" dataDxfId="583" totalsRowDxfId="262" totalsRowCellStyle="Normal 4"/>
    <tableColumn id="4" xr3:uid="{4A885E35-AAB1-4636-962D-CE216A726C4C}" name="3" totalsRowFunction="count" dataDxfId="582" totalsRowDxfId="261" totalsRowCellStyle="Normal 4"/>
    <tableColumn id="5" xr3:uid="{29D5F808-ADDF-498B-A249-2E43DFF45B23}" name="4" totalsRowFunction="count" dataDxfId="581" totalsRowDxfId="260" totalsRowCellStyle="Normal 4"/>
    <tableColumn id="6" xr3:uid="{D907F3C1-89E1-48E9-9FBA-6C72E9346986}" name="5" totalsRowFunction="count" dataDxfId="580" totalsRowDxfId="259" totalsRowCellStyle="Normal 4"/>
    <tableColumn id="7" xr3:uid="{36FB2489-FE6C-4906-828E-36C38837EECF}" name="6" totalsRowFunction="count" dataDxfId="579" totalsRowDxfId="258" totalsRowCellStyle="Normal 4"/>
    <tableColumn id="8" xr3:uid="{E1B9A0F0-AD2A-4483-8AE7-B693C0B46A9E}" name="7" totalsRowFunction="count" dataDxfId="578" totalsRowDxfId="257" totalsRowCellStyle="Normal 4"/>
    <tableColumn id="9" xr3:uid="{3A03378B-ADA6-4EF9-870F-A11C49FD0A5F}" name="8" totalsRowFunction="count" dataDxfId="577" totalsRowDxfId="256" totalsRowCellStyle="Normal 4"/>
    <tableColumn id="10" xr3:uid="{33746891-BCCE-41A5-84A7-4222E2526B7B}" name="9" totalsRowFunction="count" dataDxfId="576" totalsRowDxfId="255" totalsRowCellStyle="Normal 4"/>
    <tableColumn id="11" xr3:uid="{BCDB7CE5-B2EE-44A7-9E72-BB7BADCB9060}" name="10" totalsRowFunction="count" dataDxfId="575" totalsRowDxfId="254" totalsRowCellStyle="Normal 4"/>
    <tableColumn id="12" xr3:uid="{02AA76FE-B84A-4061-B2F9-F23663328C4E}" name="11" totalsRowFunction="count" dataDxfId="574" totalsRowDxfId="253" totalsRowCellStyle="Normal 4"/>
    <tableColumn id="13" xr3:uid="{8AA96A79-53EB-4DE3-8AC4-2FC92C939934}" name="12" totalsRowFunction="count" dataDxfId="573" totalsRowDxfId="252" totalsRowCellStyle="Normal 4"/>
    <tableColumn id="14" xr3:uid="{AFD77FA6-11D2-4229-9BA3-8DB0636CE049}" name="13" totalsRowFunction="count" dataDxfId="572" totalsRowDxfId="251" totalsRowCellStyle="Normal 4"/>
    <tableColumn id="15" xr3:uid="{D871195D-E384-4B02-913E-FAEDA3152B00}" name="14" totalsRowFunction="count" dataDxfId="571" totalsRowDxfId="250" totalsRowCellStyle="Normal 4"/>
    <tableColumn id="16" xr3:uid="{3A659A06-3248-45DE-A278-7E1A8D34F7F7}" name="15" totalsRowFunction="count" dataDxfId="570" totalsRowDxfId="249" totalsRowCellStyle="Normal 4"/>
    <tableColumn id="17" xr3:uid="{A7AA7598-C763-4C8C-B214-D634994E3F04}" name="16" totalsRowFunction="count" dataDxfId="569" totalsRowDxfId="248" totalsRowCellStyle="Normal 4"/>
    <tableColumn id="18" xr3:uid="{4DA2A1FC-FB1A-47C7-8BEB-D833ECDBF88A}" name="17" totalsRowFunction="count" dataDxfId="568" totalsRowDxfId="247" totalsRowCellStyle="Normal 4"/>
    <tableColumn id="19" xr3:uid="{F569FDF2-A522-48B8-A31E-C8946CFD82A1}" name="18" totalsRowFunction="count" dataDxfId="567" totalsRowDxfId="246" totalsRowCellStyle="Normal 4"/>
    <tableColumn id="20" xr3:uid="{A5BDF15C-FE6C-487C-8446-A994458B9B56}" name="19" totalsRowFunction="count" dataDxfId="566" totalsRowDxfId="245" totalsRowCellStyle="Normal 4"/>
    <tableColumn id="21" xr3:uid="{7DC7E8E0-F7B4-4CE5-8976-2337EE96F165}" name="20" totalsRowFunction="count" dataDxfId="565" totalsRowDxfId="244" totalsRowCellStyle="Normal 4"/>
    <tableColumn id="22" xr3:uid="{6B317CCC-E2EE-4097-A754-53F64B9C492F}" name="21" totalsRowFunction="count" dataDxfId="564" totalsRowDxfId="243" totalsRowCellStyle="Normal 4"/>
    <tableColumn id="23" xr3:uid="{4A4267D2-E90B-4A6A-B06C-61D703D0E163}" name="22" totalsRowFunction="count" dataDxfId="563" totalsRowDxfId="242" totalsRowCellStyle="Normal 4"/>
    <tableColumn id="24" xr3:uid="{03AEC4E0-439F-44F2-975A-1AF08CEFC913}" name="23" totalsRowFunction="count" dataDxfId="562" totalsRowDxfId="241" totalsRowCellStyle="Normal 4"/>
    <tableColumn id="25" xr3:uid="{42744670-C94C-4584-B82C-D796A328C993}" name="24" totalsRowFunction="count" dataDxfId="561" totalsRowDxfId="240" totalsRowCellStyle="Normal 4"/>
    <tableColumn id="26" xr3:uid="{215A4709-DFD2-4A47-82B8-EFAC9C634E12}" name="25" totalsRowFunction="count" dataDxfId="560" totalsRowDxfId="239" totalsRowCellStyle="Normal 4"/>
    <tableColumn id="27" xr3:uid="{7086B0D6-FD9E-4283-A8BB-D9F722C2AFF8}" name="26" totalsRowFunction="count" dataDxfId="559" totalsRowDxfId="238" totalsRowCellStyle="Normal 4"/>
    <tableColumn id="28" xr3:uid="{1FB2311A-609A-42B4-8BA0-103BDD70F12E}" name="27" totalsRowFunction="count" dataDxfId="558" totalsRowDxfId="237" totalsRowCellStyle="Normal 4"/>
    <tableColumn id="29" xr3:uid="{A8C6781F-F4F9-46CC-A428-DE55AF35AB9A}" name="28" totalsRowFunction="count" dataDxfId="557" totalsRowDxfId="236" totalsRowCellStyle="Normal 4"/>
    <tableColumn id="30" xr3:uid="{3A1B74D8-BC4E-4F9F-B799-3EE376CEBA98}" name="29" totalsRowFunction="count" dataDxfId="556" totalsRowDxfId="235" totalsRowCellStyle="Normal 4"/>
    <tableColumn id="31" xr3:uid="{779E8C05-2F40-4147-8D98-5D91A17EB1EA}" name="30" totalsRowFunction="count" dataDxfId="555" totalsRowDxfId="234" totalsRowCellStyle="Normal 4"/>
    <tableColumn id="32" xr3:uid="{E004CCD3-BFFE-47A4-98D5-806E6CA0C31B}" name="31" totalsRowFunction="count" dataDxfId="554" totalsRowDxfId="233" totalsRowCellStyle="Normal 4"/>
    <tableColumn id="33" xr3:uid="{21863595-1D0D-42DE-AAE2-8281F685F28D}" name="Total Days" totalsRowFunction="sum" dataDxfId="553" totalsRowDxfId="232" totalsRowCellStyle="Normal 4">
      <calculatedColumnFormula>COUNTA(tblJanuary1314151617181920[[#This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8F3FF76C-596D-47F6-8FFD-E34D122D40B2}" name="tblJanuary131415161718192022" displayName="tblJanuary131415161718192022" ref="C6:AI12" totalsRowCount="1" headerRowDxfId="545">
  <tableColumns count="33">
    <tableColumn id="1" xr3:uid="{4D3ADD32-FE79-40CC-93FF-D852D0E166AB}" name="Le nom de l'employé" totalsRowFunction="custom" dataDxfId="544" totalsRowDxfId="231" totalsRowCellStyle="Normal 4">
      <totalsRowFormula>MonthName&amp;" Total"</totalsRowFormula>
    </tableColumn>
    <tableColumn id="2" xr3:uid="{509D8B11-1ED2-456D-89A2-D2C8FBC6B888}" name="1" totalsRowFunction="count" dataDxfId="543" totalsRowDxfId="230" totalsRowCellStyle="Normal 4"/>
    <tableColumn id="3" xr3:uid="{F47B0E5D-4F93-4BD5-9EF3-9BBDB7E9915A}" name="2" totalsRowFunction="count" dataDxfId="542" totalsRowDxfId="229" totalsRowCellStyle="Normal 4"/>
    <tableColumn id="4" xr3:uid="{7548766C-75D9-41AE-9213-1D248E28D292}" name="3" totalsRowFunction="count" dataDxfId="541" totalsRowDxfId="228" totalsRowCellStyle="Normal 4"/>
    <tableColumn id="5" xr3:uid="{771FF5E2-E0E0-419F-9DA0-FBC851A4E31E}" name="4" totalsRowFunction="count" dataDxfId="540" totalsRowDxfId="227" totalsRowCellStyle="Normal 4"/>
    <tableColumn id="6" xr3:uid="{53084E6A-76EA-4A8D-91B8-5599817153B8}" name="5" totalsRowFunction="count" dataDxfId="539" totalsRowDxfId="226" totalsRowCellStyle="Normal 4"/>
    <tableColumn id="7" xr3:uid="{A7C609AA-A503-4B51-8E16-35086145BC8F}" name="6" totalsRowFunction="count" dataDxfId="538" totalsRowDxfId="225" totalsRowCellStyle="Normal 4"/>
    <tableColumn id="8" xr3:uid="{84B18C1A-734C-4183-BFBC-B25F6BB61FAA}" name="7" totalsRowFunction="count" dataDxfId="537" totalsRowDxfId="224" totalsRowCellStyle="Normal 4"/>
    <tableColumn id="9" xr3:uid="{59AED92D-E50F-47ED-90FC-F3C465A9E63B}" name="8" totalsRowFunction="count" dataDxfId="536" totalsRowDxfId="223" totalsRowCellStyle="Normal 4"/>
    <tableColumn id="10" xr3:uid="{8D2E185A-C610-42E4-AF6F-7D8296190627}" name="9" totalsRowFunction="count" dataDxfId="535" totalsRowDxfId="222" totalsRowCellStyle="Normal 4"/>
    <tableColumn id="11" xr3:uid="{2FFE0FE8-C19B-41EC-9169-D635C13BB75F}" name="10" totalsRowFunction="count" dataDxfId="534" totalsRowDxfId="221" totalsRowCellStyle="Normal 4"/>
    <tableColumn id="12" xr3:uid="{AB0179B6-01E1-4AF7-8207-E4DD11AECE33}" name="11" totalsRowFunction="count" dataDxfId="533" totalsRowDxfId="220" totalsRowCellStyle="Normal 4"/>
    <tableColumn id="13" xr3:uid="{B9A7AFC5-FB27-4BA4-9C24-9FD080D55290}" name="12" totalsRowFunction="count" dataDxfId="532" totalsRowDxfId="219" totalsRowCellStyle="Normal 4"/>
    <tableColumn id="14" xr3:uid="{DB4908B6-547E-4CC4-9BEE-65B152C24E77}" name="13" totalsRowFunction="count" dataDxfId="531" totalsRowDxfId="218" totalsRowCellStyle="Normal 4"/>
    <tableColumn id="15" xr3:uid="{E96C3C15-D4C4-47AB-911D-8337A41A7758}" name="14" totalsRowFunction="count" dataDxfId="530" totalsRowDxfId="217" totalsRowCellStyle="Normal 4"/>
    <tableColumn id="16" xr3:uid="{93944A32-9BA6-45FC-AD2C-D8A4305D3562}" name="15" totalsRowFunction="count" dataDxfId="529" totalsRowDxfId="216" totalsRowCellStyle="Normal 4"/>
    <tableColumn id="17" xr3:uid="{D857E7A8-ED1E-4459-8E95-403085B0439A}" name="16" totalsRowFunction="count" dataDxfId="528" totalsRowDxfId="215" totalsRowCellStyle="Normal 4"/>
    <tableColumn id="18" xr3:uid="{3038F0F4-9604-4F43-88B5-AA32F070F5DB}" name="17" totalsRowFunction="count" dataDxfId="527" totalsRowDxfId="214" totalsRowCellStyle="Normal 4"/>
    <tableColumn id="19" xr3:uid="{3E8C8895-F2D2-486E-9E4C-F540872E8493}" name="18" totalsRowFunction="count" dataDxfId="526" totalsRowDxfId="213" totalsRowCellStyle="Normal 4"/>
    <tableColumn id="20" xr3:uid="{1DF730BC-9873-4B5C-AAFB-492124C7443D}" name="19" totalsRowFunction="count" dataDxfId="525" totalsRowDxfId="212" totalsRowCellStyle="Normal 4"/>
    <tableColumn id="21" xr3:uid="{A0158E82-D52B-4BC4-A794-A2622ADF0793}" name="20" totalsRowFunction="count" dataDxfId="524" totalsRowDxfId="211" totalsRowCellStyle="Normal 4"/>
    <tableColumn id="22" xr3:uid="{AE177E82-9724-4AD3-8DB8-5E3507FF54AE}" name="21" totalsRowFunction="count" dataDxfId="523" totalsRowDxfId="210" totalsRowCellStyle="Normal 4"/>
    <tableColumn id="23" xr3:uid="{A8179F5B-D43E-4BD8-A312-6C29882E36F9}" name="22" totalsRowFunction="count" dataDxfId="522" totalsRowDxfId="209" totalsRowCellStyle="Normal 4"/>
    <tableColumn id="24" xr3:uid="{A4876BF4-7EFD-4809-ADB7-DFAFE7FED43E}" name="23" totalsRowFunction="count" dataDxfId="521" totalsRowDxfId="208" totalsRowCellStyle="Normal 4"/>
    <tableColumn id="25" xr3:uid="{38B88C64-491A-461F-AE39-492B7792005D}" name="24" totalsRowFunction="count" dataDxfId="520" totalsRowDxfId="207" totalsRowCellStyle="Normal 4"/>
    <tableColumn id="26" xr3:uid="{9626A63A-D318-4DE2-A4BC-52A12EB48E71}" name="25" totalsRowFunction="count" dataDxfId="519" totalsRowDxfId="206" totalsRowCellStyle="Normal 4"/>
    <tableColumn id="27" xr3:uid="{39F0FD35-7427-4768-8210-FD437E4D65FB}" name="26" totalsRowFunction="count" dataDxfId="518" totalsRowDxfId="205" totalsRowCellStyle="Normal 4"/>
    <tableColumn id="28" xr3:uid="{31BDC3FF-C3C8-4A43-A089-01E981FB9867}" name="27" totalsRowFunction="count" dataDxfId="517" totalsRowDxfId="204" totalsRowCellStyle="Normal 4"/>
    <tableColumn id="29" xr3:uid="{75BF287D-D307-4D70-B55C-D10770DD9C6B}" name="28" totalsRowFunction="count" dataDxfId="516" totalsRowDxfId="203" totalsRowCellStyle="Normal 4"/>
    <tableColumn id="30" xr3:uid="{0A3554C2-6AB6-4AA2-A02A-73F6C2184561}" name="29" totalsRowFunction="count" dataDxfId="515" totalsRowDxfId="202" totalsRowCellStyle="Normal 4"/>
    <tableColumn id="31" xr3:uid="{4B170316-C3C0-4913-AEEC-540400F38D30}" name="30" totalsRowFunction="count" dataDxfId="514" totalsRowDxfId="201" totalsRowCellStyle="Normal 4"/>
    <tableColumn id="32" xr3:uid="{D4D1F2A2-7B48-4AF2-A3BE-FA2379AB6636}" name="31" totalsRowFunction="count" dataDxfId="513" totalsRowDxfId="200" totalsRowCellStyle="Normal 4"/>
    <tableColumn id="33" xr3:uid="{54190AA8-E568-451C-B16A-5161A42E878F}" name="Total Days" totalsRowFunction="sum" dataDxfId="512" totalsRowDxfId="199" totalsRowCellStyle="Normal 4">
      <calculatedColumnFormula>COUNTA(tblJanuary131415161718192022[[#This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1FA139D3-5541-4684-92E8-94E1C57B0895}" name="tblJanuary131415161718192021" displayName="tblJanuary131415161718192021" ref="C6:AI12" totalsRowCount="1" headerRowDxfId="504">
  <tableColumns count="33">
    <tableColumn id="1" xr3:uid="{68BE4CF6-843E-4D63-9D47-FBE3B100F15B}" name="Le nom de l'employé" totalsRowFunction="custom" dataDxfId="503" totalsRowDxfId="198" totalsRowCellStyle="Normal 4">
      <totalsRowFormula>MonthName&amp;" Total"</totalsRowFormula>
    </tableColumn>
    <tableColumn id="2" xr3:uid="{F2CB3BB3-2356-492F-B8E7-9CCDCE4AF6C4}" name="1" totalsRowFunction="count" dataDxfId="502" totalsRowDxfId="197" totalsRowCellStyle="Normal 4"/>
    <tableColumn id="3" xr3:uid="{A146EC30-82C3-4B01-BF5D-ADB26BA7B649}" name="2" totalsRowFunction="count" dataDxfId="501" totalsRowDxfId="196" totalsRowCellStyle="Normal 4"/>
    <tableColumn id="4" xr3:uid="{8A2C0226-36BC-4ABA-B789-485CFCD48985}" name="3" totalsRowFunction="count" dataDxfId="500" totalsRowDxfId="195" totalsRowCellStyle="Normal 4"/>
    <tableColumn id="5" xr3:uid="{06E1FCC3-996C-4617-AB25-3C7A90E74842}" name="4" totalsRowFunction="count" dataDxfId="499" totalsRowDxfId="194" totalsRowCellStyle="Normal 4"/>
    <tableColumn id="6" xr3:uid="{4B3098B8-0243-4A23-8B5F-82445E4993AF}" name="5" totalsRowFunction="count" dataDxfId="498" totalsRowDxfId="193" totalsRowCellStyle="Normal 4"/>
    <tableColumn id="7" xr3:uid="{6FACEF7C-71A2-4205-9036-1FEFE0B436B7}" name="6" totalsRowFunction="count" dataDxfId="497" totalsRowDxfId="192" totalsRowCellStyle="Normal 4"/>
    <tableColumn id="8" xr3:uid="{C5609A5D-6DFF-4664-8C2C-27D1413D5CCC}" name="7" totalsRowFunction="count" dataDxfId="496" totalsRowDxfId="191" totalsRowCellStyle="Normal 4"/>
    <tableColumn id="9" xr3:uid="{789A6C1B-46AD-4FF9-BDBB-0D219D76191D}" name="8" totalsRowFunction="count" dataDxfId="495" totalsRowDxfId="190" totalsRowCellStyle="Normal 4"/>
    <tableColumn id="10" xr3:uid="{74EF59A8-09E0-4D2C-86A6-A63062A0BE97}" name="9" totalsRowFunction="count" dataDxfId="494" totalsRowDxfId="189" totalsRowCellStyle="Normal 4"/>
    <tableColumn id="11" xr3:uid="{9BD2EB98-1011-457C-942D-340FF440CC3F}" name="10" totalsRowFunction="count" dataDxfId="493" totalsRowDxfId="188" totalsRowCellStyle="Normal 4"/>
    <tableColumn id="12" xr3:uid="{7F530E74-4E72-4917-8E8E-D9ECB3F3A456}" name="11" totalsRowFunction="count" dataDxfId="492" totalsRowDxfId="187" totalsRowCellStyle="Normal 4"/>
    <tableColumn id="13" xr3:uid="{C40F570C-1C5E-458C-92D5-6B5942DCC954}" name="12" totalsRowFunction="count" dataDxfId="491" totalsRowDxfId="186" totalsRowCellStyle="Normal 4"/>
    <tableColumn id="14" xr3:uid="{DA266B7F-2743-4DB7-AE2B-C2F53825DA46}" name="13" totalsRowFunction="count" dataDxfId="490" totalsRowDxfId="185" totalsRowCellStyle="Normal 4"/>
    <tableColumn id="15" xr3:uid="{BE2CF2F8-B037-4380-9CAD-C84FBA1E633E}" name="14" totalsRowFunction="count" dataDxfId="489" totalsRowDxfId="184" totalsRowCellStyle="Normal 4"/>
    <tableColumn id="16" xr3:uid="{95BBB59A-F288-47D5-BAEA-6D3966F72559}" name="15" totalsRowFunction="count" dataDxfId="488" totalsRowDxfId="183" totalsRowCellStyle="Normal 4"/>
    <tableColumn id="17" xr3:uid="{A8F9AE4D-0B11-4590-81B8-5BDB344B2E78}" name="16" totalsRowFunction="count" dataDxfId="487" totalsRowDxfId="182" totalsRowCellStyle="Normal 4"/>
    <tableColumn id="18" xr3:uid="{757437B1-A715-458F-98F4-33ABDD905C40}" name="17" totalsRowFunction="count" dataDxfId="486" totalsRowDxfId="181" totalsRowCellStyle="Normal 4"/>
    <tableColumn id="19" xr3:uid="{1853B1F8-949A-4D77-805E-2032553B9A8A}" name="18" totalsRowFunction="count" dataDxfId="485" totalsRowDxfId="180" totalsRowCellStyle="Normal 4"/>
    <tableColumn id="20" xr3:uid="{6B18F77D-2048-42AE-A200-1B4449658D8C}" name="19" totalsRowFunction="count" dataDxfId="484" totalsRowDxfId="179" totalsRowCellStyle="Normal 4"/>
    <tableColumn id="21" xr3:uid="{25EC5BA3-D6AE-4496-A784-8CDA06D5E41F}" name="20" totalsRowFunction="count" dataDxfId="483" totalsRowDxfId="178" totalsRowCellStyle="Normal 4"/>
    <tableColumn id="22" xr3:uid="{B7BFE70F-E4B1-4FD6-8C10-015AA744127C}" name="21" totalsRowFunction="count" dataDxfId="482" totalsRowDxfId="177" totalsRowCellStyle="Normal 4"/>
    <tableColumn id="23" xr3:uid="{7924E33D-4DEA-494D-A330-C7292BEE5126}" name="22" totalsRowFunction="count" dataDxfId="481" totalsRowDxfId="176" totalsRowCellStyle="Normal 4"/>
    <tableColumn id="24" xr3:uid="{F39ED7CC-B1D4-4108-9072-7CB526D8CD3B}" name="23" totalsRowFunction="count" dataDxfId="480" totalsRowDxfId="175" totalsRowCellStyle="Normal 4"/>
    <tableColumn id="25" xr3:uid="{F6E52957-AE7D-497F-BC38-74C524D3114F}" name="24" totalsRowFunction="count" dataDxfId="479" totalsRowDxfId="174" totalsRowCellStyle="Normal 4"/>
    <tableColumn id="26" xr3:uid="{BC04A0E3-D129-4BC9-AE9B-167302EEA3B6}" name="25" totalsRowFunction="count" dataDxfId="478" totalsRowDxfId="173" totalsRowCellStyle="Normal 4"/>
    <tableColumn id="27" xr3:uid="{C2E63592-959D-4A33-8C2F-7841ED0951CA}" name="26" totalsRowFunction="count" dataDxfId="477" totalsRowDxfId="172" totalsRowCellStyle="Normal 4"/>
    <tableColumn id="28" xr3:uid="{A64F8626-5EEF-4984-8492-5302913BB843}" name="27" totalsRowFunction="count" dataDxfId="476" totalsRowDxfId="171" totalsRowCellStyle="Normal 4"/>
    <tableColumn id="29" xr3:uid="{5A1388D9-4E14-47DE-AB54-D28BEA593F0D}" name="28" totalsRowFunction="count" dataDxfId="475" totalsRowDxfId="170" totalsRowCellStyle="Normal 4"/>
    <tableColumn id="30" xr3:uid="{F30DF026-3331-4107-8AE8-A9135239411D}" name="29" totalsRowFunction="count" dataDxfId="474" totalsRowDxfId="169" totalsRowCellStyle="Normal 4"/>
    <tableColumn id="31" xr3:uid="{FCBF07F8-C16F-4972-B70C-981F26CBFE62}" name="30" totalsRowFunction="count" dataDxfId="473" totalsRowDxfId="168" totalsRowCellStyle="Normal 4"/>
    <tableColumn id="32" xr3:uid="{D60F4498-35CD-4E4F-BE11-4AE3B6332393}" name="31" totalsRowFunction="count" dataDxfId="472" totalsRowDxfId="167" totalsRowCellStyle="Normal 4"/>
    <tableColumn id="33" xr3:uid="{91FA7F4A-540B-4D9B-96C0-ED6053A64146}" name="Total Days" totalsRowFunction="sum" dataDxfId="471" totalsRowDxfId="166" totalsRowCellStyle="Normal 4">
      <calculatedColumnFormula>COUNTA(tblJanuary131415161718192021[[#This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75158CA-933F-478F-92E6-21DB1E1249D6}" name="tblJanuary13141516171819202123" displayName="tblJanuary13141516171819202123" ref="C6:AI12" totalsRowCount="1" headerRowDxfId="463">
  <tableColumns count="33">
    <tableColumn id="1" xr3:uid="{A20AD2ED-42D9-4FB1-828F-5F4B3DB26B80}" name="Le nom de l'employé" totalsRowFunction="custom" dataDxfId="462" totalsRowDxfId="165" totalsRowCellStyle="Normal 4">
      <totalsRowFormula>MonthName&amp;" Total"</totalsRowFormula>
    </tableColumn>
    <tableColumn id="2" xr3:uid="{B45A78BD-A399-4701-8E38-51542A797E9F}" name="1" totalsRowFunction="count" dataDxfId="461" totalsRowDxfId="164" totalsRowCellStyle="Normal 4"/>
    <tableColumn id="3" xr3:uid="{23101211-69D5-4DF1-9ED8-155F4DCBDBF6}" name="2" totalsRowFunction="count" dataDxfId="460" totalsRowDxfId="163" totalsRowCellStyle="Normal 4"/>
    <tableColumn id="4" xr3:uid="{D0CCF2E3-0AA1-453A-BAFD-07689B375FC8}" name="3" totalsRowFunction="count" dataDxfId="459" totalsRowDxfId="162" totalsRowCellStyle="Normal 4"/>
    <tableColumn id="5" xr3:uid="{F9E087F4-3C85-40F4-8934-295DDC2297F1}" name="4" totalsRowFunction="count" dataDxfId="458" totalsRowDxfId="161" totalsRowCellStyle="Normal 4"/>
    <tableColumn id="6" xr3:uid="{51EA375C-7998-41C1-8980-C07FA682ABFE}" name="5" totalsRowFunction="count" dataDxfId="457" totalsRowDxfId="160" totalsRowCellStyle="Normal 4"/>
    <tableColumn id="7" xr3:uid="{D6024C1B-0F6B-4D65-AEE4-5FB6D6A37C91}" name="6" totalsRowFunction="count" dataDxfId="456" totalsRowDxfId="159" totalsRowCellStyle="Normal 4"/>
    <tableColumn id="8" xr3:uid="{CD8BB5A2-4B72-4D85-BBE7-E03F4695A6E8}" name="7" totalsRowFunction="count" dataDxfId="455" totalsRowDxfId="158" totalsRowCellStyle="Normal 4"/>
    <tableColumn id="9" xr3:uid="{9F8140AC-7F52-4924-99B8-BD125ED048DF}" name="8" totalsRowFunction="count" dataDxfId="454" totalsRowDxfId="157" totalsRowCellStyle="Normal 4"/>
    <tableColumn id="10" xr3:uid="{3BE5A775-47CC-43BC-8719-A13D118D6423}" name="9" totalsRowFunction="count" dataDxfId="453" totalsRowDxfId="156" totalsRowCellStyle="Normal 4"/>
    <tableColumn id="11" xr3:uid="{05F7C92E-85A1-45B9-BF31-7696E5143E3B}" name="10" totalsRowFunction="count" dataDxfId="452" totalsRowDxfId="155" totalsRowCellStyle="Normal 4"/>
    <tableColumn id="12" xr3:uid="{E0A77E64-12F5-4A63-A090-D8F173490C33}" name="11" totalsRowFunction="count" dataDxfId="451" totalsRowDxfId="154" totalsRowCellStyle="Normal 4"/>
    <tableColumn id="13" xr3:uid="{25CEC085-A183-4188-89ED-6C71692207AC}" name="12" totalsRowFunction="count" dataDxfId="450" totalsRowDxfId="153" totalsRowCellStyle="Normal 4"/>
    <tableColumn id="14" xr3:uid="{A3CBA500-80F1-4367-AD0C-0AAA9C05BBC3}" name="13" totalsRowFunction="count" dataDxfId="449" totalsRowDxfId="152" totalsRowCellStyle="Normal 4"/>
    <tableColumn id="15" xr3:uid="{031CE501-F02F-488E-AD71-B05543457C6A}" name="14" totalsRowFunction="count" dataDxfId="448" totalsRowDxfId="151" totalsRowCellStyle="Normal 4"/>
    <tableColumn id="16" xr3:uid="{73BA7C56-35A5-477E-91E2-7FAB1DA43207}" name="15" totalsRowFunction="count" dataDxfId="447" totalsRowDxfId="150" totalsRowCellStyle="Normal 4"/>
    <tableColumn id="17" xr3:uid="{2A6460F8-950A-4ACB-A1BE-28AC149C784F}" name="16" totalsRowFunction="count" dataDxfId="446" totalsRowDxfId="149" totalsRowCellStyle="Normal 4"/>
    <tableColumn id="18" xr3:uid="{B27803E5-2470-4207-9212-A29BA4A967ED}" name="17" totalsRowFunction="count" dataDxfId="445" totalsRowDxfId="148" totalsRowCellStyle="Normal 4"/>
    <tableColumn id="19" xr3:uid="{81EFCED1-3FF8-4721-940D-3732D829B0D8}" name="18" totalsRowFunction="count" dataDxfId="444" totalsRowDxfId="147" totalsRowCellStyle="Normal 4"/>
    <tableColumn id="20" xr3:uid="{E6D100B4-EE16-407F-8A27-5B69E7A8081C}" name="19" totalsRowFunction="count" dataDxfId="443" totalsRowDxfId="146" totalsRowCellStyle="Normal 4"/>
    <tableColumn id="21" xr3:uid="{333F2559-D224-4814-9AD1-6F52B5669ED3}" name="20" totalsRowFunction="count" dataDxfId="442" totalsRowDxfId="145" totalsRowCellStyle="Normal 4"/>
    <tableColumn id="22" xr3:uid="{F82D3332-DB39-496A-9761-C6A00808701B}" name="21" totalsRowFunction="count" dataDxfId="441" totalsRowDxfId="144" totalsRowCellStyle="Normal 4"/>
    <tableColumn id="23" xr3:uid="{A8E63D73-FBA6-4DA4-A4C3-4B75731D26CE}" name="22" totalsRowFunction="count" dataDxfId="440" totalsRowDxfId="143" totalsRowCellStyle="Normal 4"/>
    <tableColumn id="24" xr3:uid="{509CA91D-64D9-447B-A18A-EBED58896681}" name="23" totalsRowFunction="count" dataDxfId="439" totalsRowDxfId="142" totalsRowCellStyle="Normal 4"/>
    <tableColumn id="25" xr3:uid="{D726451C-B2AD-4BDE-AF37-DCDC6013F4FD}" name="24" totalsRowFunction="count" dataDxfId="438" totalsRowDxfId="141" totalsRowCellStyle="Normal 4"/>
    <tableColumn id="26" xr3:uid="{C3D52D6A-0B0E-4CBD-BA40-349EF62C1812}" name="25" totalsRowFunction="count" dataDxfId="437" totalsRowDxfId="140" totalsRowCellStyle="Normal 4"/>
    <tableColumn id="27" xr3:uid="{C302513A-7559-4E41-893F-6C5D5C2CEC84}" name="26" totalsRowFunction="count" dataDxfId="436" totalsRowDxfId="139" totalsRowCellStyle="Normal 4"/>
    <tableColumn id="28" xr3:uid="{899D5ACA-8955-44A2-A478-A45317B7E4F8}" name="27" totalsRowFunction="count" dataDxfId="435" totalsRowDxfId="138" totalsRowCellStyle="Normal 4"/>
    <tableColumn id="29" xr3:uid="{246D2276-E95D-42AA-A25F-48244806A21B}" name="28" totalsRowFunction="count" dataDxfId="434" totalsRowDxfId="137" totalsRowCellStyle="Normal 4"/>
    <tableColumn id="30" xr3:uid="{C304D7A7-BC7E-44D3-ADDC-F68920C16FA0}" name="29" totalsRowFunction="count" dataDxfId="433" totalsRowDxfId="136" totalsRowCellStyle="Normal 4"/>
    <tableColumn id="31" xr3:uid="{D129AFB5-A034-45D6-A427-22F1A873F0AA}" name="30" totalsRowFunction="count" dataDxfId="432" totalsRowDxfId="135" totalsRowCellStyle="Normal 4"/>
    <tableColumn id="32" xr3:uid="{3A9CC0BD-A92E-4183-8600-DE1364D77A24}" name="31" totalsRowFunction="count" dataDxfId="431" totalsRowDxfId="134" totalsRowCellStyle="Normal 4"/>
    <tableColumn id="33" xr3:uid="{F6ED8D62-5F18-4539-865A-E454FDBC55B5}" name="Total Days" totalsRowFunction="sum" dataDxfId="430" totalsRowDxfId="133" totalsRowCellStyle="Normal 4">
      <calculatedColumnFormula>COUNTA(tblJanuary13141516171819202123[[#This Row],[1]:[31]])</calculatedColumnFormula>
    </tableColumn>
  </tableColumns>
  <tableStyleInfo name="TableStyleMedium10" showFirstColumn="1" showLastColumn="1" showRowStripes="1" showColumnStripes="0"/>
  <extLst>
    <ext xmlns:x14="http://schemas.microsoft.com/office/spreadsheetml/2009/9/main" uri="{504A1905-F514-4f6f-8877-14C23A59335A}">
      <x14:table altText="January Employee Absence Schedule" altTextSummary="Provides a list of names and calendar dates to record employee absences and specific absence type, such as V=Vacation, S=Sick, P=Personal and two placeholders for custom entries."/>
    </ext>
  </extLst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extrêm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9800000"/>
            </a:lightRig>
          </a:scene3d>
          <a:sp3d prstMaterial="plastic">
            <a:bevelT w="25400" h="1905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lumMod val="95000"/>
          </a:schemeClr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a:spPr>
      <a:bodyPr vertOverflow="clip" horzOverflow="clip" rtlCol="0" anchor="ctr"/>
      <a:lstStyle>
        <a:defPPr algn="ctr">
          <a:defRPr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DD3BC6-B80A-4EA4-8DCC-359FF42FE919}">
  <we:reference id="wa200001792" version="1.0.0.0" store="fr-FR" storeType="OMEX"/>
  <we:alternateReferences>
    <we:reference id="wa200001792" version="1.0.0.0" store="WA20000179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AAE26-D54F-4071-841E-C3E100D635A7}">
  <sheetPr codeName="Feuil18">
    <tabColor theme="6" tint="-0.249977111117893"/>
    <pageSetUpPr fitToPage="1"/>
  </sheetPr>
  <dimension ref="C1:BE1401"/>
  <sheetViews>
    <sheetView showGridLines="0" tabSelected="1" zoomScale="90" zoomScaleNormal="90" workbookViewId="0">
      <selection activeCell="F18" sqref="F18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1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2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 t="s">
        <v>43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8">
        <f>COUNTA(tblJanuary[[#This Row],[1]:[31]])</f>
        <v>1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 t="s">
        <v>38</v>
      </c>
      <c r="L8" s="34" t="s">
        <v>65</v>
      </c>
      <c r="M8" s="34" t="s">
        <v>65</v>
      </c>
      <c r="N8" s="34" t="s">
        <v>65</v>
      </c>
      <c r="O8" s="34"/>
      <c r="P8" s="34"/>
      <c r="Q8" s="34"/>
      <c r="R8" s="34"/>
      <c r="S8" s="34" t="s">
        <v>42</v>
      </c>
      <c r="T8" s="34"/>
      <c r="U8" s="34"/>
      <c r="V8" s="34" t="s">
        <v>46</v>
      </c>
      <c r="W8" s="34" t="s">
        <v>46</v>
      </c>
      <c r="X8" s="34" t="s">
        <v>46</v>
      </c>
      <c r="Y8" s="34" t="s">
        <v>46</v>
      </c>
      <c r="Z8" s="34" t="s">
        <v>46</v>
      </c>
      <c r="AA8" s="34" t="s">
        <v>46</v>
      </c>
      <c r="AB8" s="34" t="s">
        <v>46</v>
      </c>
      <c r="AC8" s="34" t="s">
        <v>46</v>
      </c>
      <c r="AD8" s="34" t="s">
        <v>46</v>
      </c>
      <c r="AE8" s="34" t="s">
        <v>46</v>
      </c>
      <c r="AF8" s="34" t="s">
        <v>46</v>
      </c>
      <c r="AG8" s="34" t="s">
        <v>46</v>
      </c>
      <c r="AH8" s="34" t="s">
        <v>46</v>
      </c>
      <c r="AI8" s="38">
        <f>COUNTA(tblJanuary[[#This Row],[1]:[31]])</f>
        <v>18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 t="s">
        <v>43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 t="s">
        <v>42</v>
      </c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8">
        <f>COUNTA(tblJanuary[[#This Row],[1]:[31]])</f>
        <v>2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 t="s">
        <v>42</v>
      </c>
      <c r="T10" s="34"/>
      <c r="U10" s="34"/>
      <c r="V10" s="34"/>
      <c r="W10" s="34" t="s">
        <v>42</v>
      </c>
      <c r="X10" s="34" t="s">
        <v>41</v>
      </c>
      <c r="Y10" s="34" t="s">
        <v>43</v>
      </c>
      <c r="Z10" s="34"/>
      <c r="AA10" s="34"/>
      <c r="AB10" s="34"/>
      <c r="AC10" s="34"/>
      <c r="AD10" s="34"/>
      <c r="AE10" s="34"/>
      <c r="AF10" s="34"/>
      <c r="AG10" s="34"/>
      <c r="AH10" s="34"/>
      <c r="AI10" s="38">
        <f>COUNTA(tblJanuary[[#This Row],[1]:[31]])</f>
        <v>4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 t="s">
        <v>39</v>
      </c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8">
        <f>COUNTA(tblJanuary[[#This Row],[1]:[31]])</f>
        <v>1</v>
      </c>
      <c r="AJ11" s="18"/>
      <c r="BE11" s="11" t="s">
        <v>52</v>
      </c>
    </row>
    <row r="12" spans="3:57" ht="24.95" customHeight="1" x14ac:dyDescent="0.25">
      <c r="C12" s="50" t="str">
        <f>MonthName&amp;" Total"</f>
        <v>Janvier Total</v>
      </c>
      <c r="D12" s="51">
        <f>SUBTOTAL(103,tblJanuary[1])</f>
        <v>0</v>
      </c>
      <c r="E12" s="51">
        <f>SUBTOTAL(103,tblJanuary[2])</f>
        <v>0</v>
      </c>
      <c r="F12" s="51">
        <f>SUBTOTAL(103,tblJanuary[3])</f>
        <v>0</v>
      </c>
      <c r="G12" s="51">
        <f>SUBTOTAL(103,tblJanuary[4])</f>
        <v>0</v>
      </c>
      <c r="H12" s="51">
        <f>SUBTOTAL(103,tblJanuary[5])</f>
        <v>2</v>
      </c>
      <c r="I12" s="51">
        <f>SUBTOTAL(103,tblJanuary[6])</f>
        <v>0</v>
      </c>
      <c r="J12" s="51">
        <f>SUBTOTAL(103,tblJanuary[7])</f>
        <v>0</v>
      </c>
      <c r="K12" s="51">
        <f>SUBTOTAL(103,tblJanuary[8])</f>
        <v>1</v>
      </c>
      <c r="L12" s="51">
        <f>SUBTOTAL(103,tblJanuary[9])</f>
        <v>1</v>
      </c>
      <c r="M12" s="51">
        <f>SUBTOTAL(103,tblJanuary[10])</f>
        <v>1</v>
      </c>
      <c r="N12" s="51">
        <f>SUBTOTAL(103,tblJanuary[11])</f>
        <v>2</v>
      </c>
      <c r="O12" s="51">
        <f>SUBTOTAL(103,tblJanuary[12])</f>
        <v>0</v>
      </c>
      <c r="P12" s="51">
        <f>SUBTOTAL(103,tblJanuary[13])</f>
        <v>0</v>
      </c>
      <c r="Q12" s="51">
        <f>SUBTOTAL(103,tblJanuary[14])</f>
        <v>0</v>
      </c>
      <c r="R12" s="51">
        <f>SUBTOTAL(103,tblJanuary[15])</f>
        <v>0</v>
      </c>
      <c r="S12" s="51">
        <f>SUBTOTAL(103,tblJanuary[16])</f>
        <v>3</v>
      </c>
      <c r="T12" s="51">
        <f>SUBTOTAL(103,tblJanuary[17])</f>
        <v>0</v>
      </c>
      <c r="U12" s="51">
        <f>SUBTOTAL(103,tblJanuary[18])</f>
        <v>0</v>
      </c>
      <c r="V12" s="51">
        <f>SUBTOTAL(103,tblJanuary[19])</f>
        <v>1</v>
      </c>
      <c r="W12" s="51">
        <f>SUBTOTAL(103,tblJanuary[20])</f>
        <v>2</v>
      </c>
      <c r="X12" s="51">
        <f>SUBTOTAL(103,tblJanuary[21])</f>
        <v>2</v>
      </c>
      <c r="Y12" s="51">
        <f>SUBTOTAL(103,tblJanuary[22])</f>
        <v>2</v>
      </c>
      <c r="Z12" s="51">
        <f>SUBTOTAL(103,tblJanuary[23])</f>
        <v>1</v>
      </c>
      <c r="AA12" s="51">
        <f>SUBTOTAL(103,tblJanuary[24])</f>
        <v>1</v>
      </c>
      <c r="AB12" s="51">
        <f>SUBTOTAL(103,tblJanuary[25])</f>
        <v>1</v>
      </c>
      <c r="AC12" s="51">
        <f>SUBTOTAL(103,tblJanuary[26])</f>
        <v>1</v>
      </c>
      <c r="AD12" s="51">
        <f>SUBTOTAL(103,tblJanuary[27])</f>
        <v>1</v>
      </c>
      <c r="AE12" s="51">
        <f>SUBTOTAL(103,tblJanuary[28])</f>
        <v>1</v>
      </c>
      <c r="AF12" s="51">
        <f>SUBTOTAL(103,tblJanuary[29])</f>
        <v>1</v>
      </c>
      <c r="AG12" s="51">
        <f>SUBTOTAL(103,tblJanuary[30])</f>
        <v>1</v>
      </c>
      <c r="AH12" s="51">
        <f>SUBTOTAL(103,tblJanuary[31])</f>
        <v>1</v>
      </c>
      <c r="AI12" s="52">
        <f>SUBTOTAL(109,tblJanuary[Total Days])</f>
        <v>26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54" t="s">
        <v>55</v>
      </c>
      <c r="D14" s="54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39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3">
    <mergeCell ref="AD14:AF14"/>
    <mergeCell ref="D3:AH3"/>
    <mergeCell ref="D4:AH4"/>
    <mergeCell ref="AI4:AI5"/>
    <mergeCell ref="C13:AI13"/>
    <mergeCell ref="C3:C4"/>
    <mergeCell ref="F14:H14"/>
    <mergeCell ref="J14:L14"/>
    <mergeCell ref="N14:P14"/>
    <mergeCell ref="R14:T14"/>
    <mergeCell ref="V14:X14"/>
    <mergeCell ref="Z14:AB14"/>
    <mergeCell ref="C14:D14"/>
  </mergeCells>
  <phoneticPr fontId="19" type="noConversion"/>
  <conditionalFormatting sqref="D7:AH11">
    <cfRule type="expression" dxfId="887" priority="1" stopIfTrue="1">
      <formula>D7=KeyAutreStiuation</formula>
    </cfRule>
    <cfRule type="expression" dxfId="886" priority="2" stopIfTrue="1">
      <formula>D7=KeyChomageTech</formula>
    </cfRule>
    <cfRule type="expression" dxfId="885" priority="3" stopIfTrue="1">
      <formula>D7=KeyNaissance</formula>
    </cfRule>
    <cfRule type="expression" dxfId="884" priority="4" stopIfTrue="1">
      <formula>D7=KeyCustom1</formula>
    </cfRule>
    <cfRule type="expression" dxfId="883" priority="5" stopIfTrue="1">
      <formula>D7=KeySick</formula>
    </cfRule>
    <cfRule type="expression" dxfId="882" priority="6" stopIfTrue="1">
      <formula>D7=KeyPersonal</formula>
    </cfRule>
    <cfRule type="expression" dxfId="881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4" tint="0.59999389629810485"/>
      </dataBar>
      <extLst>
        <ext xmlns:x14="http://schemas.microsoft.com/office/spreadsheetml/2009/9/main" uri="{B025F937-C7B1-47D3-B67F-A62EFF666E3E}">
          <x14:id>{E3654657-3509-4111-B4B8-F63E723EC629}</x14:id>
        </ext>
      </extLst>
    </cfRule>
  </conditionalFormatting>
  <dataValidations count="1">
    <dataValidation type="list" allowBlank="1" showInputMessage="1" showErrorMessage="1" sqref="C5" xr:uid="{8EA121EF-2DCD-4C5C-B8DB-7185D9A9DE93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legacyDrawing r:id="rId3"/>
  <picture r:id="rId4"/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3654657-3509-4111-B4B8-F63E723EC62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DFB4E-A122-4B6F-AEDD-1CC26FA025E4}">
  <sheetPr codeName="Feuil19">
    <tabColor theme="6" tint="-0.249977111117893"/>
    <pageSetUpPr fitToPage="1"/>
  </sheetPr>
  <dimension ref="C1:BE1401"/>
  <sheetViews>
    <sheetView showGridLines="0" zoomScale="90" zoomScaleNormal="90" workbookViewId="0">
      <selection activeCell="AI4" sqref="AI4:AI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2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3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 t="s">
        <v>38</v>
      </c>
      <c r="E7" s="33"/>
      <c r="F7" s="33" t="s">
        <v>46</v>
      </c>
      <c r="G7" s="33" t="s">
        <v>46</v>
      </c>
      <c r="H7" s="33" t="s">
        <v>46</v>
      </c>
      <c r="I7" s="33" t="s">
        <v>46</v>
      </c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 t="s">
        <v>46</v>
      </c>
      <c r="W7" s="33" t="s">
        <v>46</v>
      </c>
      <c r="X7" s="33"/>
      <c r="Y7" s="33"/>
      <c r="Z7" s="33"/>
      <c r="AA7" s="33" t="s">
        <v>46</v>
      </c>
      <c r="AB7" s="33" t="s">
        <v>46</v>
      </c>
      <c r="AC7" s="33" t="s">
        <v>46</v>
      </c>
      <c r="AD7" s="33" t="s">
        <v>46</v>
      </c>
      <c r="AE7" s="33" t="s">
        <v>46</v>
      </c>
      <c r="AF7" s="33" t="s">
        <v>46</v>
      </c>
      <c r="AG7" s="33"/>
      <c r="AH7" s="33"/>
      <c r="AI7" s="36">
        <f>COUNTA(tblJanuary13[[#This Row],[1]:[31]])</f>
        <v>13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 t="s">
        <v>46</v>
      </c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COUNTA(tblJanuary13[[#This Row],[1]:[31]])</f>
        <v>1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Février Total</v>
      </c>
      <c r="D12" s="51">
        <f>SUBTOTAL(103,tblJanuary13[1])</f>
        <v>1</v>
      </c>
      <c r="E12" s="51">
        <f>SUBTOTAL(103,tblJanuary13[2])</f>
        <v>0</v>
      </c>
      <c r="F12" s="51">
        <f>SUBTOTAL(103,tblJanuary13[3])</f>
        <v>1</v>
      </c>
      <c r="G12" s="51">
        <f>SUBTOTAL(103,tblJanuary13[4])</f>
        <v>1</v>
      </c>
      <c r="H12" s="51">
        <f>SUBTOTAL(103,tblJanuary13[5])</f>
        <v>2</v>
      </c>
      <c r="I12" s="51">
        <f>SUBTOTAL(103,tblJanuary13[6])</f>
        <v>1</v>
      </c>
      <c r="J12" s="51">
        <f>SUBTOTAL(103,tblJanuary13[7])</f>
        <v>0</v>
      </c>
      <c r="K12" s="51">
        <f>SUBTOTAL(103,tblJanuary13[8])</f>
        <v>0</v>
      </c>
      <c r="L12" s="51">
        <f>SUBTOTAL(103,tblJanuary13[9])</f>
        <v>0</v>
      </c>
      <c r="M12" s="51">
        <f>SUBTOTAL(103,tblJanuary13[10])</f>
        <v>0</v>
      </c>
      <c r="N12" s="51">
        <f>SUBTOTAL(103,tblJanuary13[11])</f>
        <v>0</v>
      </c>
      <c r="O12" s="51">
        <f>SUBTOTAL(103,tblJanuary13[12])</f>
        <v>0</v>
      </c>
      <c r="P12" s="51">
        <f>SUBTOTAL(103,tblJanuary13[13])</f>
        <v>0</v>
      </c>
      <c r="Q12" s="51">
        <f>SUBTOTAL(103,tblJanuary13[14])</f>
        <v>0</v>
      </c>
      <c r="R12" s="51">
        <f>SUBTOTAL(103,tblJanuary13[15])</f>
        <v>0</v>
      </c>
      <c r="S12" s="51">
        <f>SUBTOTAL(103,tblJanuary13[16])</f>
        <v>0</v>
      </c>
      <c r="T12" s="51">
        <f>SUBTOTAL(103,tblJanuary13[17])</f>
        <v>0</v>
      </c>
      <c r="U12" s="51">
        <f>SUBTOTAL(103,tblJanuary13[18])</f>
        <v>0</v>
      </c>
      <c r="V12" s="51">
        <f>SUBTOTAL(103,tblJanuary13[19])</f>
        <v>1</v>
      </c>
      <c r="W12" s="51">
        <f>SUBTOTAL(103,tblJanuary13[20])</f>
        <v>1</v>
      </c>
      <c r="X12" s="51">
        <f>SUBTOTAL(103,tblJanuary13[21])</f>
        <v>0</v>
      </c>
      <c r="Y12" s="51">
        <f>SUBTOTAL(103,tblJanuary13[22])</f>
        <v>0</v>
      </c>
      <c r="Z12" s="51">
        <f>SUBTOTAL(103,tblJanuary13[23])</f>
        <v>0</v>
      </c>
      <c r="AA12" s="51">
        <f>SUBTOTAL(103,tblJanuary13[24])</f>
        <v>1</v>
      </c>
      <c r="AB12" s="51">
        <f>SUBTOTAL(103,tblJanuary13[25])</f>
        <v>1</v>
      </c>
      <c r="AC12" s="51">
        <f>SUBTOTAL(103,tblJanuary13[26])</f>
        <v>1</v>
      </c>
      <c r="AD12" s="51">
        <f>SUBTOTAL(103,tblJanuary13[27])</f>
        <v>1</v>
      </c>
      <c r="AE12" s="51">
        <f>SUBTOTAL(103,tblJanuary13[28])</f>
        <v>1</v>
      </c>
      <c r="AF12" s="51">
        <f>SUBTOTAL(103,tblJanuary13[29])</f>
        <v>1</v>
      </c>
      <c r="AG12" s="51">
        <f>SUBTOTAL(103,tblJanuary13[30])</f>
        <v>0</v>
      </c>
      <c r="AH12" s="51">
        <f>SUBTOTAL(103,tblJanuary13[31])</f>
        <v>0</v>
      </c>
      <c r="AI12" s="53">
        <f>SUBTOTAL(109,tblJanuary13[Total Days])</f>
        <v>14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880" priority="1" stopIfTrue="1">
      <formula>D7=KeyAutreStiuation</formula>
    </cfRule>
    <cfRule type="expression" dxfId="879" priority="2" stopIfTrue="1">
      <formula>D7=KeyChomageTech</formula>
    </cfRule>
    <cfRule type="expression" dxfId="878" priority="3" stopIfTrue="1">
      <formula>D7=KeyCustom2</formula>
    </cfRule>
    <cfRule type="expression" dxfId="877" priority="4" stopIfTrue="1">
      <formula>D7=KeyCustom1</formula>
    </cfRule>
    <cfRule type="expression" dxfId="876" priority="5" stopIfTrue="1">
      <formula>D7=KeySick</formula>
    </cfRule>
    <cfRule type="expression" dxfId="875" priority="6" stopIfTrue="1">
      <formula>D7=KeyPersonal</formula>
    </cfRule>
    <cfRule type="expression" dxfId="874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{655D8635-ED77-4866-AC6A-63CB762EE637}</x14:id>
        </ext>
      </extLst>
    </cfRule>
  </conditionalFormatting>
  <dataValidations count="1">
    <dataValidation type="list" allowBlank="1" showInputMessage="1" showErrorMessage="1" sqref="C5" xr:uid="{6F33A9C0-29CC-4116-9005-598FC4090000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55D8635-ED77-4866-AC6A-63CB762EE637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5C9F2-430D-4933-BDC0-99D096964949}">
  <sheetPr codeName="Feuil20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3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37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Mars Total</v>
      </c>
      <c r="D12" s="51">
        <f>SUBTOTAL(103,tblJanuary1314[1])</f>
        <v>0</v>
      </c>
      <c r="E12" s="51">
        <f>SUBTOTAL(103,tblJanuary1314[2])</f>
        <v>0</v>
      </c>
      <c r="F12" s="51">
        <f>SUBTOTAL(103,tblJanuary1314[3])</f>
        <v>0</v>
      </c>
      <c r="G12" s="51">
        <f>SUBTOTAL(103,tblJanuary1314[4])</f>
        <v>0</v>
      </c>
      <c r="H12" s="51">
        <f>SUBTOTAL(103,tblJanuary1314[5])</f>
        <v>0</v>
      </c>
      <c r="I12" s="51">
        <f>SUBTOTAL(103,tblJanuary1314[6])</f>
        <v>0</v>
      </c>
      <c r="J12" s="51">
        <f>SUBTOTAL(103,tblJanuary1314[7])</f>
        <v>0</v>
      </c>
      <c r="K12" s="51">
        <f>SUBTOTAL(103,tblJanuary1314[8])</f>
        <v>0</v>
      </c>
      <c r="L12" s="51">
        <f>SUBTOTAL(103,tblJanuary1314[9])</f>
        <v>0</v>
      </c>
      <c r="M12" s="51">
        <f>SUBTOTAL(103,tblJanuary1314[10])</f>
        <v>0</v>
      </c>
      <c r="N12" s="51">
        <f>SUBTOTAL(103,tblJanuary1314[11])</f>
        <v>0</v>
      </c>
      <c r="O12" s="51">
        <f>SUBTOTAL(103,tblJanuary1314[12])</f>
        <v>0</v>
      </c>
      <c r="P12" s="51">
        <f>SUBTOTAL(103,tblJanuary1314[13])</f>
        <v>0</v>
      </c>
      <c r="Q12" s="51">
        <f>SUBTOTAL(103,tblJanuary1314[14])</f>
        <v>0</v>
      </c>
      <c r="R12" s="51">
        <f>SUBTOTAL(103,tblJanuary1314[15])</f>
        <v>0</v>
      </c>
      <c r="S12" s="51">
        <f>SUBTOTAL(103,tblJanuary1314[16])</f>
        <v>0</v>
      </c>
      <c r="T12" s="51">
        <f>SUBTOTAL(103,tblJanuary1314[17])</f>
        <v>0</v>
      </c>
      <c r="U12" s="51">
        <f>SUBTOTAL(103,tblJanuary1314[18])</f>
        <v>0</v>
      </c>
      <c r="V12" s="51">
        <f>SUBTOTAL(103,tblJanuary1314[19])</f>
        <v>0</v>
      </c>
      <c r="W12" s="51">
        <f>SUBTOTAL(103,tblJanuary1314[20])</f>
        <v>0</v>
      </c>
      <c r="X12" s="51">
        <f>SUBTOTAL(103,tblJanuary1314[21])</f>
        <v>0</v>
      </c>
      <c r="Y12" s="51">
        <f>SUBTOTAL(103,tblJanuary1314[22])</f>
        <v>0</v>
      </c>
      <c r="Z12" s="51">
        <f>SUBTOTAL(103,tblJanuary1314[23])</f>
        <v>0</v>
      </c>
      <c r="AA12" s="51">
        <f>SUBTOTAL(103,tblJanuary1314[24])</f>
        <v>0</v>
      </c>
      <c r="AB12" s="51">
        <f>SUBTOTAL(103,tblJanuary1314[25])</f>
        <v>0</v>
      </c>
      <c r="AC12" s="51">
        <f>SUBTOTAL(103,tblJanuary1314[26])</f>
        <v>0</v>
      </c>
      <c r="AD12" s="51">
        <f>SUBTOTAL(103,tblJanuary1314[27])</f>
        <v>0</v>
      </c>
      <c r="AE12" s="51">
        <f>SUBTOTAL(103,tblJanuary1314[28])</f>
        <v>0</v>
      </c>
      <c r="AF12" s="51">
        <f>SUBTOTAL(103,tblJanuary1314[29])</f>
        <v>0</v>
      </c>
      <c r="AG12" s="51">
        <f>SUBTOTAL(103,tblJanuary1314[30])</f>
        <v>0</v>
      </c>
      <c r="AH12" s="51">
        <f>SUBTOTAL(103,tblJanuary1314[31])</f>
        <v>0</v>
      </c>
      <c r="AI12" s="53">
        <f>SUBTOTAL(109,tblJanuary1314[Total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839" priority="1" stopIfTrue="1">
      <formula>D7=KeyAutreStiuation</formula>
    </cfRule>
    <cfRule type="expression" dxfId="838" priority="2" stopIfTrue="1">
      <formula>D7=KeyChomageTech</formula>
    </cfRule>
    <cfRule type="expression" dxfId="837" priority="3" stopIfTrue="1">
      <formula>D7=KeyCustom2</formula>
    </cfRule>
    <cfRule type="expression" dxfId="836" priority="4" stopIfTrue="1">
      <formula>D7=KeyCustom1</formula>
    </cfRule>
    <cfRule type="expression" dxfId="835" priority="5" stopIfTrue="1">
      <formula>D7=KeySick</formula>
    </cfRule>
    <cfRule type="expression" dxfId="834" priority="6" stopIfTrue="1">
      <formula>D7=KeyPersonal</formula>
    </cfRule>
    <cfRule type="expression" dxfId="833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{8C23F30C-4681-4A46-BFBD-4F7B968FA917}</x14:id>
        </ext>
      </extLst>
    </cfRule>
  </conditionalFormatting>
  <dataValidations count="1">
    <dataValidation type="list" allowBlank="1" showInputMessage="1" showErrorMessage="1" sqref="C5" xr:uid="{3A5872A0-9CBD-4D24-94B4-DF27687E5859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C23F30C-4681-4A46-BFBD-4F7B968FA917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CD8D5-0501-4B4F-8D8E-67609FE8556B}">
  <sheetPr codeName="Feuil22">
    <tabColor theme="6" tint="-0.249977111117893"/>
    <pageSetUpPr fitToPage="1"/>
  </sheetPr>
  <dimension ref="C1:BE1401"/>
  <sheetViews>
    <sheetView showGridLines="0" zoomScale="90" zoomScaleNormal="90" workbookViewId="0">
      <selection activeCell="AC21" sqref="AC21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4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40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Avril Total</v>
      </c>
      <c r="D12" s="51">
        <f>SUBTOTAL(103,tblJanuary131415[1])</f>
        <v>0</v>
      </c>
      <c r="E12" s="51">
        <f>SUBTOTAL(103,tblJanuary131415[2])</f>
        <v>0</v>
      </c>
      <c r="F12" s="51">
        <f>SUBTOTAL(103,tblJanuary131415[3])</f>
        <v>0</v>
      </c>
      <c r="G12" s="51">
        <f>SUBTOTAL(103,tblJanuary131415[4])</f>
        <v>0</v>
      </c>
      <c r="H12" s="51">
        <f>SUBTOTAL(103,tblJanuary131415[5])</f>
        <v>0</v>
      </c>
      <c r="I12" s="51">
        <f>SUBTOTAL(103,tblJanuary131415[6])</f>
        <v>0</v>
      </c>
      <c r="J12" s="51">
        <f>SUBTOTAL(103,tblJanuary131415[7])</f>
        <v>0</v>
      </c>
      <c r="K12" s="51">
        <f>SUBTOTAL(103,tblJanuary131415[8])</f>
        <v>0</v>
      </c>
      <c r="L12" s="51">
        <f>SUBTOTAL(103,tblJanuary131415[9])</f>
        <v>0</v>
      </c>
      <c r="M12" s="51">
        <f>SUBTOTAL(103,tblJanuary131415[10])</f>
        <v>0</v>
      </c>
      <c r="N12" s="51">
        <f>SUBTOTAL(103,tblJanuary131415[11])</f>
        <v>0</v>
      </c>
      <c r="O12" s="51">
        <f>SUBTOTAL(103,tblJanuary131415[12])</f>
        <v>0</v>
      </c>
      <c r="P12" s="51">
        <f>SUBTOTAL(103,tblJanuary131415[13])</f>
        <v>0</v>
      </c>
      <c r="Q12" s="51">
        <f>SUBTOTAL(103,tblJanuary131415[14])</f>
        <v>0</v>
      </c>
      <c r="R12" s="51">
        <f>SUBTOTAL(103,tblJanuary131415[15])</f>
        <v>0</v>
      </c>
      <c r="S12" s="51">
        <f>SUBTOTAL(103,tblJanuary131415[16])</f>
        <v>0</v>
      </c>
      <c r="T12" s="51">
        <f>SUBTOTAL(103,tblJanuary131415[17])</f>
        <v>0</v>
      </c>
      <c r="U12" s="51">
        <f>SUBTOTAL(103,tblJanuary131415[18])</f>
        <v>0</v>
      </c>
      <c r="V12" s="51">
        <f>SUBTOTAL(103,tblJanuary131415[19])</f>
        <v>0</v>
      </c>
      <c r="W12" s="51">
        <f>SUBTOTAL(103,tblJanuary131415[20])</f>
        <v>0</v>
      </c>
      <c r="X12" s="51">
        <f>SUBTOTAL(103,tblJanuary131415[21])</f>
        <v>0</v>
      </c>
      <c r="Y12" s="51">
        <f>SUBTOTAL(103,tblJanuary131415[22])</f>
        <v>0</v>
      </c>
      <c r="Z12" s="51">
        <f>SUBTOTAL(103,tblJanuary131415[23])</f>
        <v>0</v>
      </c>
      <c r="AA12" s="51">
        <f>SUBTOTAL(103,tblJanuary131415[24])</f>
        <v>0</v>
      </c>
      <c r="AB12" s="51">
        <f>SUBTOTAL(103,tblJanuary131415[25])</f>
        <v>0</v>
      </c>
      <c r="AC12" s="51">
        <f>SUBTOTAL(103,tblJanuary131415[26])</f>
        <v>0</v>
      </c>
      <c r="AD12" s="51">
        <f>SUBTOTAL(103,tblJanuary131415[27])</f>
        <v>0</v>
      </c>
      <c r="AE12" s="51">
        <f>SUBTOTAL(103,tblJanuary131415[28])</f>
        <v>0</v>
      </c>
      <c r="AF12" s="51">
        <f>SUBTOTAL(103,tblJanuary131415[29])</f>
        <v>0</v>
      </c>
      <c r="AG12" s="51">
        <f>SUBTOTAL(103,tblJanuary131415[30])</f>
        <v>0</v>
      </c>
      <c r="AH12" s="51">
        <f>SUBTOTAL(103,tblJanuary131415[31])</f>
        <v>0</v>
      </c>
      <c r="AI12" s="53">
        <f>SUBTOTAL(109,tblJanuary131415[Total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798" priority="1" stopIfTrue="1">
      <formula>D7=KeyAutreStiuation</formula>
    </cfRule>
    <cfRule type="expression" dxfId="797" priority="2" stopIfTrue="1">
      <formula>D7=KeyChomageTech</formula>
    </cfRule>
    <cfRule type="expression" dxfId="796" priority="3" stopIfTrue="1">
      <formula>D7=KeyCustom2</formula>
    </cfRule>
    <cfRule type="expression" dxfId="795" priority="4" stopIfTrue="1">
      <formula>D7=KeyCustom1</formula>
    </cfRule>
    <cfRule type="expression" dxfId="794" priority="5" stopIfTrue="1">
      <formula>D7=KeySick</formula>
    </cfRule>
    <cfRule type="expression" dxfId="793" priority="6" stopIfTrue="1">
      <formula>D7=KeyPersonal</formula>
    </cfRule>
    <cfRule type="expression" dxfId="792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{B6A49ECB-C96C-4802-81AD-F006328A3500}</x14:id>
        </ext>
      </extLst>
    </cfRule>
  </conditionalFormatting>
  <dataValidations count="1">
    <dataValidation type="list" allowBlank="1" showInputMessage="1" showErrorMessage="1" sqref="C5" xr:uid="{A28BC0B2-511A-499C-A468-D4CAECFE99B9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A49ECB-C96C-4802-81AD-F006328A350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28171-CA1A-4737-B36A-5C1860A5D5F6}">
  <sheetPr codeName="Feuil23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5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44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Mai Total</v>
      </c>
      <c r="D12" s="51">
        <f>SUBTOTAL(103,tblJanuary13141516[1])</f>
        <v>0</v>
      </c>
      <c r="E12" s="51">
        <f>SUBTOTAL(103,tblJanuary13141516[2])</f>
        <v>0</v>
      </c>
      <c r="F12" s="51">
        <f>SUBTOTAL(103,tblJanuary13141516[3])</f>
        <v>0</v>
      </c>
      <c r="G12" s="51">
        <f>SUBTOTAL(103,tblJanuary13141516[4])</f>
        <v>0</v>
      </c>
      <c r="H12" s="51">
        <f>SUBTOTAL(103,tblJanuary13141516[5])</f>
        <v>0</v>
      </c>
      <c r="I12" s="51">
        <f>SUBTOTAL(103,tblJanuary13141516[6])</f>
        <v>0</v>
      </c>
      <c r="J12" s="51">
        <f>SUBTOTAL(103,tblJanuary13141516[7])</f>
        <v>0</v>
      </c>
      <c r="K12" s="51">
        <f>SUBTOTAL(103,tblJanuary13141516[8])</f>
        <v>0</v>
      </c>
      <c r="L12" s="51">
        <f>SUBTOTAL(103,tblJanuary13141516[9])</f>
        <v>0</v>
      </c>
      <c r="M12" s="51">
        <f>SUBTOTAL(103,tblJanuary13141516[10])</f>
        <v>0</v>
      </c>
      <c r="N12" s="51">
        <f>SUBTOTAL(103,tblJanuary13141516[11])</f>
        <v>0</v>
      </c>
      <c r="O12" s="51">
        <f>SUBTOTAL(103,tblJanuary13141516[12])</f>
        <v>0</v>
      </c>
      <c r="P12" s="51">
        <f>SUBTOTAL(103,tblJanuary13141516[13])</f>
        <v>0</v>
      </c>
      <c r="Q12" s="51">
        <f>SUBTOTAL(103,tblJanuary13141516[14])</f>
        <v>0</v>
      </c>
      <c r="R12" s="51">
        <f>SUBTOTAL(103,tblJanuary13141516[15])</f>
        <v>0</v>
      </c>
      <c r="S12" s="51">
        <f>SUBTOTAL(103,tblJanuary13141516[16])</f>
        <v>0</v>
      </c>
      <c r="T12" s="51">
        <f>SUBTOTAL(103,tblJanuary13141516[17])</f>
        <v>0</v>
      </c>
      <c r="U12" s="51">
        <f>SUBTOTAL(103,tblJanuary13141516[18])</f>
        <v>0</v>
      </c>
      <c r="V12" s="51">
        <f>SUBTOTAL(103,tblJanuary13141516[19])</f>
        <v>0</v>
      </c>
      <c r="W12" s="51">
        <f>SUBTOTAL(103,tblJanuary13141516[20])</f>
        <v>0</v>
      </c>
      <c r="X12" s="51">
        <f>SUBTOTAL(103,tblJanuary13141516[21])</f>
        <v>0</v>
      </c>
      <c r="Y12" s="51">
        <f>SUBTOTAL(103,tblJanuary13141516[22])</f>
        <v>0</v>
      </c>
      <c r="Z12" s="51">
        <f>SUBTOTAL(103,tblJanuary13141516[23])</f>
        <v>0</v>
      </c>
      <c r="AA12" s="51">
        <f>SUBTOTAL(103,tblJanuary13141516[24])</f>
        <v>0</v>
      </c>
      <c r="AB12" s="51">
        <f>SUBTOTAL(103,tblJanuary13141516[25])</f>
        <v>0</v>
      </c>
      <c r="AC12" s="51">
        <f>SUBTOTAL(103,tblJanuary13141516[26])</f>
        <v>0</v>
      </c>
      <c r="AD12" s="51">
        <f>SUBTOTAL(103,tblJanuary13141516[27])</f>
        <v>0</v>
      </c>
      <c r="AE12" s="51">
        <f>SUBTOTAL(103,tblJanuary13141516[28])</f>
        <v>0</v>
      </c>
      <c r="AF12" s="51">
        <f>SUBTOTAL(103,tblJanuary13141516[29])</f>
        <v>0</v>
      </c>
      <c r="AG12" s="51">
        <f>SUBTOTAL(103,tblJanuary13141516[30])</f>
        <v>0</v>
      </c>
      <c r="AH12" s="51">
        <f>SUBTOTAL(103,tblJanuary13141516[31])</f>
        <v>0</v>
      </c>
      <c r="AI12" s="53">
        <f>SUBTOTAL(109,tblJanuary13141516[Total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757" priority="1" stopIfTrue="1">
      <formula>D7=KeyAutreStiuation</formula>
    </cfRule>
    <cfRule type="expression" dxfId="756" priority="2" stopIfTrue="1">
      <formula>D7=KeyChomageTech</formula>
    </cfRule>
    <cfRule type="expression" dxfId="755" priority="3" stopIfTrue="1">
      <formula>D7=KeyCustom2</formula>
    </cfRule>
    <cfRule type="expression" dxfId="754" priority="4" stopIfTrue="1">
      <formula>D7=KeyCustom1</formula>
    </cfRule>
    <cfRule type="expression" dxfId="753" priority="5" stopIfTrue="1">
      <formula>D7=KeySick</formula>
    </cfRule>
    <cfRule type="expression" dxfId="752" priority="6" stopIfTrue="1">
      <formula>D7=KeyPersonal</formula>
    </cfRule>
    <cfRule type="expression" dxfId="751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{62B9A08D-13E1-43B7-8ACE-F5272D01D934}</x14:id>
        </ext>
      </extLst>
    </cfRule>
  </conditionalFormatting>
  <dataValidations count="1">
    <dataValidation type="list" allowBlank="1" showInputMessage="1" showErrorMessage="1" sqref="C5" xr:uid="{C059FDE6-236F-4DCD-AF85-118651FFE2F9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B9A08D-13E1-43B7-8ACE-F5272D01D93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2F3E0-7ECA-4C15-9E44-1F3F2996DA70}">
  <sheetPr codeName="Feuil24">
    <tabColor theme="6" tint="-0.249977111117893"/>
    <pageSetUpPr fitToPage="1"/>
  </sheetPr>
  <dimension ref="C1:BE1401"/>
  <sheetViews>
    <sheetView showGridLines="0" zoomScale="90" zoomScaleNormal="90" workbookViewId="0">
      <selection activeCell="C11" sqref="C7:C11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48">
        <f ca="1">TODAY()</f>
        <v>44559</v>
      </c>
    </row>
    <row r="3" spans="3:57" s="8" customFormat="1" ht="49.5" customHeight="1" x14ac:dyDescent="0.25">
      <c r="C3" s="46">
        <v>6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49" t="s">
        <v>47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Juin Total</v>
      </c>
      <c r="D12" s="51">
        <f>SUBTOTAL(103,tblJanuary1314151617[1])</f>
        <v>0</v>
      </c>
      <c r="E12" s="51">
        <f>SUBTOTAL(103,tblJanuary1314151617[2])</f>
        <v>0</v>
      </c>
      <c r="F12" s="51">
        <f>SUBTOTAL(103,tblJanuary1314151617[3])</f>
        <v>0</v>
      </c>
      <c r="G12" s="51">
        <f>SUBTOTAL(103,tblJanuary1314151617[4])</f>
        <v>0</v>
      </c>
      <c r="H12" s="51">
        <f>SUBTOTAL(103,tblJanuary1314151617[5])</f>
        <v>0</v>
      </c>
      <c r="I12" s="51">
        <f>SUBTOTAL(103,tblJanuary1314151617[6])</f>
        <v>0</v>
      </c>
      <c r="J12" s="51">
        <f>SUBTOTAL(103,tblJanuary1314151617[7])</f>
        <v>0</v>
      </c>
      <c r="K12" s="51">
        <f>SUBTOTAL(103,tblJanuary1314151617[8])</f>
        <v>0</v>
      </c>
      <c r="L12" s="51">
        <f>SUBTOTAL(103,tblJanuary1314151617[9])</f>
        <v>0</v>
      </c>
      <c r="M12" s="51">
        <f>SUBTOTAL(103,tblJanuary1314151617[10])</f>
        <v>0</v>
      </c>
      <c r="N12" s="51">
        <f>SUBTOTAL(103,tblJanuary1314151617[11])</f>
        <v>0</v>
      </c>
      <c r="O12" s="51">
        <f>SUBTOTAL(103,tblJanuary1314151617[12])</f>
        <v>0</v>
      </c>
      <c r="P12" s="51">
        <f>SUBTOTAL(103,tblJanuary1314151617[13])</f>
        <v>0</v>
      </c>
      <c r="Q12" s="51">
        <f>SUBTOTAL(103,tblJanuary1314151617[14])</f>
        <v>0</v>
      </c>
      <c r="R12" s="51">
        <f>SUBTOTAL(103,tblJanuary1314151617[15])</f>
        <v>0</v>
      </c>
      <c r="S12" s="51">
        <f>SUBTOTAL(103,tblJanuary1314151617[16])</f>
        <v>0</v>
      </c>
      <c r="T12" s="51">
        <f>SUBTOTAL(103,tblJanuary1314151617[17])</f>
        <v>0</v>
      </c>
      <c r="U12" s="51">
        <f>SUBTOTAL(103,tblJanuary1314151617[18])</f>
        <v>0</v>
      </c>
      <c r="V12" s="51">
        <f>SUBTOTAL(103,tblJanuary1314151617[19])</f>
        <v>0</v>
      </c>
      <c r="W12" s="51">
        <f>SUBTOTAL(103,tblJanuary1314151617[20])</f>
        <v>0</v>
      </c>
      <c r="X12" s="51">
        <f>SUBTOTAL(103,tblJanuary1314151617[21])</f>
        <v>0</v>
      </c>
      <c r="Y12" s="51">
        <f>SUBTOTAL(103,tblJanuary1314151617[22])</f>
        <v>0</v>
      </c>
      <c r="Z12" s="51">
        <f>SUBTOTAL(103,tblJanuary1314151617[23])</f>
        <v>0</v>
      </c>
      <c r="AA12" s="51">
        <f>SUBTOTAL(103,tblJanuary1314151617[24])</f>
        <v>0</v>
      </c>
      <c r="AB12" s="51">
        <f>SUBTOTAL(103,tblJanuary1314151617[25])</f>
        <v>0</v>
      </c>
      <c r="AC12" s="51">
        <f>SUBTOTAL(103,tblJanuary1314151617[26])</f>
        <v>0</v>
      </c>
      <c r="AD12" s="51">
        <f>SUBTOTAL(103,tblJanuary1314151617[27])</f>
        <v>0</v>
      </c>
      <c r="AE12" s="51">
        <f>SUBTOTAL(103,tblJanuary1314151617[28])</f>
        <v>0</v>
      </c>
      <c r="AF12" s="51">
        <f>SUBTOTAL(103,tblJanuary1314151617[29])</f>
        <v>0</v>
      </c>
      <c r="AG12" s="51">
        <f>SUBTOTAL(103,tblJanuary1314151617[30])</f>
        <v>0</v>
      </c>
      <c r="AH12" s="51">
        <f>SUBTOTAL(103,tblJanuary1314151617[31])</f>
        <v>0</v>
      </c>
      <c r="AI12" s="53">
        <f>SUBTOTAL(109,tblJanuary1314151617[Total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716" priority="1" stopIfTrue="1">
      <formula>D7=KeyAutreStiuation</formula>
    </cfRule>
    <cfRule type="expression" dxfId="715" priority="2" stopIfTrue="1">
      <formula>D7=KeyChomageTech</formula>
    </cfRule>
    <cfRule type="expression" dxfId="714" priority="3" stopIfTrue="1">
      <formula>D7=KeyCustom2</formula>
    </cfRule>
    <cfRule type="expression" dxfId="713" priority="4" stopIfTrue="1">
      <formula>D7=KeyCustom1</formula>
    </cfRule>
    <cfRule type="expression" dxfId="712" priority="5" stopIfTrue="1">
      <formula>D7=KeySick</formula>
    </cfRule>
    <cfRule type="expression" dxfId="711" priority="6" stopIfTrue="1">
      <formula>D7=KeyPersonal</formula>
    </cfRule>
    <cfRule type="expression" dxfId="710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{89E37731-D46F-4BAB-8D25-CD2EA087D60B}</x14:id>
        </ext>
      </extLst>
    </cfRule>
  </conditionalFormatting>
  <dataValidations count="1">
    <dataValidation type="list" allowBlank="1" showInputMessage="1" showErrorMessage="1" sqref="C5" xr:uid="{704AE901-E207-48A5-A1EF-C960EAD6D246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9E37731-D46F-4BAB-8D25-CD2EA087D60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46F9-FE43-4F2F-B6FB-CE24FE5D40D2}">
  <sheetPr codeName="Feuil25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7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50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COUNTA(tblJanuary131415161718[[#This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COUNTA(tblJanuary131415161718[[#This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COUNTA(tblJanuary131415161718[[#This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COUNTA(tblJanuary131415161718[[#This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COUNTA(tblJanuary131415161718[[#This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Juillet Total</v>
      </c>
      <c r="D12" s="51">
        <f>SUBTOTAL(103,tblJanuary131415161718[1])</f>
        <v>0</v>
      </c>
      <c r="E12" s="51">
        <f>SUBTOTAL(103,tblJanuary131415161718[2])</f>
        <v>0</v>
      </c>
      <c r="F12" s="51">
        <f>SUBTOTAL(103,tblJanuary131415161718[3])</f>
        <v>0</v>
      </c>
      <c r="G12" s="51">
        <f>SUBTOTAL(103,tblJanuary131415161718[4])</f>
        <v>0</v>
      </c>
      <c r="H12" s="51">
        <f>SUBTOTAL(103,tblJanuary131415161718[5])</f>
        <v>0</v>
      </c>
      <c r="I12" s="51">
        <f>SUBTOTAL(103,tblJanuary131415161718[6])</f>
        <v>0</v>
      </c>
      <c r="J12" s="51">
        <f>SUBTOTAL(103,tblJanuary131415161718[7])</f>
        <v>0</v>
      </c>
      <c r="K12" s="51">
        <f>SUBTOTAL(103,tblJanuary131415161718[8])</f>
        <v>0</v>
      </c>
      <c r="L12" s="51">
        <f>SUBTOTAL(103,tblJanuary131415161718[9])</f>
        <v>0</v>
      </c>
      <c r="M12" s="51">
        <f>SUBTOTAL(103,tblJanuary131415161718[10])</f>
        <v>0</v>
      </c>
      <c r="N12" s="51">
        <f>SUBTOTAL(103,tblJanuary131415161718[11])</f>
        <v>0</v>
      </c>
      <c r="O12" s="51">
        <f>SUBTOTAL(103,tblJanuary131415161718[12])</f>
        <v>0</v>
      </c>
      <c r="P12" s="51">
        <f>SUBTOTAL(103,tblJanuary131415161718[13])</f>
        <v>0</v>
      </c>
      <c r="Q12" s="51">
        <f>SUBTOTAL(103,tblJanuary131415161718[14])</f>
        <v>0</v>
      </c>
      <c r="R12" s="51">
        <f>SUBTOTAL(103,tblJanuary131415161718[15])</f>
        <v>0</v>
      </c>
      <c r="S12" s="51">
        <f>SUBTOTAL(103,tblJanuary131415161718[16])</f>
        <v>0</v>
      </c>
      <c r="T12" s="51">
        <f>SUBTOTAL(103,tblJanuary131415161718[17])</f>
        <v>0</v>
      </c>
      <c r="U12" s="51">
        <f>SUBTOTAL(103,tblJanuary131415161718[18])</f>
        <v>0</v>
      </c>
      <c r="V12" s="51">
        <f>SUBTOTAL(103,tblJanuary131415161718[19])</f>
        <v>0</v>
      </c>
      <c r="W12" s="51">
        <f>SUBTOTAL(103,tblJanuary131415161718[20])</f>
        <v>0</v>
      </c>
      <c r="X12" s="51">
        <f>SUBTOTAL(103,tblJanuary131415161718[21])</f>
        <v>0</v>
      </c>
      <c r="Y12" s="51">
        <f>SUBTOTAL(103,tblJanuary131415161718[22])</f>
        <v>0</v>
      </c>
      <c r="Z12" s="51">
        <f>SUBTOTAL(103,tblJanuary131415161718[23])</f>
        <v>0</v>
      </c>
      <c r="AA12" s="51">
        <f>SUBTOTAL(103,tblJanuary131415161718[24])</f>
        <v>0</v>
      </c>
      <c r="AB12" s="51">
        <f>SUBTOTAL(103,tblJanuary131415161718[25])</f>
        <v>0</v>
      </c>
      <c r="AC12" s="51">
        <f>SUBTOTAL(103,tblJanuary131415161718[26])</f>
        <v>0</v>
      </c>
      <c r="AD12" s="51">
        <f>SUBTOTAL(103,tblJanuary131415161718[27])</f>
        <v>0</v>
      </c>
      <c r="AE12" s="51">
        <f>SUBTOTAL(103,tblJanuary131415161718[28])</f>
        <v>0</v>
      </c>
      <c r="AF12" s="51">
        <f>SUBTOTAL(103,tblJanuary131415161718[29])</f>
        <v>0</v>
      </c>
      <c r="AG12" s="51">
        <f>SUBTOTAL(103,tblJanuary131415161718[30])</f>
        <v>0</v>
      </c>
      <c r="AH12" s="51">
        <f>SUBTOTAL(103,tblJanuary131415161718[31])</f>
        <v>0</v>
      </c>
      <c r="AI12" s="53">
        <f>SUBTOTAL(109,tblJanuary131415161718[Total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675" priority="1" stopIfTrue="1">
      <formula>D7=KeyAutreStiuation</formula>
    </cfRule>
    <cfRule type="expression" dxfId="674" priority="2" stopIfTrue="1">
      <formula>D7=KeyChomageTech</formula>
    </cfRule>
    <cfRule type="expression" dxfId="673" priority="3" stopIfTrue="1">
      <formula>D7=KeyCustom2</formula>
    </cfRule>
    <cfRule type="expression" dxfId="672" priority="4" stopIfTrue="1">
      <formula>D7=KeyCustom1</formula>
    </cfRule>
    <cfRule type="expression" dxfId="671" priority="5" stopIfTrue="1">
      <formula>D7=KeySick</formula>
    </cfRule>
    <cfRule type="expression" dxfId="670" priority="6" stopIfTrue="1">
      <formula>D7=KeyPersonal</formula>
    </cfRule>
    <cfRule type="expression" dxfId="669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{5AB96428-452E-4E91-A83C-B7EE199950E9}</x14:id>
        </ext>
      </extLst>
    </cfRule>
  </conditionalFormatting>
  <dataValidations count="1">
    <dataValidation type="list" allowBlank="1" showInputMessage="1" showErrorMessage="1" sqref="C5" xr:uid="{D9D17996-F977-4AD8-90DB-8290A7B976A6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B96428-452E-4E91-A83C-B7EE199950E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4F255-7F07-4F4A-8644-573B4496B471}">
  <sheetPr codeName="Feuil26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8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52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COUNTA(tblJanuary13141516171819[[#This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COUNTA(tblJanuary13141516171819[[#This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COUNTA(tblJanuary13141516171819[[#This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COUNTA(tblJanuary13141516171819[[#This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COUNTA(tblJanuary13141516171819[[#This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Août Total</v>
      </c>
      <c r="D12" s="51">
        <f>SUBTOTAL(103,tblJanuary13141516171819[1])</f>
        <v>0</v>
      </c>
      <c r="E12" s="51">
        <f>SUBTOTAL(103,tblJanuary13141516171819[2])</f>
        <v>0</v>
      </c>
      <c r="F12" s="51">
        <f>SUBTOTAL(103,tblJanuary13141516171819[3])</f>
        <v>0</v>
      </c>
      <c r="G12" s="51">
        <f>SUBTOTAL(103,tblJanuary13141516171819[4])</f>
        <v>0</v>
      </c>
      <c r="H12" s="51">
        <f>SUBTOTAL(103,tblJanuary13141516171819[5])</f>
        <v>0</v>
      </c>
      <c r="I12" s="51">
        <f>SUBTOTAL(103,tblJanuary13141516171819[6])</f>
        <v>0</v>
      </c>
      <c r="J12" s="51">
        <f>SUBTOTAL(103,tblJanuary13141516171819[7])</f>
        <v>0</v>
      </c>
      <c r="K12" s="51">
        <f>SUBTOTAL(103,tblJanuary13141516171819[8])</f>
        <v>0</v>
      </c>
      <c r="L12" s="51">
        <f>SUBTOTAL(103,tblJanuary13141516171819[9])</f>
        <v>0</v>
      </c>
      <c r="M12" s="51">
        <f>SUBTOTAL(103,tblJanuary13141516171819[10])</f>
        <v>0</v>
      </c>
      <c r="N12" s="51">
        <f>SUBTOTAL(103,tblJanuary13141516171819[11])</f>
        <v>0</v>
      </c>
      <c r="O12" s="51">
        <f>SUBTOTAL(103,tblJanuary13141516171819[12])</f>
        <v>0</v>
      </c>
      <c r="P12" s="51">
        <f>SUBTOTAL(103,tblJanuary13141516171819[13])</f>
        <v>0</v>
      </c>
      <c r="Q12" s="51">
        <f>SUBTOTAL(103,tblJanuary13141516171819[14])</f>
        <v>0</v>
      </c>
      <c r="R12" s="51">
        <f>SUBTOTAL(103,tblJanuary13141516171819[15])</f>
        <v>0</v>
      </c>
      <c r="S12" s="51">
        <f>SUBTOTAL(103,tblJanuary13141516171819[16])</f>
        <v>0</v>
      </c>
      <c r="T12" s="51">
        <f>SUBTOTAL(103,tblJanuary13141516171819[17])</f>
        <v>0</v>
      </c>
      <c r="U12" s="51">
        <f>SUBTOTAL(103,tblJanuary13141516171819[18])</f>
        <v>0</v>
      </c>
      <c r="V12" s="51">
        <f>SUBTOTAL(103,tblJanuary13141516171819[19])</f>
        <v>0</v>
      </c>
      <c r="W12" s="51">
        <f>SUBTOTAL(103,tblJanuary13141516171819[20])</f>
        <v>0</v>
      </c>
      <c r="X12" s="51">
        <f>SUBTOTAL(103,tblJanuary13141516171819[21])</f>
        <v>0</v>
      </c>
      <c r="Y12" s="51">
        <f>SUBTOTAL(103,tblJanuary13141516171819[22])</f>
        <v>0</v>
      </c>
      <c r="Z12" s="51">
        <f>SUBTOTAL(103,tblJanuary13141516171819[23])</f>
        <v>0</v>
      </c>
      <c r="AA12" s="51">
        <f>SUBTOTAL(103,tblJanuary13141516171819[24])</f>
        <v>0</v>
      </c>
      <c r="AB12" s="51">
        <f>SUBTOTAL(103,tblJanuary13141516171819[25])</f>
        <v>0</v>
      </c>
      <c r="AC12" s="51">
        <f>SUBTOTAL(103,tblJanuary13141516171819[26])</f>
        <v>0</v>
      </c>
      <c r="AD12" s="51">
        <f>SUBTOTAL(103,tblJanuary13141516171819[27])</f>
        <v>0</v>
      </c>
      <c r="AE12" s="51">
        <f>SUBTOTAL(103,tblJanuary13141516171819[28])</f>
        <v>0</v>
      </c>
      <c r="AF12" s="51">
        <f>SUBTOTAL(103,tblJanuary13141516171819[29])</f>
        <v>0</v>
      </c>
      <c r="AG12" s="51">
        <f>SUBTOTAL(103,tblJanuary13141516171819[30])</f>
        <v>0</v>
      </c>
      <c r="AH12" s="51">
        <f>SUBTOTAL(103,tblJanuary13141516171819[31])</f>
        <v>0</v>
      </c>
      <c r="AI12" s="53">
        <f>SUBTOTAL(109,tblJanuary13141516171819[Total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634" priority="1" stopIfTrue="1">
      <formula>D7=KeyAutreStiuation</formula>
    </cfRule>
    <cfRule type="expression" dxfId="633" priority="2" stopIfTrue="1">
      <formula>D7=KeyChomageTech</formula>
    </cfRule>
    <cfRule type="expression" dxfId="632" priority="3" stopIfTrue="1">
      <formula>D7=KeyCustom2</formula>
    </cfRule>
    <cfRule type="expression" dxfId="631" priority="4" stopIfTrue="1">
      <formula>D7=KeyCustom1</formula>
    </cfRule>
    <cfRule type="expression" dxfId="630" priority="5" stopIfTrue="1">
      <formula>D7=KeySick</formula>
    </cfRule>
    <cfRule type="expression" dxfId="629" priority="6" stopIfTrue="1">
      <formula>D7=KeyPersonal</formula>
    </cfRule>
    <cfRule type="expression" dxfId="628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{5652F630-C75F-4B1E-B448-650C467FF73A}</x14:id>
        </ext>
      </extLst>
    </cfRule>
  </conditionalFormatting>
  <dataValidations count="1">
    <dataValidation type="list" allowBlank="1" showInputMessage="1" showErrorMessage="1" sqref="C5" xr:uid="{AF17CFB1-9AE2-415B-BB4E-B9D73EEFB1A8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52F630-C75F-4B1E-B448-650C467FF73A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5E256-ECB3-496D-BCE0-C9C3D37E51EB}">
  <sheetPr codeName="Feuil27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9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53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COUNTA(tblJanuary1314151617181920[[#This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COUNTA(tblJanuary1314151617181920[[#This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COUNTA(tblJanuary1314151617181920[[#This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COUNTA(tblJanuary1314151617181920[[#This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COUNTA(tblJanuary1314151617181920[[#This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Septembre Total</v>
      </c>
      <c r="D12" s="51">
        <f>SUBTOTAL(103,tblJanuary1314151617181920[1])</f>
        <v>0</v>
      </c>
      <c r="E12" s="51">
        <f>SUBTOTAL(103,tblJanuary1314151617181920[2])</f>
        <v>0</v>
      </c>
      <c r="F12" s="51">
        <f>SUBTOTAL(103,tblJanuary1314151617181920[3])</f>
        <v>0</v>
      </c>
      <c r="G12" s="51">
        <f>SUBTOTAL(103,tblJanuary1314151617181920[4])</f>
        <v>0</v>
      </c>
      <c r="H12" s="51">
        <f>SUBTOTAL(103,tblJanuary1314151617181920[5])</f>
        <v>0</v>
      </c>
      <c r="I12" s="51">
        <f>SUBTOTAL(103,tblJanuary1314151617181920[6])</f>
        <v>0</v>
      </c>
      <c r="J12" s="51">
        <f>SUBTOTAL(103,tblJanuary1314151617181920[7])</f>
        <v>0</v>
      </c>
      <c r="K12" s="51">
        <f>SUBTOTAL(103,tblJanuary1314151617181920[8])</f>
        <v>0</v>
      </c>
      <c r="L12" s="51">
        <f>SUBTOTAL(103,tblJanuary1314151617181920[9])</f>
        <v>0</v>
      </c>
      <c r="M12" s="51">
        <f>SUBTOTAL(103,tblJanuary1314151617181920[10])</f>
        <v>0</v>
      </c>
      <c r="N12" s="51">
        <f>SUBTOTAL(103,tblJanuary1314151617181920[11])</f>
        <v>0</v>
      </c>
      <c r="O12" s="51">
        <f>SUBTOTAL(103,tblJanuary1314151617181920[12])</f>
        <v>0</v>
      </c>
      <c r="P12" s="51">
        <f>SUBTOTAL(103,tblJanuary1314151617181920[13])</f>
        <v>0</v>
      </c>
      <c r="Q12" s="51">
        <f>SUBTOTAL(103,tblJanuary1314151617181920[14])</f>
        <v>0</v>
      </c>
      <c r="R12" s="51">
        <f>SUBTOTAL(103,tblJanuary1314151617181920[15])</f>
        <v>0</v>
      </c>
      <c r="S12" s="51">
        <f>SUBTOTAL(103,tblJanuary1314151617181920[16])</f>
        <v>0</v>
      </c>
      <c r="T12" s="51">
        <f>SUBTOTAL(103,tblJanuary1314151617181920[17])</f>
        <v>0</v>
      </c>
      <c r="U12" s="51">
        <f>SUBTOTAL(103,tblJanuary1314151617181920[18])</f>
        <v>0</v>
      </c>
      <c r="V12" s="51">
        <f>SUBTOTAL(103,tblJanuary1314151617181920[19])</f>
        <v>0</v>
      </c>
      <c r="W12" s="51">
        <f>SUBTOTAL(103,tblJanuary1314151617181920[20])</f>
        <v>0</v>
      </c>
      <c r="X12" s="51">
        <f>SUBTOTAL(103,tblJanuary1314151617181920[21])</f>
        <v>0</v>
      </c>
      <c r="Y12" s="51">
        <f>SUBTOTAL(103,tblJanuary1314151617181920[22])</f>
        <v>0</v>
      </c>
      <c r="Z12" s="51">
        <f>SUBTOTAL(103,tblJanuary1314151617181920[23])</f>
        <v>0</v>
      </c>
      <c r="AA12" s="51">
        <f>SUBTOTAL(103,tblJanuary1314151617181920[24])</f>
        <v>0</v>
      </c>
      <c r="AB12" s="51">
        <f>SUBTOTAL(103,tblJanuary1314151617181920[25])</f>
        <v>0</v>
      </c>
      <c r="AC12" s="51">
        <f>SUBTOTAL(103,tblJanuary1314151617181920[26])</f>
        <v>0</v>
      </c>
      <c r="AD12" s="51">
        <f>SUBTOTAL(103,tblJanuary1314151617181920[27])</f>
        <v>0</v>
      </c>
      <c r="AE12" s="51">
        <f>SUBTOTAL(103,tblJanuary1314151617181920[28])</f>
        <v>0</v>
      </c>
      <c r="AF12" s="51">
        <f>SUBTOTAL(103,tblJanuary1314151617181920[29])</f>
        <v>0</v>
      </c>
      <c r="AG12" s="51">
        <f>SUBTOTAL(103,tblJanuary1314151617181920[30])</f>
        <v>0</v>
      </c>
      <c r="AH12" s="51">
        <f>SUBTOTAL(103,tblJanuary1314151617181920[31])</f>
        <v>0</v>
      </c>
      <c r="AI12" s="53">
        <f>SUBTOTAL(109,tblJanuary1314151617181920[Total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593" priority="1" stopIfTrue="1">
      <formula>D7=KeyAutreStiuation</formula>
    </cfRule>
    <cfRule type="expression" dxfId="592" priority="2" stopIfTrue="1">
      <formula>D7=KeyChomageTech</formula>
    </cfRule>
    <cfRule type="expression" dxfId="591" priority="3" stopIfTrue="1">
      <formula>D7=KeyCustom2</formula>
    </cfRule>
    <cfRule type="expression" dxfId="590" priority="4" stopIfTrue="1">
      <formula>D7=KeyCustom1</formula>
    </cfRule>
    <cfRule type="expression" dxfId="589" priority="5" stopIfTrue="1">
      <formula>D7=KeySick</formula>
    </cfRule>
    <cfRule type="expression" dxfId="588" priority="6" stopIfTrue="1">
      <formula>D7=KeyPersonal</formula>
    </cfRule>
    <cfRule type="expression" dxfId="587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{C7A5AB3D-389B-4449-BC5A-0A660D0EB252}</x14:id>
        </ext>
      </extLst>
    </cfRule>
  </conditionalFormatting>
  <dataValidations count="1">
    <dataValidation type="list" allowBlank="1" showInputMessage="1" showErrorMessage="1" sqref="C5" xr:uid="{A04AE51B-A7A8-45B4-87B1-B218C973D9E5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7A5AB3D-389B-4449-BC5A-0A660D0EB252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1C4E8-FDFA-4E47-B82C-B057EFA3E4D0}">
  <sheetPr codeName="Feuil29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10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54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COUNTA(tblJanuary131415161718192022[[#This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COUNTA(tblJanuary131415161718192022[[#This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COUNTA(tblJanuary131415161718192022[[#This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COUNTA(tblJanuary131415161718192022[[#This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COUNTA(tblJanuary131415161718192022[[#This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Octobre Total</v>
      </c>
      <c r="D12" s="51">
        <f>SUBTOTAL(103,tblJanuary131415161718192022[1])</f>
        <v>0</v>
      </c>
      <c r="E12" s="51">
        <f>SUBTOTAL(103,tblJanuary131415161718192022[2])</f>
        <v>0</v>
      </c>
      <c r="F12" s="51">
        <f>SUBTOTAL(103,tblJanuary131415161718192022[3])</f>
        <v>0</v>
      </c>
      <c r="G12" s="51">
        <f>SUBTOTAL(103,tblJanuary131415161718192022[4])</f>
        <v>0</v>
      </c>
      <c r="H12" s="51">
        <f>SUBTOTAL(103,tblJanuary131415161718192022[5])</f>
        <v>0</v>
      </c>
      <c r="I12" s="51">
        <f>SUBTOTAL(103,tblJanuary131415161718192022[6])</f>
        <v>0</v>
      </c>
      <c r="J12" s="51">
        <f>SUBTOTAL(103,tblJanuary131415161718192022[7])</f>
        <v>0</v>
      </c>
      <c r="K12" s="51">
        <f>SUBTOTAL(103,tblJanuary131415161718192022[8])</f>
        <v>0</v>
      </c>
      <c r="L12" s="51">
        <f>SUBTOTAL(103,tblJanuary131415161718192022[9])</f>
        <v>0</v>
      </c>
      <c r="M12" s="51">
        <f>SUBTOTAL(103,tblJanuary131415161718192022[10])</f>
        <v>0</v>
      </c>
      <c r="N12" s="51">
        <f>SUBTOTAL(103,tblJanuary131415161718192022[11])</f>
        <v>0</v>
      </c>
      <c r="O12" s="51">
        <f>SUBTOTAL(103,tblJanuary131415161718192022[12])</f>
        <v>0</v>
      </c>
      <c r="P12" s="51">
        <f>SUBTOTAL(103,tblJanuary131415161718192022[13])</f>
        <v>0</v>
      </c>
      <c r="Q12" s="51">
        <f>SUBTOTAL(103,tblJanuary131415161718192022[14])</f>
        <v>0</v>
      </c>
      <c r="R12" s="51">
        <f>SUBTOTAL(103,tblJanuary131415161718192022[15])</f>
        <v>0</v>
      </c>
      <c r="S12" s="51">
        <f>SUBTOTAL(103,tblJanuary131415161718192022[16])</f>
        <v>0</v>
      </c>
      <c r="T12" s="51">
        <f>SUBTOTAL(103,tblJanuary131415161718192022[17])</f>
        <v>0</v>
      </c>
      <c r="U12" s="51">
        <f>SUBTOTAL(103,tblJanuary131415161718192022[18])</f>
        <v>0</v>
      </c>
      <c r="V12" s="51">
        <f>SUBTOTAL(103,tblJanuary131415161718192022[19])</f>
        <v>0</v>
      </c>
      <c r="W12" s="51">
        <f>SUBTOTAL(103,tblJanuary131415161718192022[20])</f>
        <v>0</v>
      </c>
      <c r="X12" s="51">
        <f>SUBTOTAL(103,tblJanuary131415161718192022[21])</f>
        <v>0</v>
      </c>
      <c r="Y12" s="51">
        <f>SUBTOTAL(103,tblJanuary131415161718192022[22])</f>
        <v>0</v>
      </c>
      <c r="Z12" s="51">
        <f>SUBTOTAL(103,tblJanuary131415161718192022[23])</f>
        <v>0</v>
      </c>
      <c r="AA12" s="51">
        <f>SUBTOTAL(103,tblJanuary131415161718192022[24])</f>
        <v>0</v>
      </c>
      <c r="AB12" s="51">
        <f>SUBTOTAL(103,tblJanuary131415161718192022[25])</f>
        <v>0</v>
      </c>
      <c r="AC12" s="51">
        <f>SUBTOTAL(103,tblJanuary131415161718192022[26])</f>
        <v>0</v>
      </c>
      <c r="AD12" s="51">
        <f>SUBTOTAL(103,tblJanuary131415161718192022[27])</f>
        <v>0</v>
      </c>
      <c r="AE12" s="51">
        <f>SUBTOTAL(103,tblJanuary131415161718192022[28])</f>
        <v>0</v>
      </c>
      <c r="AF12" s="51">
        <f>SUBTOTAL(103,tblJanuary131415161718192022[29])</f>
        <v>0</v>
      </c>
      <c r="AG12" s="51">
        <f>SUBTOTAL(103,tblJanuary131415161718192022[30])</f>
        <v>0</v>
      </c>
      <c r="AH12" s="51">
        <f>SUBTOTAL(103,tblJanuary131415161718192022[31])</f>
        <v>0</v>
      </c>
      <c r="AI12" s="53">
        <f>SUBTOTAL(109,tblJanuary131415161718192022[Total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552" priority="1" stopIfTrue="1">
      <formula>D7=KeyAutreStiuation</formula>
    </cfRule>
    <cfRule type="expression" dxfId="551" priority="2" stopIfTrue="1">
      <formula>D7=KeyChomageTech</formula>
    </cfRule>
    <cfRule type="expression" dxfId="550" priority="3" stopIfTrue="1">
      <formula>D7=KeyCustom2</formula>
    </cfRule>
    <cfRule type="expression" dxfId="549" priority="4" stopIfTrue="1">
      <formula>D7=KeyCustom1</formula>
    </cfRule>
    <cfRule type="expression" dxfId="548" priority="5" stopIfTrue="1">
      <formula>D7=KeySick</formula>
    </cfRule>
    <cfRule type="expression" dxfId="547" priority="6" stopIfTrue="1">
      <formula>D7=KeyPersonal</formula>
    </cfRule>
    <cfRule type="expression" dxfId="546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{40DC7822-447F-4508-80F6-A47CD2DF857E}</x14:id>
        </ext>
      </extLst>
    </cfRule>
  </conditionalFormatting>
  <dataValidations count="1">
    <dataValidation type="list" allowBlank="1" showInputMessage="1" showErrorMessage="1" sqref="C5" xr:uid="{E862E658-5451-4664-AEC0-4B583755675E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DC7822-447F-4508-80F6-A47CD2DF857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E714FB-CFAA-4BDE-9692-3BCE37F15400}">
  <sheetPr codeName="Feuil28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11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63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COUNTA(tblJanuary131415161718192021[[#This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COUNTA(tblJanuary131415161718192021[[#This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COUNTA(tblJanuary131415161718192021[[#This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COUNTA(tblJanuary131415161718192021[[#This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COUNTA(tblJanuary131415161718192021[[#This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Novembre Total</v>
      </c>
      <c r="D12" s="51">
        <f>SUBTOTAL(103,tblJanuary131415161718192021[1])</f>
        <v>0</v>
      </c>
      <c r="E12" s="51">
        <f>SUBTOTAL(103,tblJanuary131415161718192021[2])</f>
        <v>0</v>
      </c>
      <c r="F12" s="51">
        <f>SUBTOTAL(103,tblJanuary131415161718192021[3])</f>
        <v>0</v>
      </c>
      <c r="G12" s="51">
        <f>SUBTOTAL(103,tblJanuary131415161718192021[4])</f>
        <v>0</v>
      </c>
      <c r="H12" s="51">
        <f>SUBTOTAL(103,tblJanuary131415161718192021[5])</f>
        <v>0</v>
      </c>
      <c r="I12" s="51">
        <f>SUBTOTAL(103,tblJanuary131415161718192021[6])</f>
        <v>0</v>
      </c>
      <c r="J12" s="51">
        <f>SUBTOTAL(103,tblJanuary131415161718192021[7])</f>
        <v>0</v>
      </c>
      <c r="K12" s="51">
        <f>SUBTOTAL(103,tblJanuary131415161718192021[8])</f>
        <v>0</v>
      </c>
      <c r="L12" s="51">
        <f>SUBTOTAL(103,tblJanuary131415161718192021[9])</f>
        <v>0</v>
      </c>
      <c r="M12" s="51">
        <f>SUBTOTAL(103,tblJanuary131415161718192021[10])</f>
        <v>0</v>
      </c>
      <c r="N12" s="51">
        <f>SUBTOTAL(103,tblJanuary131415161718192021[11])</f>
        <v>0</v>
      </c>
      <c r="O12" s="51">
        <f>SUBTOTAL(103,tblJanuary131415161718192021[12])</f>
        <v>0</v>
      </c>
      <c r="P12" s="51">
        <f>SUBTOTAL(103,tblJanuary131415161718192021[13])</f>
        <v>0</v>
      </c>
      <c r="Q12" s="51">
        <f>SUBTOTAL(103,tblJanuary131415161718192021[14])</f>
        <v>0</v>
      </c>
      <c r="R12" s="51">
        <f>SUBTOTAL(103,tblJanuary131415161718192021[15])</f>
        <v>0</v>
      </c>
      <c r="S12" s="51">
        <f>SUBTOTAL(103,tblJanuary131415161718192021[16])</f>
        <v>0</v>
      </c>
      <c r="T12" s="51">
        <f>SUBTOTAL(103,tblJanuary131415161718192021[17])</f>
        <v>0</v>
      </c>
      <c r="U12" s="51">
        <f>SUBTOTAL(103,tblJanuary131415161718192021[18])</f>
        <v>0</v>
      </c>
      <c r="V12" s="51">
        <f>SUBTOTAL(103,tblJanuary131415161718192021[19])</f>
        <v>0</v>
      </c>
      <c r="W12" s="51">
        <f>SUBTOTAL(103,tblJanuary131415161718192021[20])</f>
        <v>0</v>
      </c>
      <c r="X12" s="51">
        <f>SUBTOTAL(103,tblJanuary131415161718192021[21])</f>
        <v>0</v>
      </c>
      <c r="Y12" s="51">
        <f>SUBTOTAL(103,tblJanuary131415161718192021[22])</f>
        <v>0</v>
      </c>
      <c r="Z12" s="51">
        <f>SUBTOTAL(103,tblJanuary131415161718192021[23])</f>
        <v>0</v>
      </c>
      <c r="AA12" s="51">
        <f>SUBTOTAL(103,tblJanuary131415161718192021[24])</f>
        <v>0</v>
      </c>
      <c r="AB12" s="51">
        <f>SUBTOTAL(103,tblJanuary131415161718192021[25])</f>
        <v>0</v>
      </c>
      <c r="AC12" s="51">
        <f>SUBTOTAL(103,tblJanuary131415161718192021[26])</f>
        <v>0</v>
      </c>
      <c r="AD12" s="51">
        <f>SUBTOTAL(103,tblJanuary131415161718192021[27])</f>
        <v>0</v>
      </c>
      <c r="AE12" s="51">
        <f>SUBTOTAL(103,tblJanuary131415161718192021[28])</f>
        <v>0</v>
      </c>
      <c r="AF12" s="51">
        <f>SUBTOTAL(103,tblJanuary131415161718192021[29])</f>
        <v>0</v>
      </c>
      <c r="AG12" s="51">
        <f>SUBTOTAL(103,tblJanuary131415161718192021[30])</f>
        <v>0</v>
      </c>
      <c r="AH12" s="51">
        <f>SUBTOTAL(103,tblJanuary131415161718192021[31])</f>
        <v>0</v>
      </c>
      <c r="AI12" s="53">
        <f>SUBTOTAL(109,tblJanuary131415161718192021[Total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511" priority="1" stopIfTrue="1">
      <formula>D7=KeyAutreStiuation</formula>
    </cfRule>
    <cfRule type="expression" dxfId="510" priority="2" stopIfTrue="1">
      <formula>D7=KeyChomageTech</formula>
    </cfRule>
    <cfRule type="expression" dxfId="509" priority="3" stopIfTrue="1">
      <formula>D7=KeyCustom2</formula>
    </cfRule>
    <cfRule type="expression" dxfId="508" priority="4" stopIfTrue="1">
      <formula>D7=KeyCustom1</formula>
    </cfRule>
    <cfRule type="expression" dxfId="507" priority="5" stopIfTrue="1">
      <formula>D7=KeySick</formula>
    </cfRule>
    <cfRule type="expression" dxfId="506" priority="6" stopIfTrue="1">
      <formula>D7=KeyPersonal</formula>
    </cfRule>
    <cfRule type="expression" dxfId="505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{AECB68D5-A99A-4A63-BBFF-A3FD04DC6237}</x14:id>
        </ext>
      </extLst>
    </cfRule>
  </conditionalFormatting>
  <dataValidations count="1">
    <dataValidation type="list" allowBlank="1" showInputMessage="1" showErrorMessage="1" sqref="C5" xr:uid="{DD6D915B-EBF4-4E47-B115-212E41AE56B9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ECB68D5-A99A-4A63-BBFF-A3FD04DC6237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11897-2368-43AA-AEFA-84F212649A12}">
  <sheetPr codeName="Feuil30">
    <tabColor theme="6" tint="-0.249977111117893"/>
    <pageSetUpPr fitToPage="1"/>
  </sheetPr>
  <dimension ref="C1:BE1401"/>
  <sheetViews>
    <sheetView showGridLines="0" zoomScale="90" zoomScaleNormal="90" workbookViewId="0">
      <selection activeCell="C5" sqref="C5"/>
    </sheetView>
  </sheetViews>
  <sheetFormatPr baseColWidth="10" defaultColWidth="8" defaultRowHeight="15" customHeight="1" x14ac:dyDescent="0.25"/>
  <cols>
    <col min="1" max="2" width="4.125" style="4" customWidth="1"/>
    <col min="3" max="3" width="23.125" style="30" customWidth="1"/>
    <col min="4" max="34" width="4.625" style="2" customWidth="1"/>
    <col min="35" max="35" width="16.75" style="3" customWidth="1"/>
    <col min="36" max="36" width="8" style="2"/>
    <col min="37" max="16384" width="8" style="4"/>
  </cols>
  <sheetData>
    <row r="1" spans="3:57" ht="15" customHeight="1" x14ac:dyDescent="0.25">
      <c r="C1" s="1"/>
    </row>
    <row r="2" spans="3:57" ht="19.5" customHeight="1" x14ac:dyDescent="0.35">
      <c r="C2" s="5">
        <f ca="1">TODAY()</f>
        <v>44559</v>
      </c>
    </row>
    <row r="3" spans="3:57" s="8" customFormat="1" ht="49.5" customHeight="1" x14ac:dyDescent="0.25">
      <c r="C3" s="46">
        <v>12</v>
      </c>
      <c r="D3" s="42" t="s">
        <v>0</v>
      </c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6"/>
      <c r="AJ3" s="7"/>
    </row>
    <row r="4" spans="3:57" s="9" customFormat="1" ht="27" customHeight="1" x14ac:dyDescent="0.25">
      <c r="C4" s="46"/>
      <c r="D4" s="43" t="s">
        <v>1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4">
        <f ca="1">TODAY()</f>
        <v>44559</v>
      </c>
      <c r="AJ4" s="10"/>
      <c r="BE4" s="11" t="s">
        <v>2</v>
      </c>
    </row>
    <row r="5" spans="3:57" s="15" customFormat="1" ht="25.5" customHeight="1" x14ac:dyDescent="0.3">
      <c r="C5" s="12" t="s">
        <v>50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44"/>
      <c r="AJ5" s="14"/>
      <c r="BE5" s="11" t="s">
        <v>3</v>
      </c>
    </row>
    <row r="6" spans="3:57" s="17" customFormat="1" ht="24.95" customHeight="1" x14ac:dyDescent="0.25">
      <c r="C6" s="37" t="s">
        <v>4</v>
      </c>
      <c r="D6" s="35" t="s">
        <v>5</v>
      </c>
      <c r="E6" s="35" t="s">
        <v>6</v>
      </c>
      <c r="F6" s="35" t="s">
        <v>7</v>
      </c>
      <c r="G6" s="35" t="s">
        <v>8</v>
      </c>
      <c r="H6" s="35" t="s">
        <v>9</v>
      </c>
      <c r="I6" s="35" t="s">
        <v>10</v>
      </c>
      <c r="J6" s="35" t="s">
        <v>11</v>
      </c>
      <c r="K6" s="35" t="s">
        <v>12</v>
      </c>
      <c r="L6" s="35" t="s">
        <v>13</v>
      </c>
      <c r="M6" s="35" t="s">
        <v>14</v>
      </c>
      <c r="N6" s="35" t="s">
        <v>15</v>
      </c>
      <c r="O6" s="35" t="s">
        <v>16</v>
      </c>
      <c r="P6" s="35" t="s">
        <v>17</v>
      </c>
      <c r="Q6" s="35" t="s">
        <v>18</v>
      </c>
      <c r="R6" s="35" t="s">
        <v>19</v>
      </c>
      <c r="S6" s="35" t="s">
        <v>20</v>
      </c>
      <c r="T6" s="35" t="s">
        <v>21</v>
      </c>
      <c r="U6" s="35" t="s">
        <v>22</v>
      </c>
      <c r="V6" s="35" t="s">
        <v>23</v>
      </c>
      <c r="W6" s="35" t="s">
        <v>24</v>
      </c>
      <c r="X6" s="35" t="s">
        <v>25</v>
      </c>
      <c r="Y6" s="35" t="s">
        <v>26</v>
      </c>
      <c r="Z6" s="35" t="s">
        <v>27</v>
      </c>
      <c r="AA6" s="35" t="s">
        <v>28</v>
      </c>
      <c r="AB6" s="35" t="s">
        <v>29</v>
      </c>
      <c r="AC6" s="35" t="s">
        <v>30</v>
      </c>
      <c r="AD6" s="35" t="s">
        <v>31</v>
      </c>
      <c r="AE6" s="35" t="s">
        <v>32</v>
      </c>
      <c r="AF6" s="35" t="s">
        <v>33</v>
      </c>
      <c r="AG6" s="35" t="s">
        <v>34</v>
      </c>
      <c r="AH6" s="35" t="s">
        <v>35</v>
      </c>
      <c r="AI6" s="35" t="s">
        <v>36</v>
      </c>
      <c r="AJ6" s="16"/>
      <c r="BE6" s="11" t="s">
        <v>37</v>
      </c>
    </row>
    <row r="7" spans="3:57" s="17" customFormat="1" ht="24.95" customHeight="1" x14ac:dyDescent="0.25">
      <c r="C7" s="31" t="s">
        <v>66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6">
        <f>COUNTA(tblJanuary13141516171819202123[[#This Row],[1]:[31]])</f>
        <v>0</v>
      </c>
      <c r="AJ7" s="16"/>
      <c r="BE7" s="11" t="s">
        <v>40</v>
      </c>
    </row>
    <row r="8" spans="3:57" s="17" customFormat="1" ht="24.95" customHeight="1" x14ac:dyDescent="0.25">
      <c r="C8" s="31" t="s">
        <v>67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6">
        <f>COUNTA(tblJanuary13141516171819202123[[#This Row],[1]:[31]])</f>
        <v>0</v>
      </c>
      <c r="AJ8" s="16"/>
      <c r="BE8" s="11" t="s">
        <v>44</v>
      </c>
    </row>
    <row r="9" spans="3:57" s="19" customFormat="1" ht="24.95" customHeight="1" x14ac:dyDescent="0.25">
      <c r="C9" s="31" t="s">
        <v>45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6">
        <f>COUNTA(tblJanuary13141516171819202123[[#This Row],[1]:[31]])</f>
        <v>0</v>
      </c>
      <c r="AJ9" s="18"/>
      <c r="BE9" s="11" t="s">
        <v>47</v>
      </c>
    </row>
    <row r="10" spans="3:57" s="19" customFormat="1" ht="24.95" customHeight="1" x14ac:dyDescent="0.25">
      <c r="C10" s="31" t="s">
        <v>48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6">
        <f>COUNTA(tblJanuary13141516171819202123[[#This Row],[1]:[31]])</f>
        <v>0</v>
      </c>
      <c r="AJ10" s="18"/>
      <c r="BE10" s="11" t="s">
        <v>50</v>
      </c>
    </row>
    <row r="11" spans="3:57" s="19" customFormat="1" ht="24.95" customHeight="1" x14ac:dyDescent="0.25">
      <c r="C11" s="31" t="s">
        <v>51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6">
        <f>COUNTA(tblJanuary13141516171819202123[[#This Row],[1]:[31]])</f>
        <v>0</v>
      </c>
      <c r="AJ11" s="18"/>
      <c r="BE11" s="11" t="s">
        <v>52</v>
      </c>
    </row>
    <row r="12" spans="3:57" ht="24.95" customHeight="1" x14ac:dyDescent="0.25">
      <c r="C12" s="50" t="str">
        <f>MonthName&amp;" Total"</f>
        <v>Juillet Total</v>
      </c>
      <c r="D12" s="51">
        <f>SUBTOTAL(103,tblJanuary13141516171819202123[1])</f>
        <v>0</v>
      </c>
      <c r="E12" s="51">
        <f>SUBTOTAL(103,tblJanuary13141516171819202123[2])</f>
        <v>0</v>
      </c>
      <c r="F12" s="51">
        <f>SUBTOTAL(103,tblJanuary13141516171819202123[3])</f>
        <v>0</v>
      </c>
      <c r="G12" s="51">
        <f>SUBTOTAL(103,tblJanuary13141516171819202123[4])</f>
        <v>0</v>
      </c>
      <c r="H12" s="51">
        <f>SUBTOTAL(103,tblJanuary13141516171819202123[5])</f>
        <v>0</v>
      </c>
      <c r="I12" s="51">
        <f>SUBTOTAL(103,tblJanuary13141516171819202123[6])</f>
        <v>0</v>
      </c>
      <c r="J12" s="51">
        <f>SUBTOTAL(103,tblJanuary13141516171819202123[7])</f>
        <v>0</v>
      </c>
      <c r="K12" s="51">
        <f>SUBTOTAL(103,tblJanuary13141516171819202123[8])</f>
        <v>0</v>
      </c>
      <c r="L12" s="51">
        <f>SUBTOTAL(103,tblJanuary13141516171819202123[9])</f>
        <v>0</v>
      </c>
      <c r="M12" s="51">
        <f>SUBTOTAL(103,tblJanuary13141516171819202123[10])</f>
        <v>0</v>
      </c>
      <c r="N12" s="51">
        <f>SUBTOTAL(103,tblJanuary13141516171819202123[11])</f>
        <v>0</v>
      </c>
      <c r="O12" s="51">
        <f>SUBTOTAL(103,tblJanuary13141516171819202123[12])</f>
        <v>0</v>
      </c>
      <c r="P12" s="51">
        <f>SUBTOTAL(103,tblJanuary13141516171819202123[13])</f>
        <v>0</v>
      </c>
      <c r="Q12" s="51">
        <f>SUBTOTAL(103,tblJanuary13141516171819202123[14])</f>
        <v>0</v>
      </c>
      <c r="R12" s="51">
        <f>SUBTOTAL(103,tblJanuary13141516171819202123[15])</f>
        <v>0</v>
      </c>
      <c r="S12" s="51">
        <f>SUBTOTAL(103,tblJanuary13141516171819202123[16])</f>
        <v>0</v>
      </c>
      <c r="T12" s="51">
        <f>SUBTOTAL(103,tblJanuary13141516171819202123[17])</f>
        <v>0</v>
      </c>
      <c r="U12" s="51">
        <f>SUBTOTAL(103,tblJanuary13141516171819202123[18])</f>
        <v>0</v>
      </c>
      <c r="V12" s="51">
        <f>SUBTOTAL(103,tblJanuary13141516171819202123[19])</f>
        <v>0</v>
      </c>
      <c r="W12" s="51">
        <f>SUBTOTAL(103,tblJanuary13141516171819202123[20])</f>
        <v>0</v>
      </c>
      <c r="X12" s="51">
        <f>SUBTOTAL(103,tblJanuary13141516171819202123[21])</f>
        <v>0</v>
      </c>
      <c r="Y12" s="51">
        <f>SUBTOTAL(103,tblJanuary13141516171819202123[22])</f>
        <v>0</v>
      </c>
      <c r="Z12" s="51">
        <f>SUBTOTAL(103,tblJanuary13141516171819202123[23])</f>
        <v>0</v>
      </c>
      <c r="AA12" s="51">
        <f>SUBTOTAL(103,tblJanuary13141516171819202123[24])</f>
        <v>0</v>
      </c>
      <c r="AB12" s="51">
        <f>SUBTOTAL(103,tblJanuary13141516171819202123[25])</f>
        <v>0</v>
      </c>
      <c r="AC12" s="51">
        <f>SUBTOTAL(103,tblJanuary13141516171819202123[26])</f>
        <v>0</v>
      </c>
      <c r="AD12" s="51">
        <f>SUBTOTAL(103,tblJanuary13141516171819202123[27])</f>
        <v>0</v>
      </c>
      <c r="AE12" s="51">
        <f>SUBTOTAL(103,tblJanuary13141516171819202123[28])</f>
        <v>0</v>
      </c>
      <c r="AF12" s="51">
        <f>SUBTOTAL(103,tblJanuary13141516171819202123[29])</f>
        <v>0</v>
      </c>
      <c r="AG12" s="51">
        <f>SUBTOTAL(103,tblJanuary13141516171819202123[30])</f>
        <v>0</v>
      </c>
      <c r="AH12" s="51">
        <f>SUBTOTAL(103,tblJanuary13141516171819202123[31])</f>
        <v>0</v>
      </c>
      <c r="AI12" s="53">
        <f>SUBTOTAL(109,tblJanuary13141516171819202123[Total Days])</f>
        <v>0</v>
      </c>
      <c r="BE12" s="11" t="s">
        <v>53</v>
      </c>
    </row>
    <row r="13" spans="3:57" s="20" customFormat="1" x14ac:dyDescent="0.25"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BE13" s="11" t="s">
        <v>54</v>
      </c>
    </row>
    <row r="14" spans="3:57" s="20" customFormat="1" ht="18.75" x14ac:dyDescent="0.25">
      <c r="C14" s="32" t="s">
        <v>55</v>
      </c>
      <c r="D14" s="21"/>
      <c r="E14" s="22" t="s">
        <v>43</v>
      </c>
      <c r="F14" s="41" t="s">
        <v>56</v>
      </c>
      <c r="G14" s="41"/>
      <c r="H14" s="41"/>
      <c r="I14" s="23" t="s">
        <v>38</v>
      </c>
      <c r="J14" s="41" t="s">
        <v>57</v>
      </c>
      <c r="K14" s="41"/>
      <c r="L14" s="41"/>
      <c r="M14" s="24" t="s">
        <v>42</v>
      </c>
      <c r="N14" s="41" t="s">
        <v>58</v>
      </c>
      <c r="O14" s="41"/>
      <c r="P14" s="41"/>
      <c r="Q14" s="25" t="s">
        <v>41</v>
      </c>
      <c r="R14" s="41" t="s">
        <v>59</v>
      </c>
      <c r="S14" s="41"/>
      <c r="T14" s="41"/>
      <c r="U14" s="26" t="s">
        <v>49</v>
      </c>
      <c r="V14" s="41" t="s">
        <v>60</v>
      </c>
      <c r="W14" s="41"/>
      <c r="X14" s="41"/>
      <c r="Y14" s="27" t="s">
        <v>46</v>
      </c>
      <c r="Z14" s="41" t="s">
        <v>61</v>
      </c>
      <c r="AA14" s="41"/>
      <c r="AB14" s="47"/>
      <c r="AC14" s="28" t="s">
        <v>39</v>
      </c>
      <c r="AD14" s="40" t="s">
        <v>62</v>
      </c>
      <c r="AE14" s="41"/>
      <c r="AF14" s="41"/>
      <c r="AG14" s="2"/>
      <c r="AH14" s="2"/>
      <c r="AI14" s="3"/>
      <c r="BE14" s="11" t="s">
        <v>63</v>
      </c>
    </row>
    <row r="15" spans="3:57" s="20" customFormat="1" x14ac:dyDescent="0.25">
      <c r="BE15" s="11" t="s">
        <v>64</v>
      </c>
    </row>
    <row r="16" spans="3:57" s="20" customFormat="1" x14ac:dyDescent="0.25"/>
    <row r="17" spans="14:14" s="20" customFormat="1" x14ac:dyDescent="0.25"/>
    <row r="18" spans="14:14" s="20" customFormat="1" ht="15" customHeight="1" x14ac:dyDescent="0.25"/>
    <row r="19" spans="14:14" s="20" customFormat="1" ht="15" customHeight="1" x14ac:dyDescent="0.25">
      <c r="N19" s="29"/>
    </row>
    <row r="20" spans="14:14" s="20" customFormat="1" ht="15" customHeight="1" x14ac:dyDescent="0.25"/>
    <row r="21" spans="14:14" s="20" customFormat="1" ht="15" customHeight="1" x14ac:dyDescent="0.25"/>
    <row r="22" spans="14:14" s="20" customFormat="1" ht="15" customHeight="1" x14ac:dyDescent="0.25"/>
    <row r="23" spans="14:14" s="20" customFormat="1" ht="15" customHeight="1" x14ac:dyDescent="0.25"/>
    <row r="24" spans="14:14" s="20" customFormat="1" ht="15" customHeight="1" x14ac:dyDescent="0.25"/>
    <row r="25" spans="14:14" s="20" customFormat="1" ht="15" customHeight="1" x14ac:dyDescent="0.25"/>
    <row r="26" spans="14:14" s="20" customFormat="1" ht="15" customHeight="1" x14ac:dyDescent="0.25"/>
    <row r="27" spans="14:14" s="20" customFormat="1" ht="15" customHeight="1" x14ac:dyDescent="0.25"/>
    <row r="28" spans="14:14" s="20" customFormat="1" ht="15" customHeight="1" x14ac:dyDescent="0.25"/>
    <row r="29" spans="14:14" s="20" customFormat="1" ht="15" customHeight="1" x14ac:dyDescent="0.25"/>
    <row r="30" spans="14:14" s="20" customFormat="1" ht="15" customHeight="1" x14ac:dyDescent="0.25"/>
    <row r="31" spans="14:14" s="20" customFormat="1" ht="15" customHeight="1" x14ac:dyDescent="0.25"/>
    <row r="32" spans="14:14" s="20" customFormat="1" ht="15" customHeight="1" x14ac:dyDescent="0.25"/>
    <row r="33" s="20" customFormat="1" ht="15" customHeight="1" x14ac:dyDescent="0.25"/>
    <row r="34" s="20" customFormat="1" ht="15" customHeight="1" x14ac:dyDescent="0.25"/>
    <row r="35" s="20" customFormat="1" ht="15" customHeight="1" x14ac:dyDescent="0.25"/>
    <row r="36" s="20" customFormat="1" ht="15" customHeight="1" x14ac:dyDescent="0.25"/>
    <row r="37" s="20" customFormat="1" ht="15" customHeight="1" x14ac:dyDescent="0.25"/>
    <row r="38" s="20" customFormat="1" ht="15" customHeight="1" x14ac:dyDescent="0.25"/>
    <row r="39" s="20" customFormat="1" ht="15" customHeight="1" x14ac:dyDescent="0.25"/>
    <row r="40" s="20" customFormat="1" ht="15" customHeight="1" x14ac:dyDescent="0.25"/>
    <row r="41" s="20" customFormat="1" ht="15" customHeight="1" x14ac:dyDescent="0.25"/>
    <row r="42" s="20" customFormat="1" ht="15" customHeight="1" x14ac:dyDescent="0.25"/>
    <row r="43" s="20" customFormat="1" ht="15" customHeight="1" x14ac:dyDescent="0.25"/>
    <row r="44" s="20" customFormat="1" ht="15" customHeight="1" x14ac:dyDescent="0.25"/>
    <row r="45" s="20" customFormat="1" ht="15" customHeight="1" x14ac:dyDescent="0.25"/>
    <row r="46" s="20" customFormat="1" ht="15" customHeight="1" x14ac:dyDescent="0.25"/>
    <row r="47" s="20" customFormat="1" ht="15" customHeight="1" x14ac:dyDescent="0.25"/>
    <row r="48" s="20" customFormat="1" ht="15" customHeight="1" x14ac:dyDescent="0.25"/>
    <row r="49" s="20" customFormat="1" ht="15" customHeight="1" x14ac:dyDescent="0.25"/>
    <row r="50" s="20" customFormat="1" ht="15" customHeight="1" x14ac:dyDescent="0.25"/>
    <row r="51" s="20" customFormat="1" ht="15" customHeight="1" x14ac:dyDescent="0.25"/>
    <row r="52" s="20" customFormat="1" ht="15" customHeight="1" x14ac:dyDescent="0.25"/>
    <row r="53" s="20" customFormat="1" ht="15" customHeight="1" x14ac:dyDescent="0.25"/>
    <row r="54" s="20" customFormat="1" ht="15" customHeight="1" x14ac:dyDescent="0.25"/>
    <row r="55" s="20" customFormat="1" ht="15" customHeight="1" x14ac:dyDescent="0.25"/>
    <row r="56" s="20" customFormat="1" ht="15" customHeight="1" x14ac:dyDescent="0.25"/>
    <row r="57" s="20" customFormat="1" ht="15" customHeight="1" x14ac:dyDescent="0.25"/>
    <row r="58" s="20" customFormat="1" ht="15" customHeight="1" x14ac:dyDescent="0.25"/>
    <row r="59" s="20" customFormat="1" ht="15" customHeight="1" x14ac:dyDescent="0.25"/>
    <row r="60" s="20" customFormat="1" ht="15" customHeight="1" x14ac:dyDescent="0.25"/>
    <row r="61" s="20" customFormat="1" ht="15" customHeight="1" x14ac:dyDescent="0.25"/>
    <row r="62" s="20" customFormat="1" ht="15" customHeight="1" x14ac:dyDescent="0.25"/>
    <row r="63" s="20" customFormat="1" ht="15" customHeight="1" x14ac:dyDescent="0.25"/>
    <row r="64" s="20" customFormat="1" ht="15" customHeight="1" x14ac:dyDescent="0.25"/>
    <row r="65" s="20" customFormat="1" ht="15" customHeight="1" x14ac:dyDescent="0.25"/>
    <row r="66" s="20" customFormat="1" ht="15" customHeight="1" x14ac:dyDescent="0.25"/>
    <row r="67" s="20" customFormat="1" ht="15" customHeight="1" x14ac:dyDescent="0.25"/>
    <row r="68" s="20" customFormat="1" ht="15" customHeight="1" x14ac:dyDescent="0.25"/>
    <row r="69" s="20" customFormat="1" ht="15" customHeight="1" x14ac:dyDescent="0.25"/>
    <row r="70" s="20" customFormat="1" ht="15" customHeight="1" x14ac:dyDescent="0.25"/>
    <row r="71" s="20" customFormat="1" ht="15" customHeight="1" x14ac:dyDescent="0.25"/>
    <row r="72" s="20" customFormat="1" ht="15" customHeight="1" x14ac:dyDescent="0.25"/>
    <row r="73" s="20" customFormat="1" ht="15" customHeight="1" x14ac:dyDescent="0.25"/>
    <row r="74" s="20" customFormat="1" ht="15" customHeight="1" x14ac:dyDescent="0.25"/>
    <row r="75" s="20" customFormat="1" ht="15" customHeight="1" x14ac:dyDescent="0.25"/>
    <row r="76" s="20" customFormat="1" ht="15" customHeight="1" x14ac:dyDescent="0.25"/>
    <row r="77" s="20" customFormat="1" ht="15" customHeight="1" x14ac:dyDescent="0.25"/>
    <row r="78" s="20" customFormat="1" ht="15" customHeight="1" x14ac:dyDescent="0.25"/>
    <row r="79" s="20" customFormat="1" ht="15" customHeight="1" x14ac:dyDescent="0.25"/>
    <row r="80" s="20" customFormat="1" ht="15" customHeight="1" x14ac:dyDescent="0.25"/>
    <row r="81" s="20" customFormat="1" ht="15" customHeight="1" x14ac:dyDescent="0.25"/>
    <row r="82" s="20" customFormat="1" ht="15" customHeight="1" x14ac:dyDescent="0.25"/>
    <row r="83" s="20" customFormat="1" ht="15" customHeight="1" x14ac:dyDescent="0.25"/>
    <row r="84" s="20" customFormat="1" ht="15" customHeight="1" x14ac:dyDescent="0.25"/>
    <row r="85" s="20" customFormat="1" ht="15" customHeight="1" x14ac:dyDescent="0.25"/>
    <row r="86" s="20" customFormat="1" ht="15" customHeight="1" x14ac:dyDescent="0.25"/>
    <row r="87" s="20" customFormat="1" ht="15" customHeight="1" x14ac:dyDescent="0.25"/>
    <row r="88" s="20" customFormat="1" ht="15" customHeight="1" x14ac:dyDescent="0.25"/>
    <row r="89" s="20" customFormat="1" ht="15" customHeight="1" x14ac:dyDescent="0.25"/>
    <row r="90" s="20" customFormat="1" ht="15" customHeight="1" x14ac:dyDescent="0.25"/>
    <row r="91" s="20" customFormat="1" ht="15" customHeight="1" x14ac:dyDescent="0.25"/>
    <row r="92" s="20" customFormat="1" ht="15" customHeight="1" x14ac:dyDescent="0.25"/>
    <row r="93" s="20" customFormat="1" ht="15" customHeight="1" x14ac:dyDescent="0.25"/>
    <row r="94" s="20" customFormat="1" ht="15" customHeight="1" x14ac:dyDescent="0.25"/>
    <row r="95" s="20" customFormat="1" ht="15" customHeight="1" x14ac:dyDescent="0.25"/>
    <row r="96" s="20" customFormat="1" ht="15" customHeight="1" x14ac:dyDescent="0.25"/>
    <row r="97" s="20" customFormat="1" ht="15" customHeight="1" x14ac:dyDescent="0.25"/>
    <row r="98" s="20" customFormat="1" ht="15" customHeight="1" x14ac:dyDescent="0.25"/>
    <row r="99" s="20" customFormat="1" ht="15" customHeight="1" x14ac:dyDescent="0.25"/>
    <row r="100" s="20" customFormat="1" ht="15" customHeight="1" x14ac:dyDescent="0.25"/>
    <row r="101" s="20" customFormat="1" ht="15" customHeight="1" x14ac:dyDescent="0.25"/>
    <row r="102" s="20" customFormat="1" ht="15" customHeight="1" x14ac:dyDescent="0.25"/>
    <row r="103" s="20" customFormat="1" ht="15" customHeight="1" x14ac:dyDescent="0.25"/>
    <row r="104" s="20" customFormat="1" ht="15" customHeight="1" x14ac:dyDescent="0.25"/>
    <row r="105" s="20" customFormat="1" ht="15" customHeight="1" x14ac:dyDescent="0.25"/>
    <row r="106" s="20" customFormat="1" ht="15" customHeight="1" x14ac:dyDescent="0.25"/>
    <row r="107" s="20" customFormat="1" ht="15" customHeight="1" x14ac:dyDescent="0.25"/>
    <row r="108" s="20" customFormat="1" ht="15" customHeight="1" x14ac:dyDescent="0.25"/>
    <row r="109" s="20" customFormat="1" ht="15" customHeight="1" x14ac:dyDescent="0.25"/>
    <row r="110" s="20" customFormat="1" ht="15" customHeight="1" x14ac:dyDescent="0.25"/>
    <row r="111" s="20" customFormat="1" ht="15" customHeight="1" x14ac:dyDescent="0.25"/>
    <row r="112" s="20" customFormat="1" ht="15" customHeight="1" x14ac:dyDescent="0.25"/>
    <row r="113" s="20" customFormat="1" ht="15" customHeight="1" x14ac:dyDescent="0.25"/>
    <row r="114" s="20" customFormat="1" ht="15" customHeight="1" x14ac:dyDescent="0.25"/>
    <row r="115" s="20" customFormat="1" ht="15" customHeight="1" x14ac:dyDescent="0.25"/>
    <row r="116" s="20" customFormat="1" ht="15" customHeight="1" x14ac:dyDescent="0.25"/>
    <row r="117" s="20" customFormat="1" ht="15" customHeight="1" x14ac:dyDescent="0.25"/>
    <row r="118" s="20" customFormat="1" ht="15" customHeight="1" x14ac:dyDescent="0.25"/>
    <row r="119" s="20" customFormat="1" ht="15" customHeight="1" x14ac:dyDescent="0.25"/>
    <row r="120" s="20" customFormat="1" ht="15" customHeight="1" x14ac:dyDescent="0.25"/>
    <row r="121" s="20" customFormat="1" ht="15" customHeight="1" x14ac:dyDescent="0.25"/>
    <row r="122" s="20" customFormat="1" ht="15" customHeight="1" x14ac:dyDescent="0.25"/>
    <row r="123" s="20" customFormat="1" ht="15" customHeight="1" x14ac:dyDescent="0.25"/>
    <row r="124" s="20" customFormat="1" ht="15" customHeight="1" x14ac:dyDescent="0.25"/>
    <row r="125" s="20" customFormat="1" ht="15" customHeight="1" x14ac:dyDescent="0.25"/>
    <row r="126" s="20" customFormat="1" ht="15" customHeight="1" x14ac:dyDescent="0.25"/>
    <row r="127" s="20" customFormat="1" ht="15" customHeight="1" x14ac:dyDescent="0.25"/>
    <row r="128" s="20" customFormat="1" ht="15" customHeight="1" x14ac:dyDescent="0.25"/>
    <row r="129" s="20" customFormat="1" ht="15" customHeight="1" x14ac:dyDescent="0.25"/>
    <row r="130" s="20" customFormat="1" ht="15" customHeight="1" x14ac:dyDescent="0.25"/>
    <row r="131" s="20" customFormat="1" ht="15" customHeight="1" x14ac:dyDescent="0.25"/>
    <row r="132" s="20" customFormat="1" ht="15" customHeight="1" x14ac:dyDescent="0.25"/>
    <row r="133" s="20" customFormat="1" ht="15" customHeight="1" x14ac:dyDescent="0.25"/>
    <row r="134" s="20" customFormat="1" ht="15" customHeight="1" x14ac:dyDescent="0.25"/>
    <row r="135" s="20" customFormat="1" ht="15" customHeight="1" x14ac:dyDescent="0.25"/>
    <row r="136" s="20" customFormat="1" ht="15" customHeight="1" x14ac:dyDescent="0.25"/>
    <row r="137" s="20" customFormat="1" ht="15" customHeight="1" x14ac:dyDescent="0.25"/>
    <row r="138" s="20" customFormat="1" ht="15" customHeight="1" x14ac:dyDescent="0.25"/>
    <row r="139" s="20" customFormat="1" ht="15" customHeight="1" x14ac:dyDescent="0.25"/>
    <row r="140" s="20" customFormat="1" ht="15" customHeight="1" x14ac:dyDescent="0.25"/>
    <row r="141" s="20" customFormat="1" ht="15" customHeight="1" x14ac:dyDescent="0.25"/>
    <row r="142" s="20" customFormat="1" ht="15" customHeight="1" x14ac:dyDescent="0.25"/>
    <row r="143" s="20" customFormat="1" ht="15" customHeight="1" x14ac:dyDescent="0.25"/>
    <row r="144" s="20" customFormat="1" ht="15" customHeight="1" x14ac:dyDescent="0.25"/>
    <row r="145" s="20" customFormat="1" ht="15" customHeight="1" x14ac:dyDescent="0.25"/>
    <row r="146" s="20" customFormat="1" ht="15" customHeight="1" x14ac:dyDescent="0.25"/>
    <row r="147" s="20" customFormat="1" ht="15" customHeight="1" x14ac:dyDescent="0.25"/>
    <row r="148" s="20" customFormat="1" ht="15" customHeight="1" x14ac:dyDescent="0.25"/>
    <row r="149" s="20" customFormat="1" ht="15" customHeight="1" x14ac:dyDescent="0.25"/>
    <row r="150" s="20" customFormat="1" ht="15" customHeight="1" x14ac:dyDescent="0.25"/>
    <row r="151" s="20" customFormat="1" ht="15" customHeight="1" x14ac:dyDescent="0.25"/>
    <row r="152" s="20" customFormat="1" ht="15" customHeight="1" x14ac:dyDescent="0.25"/>
    <row r="153" s="20" customFormat="1" ht="15" customHeight="1" x14ac:dyDescent="0.25"/>
    <row r="154" s="20" customFormat="1" ht="15" customHeight="1" x14ac:dyDescent="0.25"/>
    <row r="155" s="20" customFormat="1" ht="15" customHeight="1" x14ac:dyDescent="0.25"/>
    <row r="156" s="20" customFormat="1" ht="15" customHeight="1" x14ac:dyDescent="0.25"/>
    <row r="157" s="20" customFormat="1" ht="15" customHeight="1" x14ac:dyDescent="0.25"/>
    <row r="158" s="20" customFormat="1" ht="15" customHeight="1" x14ac:dyDescent="0.25"/>
    <row r="159" s="20" customFormat="1" ht="15" customHeight="1" x14ac:dyDescent="0.25"/>
    <row r="160" s="20" customFormat="1" ht="15" customHeight="1" x14ac:dyDescent="0.25"/>
    <row r="161" s="20" customFormat="1" ht="15" customHeight="1" x14ac:dyDescent="0.25"/>
    <row r="162" s="20" customFormat="1" ht="15" customHeight="1" x14ac:dyDescent="0.25"/>
    <row r="163" s="20" customFormat="1" ht="15" customHeight="1" x14ac:dyDescent="0.25"/>
    <row r="164" s="20" customFormat="1" ht="15" customHeight="1" x14ac:dyDescent="0.25"/>
    <row r="165" s="20" customFormat="1" ht="15" customHeight="1" x14ac:dyDescent="0.25"/>
    <row r="166" s="20" customFormat="1" ht="15" customHeight="1" x14ac:dyDescent="0.25"/>
    <row r="167" s="20" customFormat="1" ht="15" customHeight="1" x14ac:dyDescent="0.25"/>
    <row r="168" s="20" customFormat="1" ht="15" customHeight="1" x14ac:dyDescent="0.25"/>
    <row r="169" s="20" customFormat="1" ht="15" customHeight="1" x14ac:dyDescent="0.25"/>
    <row r="170" s="20" customFormat="1" ht="15" customHeight="1" x14ac:dyDescent="0.25"/>
    <row r="171" s="20" customFormat="1" ht="15" customHeight="1" x14ac:dyDescent="0.25"/>
    <row r="172" s="20" customFormat="1" ht="15" customHeight="1" x14ac:dyDescent="0.25"/>
    <row r="173" s="20" customFormat="1" ht="15" customHeight="1" x14ac:dyDescent="0.25"/>
    <row r="174" s="20" customFormat="1" ht="15" customHeight="1" x14ac:dyDescent="0.25"/>
    <row r="175" s="20" customFormat="1" ht="15" customHeight="1" x14ac:dyDescent="0.25"/>
    <row r="176" s="20" customFormat="1" ht="15" customHeight="1" x14ac:dyDescent="0.25"/>
    <row r="177" s="20" customFormat="1" ht="15" customHeight="1" x14ac:dyDescent="0.25"/>
    <row r="178" s="20" customFormat="1" ht="15" customHeight="1" x14ac:dyDescent="0.25"/>
    <row r="179" s="20" customFormat="1" ht="15" customHeight="1" x14ac:dyDescent="0.25"/>
    <row r="180" s="20" customFormat="1" ht="15" customHeight="1" x14ac:dyDescent="0.25"/>
    <row r="181" s="20" customFormat="1" ht="15" customHeight="1" x14ac:dyDescent="0.25"/>
    <row r="182" s="20" customFormat="1" ht="15" customHeight="1" x14ac:dyDescent="0.25"/>
    <row r="183" s="20" customFormat="1" ht="15" customHeight="1" x14ac:dyDescent="0.25"/>
    <row r="184" s="20" customFormat="1" ht="15" customHeight="1" x14ac:dyDescent="0.25"/>
    <row r="185" s="20" customFormat="1" ht="15" customHeight="1" x14ac:dyDescent="0.25"/>
    <row r="186" s="20" customFormat="1" ht="15" customHeight="1" x14ac:dyDescent="0.25"/>
    <row r="187" s="20" customFormat="1" ht="15" customHeight="1" x14ac:dyDescent="0.25"/>
    <row r="188" s="20" customFormat="1" ht="15" customHeight="1" x14ac:dyDescent="0.25"/>
    <row r="189" s="20" customFormat="1" ht="15" customHeight="1" x14ac:dyDescent="0.25"/>
    <row r="190" s="20" customFormat="1" ht="15" customHeight="1" x14ac:dyDescent="0.25"/>
    <row r="191" s="20" customFormat="1" ht="15" customHeight="1" x14ac:dyDescent="0.25"/>
    <row r="192" s="20" customFormat="1" ht="15" customHeight="1" x14ac:dyDescent="0.25"/>
    <row r="193" s="20" customFormat="1" ht="15" customHeight="1" x14ac:dyDescent="0.25"/>
    <row r="194" s="20" customFormat="1" ht="15" customHeight="1" x14ac:dyDescent="0.25"/>
    <row r="195" s="20" customFormat="1" ht="15" customHeight="1" x14ac:dyDescent="0.25"/>
    <row r="196" s="20" customFormat="1" ht="15" customHeight="1" x14ac:dyDescent="0.25"/>
    <row r="197" s="20" customFormat="1" ht="15" customHeight="1" x14ac:dyDescent="0.25"/>
    <row r="198" s="20" customFormat="1" ht="15" customHeight="1" x14ac:dyDescent="0.25"/>
    <row r="199" s="20" customFormat="1" ht="15" customHeight="1" x14ac:dyDescent="0.25"/>
    <row r="200" s="20" customFormat="1" ht="15" customHeight="1" x14ac:dyDescent="0.25"/>
    <row r="201" s="20" customFormat="1" ht="15" customHeight="1" x14ac:dyDescent="0.25"/>
    <row r="202" s="20" customFormat="1" ht="15" customHeight="1" x14ac:dyDescent="0.25"/>
    <row r="203" s="20" customFormat="1" ht="15" customHeight="1" x14ac:dyDescent="0.25"/>
    <row r="204" s="20" customFormat="1" ht="15" customHeight="1" x14ac:dyDescent="0.25"/>
    <row r="205" s="20" customFormat="1" ht="15" customHeight="1" x14ac:dyDescent="0.25"/>
    <row r="206" s="20" customFormat="1" ht="15" customHeight="1" x14ac:dyDescent="0.25"/>
    <row r="207" s="20" customFormat="1" ht="15" customHeight="1" x14ac:dyDescent="0.25"/>
    <row r="208" s="20" customFormat="1" ht="15" customHeight="1" x14ac:dyDescent="0.25"/>
    <row r="209" s="20" customFormat="1" ht="15" customHeight="1" x14ac:dyDescent="0.25"/>
    <row r="210" s="20" customFormat="1" ht="15" customHeight="1" x14ac:dyDescent="0.25"/>
    <row r="211" s="20" customFormat="1" ht="15" customHeight="1" x14ac:dyDescent="0.25"/>
    <row r="212" s="20" customFormat="1" ht="15" customHeight="1" x14ac:dyDescent="0.25"/>
    <row r="213" s="20" customFormat="1" ht="15" customHeight="1" x14ac:dyDescent="0.25"/>
    <row r="214" s="20" customFormat="1" ht="15" customHeight="1" x14ac:dyDescent="0.25"/>
    <row r="215" s="20" customFormat="1" ht="15" customHeight="1" x14ac:dyDescent="0.25"/>
    <row r="216" s="20" customFormat="1" ht="15" customHeight="1" x14ac:dyDescent="0.25"/>
    <row r="217" s="20" customFormat="1" ht="15" customHeight="1" x14ac:dyDescent="0.25"/>
    <row r="218" s="20" customFormat="1" ht="15" customHeight="1" x14ac:dyDescent="0.25"/>
    <row r="219" s="20" customFormat="1" ht="15" customHeight="1" x14ac:dyDescent="0.25"/>
    <row r="220" s="20" customFormat="1" ht="15" customHeight="1" x14ac:dyDescent="0.25"/>
    <row r="221" s="20" customFormat="1" ht="15" customHeight="1" x14ac:dyDescent="0.25"/>
    <row r="222" s="20" customFormat="1" ht="15" customHeight="1" x14ac:dyDescent="0.25"/>
    <row r="223" s="20" customFormat="1" ht="15" customHeight="1" x14ac:dyDescent="0.25"/>
    <row r="224" s="20" customFormat="1" ht="15" customHeight="1" x14ac:dyDescent="0.25"/>
    <row r="225" s="20" customFormat="1" ht="15" customHeight="1" x14ac:dyDescent="0.25"/>
    <row r="226" s="20" customFormat="1" ht="15" customHeight="1" x14ac:dyDescent="0.25"/>
    <row r="227" s="20" customFormat="1" ht="15" customHeight="1" x14ac:dyDescent="0.25"/>
    <row r="228" s="20" customFormat="1" ht="15" customHeight="1" x14ac:dyDescent="0.25"/>
    <row r="229" s="20" customFormat="1" ht="15" customHeight="1" x14ac:dyDescent="0.25"/>
    <row r="230" s="20" customFormat="1" ht="15" customHeight="1" x14ac:dyDescent="0.25"/>
    <row r="231" s="20" customFormat="1" ht="15" customHeight="1" x14ac:dyDescent="0.25"/>
    <row r="232" s="20" customFormat="1" ht="15" customHeight="1" x14ac:dyDescent="0.25"/>
    <row r="233" s="20" customFormat="1" ht="15" customHeight="1" x14ac:dyDescent="0.25"/>
    <row r="234" s="20" customFormat="1" ht="15" customHeight="1" x14ac:dyDescent="0.25"/>
    <row r="235" s="20" customFormat="1" ht="15" customHeight="1" x14ac:dyDescent="0.25"/>
    <row r="236" s="20" customFormat="1" ht="15" customHeight="1" x14ac:dyDescent="0.25"/>
    <row r="237" s="20" customFormat="1" ht="15" customHeight="1" x14ac:dyDescent="0.25"/>
    <row r="238" s="20" customFormat="1" ht="15" customHeight="1" x14ac:dyDescent="0.25"/>
    <row r="239" s="20" customFormat="1" ht="15" customHeight="1" x14ac:dyDescent="0.25"/>
    <row r="240" s="20" customFormat="1" ht="15" customHeight="1" x14ac:dyDescent="0.25"/>
    <row r="241" s="20" customFormat="1" ht="15" customHeight="1" x14ac:dyDescent="0.25"/>
    <row r="242" s="20" customFormat="1" ht="15" customHeight="1" x14ac:dyDescent="0.25"/>
    <row r="243" s="20" customFormat="1" ht="15" customHeight="1" x14ac:dyDescent="0.25"/>
    <row r="244" s="20" customFormat="1" ht="15" customHeight="1" x14ac:dyDescent="0.25"/>
    <row r="245" s="20" customFormat="1" ht="15" customHeight="1" x14ac:dyDescent="0.25"/>
    <row r="246" s="20" customFormat="1" ht="15" customHeight="1" x14ac:dyDescent="0.25"/>
    <row r="247" s="20" customFormat="1" ht="15" customHeight="1" x14ac:dyDescent="0.25"/>
    <row r="248" s="20" customFormat="1" ht="15" customHeight="1" x14ac:dyDescent="0.25"/>
    <row r="249" s="20" customFormat="1" ht="15" customHeight="1" x14ac:dyDescent="0.25"/>
    <row r="250" s="20" customFormat="1" ht="15" customHeight="1" x14ac:dyDescent="0.25"/>
    <row r="251" s="20" customFormat="1" ht="15" customHeight="1" x14ac:dyDescent="0.25"/>
    <row r="252" s="20" customFormat="1" ht="15" customHeight="1" x14ac:dyDescent="0.25"/>
    <row r="253" s="20" customFormat="1" ht="15" customHeight="1" x14ac:dyDescent="0.25"/>
    <row r="254" s="20" customFormat="1" ht="15" customHeight="1" x14ac:dyDescent="0.25"/>
    <row r="255" s="20" customFormat="1" ht="15" customHeight="1" x14ac:dyDescent="0.25"/>
    <row r="256" s="20" customFormat="1" ht="15" customHeight="1" x14ac:dyDescent="0.25"/>
    <row r="257" s="20" customFormat="1" ht="15" customHeight="1" x14ac:dyDescent="0.25"/>
    <row r="258" s="20" customFormat="1" ht="15" customHeight="1" x14ac:dyDescent="0.25"/>
    <row r="259" s="20" customFormat="1" ht="15" customHeight="1" x14ac:dyDescent="0.25"/>
    <row r="260" s="20" customFormat="1" ht="15" customHeight="1" x14ac:dyDescent="0.25"/>
    <row r="261" s="20" customFormat="1" ht="15" customHeight="1" x14ac:dyDescent="0.25"/>
    <row r="262" s="20" customFormat="1" ht="15" customHeight="1" x14ac:dyDescent="0.25"/>
    <row r="263" s="20" customFormat="1" ht="15" customHeight="1" x14ac:dyDescent="0.25"/>
    <row r="264" s="20" customFormat="1" ht="15" customHeight="1" x14ac:dyDescent="0.25"/>
    <row r="265" s="20" customFormat="1" ht="15" customHeight="1" x14ac:dyDescent="0.25"/>
    <row r="266" s="20" customFormat="1" ht="15" customHeight="1" x14ac:dyDescent="0.25"/>
    <row r="267" s="20" customFormat="1" ht="15" customHeight="1" x14ac:dyDescent="0.25"/>
    <row r="268" s="20" customFormat="1" ht="15" customHeight="1" x14ac:dyDescent="0.25"/>
    <row r="269" s="20" customFormat="1" ht="15" customHeight="1" x14ac:dyDescent="0.25"/>
    <row r="270" s="20" customFormat="1" ht="15" customHeight="1" x14ac:dyDescent="0.25"/>
    <row r="271" s="20" customFormat="1" ht="15" customHeight="1" x14ac:dyDescent="0.25"/>
    <row r="272" s="20" customFormat="1" ht="15" customHeight="1" x14ac:dyDescent="0.25"/>
    <row r="273" s="20" customFormat="1" ht="15" customHeight="1" x14ac:dyDescent="0.25"/>
    <row r="274" s="20" customFormat="1" ht="15" customHeight="1" x14ac:dyDescent="0.25"/>
    <row r="275" s="20" customFormat="1" ht="15" customHeight="1" x14ac:dyDescent="0.25"/>
    <row r="276" s="20" customFormat="1" ht="15" customHeight="1" x14ac:dyDescent="0.25"/>
    <row r="277" s="20" customFormat="1" ht="15" customHeight="1" x14ac:dyDescent="0.25"/>
    <row r="278" s="20" customFormat="1" ht="15" customHeight="1" x14ac:dyDescent="0.25"/>
    <row r="279" s="20" customFormat="1" ht="15" customHeight="1" x14ac:dyDescent="0.25"/>
    <row r="280" s="20" customFormat="1" ht="15" customHeight="1" x14ac:dyDescent="0.25"/>
    <row r="281" s="20" customFormat="1" ht="15" customHeight="1" x14ac:dyDescent="0.25"/>
    <row r="282" s="20" customFormat="1" ht="15" customHeight="1" x14ac:dyDescent="0.25"/>
    <row r="283" s="20" customFormat="1" ht="15" customHeight="1" x14ac:dyDescent="0.25"/>
    <row r="284" s="20" customFormat="1" ht="15" customHeight="1" x14ac:dyDescent="0.25"/>
    <row r="285" s="20" customFormat="1" ht="15" customHeight="1" x14ac:dyDescent="0.25"/>
    <row r="286" s="20" customFormat="1" ht="15" customHeight="1" x14ac:dyDescent="0.25"/>
    <row r="287" s="20" customFormat="1" ht="15" customHeight="1" x14ac:dyDescent="0.25"/>
    <row r="288" s="20" customFormat="1" ht="15" customHeight="1" x14ac:dyDescent="0.25"/>
    <row r="289" s="20" customFormat="1" ht="15" customHeight="1" x14ac:dyDescent="0.25"/>
    <row r="290" s="20" customFormat="1" ht="15" customHeight="1" x14ac:dyDescent="0.25"/>
    <row r="291" s="20" customFormat="1" ht="15" customHeight="1" x14ac:dyDescent="0.25"/>
    <row r="292" s="20" customFormat="1" ht="15" customHeight="1" x14ac:dyDescent="0.25"/>
    <row r="293" s="20" customFormat="1" ht="15" customHeight="1" x14ac:dyDescent="0.25"/>
    <row r="294" s="20" customFormat="1" ht="15" customHeight="1" x14ac:dyDescent="0.25"/>
    <row r="295" s="20" customFormat="1" ht="15" customHeight="1" x14ac:dyDescent="0.25"/>
    <row r="296" s="20" customFormat="1" ht="15" customHeight="1" x14ac:dyDescent="0.25"/>
    <row r="297" s="20" customFormat="1" ht="15" customHeight="1" x14ac:dyDescent="0.25"/>
    <row r="298" s="20" customFormat="1" ht="15" customHeight="1" x14ac:dyDescent="0.25"/>
    <row r="299" s="20" customFormat="1" ht="15" customHeight="1" x14ac:dyDescent="0.25"/>
    <row r="300" s="20" customFormat="1" ht="15" customHeight="1" x14ac:dyDescent="0.25"/>
    <row r="301" s="20" customFormat="1" ht="15" customHeight="1" x14ac:dyDescent="0.25"/>
    <row r="302" s="20" customFormat="1" ht="15" customHeight="1" x14ac:dyDescent="0.25"/>
    <row r="303" s="20" customFormat="1" ht="15" customHeight="1" x14ac:dyDescent="0.25"/>
    <row r="304" s="20" customFormat="1" ht="15" customHeight="1" x14ac:dyDescent="0.25"/>
    <row r="305" s="20" customFormat="1" ht="15" customHeight="1" x14ac:dyDescent="0.25"/>
    <row r="306" s="20" customFormat="1" ht="15" customHeight="1" x14ac:dyDescent="0.25"/>
    <row r="307" s="20" customFormat="1" ht="15" customHeight="1" x14ac:dyDescent="0.25"/>
    <row r="308" s="20" customFormat="1" ht="15" customHeight="1" x14ac:dyDescent="0.25"/>
    <row r="309" s="20" customFormat="1" ht="15" customHeight="1" x14ac:dyDescent="0.25"/>
    <row r="310" s="20" customFormat="1" ht="15" customHeight="1" x14ac:dyDescent="0.25"/>
    <row r="311" s="20" customFormat="1" ht="15" customHeight="1" x14ac:dyDescent="0.25"/>
    <row r="312" s="20" customFormat="1" ht="15" customHeight="1" x14ac:dyDescent="0.25"/>
    <row r="313" s="20" customFormat="1" ht="15" customHeight="1" x14ac:dyDescent="0.25"/>
    <row r="314" s="20" customFormat="1" ht="15" customHeight="1" x14ac:dyDescent="0.25"/>
    <row r="315" s="20" customFormat="1" ht="15" customHeight="1" x14ac:dyDescent="0.25"/>
    <row r="316" s="20" customFormat="1" ht="15" customHeight="1" x14ac:dyDescent="0.25"/>
    <row r="317" s="20" customFormat="1" ht="15" customHeight="1" x14ac:dyDescent="0.25"/>
    <row r="318" s="20" customFormat="1" ht="15" customHeight="1" x14ac:dyDescent="0.25"/>
    <row r="319" s="20" customFormat="1" ht="15" customHeight="1" x14ac:dyDescent="0.25"/>
    <row r="320" s="20" customFormat="1" ht="15" customHeight="1" x14ac:dyDescent="0.25"/>
    <row r="321" s="20" customFormat="1" ht="15" customHeight="1" x14ac:dyDescent="0.25"/>
    <row r="322" s="20" customFormat="1" ht="15" customHeight="1" x14ac:dyDescent="0.25"/>
    <row r="323" s="20" customFormat="1" ht="15" customHeight="1" x14ac:dyDescent="0.25"/>
    <row r="324" s="20" customFormat="1" ht="15" customHeight="1" x14ac:dyDescent="0.25"/>
    <row r="325" s="20" customFormat="1" ht="15" customHeight="1" x14ac:dyDescent="0.25"/>
    <row r="326" s="20" customFormat="1" ht="15" customHeight="1" x14ac:dyDescent="0.25"/>
    <row r="327" s="20" customFormat="1" ht="15" customHeight="1" x14ac:dyDescent="0.25"/>
    <row r="328" s="20" customFormat="1" ht="15" customHeight="1" x14ac:dyDescent="0.25"/>
    <row r="329" s="20" customFormat="1" ht="15" customHeight="1" x14ac:dyDescent="0.25"/>
    <row r="330" s="20" customFormat="1" ht="15" customHeight="1" x14ac:dyDescent="0.25"/>
    <row r="331" s="20" customFormat="1" ht="15" customHeight="1" x14ac:dyDescent="0.25"/>
    <row r="332" s="20" customFormat="1" ht="15" customHeight="1" x14ac:dyDescent="0.25"/>
    <row r="333" s="20" customFormat="1" ht="15" customHeight="1" x14ac:dyDescent="0.25"/>
    <row r="334" s="20" customFormat="1" ht="15" customHeight="1" x14ac:dyDescent="0.25"/>
    <row r="335" s="20" customFormat="1" ht="15" customHeight="1" x14ac:dyDescent="0.25"/>
    <row r="336" s="20" customFormat="1" ht="15" customHeight="1" x14ac:dyDescent="0.25"/>
    <row r="337" s="20" customFormat="1" ht="15" customHeight="1" x14ac:dyDescent="0.25"/>
    <row r="338" s="20" customFormat="1" ht="15" customHeight="1" x14ac:dyDescent="0.25"/>
    <row r="339" s="20" customFormat="1" ht="15" customHeight="1" x14ac:dyDescent="0.25"/>
    <row r="340" s="20" customFormat="1" ht="15" customHeight="1" x14ac:dyDescent="0.25"/>
    <row r="341" s="20" customFormat="1" ht="15" customHeight="1" x14ac:dyDescent="0.25"/>
    <row r="342" s="20" customFormat="1" ht="15" customHeight="1" x14ac:dyDescent="0.25"/>
    <row r="343" s="20" customFormat="1" ht="15" customHeight="1" x14ac:dyDescent="0.25"/>
    <row r="344" s="20" customFormat="1" ht="15" customHeight="1" x14ac:dyDescent="0.25"/>
    <row r="345" s="20" customFormat="1" ht="15" customHeight="1" x14ac:dyDescent="0.25"/>
    <row r="346" s="20" customFormat="1" ht="15" customHeight="1" x14ac:dyDescent="0.25"/>
    <row r="347" s="20" customFormat="1" ht="15" customHeight="1" x14ac:dyDescent="0.25"/>
    <row r="348" s="20" customFormat="1" ht="15" customHeight="1" x14ac:dyDescent="0.25"/>
    <row r="349" s="20" customFormat="1" ht="15" customHeight="1" x14ac:dyDescent="0.25"/>
    <row r="350" s="20" customFormat="1" ht="15" customHeight="1" x14ac:dyDescent="0.25"/>
    <row r="351" s="20" customFormat="1" ht="15" customHeight="1" x14ac:dyDescent="0.25"/>
    <row r="352" s="20" customFormat="1" ht="15" customHeight="1" x14ac:dyDescent="0.25"/>
    <row r="353" s="20" customFormat="1" ht="15" customHeight="1" x14ac:dyDescent="0.25"/>
    <row r="354" s="20" customFormat="1" ht="15" customHeight="1" x14ac:dyDescent="0.25"/>
    <row r="355" s="20" customFormat="1" ht="15" customHeight="1" x14ac:dyDescent="0.25"/>
    <row r="356" s="20" customFormat="1" ht="15" customHeight="1" x14ac:dyDescent="0.25"/>
    <row r="357" s="20" customFormat="1" ht="15" customHeight="1" x14ac:dyDescent="0.25"/>
    <row r="358" s="20" customFormat="1" ht="15" customHeight="1" x14ac:dyDescent="0.25"/>
    <row r="359" s="20" customFormat="1" ht="15" customHeight="1" x14ac:dyDescent="0.25"/>
    <row r="360" s="20" customFormat="1" ht="15" customHeight="1" x14ac:dyDescent="0.25"/>
    <row r="361" s="20" customFormat="1" ht="15" customHeight="1" x14ac:dyDescent="0.25"/>
    <row r="362" s="20" customFormat="1" ht="15" customHeight="1" x14ac:dyDescent="0.25"/>
    <row r="363" s="20" customFormat="1" ht="15" customHeight="1" x14ac:dyDescent="0.25"/>
    <row r="364" s="20" customFormat="1" ht="15" customHeight="1" x14ac:dyDescent="0.25"/>
    <row r="365" s="20" customFormat="1" ht="15" customHeight="1" x14ac:dyDescent="0.25"/>
    <row r="366" s="20" customFormat="1" ht="15" customHeight="1" x14ac:dyDescent="0.25"/>
    <row r="367" s="20" customFormat="1" ht="15" customHeight="1" x14ac:dyDescent="0.25"/>
    <row r="368" s="20" customFormat="1" ht="15" customHeight="1" x14ac:dyDescent="0.25"/>
    <row r="369" s="20" customFormat="1" ht="15" customHeight="1" x14ac:dyDescent="0.25"/>
    <row r="370" s="20" customFormat="1" ht="15" customHeight="1" x14ac:dyDescent="0.25"/>
    <row r="371" s="20" customFormat="1" ht="15" customHeight="1" x14ac:dyDescent="0.25"/>
    <row r="372" s="20" customFormat="1" ht="15" customHeight="1" x14ac:dyDescent="0.25"/>
    <row r="373" s="20" customFormat="1" ht="15" customHeight="1" x14ac:dyDescent="0.25"/>
    <row r="374" s="20" customFormat="1" ht="15" customHeight="1" x14ac:dyDescent="0.25"/>
    <row r="375" s="20" customFormat="1" ht="15" customHeight="1" x14ac:dyDescent="0.25"/>
    <row r="376" s="20" customFormat="1" ht="15" customHeight="1" x14ac:dyDescent="0.25"/>
    <row r="377" s="20" customFormat="1" ht="15" customHeight="1" x14ac:dyDescent="0.25"/>
    <row r="378" s="20" customFormat="1" ht="15" customHeight="1" x14ac:dyDescent="0.25"/>
    <row r="379" s="20" customFormat="1" ht="15" customHeight="1" x14ac:dyDescent="0.25"/>
    <row r="380" s="20" customFormat="1" ht="15" customHeight="1" x14ac:dyDescent="0.25"/>
    <row r="381" s="20" customFormat="1" ht="15" customHeight="1" x14ac:dyDescent="0.25"/>
    <row r="382" s="20" customFormat="1" ht="15" customHeight="1" x14ac:dyDescent="0.25"/>
    <row r="383" s="20" customFormat="1" ht="15" customHeight="1" x14ac:dyDescent="0.25"/>
    <row r="384" s="20" customFormat="1" ht="15" customHeight="1" x14ac:dyDescent="0.25"/>
    <row r="385" s="20" customFormat="1" ht="15" customHeight="1" x14ac:dyDescent="0.25"/>
    <row r="386" s="20" customFormat="1" ht="15" customHeight="1" x14ac:dyDescent="0.25"/>
    <row r="387" s="20" customFormat="1" ht="15" customHeight="1" x14ac:dyDescent="0.25"/>
    <row r="388" s="20" customFormat="1" ht="15" customHeight="1" x14ac:dyDescent="0.25"/>
    <row r="389" s="20" customFormat="1" ht="15" customHeight="1" x14ac:dyDescent="0.25"/>
    <row r="390" s="20" customFormat="1" ht="15" customHeight="1" x14ac:dyDescent="0.25"/>
    <row r="391" s="20" customFormat="1" ht="15" customHeight="1" x14ac:dyDescent="0.25"/>
    <row r="392" s="20" customFormat="1" ht="15" customHeight="1" x14ac:dyDescent="0.25"/>
    <row r="393" s="20" customFormat="1" ht="15" customHeight="1" x14ac:dyDescent="0.25"/>
    <row r="394" s="20" customFormat="1" ht="15" customHeight="1" x14ac:dyDescent="0.25"/>
    <row r="395" s="20" customFormat="1" ht="15" customHeight="1" x14ac:dyDescent="0.25"/>
    <row r="396" s="20" customFormat="1" ht="15" customHeight="1" x14ac:dyDescent="0.25"/>
    <row r="397" s="20" customFormat="1" ht="15" customHeight="1" x14ac:dyDescent="0.25"/>
    <row r="398" s="20" customFormat="1" ht="15" customHeight="1" x14ac:dyDescent="0.25"/>
    <row r="399" s="20" customFormat="1" ht="15" customHeight="1" x14ac:dyDescent="0.25"/>
    <row r="400" s="20" customFormat="1" ht="15" customHeight="1" x14ac:dyDescent="0.25"/>
    <row r="401" s="20" customFormat="1" ht="15" customHeight="1" x14ac:dyDescent="0.25"/>
    <row r="402" s="20" customFormat="1" ht="15" customHeight="1" x14ac:dyDescent="0.25"/>
    <row r="403" s="20" customFormat="1" ht="15" customHeight="1" x14ac:dyDescent="0.25"/>
    <row r="404" s="20" customFormat="1" ht="15" customHeight="1" x14ac:dyDescent="0.25"/>
    <row r="405" s="20" customFormat="1" ht="15" customHeight="1" x14ac:dyDescent="0.25"/>
    <row r="406" s="20" customFormat="1" ht="15" customHeight="1" x14ac:dyDescent="0.25"/>
    <row r="407" s="20" customFormat="1" ht="15" customHeight="1" x14ac:dyDescent="0.25"/>
    <row r="408" s="20" customFormat="1" ht="15" customHeight="1" x14ac:dyDescent="0.25"/>
    <row r="409" s="20" customFormat="1" ht="15" customHeight="1" x14ac:dyDescent="0.25"/>
    <row r="410" s="20" customFormat="1" ht="15" customHeight="1" x14ac:dyDescent="0.25"/>
    <row r="411" s="20" customFormat="1" ht="15" customHeight="1" x14ac:dyDescent="0.25"/>
    <row r="412" s="20" customFormat="1" ht="15" customHeight="1" x14ac:dyDescent="0.25"/>
    <row r="413" s="20" customFormat="1" ht="15" customHeight="1" x14ac:dyDescent="0.25"/>
    <row r="414" s="20" customFormat="1" ht="15" customHeight="1" x14ac:dyDescent="0.25"/>
    <row r="415" s="20" customFormat="1" ht="15" customHeight="1" x14ac:dyDescent="0.25"/>
    <row r="416" s="20" customFormat="1" ht="15" customHeight="1" x14ac:dyDescent="0.25"/>
    <row r="417" s="20" customFormat="1" ht="15" customHeight="1" x14ac:dyDescent="0.25"/>
    <row r="418" s="20" customFormat="1" ht="15" customHeight="1" x14ac:dyDescent="0.25"/>
    <row r="419" s="20" customFormat="1" ht="15" customHeight="1" x14ac:dyDescent="0.25"/>
    <row r="420" s="20" customFormat="1" ht="15" customHeight="1" x14ac:dyDescent="0.25"/>
    <row r="421" s="20" customFormat="1" ht="15" customHeight="1" x14ac:dyDescent="0.25"/>
    <row r="422" s="20" customFormat="1" ht="15" customHeight="1" x14ac:dyDescent="0.25"/>
    <row r="423" s="20" customFormat="1" ht="15" customHeight="1" x14ac:dyDescent="0.25"/>
    <row r="424" s="20" customFormat="1" ht="15" customHeight="1" x14ac:dyDescent="0.25"/>
    <row r="425" s="20" customFormat="1" ht="15" customHeight="1" x14ac:dyDescent="0.25"/>
    <row r="426" s="20" customFormat="1" ht="15" customHeight="1" x14ac:dyDescent="0.25"/>
    <row r="427" s="20" customFormat="1" ht="15" customHeight="1" x14ac:dyDescent="0.25"/>
    <row r="428" s="20" customFormat="1" ht="15" customHeight="1" x14ac:dyDescent="0.25"/>
    <row r="429" s="20" customFormat="1" ht="15" customHeight="1" x14ac:dyDescent="0.25"/>
    <row r="430" s="20" customFormat="1" ht="15" customHeight="1" x14ac:dyDescent="0.25"/>
    <row r="431" s="20" customFormat="1" ht="15" customHeight="1" x14ac:dyDescent="0.25"/>
    <row r="432" s="20" customFormat="1" ht="15" customHeight="1" x14ac:dyDescent="0.25"/>
    <row r="433" s="20" customFormat="1" ht="15" customHeight="1" x14ac:dyDescent="0.25"/>
    <row r="434" s="20" customFormat="1" ht="15" customHeight="1" x14ac:dyDescent="0.25"/>
    <row r="435" s="20" customFormat="1" ht="15" customHeight="1" x14ac:dyDescent="0.25"/>
    <row r="436" s="20" customFormat="1" ht="15" customHeight="1" x14ac:dyDescent="0.25"/>
    <row r="437" s="20" customFormat="1" ht="15" customHeight="1" x14ac:dyDescent="0.25"/>
    <row r="438" s="20" customFormat="1" ht="15" customHeight="1" x14ac:dyDescent="0.25"/>
    <row r="439" s="20" customFormat="1" ht="15" customHeight="1" x14ac:dyDescent="0.25"/>
    <row r="440" s="20" customFormat="1" ht="15" customHeight="1" x14ac:dyDescent="0.25"/>
    <row r="441" s="20" customFormat="1" ht="15" customHeight="1" x14ac:dyDescent="0.25"/>
    <row r="442" s="20" customFormat="1" ht="15" customHeight="1" x14ac:dyDescent="0.25"/>
    <row r="443" s="20" customFormat="1" ht="15" customHeight="1" x14ac:dyDescent="0.25"/>
    <row r="444" s="20" customFormat="1" ht="15" customHeight="1" x14ac:dyDescent="0.25"/>
    <row r="445" s="20" customFormat="1" ht="15" customHeight="1" x14ac:dyDescent="0.25"/>
    <row r="446" s="20" customFormat="1" ht="15" customHeight="1" x14ac:dyDescent="0.25"/>
    <row r="447" s="20" customFormat="1" ht="15" customHeight="1" x14ac:dyDescent="0.25"/>
    <row r="448" s="20" customFormat="1" ht="15" customHeight="1" x14ac:dyDescent="0.25"/>
    <row r="449" s="20" customFormat="1" ht="15" customHeight="1" x14ac:dyDescent="0.25"/>
    <row r="450" s="20" customFormat="1" ht="15" customHeight="1" x14ac:dyDescent="0.25"/>
    <row r="451" s="20" customFormat="1" ht="15" customHeight="1" x14ac:dyDescent="0.25"/>
    <row r="452" s="20" customFormat="1" ht="15" customHeight="1" x14ac:dyDescent="0.25"/>
    <row r="453" s="20" customFormat="1" ht="15" customHeight="1" x14ac:dyDescent="0.25"/>
    <row r="454" s="20" customFormat="1" ht="15" customHeight="1" x14ac:dyDescent="0.25"/>
    <row r="455" s="20" customFormat="1" ht="15" customHeight="1" x14ac:dyDescent="0.25"/>
    <row r="456" s="20" customFormat="1" ht="15" customHeight="1" x14ac:dyDescent="0.25"/>
    <row r="457" s="20" customFormat="1" ht="15" customHeight="1" x14ac:dyDescent="0.25"/>
    <row r="458" s="20" customFormat="1" ht="15" customHeight="1" x14ac:dyDescent="0.25"/>
    <row r="459" s="20" customFormat="1" ht="15" customHeight="1" x14ac:dyDescent="0.25"/>
    <row r="460" s="20" customFormat="1" ht="15" customHeight="1" x14ac:dyDescent="0.25"/>
    <row r="461" s="20" customFormat="1" ht="15" customHeight="1" x14ac:dyDescent="0.25"/>
    <row r="462" s="20" customFormat="1" ht="15" customHeight="1" x14ac:dyDescent="0.25"/>
    <row r="463" s="20" customFormat="1" ht="15" customHeight="1" x14ac:dyDescent="0.25"/>
    <row r="464" s="20" customFormat="1" ht="15" customHeight="1" x14ac:dyDescent="0.25"/>
    <row r="465" s="20" customFormat="1" ht="15" customHeight="1" x14ac:dyDescent="0.25"/>
    <row r="466" s="20" customFormat="1" ht="15" customHeight="1" x14ac:dyDescent="0.25"/>
    <row r="467" s="20" customFormat="1" ht="15" customHeight="1" x14ac:dyDescent="0.25"/>
    <row r="468" s="20" customFormat="1" ht="15" customHeight="1" x14ac:dyDescent="0.25"/>
    <row r="469" s="20" customFormat="1" ht="15" customHeight="1" x14ac:dyDescent="0.25"/>
    <row r="470" s="20" customFormat="1" ht="15" customHeight="1" x14ac:dyDescent="0.25"/>
    <row r="471" s="20" customFormat="1" ht="15" customHeight="1" x14ac:dyDescent="0.25"/>
    <row r="472" s="20" customFormat="1" ht="15" customHeight="1" x14ac:dyDescent="0.25"/>
    <row r="473" s="20" customFormat="1" ht="15" customHeight="1" x14ac:dyDescent="0.25"/>
    <row r="474" s="20" customFormat="1" ht="15" customHeight="1" x14ac:dyDescent="0.25"/>
    <row r="475" s="20" customFormat="1" ht="15" customHeight="1" x14ac:dyDescent="0.25"/>
    <row r="476" s="20" customFormat="1" ht="15" customHeight="1" x14ac:dyDescent="0.25"/>
    <row r="477" s="20" customFormat="1" ht="15" customHeight="1" x14ac:dyDescent="0.25"/>
    <row r="478" s="20" customFormat="1" ht="15" customHeight="1" x14ac:dyDescent="0.25"/>
    <row r="479" s="20" customFormat="1" ht="15" customHeight="1" x14ac:dyDescent="0.25"/>
    <row r="480" s="20" customFormat="1" ht="15" customHeight="1" x14ac:dyDescent="0.25"/>
    <row r="481" s="20" customFormat="1" ht="15" customHeight="1" x14ac:dyDescent="0.25"/>
    <row r="482" s="20" customFormat="1" ht="15" customHeight="1" x14ac:dyDescent="0.25"/>
    <row r="483" s="20" customFormat="1" ht="15" customHeight="1" x14ac:dyDescent="0.25"/>
    <row r="484" s="20" customFormat="1" ht="15" customHeight="1" x14ac:dyDescent="0.25"/>
    <row r="485" s="20" customFormat="1" ht="15" customHeight="1" x14ac:dyDescent="0.25"/>
    <row r="486" s="20" customFormat="1" ht="15" customHeight="1" x14ac:dyDescent="0.25"/>
    <row r="487" s="20" customFormat="1" ht="15" customHeight="1" x14ac:dyDescent="0.25"/>
    <row r="488" s="20" customFormat="1" ht="15" customHeight="1" x14ac:dyDescent="0.25"/>
    <row r="489" s="20" customFormat="1" ht="15" customHeight="1" x14ac:dyDescent="0.25"/>
    <row r="490" s="20" customFormat="1" ht="15" customHeight="1" x14ac:dyDescent="0.25"/>
    <row r="491" s="20" customFormat="1" ht="15" customHeight="1" x14ac:dyDescent="0.25"/>
    <row r="492" s="20" customFormat="1" ht="15" customHeight="1" x14ac:dyDescent="0.25"/>
    <row r="493" s="20" customFormat="1" ht="15" customHeight="1" x14ac:dyDescent="0.25"/>
    <row r="494" s="20" customFormat="1" ht="15" customHeight="1" x14ac:dyDescent="0.25"/>
    <row r="495" s="20" customFormat="1" ht="15" customHeight="1" x14ac:dyDescent="0.25"/>
    <row r="496" s="20" customFormat="1" ht="15" customHeight="1" x14ac:dyDescent="0.25"/>
    <row r="497" s="20" customFormat="1" ht="15" customHeight="1" x14ac:dyDescent="0.25"/>
    <row r="498" s="20" customFormat="1" ht="15" customHeight="1" x14ac:dyDescent="0.25"/>
    <row r="499" s="20" customFormat="1" ht="15" customHeight="1" x14ac:dyDescent="0.25"/>
    <row r="500" s="20" customFormat="1" ht="15" customHeight="1" x14ac:dyDescent="0.25"/>
    <row r="501" s="20" customFormat="1" ht="15" customHeight="1" x14ac:dyDescent="0.25"/>
    <row r="502" s="20" customFormat="1" ht="15" customHeight="1" x14ac:dyDescent="0.25"/>
    <row r="503" s="20" customFormat="1" ht="15" customHeight="1" x14ac:dyDescent="0.25"/>
    <row r="504" s="20" customFormat="1" ht="15" customHeight="1" x14ac:dyDescent="0.25"/>
    <row r="505" s="20" customFormat="1" ht="15" customHeight="1" x14ac:dyDescent="0.25"/>
    <row r="506" s="20" customFormat="1" ht="15" customHeight="1" x14ac:dyDescent="0.25"/>
    <row r="507" s="20" customFormat="1" ht="15" customHeight="1" x14ac:dyDescent="0.25"/>
    <row r="508" s="20" customFormat="1" ht="15" customHeight="1" x14ac:dyDescent="0.25"/>
    <row r="509" s="20" customFormat="1" ht="15" customHeight="1" x14ac:dyDescent="0.25"/>
    <row r="510" s="20" customFormat="1" ht="15" customHeight="1" x14ac:dyDescent="0.25"/>
    <row r="511" s="20" customFormat="1" ht="15" customHeight="1" x14ac:dyDescent="0.25"/>
    <row r="512" s="20" customFormat="1" ht="15" customHeight="1" x14ac:dyDescent="0.25"/>
    <row r="513" s="20" customFormat="1" ht="15" customHeight="1" x14ac:dyDescent="0.25"/>
    <row r="514" s="20" customFormat="1" ht="15" customHeight="1" x14ac:dyDescent="0.25"/>
    <row r="515" s="20" customFormat="1" ht="15" customHeight="1" x14ac:dyDescent="0.25"/>
    <row r="516" s="20" customFormat="1" ht="15" customHeight="1" x14ac:dyDescent="0.25"/>
    <row r="517" s="20" customFormat="1" ht="15" customHeight="1" x14ac:dyDescent="0.25"/>
    <row r="518" s="20" customFormat="1" ht="15" customHeight="1" x14ac:dyDescent="0.25"/>
    <row r="519" s="20" customFormat="1" ht="15" customHeight="1" x14ac:dyDescent="0.25"/>
    <row r="520" s="20" customFormat="1" ht="15" customHeight="1" x14ac:dyDescent="0.25"/>
    <row r="521" s="20" customFormat="1" ht="15" customHeight="1" x14ac:dyDescent="0.25"/>
    <row r="522" s="20" customFormat="1" ht="15" customHeight="1" x14ac:dyDescent="0.25"/>
    <row r="523" s="20" customFormat="1" ht="15" customHeight="1" x14ac:dyDescent="0.25"/>
    <row r="524" s="20" customFormat="1" ht="15" customHeight="1" x14ac:dyDescent="0.25"/>
    <row r="525" s="20" customFormat="1" ht="15" customHeight="1" x14ac:dyDescent="0.25"/>
    <row r="526" s="20" customFormat="1" ht="15" customHeight="1" x14ac:dyDescent="0.25"/>
    <row r="527" s="20" customFormat="1" ht="15" customHeight="1" x14ac:dyDescent="0.25"/>
    <row r="528" s="20" customFormat="1" ht="15" customHeight="1" x14ac:dyDescent="0.25"/>
    <row r="529" s="20" customFormat="1" ht="15" customHeight="1" x14ac:dyDescent="0.25"/>
    <row r="530" s="20" customFormat="1" ht="15" customHeight="1" x14ac:dyDescent="0.25"/>
    <row r="531" s="20" customFormat="1" ht="15" customHeight="1" x14ac:dyDescent="0.25"/>
    <row r="532" s="20" customFormat="1" ht="15" customHeight="1" x14ac:dyDescent="0.25"/>
    <row r="533" s="20" customFormat="1" ht="15" customHeight="1" x14ac:dyDescent="0.25"/>
    <row r="534" s="20" customFormat="1" ht="15" customHeight="1" x14ac:dyDescent="0.25"/>
    <row r="535" s="20" customFormat="1" ht="15" customHeight="1" x14ac:dyDescent="0.25"/>
    <row r="536" s="20" customFormat="1" ht="15" customHeight="1" x14ac:dyDescent="0.25"/>
    <row r="537" s="20" customFormat="1" ht="15" customHeight="1" x14ac:dyDescent="0.25"/>
    <row r="538" s="20" customFormat="1" ht="15" customHeight="1" x14ac:dyDescent="0.25"/>
    <row r="539" s="20" customFormat="1" ht="15" customHeight="1" x14ac:dyDescent="0.25"/>
    <row r="540" s="20" customFormat="1" ht="15" customHeight="1" x14ac:dyDescent="0.25"/>
    <row r="541" s="20" customFormat="1" ht="15" customHeight="1" x14ac:dyDescent="0.25"/>
    <row r="542" s="20" customFormat="1" ht="15" customHeight="1" x14ac:dyDescent="0.25"/>
    <row r="543" s="20" customFormat="1" ht="15" customHeight="1" x14ac:dyDescent="0.25"/>
    <row r="544" s="20" customFormat="1" ht="15" customHeight="1" x14ac:dyDescent="0.25"/>
    <row r="545" s="20" customFormat="1" ht="15" customHeight="1" x14ac:dyDescent="0.25"/>
    <row r="546" s="20" customFormat="1" ht="15" customHeight="1" x14ac:dyDescent="0.25"/>
    <row r="547" s="20" customFormat="1" ht="15" customHeight="1" x14ac:dyDescent="0.25"/>
    <row r="548" s="20" customFormat="1" ht="15" customHeight="1" x14ac:dyDescent="0.25"/>
    <row r="549" s="20" customFormat="1" ht="15" customHeight="1" x14ac:dyDescent="0.25"/>
    <row r="550" s="20" customFormat="1" ht="15" customHeight="1" x14ac:dyDescent="0.25"/>
    <row r="551" s="20" customFormat="1" ht="15" customHeight="1" x14ac:dyDescent="0.25"/>
    <row r="552" s="20" customFormat="1" ht="15" customHeight="1" x14ac:dyDescent="0.25"/>
    <row r="553" s="20" customFormat="1" ht="15" customHeight="1" x14ac:dyDescent="0.25"/>
    <row r="554" s="20" customFormat="1" ht="15" customHeight="1" x14ac:dyDescent="0.25"/>
    <row r="555" s="20" customFormat="1" ht="15" customHeight="1" x14ac:dyDescent="0.25"/>
    <row r="556" s="20" customFormat="1" ht="15" customHeight="1" x14ac:dyDescent="0.25"/>
    <row r="557" s="20" customFormat="1" ht="15" customHeight="1" x14ac:dyDescent="0.25"/>
    <row r="558" s="20" customFormat="1" ht="15" customHeight="1" x14ac:dyDescent="0.25"/>
    <row r="559" s="20" customFormat="1" ht="15" customHeight="1" x14ac:dyDescent="0.25"/>
    <row r="560" s="20" customFormat="1" ht="15" customHeight="1" x14ac:dyDescent="0.25"/>
    <row r="561" s="20" customFormat="1" ht="15" customHeight="1" x14ac:dyDescent="0.25"/>
    <row r="562" s="20" customFormat="1" ht="15" customHeight="1" x14ac:dyDescent="0.25"/>
    <row r="563" s="20" customFormat="1" ht="15" customHeight="1" x14ac:dyDescent="0.25"/>
    <row r="564" s="20" customFormat="1" ht="15" customHeight="1" x14ac:dyDescent="0.25"/>
    <row r="565" s="20" customFormat="1" ht="15" customHeight="1" x14ac:dyDescent="0.25"/>
    <row r="566" s="20" customFormat="1" ht="15" customHeight="1" x14ac:dyDescent="0.25"/>
    <row r="567" s="20" customFormat="1" ht="15" customHeight="1" x14ac:dyDescent="0.25"/>
    <row r="568" s="20" customFormat="1" ht="15" customHeight="1" x14ac:dyDescent="0.25"/>
    <row r="569" s="20" customFormat="1" ht="15" customHeight="1" x14ac:dyDescent="0.25"/>
    <row r="570" s="20" customFormat="1" ht="15" customHeight="1" x14ac:dyDescent="0.25"/>
    <row r="571" s="20" customFormat="1" ht="15" customHeight="1" x14ac:dyDescent="0.25"/>
    <row r="572" s="20" customFormat="1" ht="15" customHeight="1" x14ac:dyDescent="0.25"/>
    <row r="573" s="20" customFormat="1" ht="15" customHeight="1" x14ac:dyDescent="0.25"/>
    <row r="574" s="20" customFormat="1" ht="15" customHeight="1" x14ac:dyDescent="0.25"/>
    <row r="575" s="20" customFormat="1" ht="15" customHeight="1" x14ac:dyDescent="0.25"/>
    <row r="576" s="20" customFormat="1" ht="15" customHeight="1" x14ac:dyDescent="0.25"/>
    <row r="577" s="20" customFormat="1" ht="15" customHeight="1" x14ac:dyDescent="0.25"/>
    <row r="578" s="20" customFormat="1" ht="15" customHeight="1" x14ac:dyDescent="0.25"/>
    <row r="579" s="20" customFormat="1" ht="15" customHeight="1" x14ac:dyDescent="0.25"/>
    <row r="580" s="20" customFormat="1" ht="15" customHeight="1" x14ac:dyDescent="0.25"/>
    <row r="581" s="20" customFormat="1" ht="15" customHeight="1" x14ac:dyDescent="0.25"/>
    <row r="582" s="20" customFormat="1" ht="15" customHeight="1" x14ac:dyDescent="0.25"/>
    <row r="583" s="20" customFormat="1" ht="15" customHeight="1" x14ac:dyDescent="0.25"/>
    <row r="584" s="20" customFormat="1" ht="15" customHeight="1" x14ac:dyDescent="0.25"/>
    <row r="585" s="20" customFormat="1" ht="15" customHeight="1" x14ac:dyDescent="0.25"/>
    <row r="586" s="20" customFormat="1" ht="15" customHeight="1" x14ac:dyDescent="0.25"/>
    <row r="587" s="20" customFormat="1" ht="15" customHeight="1" x14ac:dyDescent="0.25"/>
    <row r="588" s="20" customFormat="1" ht="15" customHeight="1" x14ac:dyDescent="0.25"/>
    <row r="589" s="20" customFormat="1" ht="15" customHeight="1" x14ac:dyDescent="0.25"/>
    <row r="590" s="20" customFormat="1" ht="15" customHeight="1" x14ac:dyDescent="0.25"/>
    <row r="591" s="20" customFormat="1" ht="15" customHeight="1" x14ac:dyDescent="0.25"/>
    <row r="592" s="20" customFormat="1" ht="15" customHeight="1" x14ac:dyDescent="0.25"/>
    <row r="593" s="20" customFormat="1" ht="15" customHeight="1" x14ac:dyDescent="0.25"/>
    <row r="594" s="20" customFormat="1" ht="15" customHeight="1" x14ac:dyDescent="0.25"/>
    <row r="595" s="20" customFormat="1" ht="15" customHeight="1" x14ac:dyDescent="0.25"/>
    <row r="596" s="20" customFormat="1" ht="15" customHeight="1" x14ac:dyDescent="0.25"/>
    <row r="597" s="20" customFormat="1" ht="15" customHeight="1" x14ac:dyDescent="0.25"/>
    <row r="598" s="20" customFormat="1" ht="15" customHeight="1" x14ac:dyDescent="0.25"/>
    <row r="599" s="20" customFormat="1" ht="15" customHeight="1" x14ac:dyDescent="0.25"/>
    <row r="600" s="20" customFormat="1" ht="15" customHeight="1" x14ac:dyDescent="0.25"/>
    <row r="601" s="20" customFormat="1" ht="15" customHeight="1" x14ac:dyDescent="0.25"/>
    <row r="602" s="20" customFormat="1" ht="15" customHeight="1" x14ac:dyDescent="0.25"/>
    <row r="603" s="20" customFormat="1" ht="15" customHeight="1" x14ac:dyDescent="0.25"/>
    <row r="604" s="20" customFormat="1" ht="15" customHeight="1" x14ac:dyDescent="0.25"/>
    <row r="605" s="20" customFormat="1" ht="15" customHeight="1" x14ac:dyDescent="0.25"/>
    <row r="606" s="20" customFormat="1" ht="15" customHeight="1" x14ac:dyDescent="0.25"/>
    <row r="607" s="20" customFormat="1" ht="15" customHeight="1" x14ac:dyDescent="0.25"/>
    <row r="608" s="20" customFormat="1" ht="15" customHeight="1" x14ac:dyDescent="0.25"/>
    <row r="609" s="20" customFormat="1" ht="15" customHeight="1" x14ac:dyDescent="0.25"/>
    <row r="610" s="20" customFormat="1" ht="15" customHeight="1" x14ac:dyDescent="0.25"/>
    <row r="611" s="20" customFormat="1" ht="15" customHeight="1" x14ac:dyDescent="0.25"/>
    <row r="612" s="20" customFormat="1" ht="15" customHeight="1" x14ac:dyDescent="0.25"/>
    <row r="613" s="20" customFormat="1" ht="15" customHeight="1" x14ac:dyDescent="0.25"/>
    <row r="614" s="20" customFormat="1" ht="15" customHeight="1" x14ac:dyDescent="0.25"/>
    <row r="615" s="20" customFormat="1" ht="15" customHeight="1" x14ac:dyDescent="0.25"/>
    <row r="616" s="20" customFormat="1" ht="15" customHeight="1" x14ac:dyDescent="0.25"/>
    <row r="617" s="20" customFormat="1" ht="15" customHeight="1" x14ac:dyDescent="0.25"/>
    <row r="618" s="20" customFormat="1" ht="15" customHeight="1" x14ac:dyDescent="0.25"/>
    <row r="619" s="20" customFormat="1" ht="15" customHeight="1" x14ac:dyDescent="0.25"/>
    <row r="620" s="20" customFormat="1" ht="15" customHeight="1" x14ac:dyDescent="0.25"/>
    <row r="621" s="20" customFormat="1" ht="15" customHeight="1" x14ac:dyDescent="0.25"/>
    <row r="622" s="20" customFormat="1" ht="15" customHeight="1" x14ac:dyDescent="0.25"/>
    <row r="623" s="20" customFormat="1" ht="15" customHeight="1" x14ac:dyDescent="0.25"/>
    <row r="624" s="20" customFormat="1" ht="15" customHeight="1" x14ac:dyDescent="0.25"/>
    <row r="625" s="20" customFormat="1" ht="15" customHeight="1" x14ac:dyDescent="0.25"/>
    <row r="626" s="20" customFormat="1" ht="15" customHeight="1" x14ac:dyDescent="0.25"/>
    <row r="627" s="20" customFormat="1" ht="15" customHeight="1" x14ac:dyDescent="0.25"/>
    <row r="628" s="20" customFormat="1" ht="15" customHeight="1" x14ac:dyDescent="0.25"/>
    <row r="629" s="20" customFormat="1" ht="15" customHeight="1" x14ac:dyDescent="0.25"/>
    <row r="630" s="20" customFormat="1" ht="15" customHeight="1" x14ac:dyDescent="0.25"/>
    <row r="631" s="20" customFormat="1" ht="15" customHeight="1" x14ac:dyDescent="0.25"/>
    <row r="632" s="20" customFormat="1" ht="15" customHeight="1" x14ac:dyDescent="0.25"/>
    <row r="633" s="20" customFormat="1" ht="15" customHeight="1" x14ac:dyDescent="0.25"/>
    <row r="634" s="20" customFormat="1" ht="15" customHeight="1" x14ac:dyDescent="0.25"/>
    <row r="635" s="20" customFormat="1" ht="15" customHeight="1" x14ac:dyDescent="0.25"/>
    <row r="636" s="20" customFormat="1" ht="15" customHeight="1" x14ac:dyDescent="0.25"/>
    <row r="637" s="20" customFormat="1" ht="15" customHeight="1" x14ac:dyDescent="0.25"/>
    <row r="638" s="20" customFormat="1" ht="15" customHeight="1" x14ac:dyDescent="0.25"/>
    <row r="639" s="20" customFormat="1" ht="15" customHeight="1" x14ac:dyDescent="0.25"/>
    <row r="640" s="20" customFormat="1" ht="15" customHeight="1" x14ac:dyDescent="0.25"/>
    <row r="641" s="20" customFormat="1" ht="15" customHeight="1" x14ac:dyDescent="0.25"/>
    <row r="642" s="20" customFormat="1" ht="15" customHeight="1" x14ac:dyDescent="0.25"/>
    <row r="643" s="20" customFormat="1" ht="15" customHeight="1" x14ac:dyDescent="0.25"/>
    <row r="644" s="20" customFormat="1" ht="15" customHeight="1" x14ac:dyDescent="0.25"/>
    <row r="645" s="20" customFormat="1" ht="15" customHeight="1" x14ac:dyDescent="0.25"/>
    <row r="646" s="20" customFormat="1" ht="15" customHeight="1" x14ac:dyDescent="0.25"/>
    <row r="647" s="20" customFormat="1" ht="15" customHeight="1" x14ac:dyDescent="0.25"/>
    <row r="648" s="20" customFormat="1" ht="15" customHeight="1" x14ac:dyDescent="0.25"/>
    <row r="649" s="20" customFormat="1" ht="15" customHeight="1" x14ac:dyDescent="0.25"/>
    <row r="650" s="20" customFormat="1" ht="15" customHeight="1" x14ac:dyDescent="0.25"/>
    <row r="651" s="20" customFormat="1" ht="15" customHeight="1" x14ac:dyDescent="0.25"/>
    <row r="652" s="20" customFormat="1" ht="15" customHeight="1" x14ac:dyDescent="0.25"/>
    <row r="653" s="20" customFormat="1" ht="15" customHeight="1" x14ac:dyDescent="0.25"/>
    <row r="654" s="20" customFormat="1" ht="15" customHeight="1" x14ac:dyDescent="0.25"/>
    <row r="655" s="20" customFormat="1" ht="15" customHeight="1" x14ac:dyDescent="0.25"/>
    <row r="656" s="20" customFormat="1" ht="15" customHeight="1" x14ac:dyDescent="0.25"/>
    <row r="657" s="20" customFormat="1" ht="15" customHeight="1" x14ac:dyDescent="0.25"/>
    <row r="658" s="20" customFormat="1" ht="15" customHeight="1" x14ac:dyDescent="0.25"/>
    <row r="659" s="20" customFormat="1" ht="15" customHeight="1" x14ac:dyDescent="0.25"/>
    <row r="660" s="20" customFormat="1" ht="15" customHeight="1" x14ac:dyDescent="0.25"/>
    <row r="661" s="20" customFormat="1" ht="15" customHeight="1" x14ac:dyDescent="0.25"/>
    <row r="662" s="20" customFormat="1" ht="15" customHeight="1" x14ac:dyDescent="0.25"/>
    <row r="663" s="20" customFormat="1" ht="15" customHeight="1" x14ac:dyDescent="0.25"/>
    <row r="664" s="20" customFormat="1" ht="15" customHeight="1" x14ac:dyDescent="0.25"/>
    <row r="665" s="20" customFormat="1" ht="15" customHeight="1" x14ac:dyDescent="0.25"/>
    <row r="666" s="20" customFormat="1" ht="15" customHeight="1" x14ac:dyDescent="0.25"/>
    <row r="667" s="20" customFormat="1" ht="15" customHeight="1" x14ac:dyDescent="0.25"/>
    <row r="668" s="20" customFormat="1" ht="15" customHeight="1" x14ac:dyDescent="0.25"/>
    <row r="669" s="20" customFormat="1" ht="15" customHeight="1" x14ac:dyDescent="0.25"/>
    <row r="670" s="20" customFormat="1" ht="15" customHeight="1" x14ac:dyDescent="0.25"/>
    <row r="671" s="20" customFormat="1" ht="15" customHeight="1" x14ac:dyDescent="0.25"/>
    <row r="672" s="20" customFormat="1" ht="15" customHeight="1" x14ac:dyDescent="0.25"/>
    <row r="673" s="20" customFormat="1" ht="15" customHeight="1" x14ac:dyDescent="0.25"/>
    <row r="674" s="20" customFormat="1" ht="15" customHeight="1" x14ac:dyDescent="0.25"/>
    <row r="675" s="20" customFormat="1" ht="15" customHeight="1" x14ac:dyDescent="0.25"/>
    <row r="676" s="20" customFormat="1" ht="15" customHeight="1" x14ac:dyDescent="0.25"/>
    <row r="677" s="20" customFormat="1" ht="15" customHeight="1" x14ac:dyDescent="0.25"/>
    <row r="678" s="20" customFormat="1" ht="15" customHeight="1" x14ac:dyDescent="0.25"/>
    <row r="679" s="20" customFormat="1" ht="15" customHeight="1" x14ac:dyDescent="0.25"/>
    <row r="680" s="20" customFormat="1" ht="15" customHeight="1" x14ac:dyDescent="0.25"/>
    <row r="681" s="20" customFormat="1" ht="15" customHeight="1" x14ac:dyDescent="0.25"/>
    <row r="682" s="20" customFormat="1" ht="15" customHeight="1" x14ac:dyDescent="0.25"/>
    <row r="683" s="20" customFormat="1" ht="15" customHeight="1" x14ac:dyDescent="0.25"/>
    <row r="684" s="20" customFormat="1" ht="15" customHeight="1" x14ac:dyDescent="0.25"/>
    <row r="685" s="20" customFormat="1" ht="15" customHeight="1" x14ac:dyDescent="0.25"/>
    <row r="686" s="20" customFormat="1" ht="15" customHeight="1" x14ac:dyDescent="0.25"/>
    <row r="687" s="20" customFormat="1" ht="15" customHeight="1" x14ac:dyDescent="0.25"/>
    <row r="688" s="20" customFormat="1" ht="15" customHeight="1" x14ac:dyDescent="0.25"/>
    <row r="689" s="20" customFormat="1" ht="15" customHeight="1" x14ac:dyDescent="0.25"/>
    <row r="690" s="20" customFormat="1" ht="15" customHeight="1" x14ac:dyDescent="0.25"/>
    <row r="691" s="20" customFormat="1" ht="15" customHeight="1" x14ac:dyDescent="0.25"/>
    <row r="692" s="20" customFormat="1" ht="15" customHeight="1" x14ac:dyDescent="0.25"/>
    <row r="693" s="20" customFormat="1" ht="15" customHeight="1" x14ac:dyDescent="0.25"/>
    <row r="694" s="20" customFormat="1" ht="15" customHeight="1" x14ac:dyDescent="0.25"/>
    <row r="695" s="20" customFormat="1" ht="15" customHeight="1" x14ac:dyDescent="0.25"/>
    <row r="696" s="20" customFormat="1" ht="15" customHeight="1" x14ac:dyDescent="0.25"/>
    <row r="697" s="20" customFormat="1" ht="15" customHeight="1" x14ac:dyDescent="0.25"/>
    <row r="698" s="20" customFormat="1" ht="15" customHeight="1" x14ac:dyDescent="0.25"/>
    <row r="699" s="20" customFormat="1" ht="15" customHeight="1" x14ac:dyDescent="0.25"/>
    <row r="700" s="20" customFormat="1" ht="15" customHeight="1" x14ac:dyDescent="0.25"/>
    <row r="701" s="20" customFormat="1" ht="15" customHeight="1" x14ac:dyDescent="0.25"/>
    <row r="702" s="20" customFormat="1" ht="15" customHeight="1" x14ac:dyDescent="0.25"/>
    <row r="703" s="20" customFormat="1" ht="15" customHeight="1" x14ac:dyDescent="0.25"/>
    <row r="704" s="20" customFormat="1" ht="15" customHeight="1" x14ac:dyDescent="0.25"/>
    <row r="705" s="20" customFormat="1" ht="15" customHeight="1" x14ac:dyDescent="0.25"/>
    <row r="706" s="20" customFormat="1" ht="15" customHeight="1" x14ac:dyDescent="0.25"/>
    <row r="707" s="20" customFormat="1" ht="15" customHeight="1" x14ac:dyDescent="0.25"/>
    <row r="708" s="20" customFormat="1" ht="15" customHeight="1" x14ac:dyDescent="0.25"/>
    <row r="709" s="20" customFormat="1" ht="15" customHeight="1" x14ac:dyDescent="0.25"/>
    <row r="710" s="20" customFormat="1" ht="15" customHeight="1" x14ac:dyDescent="0.25"/>
    <row r="711" s="20" customFormat="1" ht="15" customHeight="1" x14ac:dyDescent="0.25"/>
    <row r="712" s="20" customFormat="1" ht="15" customHeight="1" x14ac:dyDescent="0.25"/>
    <row r="713" s="20" customFormat="1" ht="15" customHeight="1" x14ac:dyDescent="0.25"/>
    <row r="714" s="20" customFormat="1" ht="15" customHeight="1" x14ac:dyDescent="0.25"/>
    <row r="715" s="20" customFormat="1" ht="15" customHeight="1" x14ac:dyDescent="0.25"/>
    <row r="716" s="20" customFormat="1" ht="15" customHeight="1" x14ac:dyDescent="0.25"/>
    <row r="717" s="20" customFormat="1" ht="15" customHeight="1" x14ac:dyDescent="0.25"/>
    <row r="718" s="20" customFormat="1" ht="15" customHeight="1" x14ac:dyDescent="0.25"/>
    <row r="719" s="20" customFormat="1" ht="15" customHeight="1" x14ac:dyDescent="0.25"/>
    <row r="720" s="20" customFormat="1" ht="15" customHeight="1" x14ac:dyDescent="0.25"/>
    <row r="721" s="20" customFormat="1" ht="15" customHeight="1" x14ac:dyDescent="0.25"/>
    <row r="722" s="20" customFormat="1" ht="15" customHeight="1" x14ac:dyDescent="0.25"/>
    <row r="723" s="20" customFormat="1" ht="15" customHeight="1" x14ac:dyDescent="0.25"/>
    <row r="724" s="20" customFormat="1" ht="15" customHeight="1" x14ac:dyDescent="0.25"/>
    <row r="725" s="20" customFormat="1" ht="15" customHeight="1" x14ac:dyDescent="0.25"/>
    <row r="726" s="20" customFormat="1" ht="15" customHeight="1" x14ac:dyDescent="0.25"/>
    <row r="727" s="20" customFormat="1" ht="15" customHeight="1" x14ac:dyDescent="0.25"/>
    <row r="728" s="20" customFormat="1" ht="15" customHeight="1" x14ac:dyDescent="0.25"/>
    <row r="729" s="20" customFormat="1" ht="15" customHeight="1" x14ac:dyDescent="0.25"/>
    <row r="730" s="20" customFormat="1" ht="15" customHeight="1" x14ac:dyDescent="0.25"/>
    <row r="731" s="20" customFormat="1" ht="15" customHeight="1" x14ac:dyDescent="0.25"/>
    <row r="732" s="20" customFormat="1" ht="15" customHeight="1" x14ac:dyDescent="0.25"/>
    <row r="733" s="20" customFormat="1" ht="15" customHeight="1" x14ac:dyDescent="0.25"/>
    <row r="734" s="20" customFormat="1" ht="15" customHeight="1" x14ac:dyDescent="0.25"/>
    <row r="735" s="20" customFormat="1" ht="15" customHeight="1" x14ac:dyDescent="0.25"/>
    <row r="736" s="20" customFormat="1" ht="15" customHeight="1" x14ac:dyDescent="0.25"/>
    <row r="737" s="20" customFormat="1" ht="15" customHeight="1" x14ac:dyDescent="0.25"/>
    <row r="738" s="20" customFormat="1" ht="15" customHeight="1" x14ac:dyDescent="0.25"/>
    <row r="739" s="20" customFormat="1" ht="15" customHeight="1" x14ac:dyDescent="0.25"/>
    <row r="740" s="20" customFormat="1" ht="15" customHeight="1" x14ac:dyDescent="0.25"/>
    <row r="741" s="20" customFormat="1" ht="15" customHeight="1" x14ac:dyDescent="0.25"/>
    <row r="742" s="20" customFormat="1" ht="15" customHeight="1" x14ac:dyDescent="0.25"/>
    <row r="743" s="20" customFormat="1" ht="15" customHeight="1" x14ac:dyDescent="0.25"/>
    <row r="744" s="20" customFormat="1" ht="15" customHeight="1" x14ac:dyDescent="0.25"/>
    <row r="745" s="20" customFormat="1" ht="15" customHeight="1" x14ac:dyDescent="0.25"/>
    <row r="746" s="20" customFormat="1" ht="15" customHeight="1" x14ac:dyDescent="0.25"/>
    <row r="747" s="20" customFormat="1" ht="15" customHeight="1" x14ac:dyDescent="0.25"/>
    <row r="748" s="20" customFormat="1" ht="15" customHeight="1" x14ac:dyDescent="0.25"/>
    <row r="749" s="20" customFormat="1" ht="15" customHeight="1" x14ac:dyDescent="0.25"/>
    <row r="750" s="20" customFormat="1" ht="15" customHeight="1" x14ac:dyDescent="0.25"/>
    <row r="751" s="20" customFormat="1" ht="15" customHeight="1" x14ac:dyDescent="0.25"/>
    <row r="752" s="20" customFormat="1" ht="15" customHeight="1" x14ac:dyDescent="0.25"/>
    <row r="753" s="20" customFormat="1" ht="15" customHeight="1" x14ac:dyDescent="0.25"/>
    <row r="754" s="20" customFormat="1" ht="15" customHeight="1" x14ac:dyDescent="0.25"/>
    <row r="755" s="20" customFormat="1" ht="15" customHeight="1" x14ac:dyDescent="0.25"/>
    <row r="756" s="20" customFormat="1" ht="15" customHeight="1" x14ac:dyDescent="0.25"/>
    <row r="757" s="20" customFormat="1" ht="15" customHeight="1" x14ac:dyDescent="0.25"/>
    <row r="758" s="20" customFormat="1" ht="15" customHeight="1" x14ac:dyDescent="0.25"/>
    <row r="759" s="20" customFormat="1" ht="15" customHeight="1" x14ac:dyDescent="0.25"/>
    <row r="760" s="20" customFormat="1" ht="15" customHeight="1" x14ac:dyDescent="0.25"/>
    <row r="761" s="20" customFormat="1" ht="15" customHeight="1" x14ac:dyDescent="0.25"/>
    <row r="762" s="20" customFormat="1" ht="15" customHeight="1" x14ac:dyDescent="0.25"/>
    <row r="763" s="20" customFormat="1" ht="15" customHeight="1" x14ac:dyDescent="0.25"/>
    <row r="764" s="20" customFormat="1" ht="15" customHeight="1" x14ac:dyDescent="0.25"/>
    <row r="765" s="20" customFormat="1" ht="15" customHeight="1" x14ac:dyDescent="0.25"/>
    <row r="766" s="20" customFormat="1" ht="15" customHeight="1" x14ac:dyDescent="0.25"/>
    <row r="767" s="20" customFormat="1" ht="15" customHeight="1" x14ac:dyDescent="0.25"/>
    <row r="768" s="20" customFormat="1" ht="15" customHeight="1" x14ac:dyDescent="0.25"/>
    <row r="769" s="20" customFormat="1" ht="15" customHeight="1" x14ac:dyDescent="0.25"/>
    <row r="770" s="20" customFormat="1" ht="15" customHeight="1" x14ac:dyDescent="0.25"/>
    <row r="771" s="20" customFormat="1" ht="15" customHeight="1" x14ac:dyDescent="0.25"/>
    <row r="772" s="20" customFormat="1" ht="15" customHeight="1" x14ac:dyDescent="0.25"/>
    <row r="773" s="20" customFormat="1" ht="15" customHeight="1" x14ac:dyDescent="0.25"/>
    <row r="774" s="20" customFormat="1" ht="15" customHeight="1" x14ac:dyDescent="0.25"/>
    <row r="775" s="20" customFormat="1" ht="15" customHeight="1" x14ac:dyDescent="0.25"/>
    <row r="776" s="20" customFormat="1" ht="15" customHeight="1" x14ac:dyDescent="0.25"/>
    <row r="777" s="20" customFormat="1" ht="15" customHeight="1" x14ac:dyDescent="0.25"/>
    <row r="778" s="20" customFormat="1" ht="15" customHeight="1" x14ac:dyDescent="0.25"/>
    <row r="779" s="20" customFormat="1" ht="15" customHeight="1" x14ac:dyDescent="0.25"/>
    <row r="780" s="20" customFormat="1" ht="15" customHeight="1" x14ac:dyDescent="0.25"/>
    <row r="781" s="20" customFormat="1" ht="15" customHeight="1" x14ac:dyDescent="0.25"/>
    <row r="782" s="20" customFormat="1" ht="15" customHeight="1" x14ac:dyDescent="0.25"/>
    <row r="783" s="20" customFormat="1" ht="15" customHeight="1" x14ac:dyDescent="0.25"/>
    <row r="784" s="20" customFormat="1" ht="15" customHeight="1" x14ac:dyDescent="0.25"/>
    <row r="785" s="20" customFormat="1" ht="15" customHeight="1" x14ac:dyDescent="0.25"/>
    <row r="786" s="20" customFormat="1" ht="15" customHeight="1" x14ac:dyDescent="0.25"/>
    <row r="787" s="20" customFormat="1" ht="15" customHeight="1" x14ac:dyDescent="0.25"/>
    <row r="788" s="20" customFormat="1" ht="15" customHeight="1" x14ac:dyDescent="0.25"/>
    <row r="789" s="20" customFormat="1" ht="15" customHeight="1" x14ac:dyDescent="0.25"/>
    <row r="790" s="20" customFormat="1" ht="15" customHeight="1" x14ac:dyDescent="0.25"/>
    <row r="791" s="20" customFormat="1" ht="15" customHeight="1" x14ac:dyDescent="0.25"/>
    <row r="792" s="20" customFormat="1" ht="15" customHeight="1" x14ac:dyDescent="0.25"/>
    <row r="793" s="20" customFormat="1" ht="15" customHeight="1" x14ac:dyDescent="0.25"/>
    <row r="794" s="20" customFormat="1" ht="15" customHeight="1" x14ac:dyDescent="0.25"/>
    <row r="795" s="20" customFormat="1" ht="15" customHeight="1" x14ac:dyDescent="0.25"/>
    <row r="796" s="20" customFormat="1" ht="15" customHeight="1" x14ac:dyDescent="0.25"/>
    <row r="797" s="20" customFormat="1" ht="15" customHeight="1" x14ac:dyDescent="0.25"/>
    <row r="798" s="20" customFormat="1" ht="15" customHeight="1" x14ac:dyDescent="0.25"/>
    <row r="799" s="20" customFormat="1" ht="15" customHeight="1" x14ac:dyDescent="0.25"/>
    <row r="800" s="20" customFormat="1" ht="15" customHeight="1" x14ac:dyDescent="0.25"/>
    <row r="801" s="20" customFormat="1" ht="15" customHeight="1" x14ac:dyDescent="0.25"/>
    <row r="802" s="20" customFormat="1" ht="15" customHeight="1" x14ac:dyDescent="0.25"/>
    <row r="803" s="20" customFormat="1" ht="15" customHeight="1" x14ac:dyDescent="0.25"/>
    <row r="804" s="20" customFormat="1" ht="15" customHeight="1" x14ac:dyDescent="0.25"/>
    <row r="805" s="20" customFormat="1" ht="15" customHeight="1" x14ac:dyDescent="0.25"/>
    <row r="806" s="20" customFormat="1" ht="15" customHeight="1" x14ac:dyDescent="0.25"/>
    <row r="807" s="20" customFormat="1" ht="15" customHeight="1" x14ac:dyDescent="0.25"/>
    <row r="808" s="20" customFormat="1" ht="15" customHeight="1" x14ac:dyDescent="0.25"/>
    <row r="809" s="20" customFormat="1" ht="15" customHeight="1" x14ac:dyDescent="0.25"/>
    <row r="810" s="20" customFormat="1" ht="15" customHeight="1" x14ac:dyDescent="0.25"/>
    <row r="811" s="20" customFormat="1" ht="15" customHeight="1" x14ac:dyDescent="0.25"/>
    <row r="812" s="20" customFormat="1" ht="15" customHeight="1" x14ac:dyDescent="0.25"/>
    <row r="813" s="20" customFormat="1" ht="15" customHeight="1" x14ac:dyDescent="0.25"/>
    <row r="814" s="20" customFormat="1" ht="15" customHeight="1" x14ac:dyDescent="0.25"/>
    <row r="815" s="20" customFormat="1" ht="15" customHeight="1" x14ac:dyDescent="0.25"/>
    <row r="816" s="20" customFormat="1" ht="15" customHeight="1" x14ac:dyDescent="0.25"/>
    <row r="817" s="20" customFormat="1" ht="15" customHeight="1" x14ac:dyDescent="0.25"/>
    <row r="818" s="20" customFormat="1" ht="15" customHeight="1" x14ac:dyDescent="0.25"/>
    <row r="819" s="20" customFormat="1" ht="15" customHeight="1" x14ac:dyDescent="0.25"/>
    <row r="820" s="20" customFormat="1" ht="15" customHeight="1" x14ac:dyDescent="0.25"/>
    <row r="821" s="20" customFormat="1" ht="15" customHeight="1" x14ac:dyDescent="0.25"/>
    <row r="822" s="20" customFormat="1" ht="15" customHeight="1" x14ac:dyDescent="0.25"/>
    <row r="823" s="20" customFormat="1" ht="15" customHeight="1" x14ac:dyDescent="0.25"/>
    <row r="824" s="20" customFormat="1" ht="15" customHeight="1" x14ac:dyDescent="0.25"/>
    <row r="825" s="20" customFormat="1" ht="15" customHeight="1" x14ac:dyDescent="0.25"/>
    <row r="826" s="20" customFormat="1" ht="15" customHeight="1" x14ac:dyDescent="0.25"/>
    <row r="827" s="20" customFormat="1" ht="15" customHeight="1" x14ac:dyDescent="0.25"/>
    <row r="828" s="20" customFormat="1" ht="15" customHeight="1" x14ac:dyDescent="0.25"/>
    <row r="829" s="20" customFormat="1" ht="15" customHeight="1" x14ac:dyDescent="0.25"/>
    <row r="830" s="20" customFormat="1" ht="15" customHeight="1" x14ac:dyDescent="0.25"/>
    <row r="831" s="20" customFormat="1" ht="15" customHeight="1" x14ac:dyDescent="0.25"/>
    <row r="832" s="20" customFormat="1" ht="15" customHeight="1" x14ac:dyDescent="0.25"/>
    <row r="833" s="20" customFormat="1" ht="15" customHeight="1" x14ac:dyDescent="0.25"/>
    <row r="834" s="20" customFormat="1" ht="15" customHeight="1" x14ac:dyDescent="0.25"/>
    <row r="835" s="20" customFormat="1" ht="15" customHeight="1" x14ac:dyDescent="0.25"/>
    <row r="836" s="20" customFormat="1" ht="15" customHeight="1" x14ac:dyDescent="0.25"/>
    <row r="837" s="20" customFormat="1" ht="15" customHeight="1" x14ac:dyDescent="0.25"/>
    <row r="838" s="20" customFormat="1" ht="15" customHeight="1" x14ac:dyDescent="0.25"/>
    <row r="839" s="20" customFormat="1" ht="15" customHeight="1" x14ac:dyDescent="0.25"/>
    <row r="840" s="20" customFormat="1" ht="15" customHeight="1" x14ac:dyDescent="0.25"/>
    <row r="841" s="20" customFormat="1" ht="15" customHeight="1" x14ac:dyDescent="0.25"/>
    <row r="842" s="20" customFormat="1" ht="15" customHeight="1" x14ac:dyDescent="0.25"/>
    <row r="843" s="20" customFormat="1" ht="15" customHeight="1" x14ac:dyDescent="0.25"/>
    <row r="844" s="20" customFormat="1" ht="15" customHeight="1" x14ac:dyDescent="0.25"/>
    <row r="845" s="20" customFormat="1" ht="15" customHeight="1" x14ac:dyDescent="0.25"/>
    <row r="846" s="20" customFormat="1" ht="15" customHeight="1" x14ac:dyDescent="0.25"/>
    <row r="847" s="20" customFormat="1" ht="15" customHeight="1" x14ac:dyDescent="0.25"/>
    <row r="848" s="20" customFormat="1" ht="15" customHeight="1" x14ac:dyDescent="0.25"/>
    <row r="849" s="20" customFormat="1" ht="15" customHeight="1" x14ac:dyDescent="0.25"/>
    <row r="850" s="20" customFormat="1" ht="15" customHeight="1" x14ac:dyDescent="0.25"/>
    <row r="851" s="20" customFormat="1" ht="15" customHeight="1" x14ac:dyDescent="0.25"/>
    <row r="852" s="20" customFormat="1" ht="15" customHeight="1" x14ac:dyDescent="0.25"/>
    <row r="853" s="20" customFormat="1" ht="15" customHeight="1" x14ac:dyDescent="0.25"/>
    <row r="854" s="20" customFormat="1" ht="15" customHeight="1" x14ac:dyDescent="0.25"/>
    <row r="855" s="20" customFormat="1" ht="15" customHeight="1" x14ac:dyDescent="0.25"/>
    <row r="856" s="20" customFormat="1" ht="15" customHeight="1" x14ac:dyDescent="0.25"/>
    <row r="857" s="20" customFormat="1" ht="15" customHeight="1" x14ac:dyDescent="0.25"/>
    <row r="858" s="20" customFormat="1" ht="15" customHeight="1" x14ac:dyDescent="0.25"/>
    <row r="859" s="20" customFormat="1" ht="15" customHeight="1" x14ac:dyDescent="0.25"/>
    <row r="860" s="20" customFormat="1" ht="15" customHeight="1" x14ac:dyDescent="0.25"/>
    <row r="861" s="20" customFormat="1" ht="15" customHeight="1" x14ac:dyDescent="0.25"/>
    <row r="862" s="20" customFormat="1" ht="15" customHeight="1" x14ac:dyDescent="0.25"/>
    <row r="863" s="20" customFormat="1" ht="15" customHeight="1" x14ac:dyDescent="0.25"/>
    <row r="864" s="20" customFormat="1" ht="15" customHeight="1" x14ac:dyDescent="0.25"/>
    <row r="865" s="20" customFormat="1" ht="15" customHeight="1" x14ac:dyDescent="0.25"/>
    <row r="866" s="20" customFormat="1" ht="15" customHeight="1" x14ac:dyDescent="0.25"/>
    <row r="867" s="20" customFormat="1" ht="15" customHeight="1" x14ac:dyDescent="0.25"/>
    <row r="868" s="20" customFormat="1" ht="15" customHeight="1" x14ac:dyDescent="0.25"/>
    <row r="869" s="20" customFormat="1" ht="15" customHeight="1" x14ac:dyDescent="0.25"/>
    <row r="870" s="20" customFormat="1" ht="15" customHeight="1" x14ac:dyDescent="0.25"/>
    <row r="871" s="20" customFormat="1" ht="15" customHeight="1" x14ac:dyDescent="0.25"/>
    <row r="872" s="20" customFormat="1" ht="15" customHeight="1" x14ac:dyDescent="0.25"/>
    <row r="873" s="20" customFormat="1" ht="15" customHeight="1" x14ac:dyDescent="0.25"/>
    <row r="874" s="20" customFormat="1" ht="15" customHeight="1" x14ac:dyDescent="0.25"/>
    <row r="875" s="20" customFormat="1" ht="15" customHeight="1" x14ac:dyDescent="0.25"/>
    <row r="876" s="20" customFormat="1" ht="15" customHeight="1" x14ac:dyDescent="0.25"/>
    <row r="877" s="20" customFormat="1" ht="15" customHeight="1" x14ac:dyDescent="0.25"/>
    <row r="878" s="20" customFormat="1" ht="15" customHeight="1" x14ac:dyDescent="0.25"/>
    <row r="879" s="20" customFormat="1" ht="15" customHeight="1" x14ac:dyDescent="0.25"/>
    <row r="880" s="20" customFormat="1" ht="15" customHeight="1" x14ac:dyDescent="0.25"/>
    <row r="881" s="20" customFormat="1" ht="15" customHeight="1" x14ac:dyDescent="0.25"/>
    <row r="882" s="20" customFormat="1" ht="15" customHeight="1" x14ac:dyDescent="0.25"/>
    <row r="883" s="20" customFormat="1" ht="15" customHeight="1" x14ac:dyDescent="0.25"/>
    <row r="884" s="20" customFormat="1" ht="15" customHeight="1" x14ac:dyDescent="0.25"/>
    <row r="885" s="20" customFormat="1" ht="15" customHeight="1" x14ac:dyDescent="0.25"/>
    <row r="886" s="20" customFormat="1" ht="15" customHeight="1" x14ac:dyDescent="0.25"/>
    <row r="887" s="20" customFormat="1" ht="15" customHeight="1" x14ac:dyDescent="0.25"/>
    <row r="888" s="20" customFormat="1" ht="15" customHeight="1" x14ac:dyDescent="0.25"/>
    <row r="889" s="20" customFormat="1" ht="15" customHeight="1" x14ac:dyDescent="0.25"/>
    <row r="890" s="20" customFormat="1" ht="15" customHeight="1" x14ac:dyDescent="0.25"/>
    <row r="891" s="20" customFormat="1" ht="15" customHeight="1" x14ac:dyDescent="0.25"/>
    <row r="892" s="20" customFormat="1" ht="15" customHeight="1" x14ac:dyDescent="0.25"/>
    <row r="893" s="20" customFormat="1" ht="15" customHeight="1" x14ac:dyDescent="0.25"/>
    <row r="894" s="20" customFormat="1" ht="15" customHeight="1" x14ac:dyDescent="0.25"/>
    <row r="895" s="20" customFormat="1" ht="15" customHeight="1" x14ac:dyDescent="0.25"/>
    <row r="896" s="20" customFormat="1" ht="15" customHeight="1" x14ac:dyDescent="0.25"/>
    <row r="897" s="20" customFormat="1" ht="15" customHeight="1" x14ac:dyDescent="0.25"/>
    <row r="898" s="20" customFormat="1" ht="15" customHeight="1" x14ac:dyDescent="0.25"/>
    <row r="899" s="20" customFormat="1" ht="15" customHeight="1" x14ac:dyDescent="0.25"/>
    <row r="900" s="20" customFormat="1" ht="15" customHeight="1" x14ac:dyDescent="0.25"/>
    <row r="901" s="20" customFormat="1" ht="15" customHeight="1" x14ac:dyDescent="0.25"/>
    <row r="902" s="20" customFormat="1" ht="15" customHeight="1" x14ac:dyDescent="0.25"/>
    <row r="903" s="20" customFormat="1" ht="15" customHeight="1" x14ac:dyDescent="0.25"/>
    <row r="904" s="20" customFormat="1" ht="15" customHeight="1" x14ac:dyDescent="0.25"/>
    <row r="905" s="20" customFormat="1" ht="15" customHeight="1" x14ac:dyDescent="0.25"/>
    <row r="906" s="20" customFormat="1" ht="15" customHeight="1" x14ac:dyDescent="0.25"/>
    <row r="907" s="20" customFormat="1" ht="15" customHeight="1" x14ac:dyDescent="0.25"/>
    <row r="908" s="20" customFormat="1" ht="15" customHeight="1" x14ac:dyDescent="0.25"/>
    <row r="909" s="20" customFormat="1" ht="15" customHeight="1" x14ac:dyDescent="0.25"/>
    <row r="910" s="20" customFormat="1" ht="15" customHeight="1" x14ac:dyDescent="0.25"/>
    <row r="911" s="20" customFormat="1" ht="15" customHeight="1" x14ac:dyDescent="0.25"/>
    <row r="912" s="20" customFormat="1" ht="15" customHeight="1" x14ac:dyDescent="0.25"/>
    <row r="913" s="20" customFormat="1" ht="15" customHeight="1" x14ac:dyDescent="0.25"/>
    <row r="914" s="20" customFormat="1" ht="15" customHeight="1" x14ac:dyDescent="0.25"/>
    <row r="915" s="20" customFormat="1" ht="15" customHeight="1" x14ac:dyDescent="0.25"/>
    <row r="916" s="20" customFormat="1" ht="15" customHeight="1" x14ac:dyDescent="0.25"/>
    <row r="917" s="20" customFormat="1" ht="15" customHeight="1" x14ac:dyDescent="0.25"/>
    <row r="918" s="20" customFormat="1" ht="15" customHeight="1" x14ac:dyDescent="0.25"/>
    <row r="919" s="20" customFormat="1" ht="15" customHeight="1" x14ac:dyDescent="0.25"/>
    <row r="920" s="20" customFormat="1" ht="15" customHeight="1" x14ac:dyDescent="0.25"/>
    <row r="921" s="20" customFormat="1" ht="15" customHeight="1" x14ac:dyDescent="0.25"/>
    <row r="922" s="20" customFormat="1" ht="15" customHeight="1" x14ac:dyDescent="0.25"/>
    <row r="923" s="20" customFormat="1" ht="15" customHeight="1" x14ac:dyDescent="0.25"/>
    <row r="924" s="20" customFormat="1" ht="15" customHeight="1" x14ac:dyDescent="0.25"/>
    <row r="925" s="20" customFormat="1" ht="15" customHeight="1" x14ac:dyDescent="0.25"/>
    <row r="926" s="20" customFormat="1" ht="15" customHeight="1" x14ac:dyDescent="0.25"/>
    <row r="927" s="20" customFormat="1" ht="15" customHeight="1" x14ac:dyDescent="0.25"/>
    <row r="928" s="20" customFormat="1" ht="15" customHeight="1" x14ac:dyDescent="0.25"/>
    <row r="929" s="20" customFormat="1" ht="15" customHeight="1" x14ac:dyDescent="0.25"/>
    <row r="930" s="20" customFormat="1" ht="15" customHeight="1" x14ac:dyDescent="0.25"/>
    <row r="931" s="20" customFormat="1" ht="15" customHeight="1" x14ac:dyDescent="0.25"/>
    <row r="932" s="20" customFormat="1" ht="15" customHeight="1" x14ac:dyDescent="0.25"/>
    <row r="933" s="20" customFormat="1" ht="15" customHeight="1" x14ac:dyDescent="0.25"/>
    <row r="934" s="20" customFormat="1" ht="15" customHeight="1" x14ac:dyDescent="0.25"/>
    <row r="935" s="20" customFormat="1" ht="15" customHeight="1" x14ac:dyDescent="0.25"/>
    <row r="936" s="20" customFormat="1" ht="15" customHeight="1" x14ac:dyDescent="0.25"/>
    <row r="937" s="20" customFormat="1" ht="15" customHeight="1" x14ac:dyDescent="0.25"/>
    <row r="938" s="20" customFormat="1" ht="15" customHeight="1" x14ac:dyDescent="0.25"/>
    <row r="939" s="20" customFormat="1" ht="15" customHeight="1" x14ac:dyDescent="0.25"/>
    <row r="940" s="20" customFormat="1" ht="15" customHeight="1" x14ac:dyDescent="0.25"/>
    <row r="941" s="20" customFormat="1" ht="15" customHeight="1" x14ac:dyDescent="0.25"/>
    <row r="942" s="20" customFormat="1" ht="15" customHeight="1" x14ac:dyDescent="0.25"/>
    <row r="943" s="20" customFormat="1" ht="15" customHeight="1" x14ac:dyDescent="0.25"/>
    <row r="944" s="20" customFormat="1" ht="15" customHeight="1" x14ac:dyDescent="0.25"/>
    <row r="945" s="20" customFormat="1" ht="15" customHeight="1" x14ac:dyDescent="0.25"/>
    <row r="946" s="20" customFormat="1" ht="15" customHeight="1" x14ac:dyDescent="0.25"/>
    <row r="947" s="20" customFormat="1" ht="15" customHeight="1" x14ac:dyDescent="0.25"/>
    <row r="948" s="20" customFormat="1" ht="15" customHeight="1" x14ac:dyDescent="0.25"/>
    <row r="949" s="20" customFormat="1" ht="15" customHeight="1" x14ac:dyDescent="0.25"/>
    <row r="950" s="20" customFormat="1" ht="15" customHeight="1" x14ac:dyDescent="0.25"/>
    <row r="951" s="20" customFormat="1" ht="15" customHeight="1" x14ac:dyDescent="0.25"/>
    <row r="952" s="20" customFormat="1" ht="15" customHeight="1" x14ac:dyDescent="0.25"/>
    <row r="953" s="20" customFormat="1" ht="15" customHeight="1" x14ac:dyDescent="0.25"/>
    <row r="954" s="20" customFormat="1" ht="15" customHeight="1" x14ac:dyDescent="0.25"/>
    <row r="955" s="20" customFormat="1" ht="15" customHeight="1" x14ac:dyDescent="0.25"/>
    <row r="956" s="20" customFormat="1" ht="15" customHeight="1" x14ac:dyDescent="0.25"/>
    <row r="957" s="20" customFormat="1" ht="15" customHeight="1" x14ac:dyDescent="0.25"/>
    <row r="958" s="20" customFormat="1" ht="15" customHeight="1" x14ac:dyDescent="0.25"/>
    <row r="959" s="20" customFormat="1" ht="15" customHeight="1" x14ac:dyDescent="0.25"/>
    <row r="960" s="20" customFormat="1" ht="15" customHeight="1" x14ac:dyDescent="0.25"/>
    <row r="961" s="20" customFormat="1" ht="15" customHeight="1" x14ac:dyDescent="0.25"/>
    <row r="962" s="20" customFormat="1" ht="15" customHeight="1" x14ac:dyDescent="0.25"/>
    <row r="963" s="20" customFormat="1" ht="15" customHeight="1" x14ac:dyDescent="0.25"/>
    <row r="964" s="20" customFormat="1" ht="15" customHeight="1" x14ac:dyDescent="0.25"/>
    <row r="965" s="20" customFormat="1" ht="15" customHeight="1" x14ac:dyDescent="0.25"/>
    <row r="966" s="20" customFormat="1" ht="15" customHeight="1" x14ac:dyDescent="0.25"/>
    <row r="967" s="20" customFormat="1" ht="15" customHeight="1" x14ac:dyDescent="0.25"/>
    <row r="968" s="20" customFormat="1" ht="15" customHeight="1" x14ac:dyDescent="0.25"/>
    <row r="969" s="20" customFormat="1" ht="15" customHeight="1" x14ac:dyDescent="0.25"/>
    <row r="970" s="20" customFormat="1" ht="15" customHeight="1" x14ac:dyDescent="0.25"/>
    <row r="971" s="20" customFormat="1" ht="15" customHeight="1" x14ac:dyDescent="0.25"/>
    <row r="972" s="20" customFormat="1" ht="15" customHeight="1" x14ac:dyDescent="0.25"/>
    <row r="973" s="20" customFormat="1" ht="15" customHeight="1" x14ac:dyDescent="0.25"/>
    <row r="974" s="20" customFormat="1" ht="15" customHeight="1" x14ac:dyDescent="0.25"/>
    <row r="975" s="20" customFormat="1" ht="15" customHeight="1" x14ac:dyDescent="0.25"/>
    <row r="976" s="20" customFormat="1" ht="15" customHeight="1" x14ac:dyDescent="0.25"/>
    <row r="977" s="20" customFormat="1" ht="15" customHeight="1" x14ac:dyDescent="0.25"/>
    <row r="978" s="20" customFormat="1" ht="15" customHeight="1" x14ac:dyDescent="0.25"/>
    <row r="979" s="20" customFormat="1" ht="15" customHeight="1" x14ac:dyDescent="0.25"/>
    <row r="980" s="20" customFormat="1" ht="15" customHeight="1" x14ac:dyDescent="0.25"/>
    <row r="981" s="20" customFormat="1" ht="15" customHeight="1" x14ac:dyDescent="0.25"/>
    <row r="982" s="20" customFormat="1" ht="15" customHeight="1" x14ac:dyDescent="0.25"/>
    <row r="983" s="20" customFormat="1" ht="15" customHeight="1" x14ac:dyDescent="0.25"/>
    <row r="984" s="20" customFormat="1" ht="15" customHeight="1" x14ac:dyDescent="0.25"/>
    <row r="985" s="20" customFormat="1" ht="15" customHeight="1" x14ac:dyDescent="0.25"/>
    <row r="986" s="20" customFormat="1" ht="15" customHeight="1" x14ac:dyDescent="0.25"/>
    <row r="987" s="20" customFormat="1" ht="15" customHeight="1" x14ac:dyDescent="0.25"/>
    <row r="988" s="20" customFormat="1" ht="15" customHeight="1" x14ac:dyDescent="0.25"/>
    <row r="989" s="20" customFormat="1" ht="15" customHeight="1" x14ac:dyDescent="0.25"/>
    <row r="990" s="20" customFormat="1" ht="15" customHeight="1" x14ac:dyDescent="0.25"/>
    <row r="991" s="20" customFormat="1" ht="15" customHeight="1" x14ac:dyDescent="0.25"/>
    <row r="992" s="20" customFormat="1" ht="15" customHeight="1" x14ac:dyDescent="0.25"/>
    <row r="993" s="20" customFormat="1" ht="15" customHeight="1" x14ac:dyDescent="0.25"/>
    <row r="994" s="20" customFormat="1" ht="15" customHeight="1" x14ac:dyDescent="0.25"/>
    <row r="995" s="20" customFormat="1" ht="15" customHeight="1" x14ac:dyDescent="0.25"/>
    <row r="996" s="20" customFormat="1" ht="15" customHeight="1" x14ac:dyDescent="0.25"/>
    <row r="997" s="20" customFormat="1" ht="15" customHeight="1" x14ac:dyDescent="0.25"/>
    <row r="998" s="20" customFormat="1" ht="15" customHeight="1" x14ac:dyDescent="0.25"/>
    <row r="999" s="20" customFormat="1" ht="15" customHeight="1" x14ac:dyDescent="0.25"/>
    <row r="1000" s="20" customFormat="1" ht="15" customHeight="1" x14ac:dyDescent="0.25"/>
    <row r="1001" s="20" customFormat="1" ht="15" customHeight="1" x14ac:dyDescent="0.25"/>
    <row r="1002" s="20" customFormat="1" ht="15" customHeight="1" x14ac:dyDescent="0.25"/>
    <row r="1003" s="20" customFormat="1" ht="15" customHeight="1" x14ac:dyDescent="0.25"/>
    <row r="1004" s="20" customFormat="1" ht="15" customHeight="1" x14ac:dyDescent="0.25"/>
    <row r="1005" s="20" customFormat="1" ht="15" customHeight="1" x14ac:dyDescent="0.25"/>
    <row r="1006" s="20" customFormat="1" ht="15" customHeight="1" x14ac:dyDescent="0.25"/>
    <row r="1007" s="20" customFormat="1" ht="15" customHeight="1" x14ac:dyDescent="0.25"/>
    <row r="1008" s="20" customFormat="1" ht="15" customHeight="1" x14ac:dyDescent="0.25"/>
    <row r="1009" s="20" customFormat="1" ht="15" customHeight="1" x14ac:dyDescent="0.25"/>
    <row r="1010" s="20" customFormat="1" ht="15" customHeight="1" x14ac:dyDescent="0.25"/>
    <row r="1011" s="20" customFormat="1" ht="15" customHeight="1" x14ac:dyDescent="0.25"/>
    <row r="1012" s="20" customFormat="1" ht="15" customHeight="1" x14ac:dyDescent="0.25"/>
    <row r="1013" s="20" customFormat="1" ht="15" customHeight="1" x14ac:dyDescent="0.25"/>
    <row r="1014" s="20" customFormat="1" ht="15" customHeight="1" x14ac:dyDescent="0.25"/>
    <row r="1015" s="20" customFormat="1" ht="15" customHeight="1" x14ac:dyDescent="0.25"/>
    <row r="1016" s="20" customFormat="1" ht="15" customHeight="1" x14ac:dyDescent="0.25"/>
    <row r="1017" s="20" customFormat="1" ht="15" customHeight="1" x14ac:dyDescent="0.25"/>
    <row r="1018" s="20" customFormat="1" ht="15" customHeight="1" x14ac:dyDescent="0.25"/>
    <row r="1019" s="20" customFormat="1" ht="15" customHeight="1" x14ac:dyDescent="0.25"/>
    <row r="1020" s="20" customFormat="1" ht="15" customHeight="1" x14ac:dyDescent="0.25"/>
    <row r="1021" s="20" customFormat="1" ht="15" customHeight="1" x14ac:dyDescent="0.25"/>
    <row r="1022" s="20" customFormat="1" ht="15" customHeight="1" x14ac:dyDescent="0.25"/>
    <row r="1023" s="20" customFormat="1" ht="15" customHeight="1" x14ac:dyDescent="0.25"/>
    <row r="1024" s="20" customFormat="1" ht="15" customHeight="1" x14ac:dyDescent="0.25"/>
    <row r="1025" s="20" customFormat="1" ht="15" customHeight="1" x14ac:dyDescent="0.25"/>
    <row r="1026" s="20" customFormat="1" ht="15" customHeight="1" x14ac:dyDescent="0.25"/>
    <row r="1027" s="20" customFormat="1" ht="15" customHeight="1" x14ac:dyDescent="0.25"/>
    <row r="1028" s="20" customFormat="1" ht="15" customHeight="1" x14ac:dyDescent="0.25"/>
    <row r="1029" s="20" customFormat="1" ht="15" customHeight="1" x14ac:dyDescent="0.25"/>
    <row r="1030" s="20" customFormat="1" ht="15" customHeight="1" x14ac:dyDescent="0.25"/>
    <row r="1031" s="20" customFormat="1" ht="15" customHeight="1" x14ac:dyDescent="0.25"/>
    <row r="1032" s="20" customFormat="1" ht="15" customHeight="1" x14ac:dyDescent="0.25"/>
    <row r="1033" s="20" customFormat="1" ht="15" customHeight="1" x14ac:dyDescent="0.25"/>
    <row r="1034" s="20" customFormat="1" ht="15" customHeight="1" x14ac:dyDescent="0.25"/>
    <row r="1035" s="20" customFormat="1" ht="15" customHeight="1" x14ac:dyDescent="0.25"/>
    <row r="1036" s="20" customFormat="1" ht="15" customHeight="1" x14ac:dyDescent="0.25"/>
    <row r="1037" s="20" customFormat="1" ht="15" customHeight="1" x14ac:dyDescent="0.25"/>
    <row r="1038" s="20" customFormat="1" ht="15" customHeight="1" x14ac:dyDescent="0.25"/>
    <row r="1039" s="20" customFormat="1" ht="15" customHeight="1" x14ac:dyDescent="0.25"/>
    <row r="1040" s="20" customFormat="1" ht="15" customHeight="1" x14ac:dyDescent="0.25"/>
    <row r="1041" s="20" customFormat="1" ht="15" customHeight="1" x14ac:dyDescent="0.25"/>
    <row r="1042" s="20" customFormat="1" ht="15" customHeight="1" x14ac:dyDescent="0.25"/>
    <row r="1043" s="20" customFormat="1" ht="15" customHeight="1" x14ac:dyDescent="0.25"/>
    <row r="1044" s="20" customFormat="1" ht="15" customHeight="1" x14ac:dyDescent="0.25"/>
    <row r="1045" s="20" customFormat="1" ht="15" customHeight="1" x14ac:dyDescent="0.25"/>
    <row r="1046" s="20" customFormat="1" ht="15" customHeight="1" x14ac:dyDescent="0.25"/>
    <row r="1047" s="20" customFormat="1" ht="15" customHeight="1" x14ac:dyDescent="0.25"/>
    <row r="1048" s="20" customFormat="1" ht="15" customHeight="1" x14ac:dyDescent="0.25"/>
    <row r="1049" s="20" customFormat="1" ht="15" customHeight="1" x14ac:dyDescent="0.25"/>
    <row r="1050" s="20" customFormat="1" ht="15" customHeight="1" x14ac:dyDescent="0.25"/>
    <row r="1051" s="20" customFormat="1" ht="15" customHeight="1" x14ac:dyDescent="0.25"/>
    <row r="1052" s="20" customFormat="1" ht="15" customHeight="1" x14ac:dyDescent="0.25"/>
    <row r="1053" s="20" customFormat="1" ht="15" customHeight="1" x14ac:dyDescent="0.25"/>
    <row r="1054" s="20" customFormat="1" ht="15" customHeight="1" x14ac:dyDescent="0.25"/>
    <row r="1055" s="20" customFormat="1" ht="15" customHeight="1" x14ac:dyDescent="0.25"/>
    <row r="1056" s="20" customFormat="1" ht="15" customHeight="1" x14ac:dyDescent="0.25"/>
    <row r="1057" s="20" customFormat="1" ht="15" customHeight="1" x14ac:dyDescent="0.25"/>
    <row r="1058" s="20" customFormat="1" ht="15" customHeight="1" x14ac:dyDescent="0.25"/>
    <row r="1059" s="20" customFormat="1" ht="15" customHeight="1" x14ac:dyDescent="0.25"/>
    <row r="1060" s="20" customFormat="1" ht="15" customHeight="1" x14ac:dyDescent="0.25"/>
    <row r="1061" s="20" customFormat="1" ht="15" customHeight="1" x14ac:dyDescent="0.25"/>
    <row r="1062" s="20" customFormat="1" ht="15" customHeight="1" x14ac:dyDescent="0.25"/>
    <row r="1063" s="20" customFormat="1" ht="15" customHeight="1" x14ac:dyDescent="0.25"/>
    <row r="1064" s="20" customFormat="1" ht="15" customHeight="1" x14ac:dyDescent="0.25"/>
    <row r="1065" s="20" customFormat="1" ht="15" customHeight="1" x14ac:dyDescent="0.25"/>
    <row r="1066" s="20" customFormat="1" ht="15" customHeight="1" x14ac:dyDescent="0.25"/>
    <row r="1067" s="20" customFormat="1" ht="15" customHeight="1" x14ac:dyDescent="0.25"/>
    <row r="1068" s="20" customFormat="1" ht="15" customHeight="1" x14ac:dyDescent="0.25"/>
    <row r="1069" s="20" customFormat="1" ht="15" customHeight="1" x14ac:dyDescent="0.25"/>
    <row r="1070" s="20" customFormat="1" ht="15" customHeight="1" x14ac:dyDescent="0.25"/>
    <row r="1071" s="20" customFormat="1" ht="15" customHeight="1" x14ac:dyDescent="0.25"/>
    <row r="1072" s="20" customFormat="1" ht="15" customHeight="1" x14ac:dyDescent="0.25"/>
    <row r="1073" s="20" customFormat="1" ht="15" customHeight="1" x14ac:dyDescent="0.25"/>
    <row r="1074" s="20" customFormat="1" ht="15" customHeight="1" x14ac:dyDescent="0.25"/>
    <row r="1075" s="20" customFormat="1" ht="15" customHeight="1" x14ac:dyDescent="0.25"/>
    <row r="1076" s="20" customFormat="1" ht="15" customHeight="1" x14ac:dyDescent="0.25"/>
    <row r="1077" s="20" customFormat="1" ht="15" customHeight="1" x14ac:dyDescent="0.25"/>
    <row r="1078" s="20" customFormat="1" ht="15" customHeight="1" x14ac:dyDescent="0.25"/>
    <row r="1079" s="20" customFormat="1" ht="15" customHeight="1" x14ac:dyDescent="0.25"/>
    <row r="1080" s="20" customFormat="1" ht="15" customHeight="1" x14ac:dyDescent="0.25"/>
    <row r="1081" s="20" customFormat="1" ht="15" customHeight="1" x14ac:dyDescent="0.25"/>
    <row r="1082" s="20" customFormat="1" ht="15" customHeight="1" x14ac:dyDescent="0.25"/>
    <row r="1083" s="20" customFormat="1" ht="15" customHeight="1" x14ac:dyDescent="0.25"/>
    <row r="1084" s="20" customFormat="1" ht="15" customHeight="1" x14ac:dyDescent="0.25"/>
    <row r="1085" s="20" customFormat="1" ht="15" customHeight="1" x14ac:dyDescent="0.25"/>
    <row r="1086" s="20" customFormat="1" ht="15" customHeight="1" x14ac:dyDescent="0.25"/>
    <row r="1087" s="20" customFormat="1" ht="15" customHeight="1" x14ac:dyDescent="0.25"/>
    <row r="1088" s="20" customFormat="1" ht="15" customHeight="1" x14ac:dyDescent="0.25"/>
    <row r="1089" s="20" customFormat="1" ht="15" customHeight="1" x14ac:dyDescent="0.25"/>
    <row r="1090" s="20" customFormat="1" ht="15" customHeight="1" x14ac:dyDescent="0.25"/>
    <row r="1091" s="20" customFormat="1" ht="15" customHeight="1" x14ac:dyDescent="0.25"/>
    <row r="1092" s="20" customFormat="1" ht="15" customHeight="1" x14ac:dyDescent="0.25"/>
    <row r="1093" s="20" customFormat="1" ht="15" customHeight="1" x14ac:dyDescent="0.25"/>
    <row r="1094" s="20" customFormat="1" ht="15" customHeight="1" x14ac:dyDescent="0.25"/>
    <row r="1095" s="20" customFormat="1" ht="15" customHeight="1" x14ac:dyDescent="0.25"/>
    <row r="1096" s="20" customFormat="1" ht="15" customHeight="1" x14ac:dyDescent="0.25"/>
    <row r="1097" s="20" customFormat="1" ht="15" customHeight="1" x14ac:dyDescent="0.25"/>
    <row r="1098" s="20" customFormat="1" ht="15" customHeight="1" x14ac:dyDescent="0.25"/>
    <row r="1099" s="20" customFormat="1" ht="15" customHeight="1" x14ac:dyDescent="0.25"/>
    <row r="1100" s="20" customFormat="1" ht="15" customHeight="1" x14ac:dyDescent="0.25"/>
    <row r="1101" s="20" customFormat="1" ht="15" customHeight="1" x14ac:dyDescent="0.25"/>
    <row r="1102" s="20" customFormat="1" ht="15" customHeight="1" x14ac:dyDescent="0.25"/>
    <row r="1103" s="20" customFormat="1" ht="15" customHeight="1" x14ac:dyDescent="0.25"/>
    <row r="1104" s="20" customFormat="1" ht="15" customHeight="1" x14ac:dyDescent="0.25"/>
    <row r="1105" s="20" customFormat="1" ht="15" customHeight="1" x14ac:dyDescent="0.25"/>
    <row r="1106" s="20" customFormat="1" ht="15" customHeight="1" x14ac:dyDescent="0.25"/>
    <row r="1107" s="20" customFormat="1" ht="15" customHeight="1" x14ac:dyDescent="0.25"/>
    <row r="1108" s="20" customFormat="1" ht="15" customHeight="1" x14ac:dyDescent="0.25"/>
    <row r="1109" s="20" customFormat="1" ht="15" customHeight="1" x14ac:dyDescent="0.25"/>
    <row r="1110" s="20" customFormat="1" ht="15" customHeight="1" x14ac:dyDescent="0.25"/>
    <row r="1111" s="20" customFormat="1" ht="15" customHeight="1" x14ac:dyDescent="0.25"/>
    <row r="1112" s="20" customFormat="1" ht="15" customHeight="1" x14ac:dyDescent="0.25"/>
    <row r="1113" s="20" customFormat="1" ht="15" customHeight="1" x14ac:dyDescent="0.25"/>
    <row r="1114" s="20" customFormat="1" ht="15" customHeight="1" x14ac:dyDescent="0.25"/>
    <row r="1115" s="20" customFormat="1" ht="15" customHeight="1" x14ac:dyDescent="0.25"/>
    <row r="1116" s="20" customFormat="1" ht="15" customHeight="1" x14ac:dyDescent="0.25"/>
    <row r="1117" s="20" customFormat="1" ht="15" customHeight="1" x14ac:dyDescent="0.25"/>
    <row r="1118" s="20" customFormat="1" ht="15" customHeight="1" x14ac:dyDescent="0.25"/>
    <row r="1119" s="20" customFormat="1" ht="15" customHeight="1" x14ac:dyDescent="0.25"/>
    <row r="1120" s="20" customFormat="1" ht="15" customHeight="1" x14ac:dyDescent="0.25"/>
    <row r="1121" s="20" customFormat="1" ht="15" customHeight="1" x14ac:dyDescent="0.25"/>
    <row r="1122" s="20" customFormat="1" ht="15" customHeight="1" x14ac:dyDescent="0.25"/>
    <row r="1123" s="20" customFormat="1" ht="15" customHeight="1" x14ac:dyDescent="0.25"/>
    <row r="1124" s="20" customFormat="1" ht="15" customHeight="1" x14ac:dyDescent="0.25"/>
    <row r="1125" s="20" customFormat="1" ht="15" customHeight="1" x14ac:dyDescent="0.25"/>
    <row r="1126" s="20" customFormat="1" ht="15" customHeight="1" x14ac:dyDescent="0.25"/>
    <row r="1127" s="20" customFormat="1" ht="15" customHeight="1" x14ac:dyDescent="0.25"/>
    <row r="1128" s="20" customFormat="1" ht="15" customHeight="1" x14ac:dyDescent="0.25"/>
    <row r="1129" s="20" customFormat="1" ht="15" customHeight="1" x14ac:dyDescent="0.25"/>
    <row r="1130" s="20" customFormat="1" ht="15" customHeight="1" x14ac:dyDescent="0.25"/>
    <row r="1131" s="20" customFormat="1" ht="15" customHeight="1" x14ac:dyDescent="0.25"/>
    <row r="1132" s="20" customFormat="1" ht="15" customHeight="1" x14ac:dyDescent="0.25"/>
    <row r="1133" s="20" customFormat="1" ht="15" customHeight="1" x14ac:dyDescent="0.25"/>
    <row r="1134" s="20" customFormat="1" ht="15" customHeight="1" x14ac:dyDescent="0.25"/>
    <row r="1135" s="20" customFormat="1" ht="15" customHeight="1" x14ac:dyDescent="0.25"/>
    <row r="1136" s="20" customFormat="1" ht="15" customHeight="1" x14ac:dyDescent="0.25"/>
    <row r="1137" s="20" customFormat="1" ht="15" customHeight="1" x14ac:dyDescent="0.25"/>
    <row r="1138" s="20" customFormat="1" ht="15" customHeight="1" x14ac:dyDescent="0.25"/>
    <row r="1139" s="20" customFormat="1" ht="15" customHeight="1" x14ac:dyDescent="0.25"/>
    <row r="1140" s="20" customFormat="1" ht="15" customHeight="1" x14ac:dyDescent="0.25"/>
    <row r="1141" s="20" customFormat="1" ht="15" customHeight="1" x14ac:dyDescent="0.25"/>
    <row r="1142" s="20" customFormat="1" ht="15" customHeight="1" x14ac:dyDescent="0.25"/>
    <row r="1143" s="20" customFormat="1" ht="15" customHeight="1" x14ac:dyDescent="0.25"/>
    <row r="1144" s="20" customFormat="1" ht="15" customHeight="1" x14ac:dyDescent="0.25"/>
    <row r="1145" s="20" customFormat="1" ht="15" customHeight="1" x14ac:dyDescent="0.25"/>
    <row r="1146" s="20" customFormat="1" ht="15" customHeight="1" x14ac:dyDescent="0.25"/>
    <row r="1147" s="20" customFormat="1" ht="15" customHeight="1" x14ac:dyDescent="0.25"/>
    <row r="1148" s="20" customFormat="1" ht="15" customHeight="1" x14ac:dyDescent="0.25"/>
    <row r="1149" s="20" customFormat="1" ht="15" customHeight="1" x14ac:dyDescent="0.25"/>
    <row r="1150" s="20" customFormat="1" ht="15" customHeight="1" x14ac:dyDescent="0.25"/>
    <row r="1151" s="20" customFormat="1" ht="15" customHeight="1" x14ac:dyDescent="0.25"/>
    <row r="1152" s="20" customFormat="1" ht="15" customHeight="1" x14ac:dyDescent="0.25"/>
    <row r="1153" s="20" customFormat="1" ht="15" customHeight="1" x14ac:dyDescent="0.25"/>
    <row r="1154" s="20" customFormat="1" ht="15" customHeight="1" x14ac:dyDescent="0.25"/>
    <row r="1155" s="20" customFormat="1" ht="15" customHeight="1" x14ac:dyDescent="0.25"/>
    <row r="1156" s="20" customFormat="1" ht="15" customHeight="1" x14ac:dyDescent="0.25"/>
    <row r="1157" s="20" customFormat="1" ht="15" customHeight="1" x14ac:dyDescent="0.25"/>
    <row r="1158" s="20" customFormat="1" ht="15" customHeight="1" x14ac:dyDescent="0.25"/>
    <row r="1159" s="20" customFormat="1" ht="15" customHeight="1" x14ac:dyDescent="0.25"/>
    <row r="1160" s="20" customFormat="1" ht="15" customHeight="1" x14ac:dyDescent="0.25"/>
    <row r="1161" s="20" customFormat="1" ht="15" customHeight="1" x14ac:dyDescent="0.25"/>
    <row r="1162" s="20" customFormat="1" ht="15" customHeight="1" x14ac:dyDescent="0.25"/>
    <row r="1163" s="20" customFormat="1" ht="15" customHeight="1" x14ac:dyDescent="0.25"/>
    <row r="1164" s="20" customFormat="1" ht="15" customHeight="1" x14ac:dyDescent="0.25"/>
    <row r="1165" s="20" customFormat="1" ht="15" customHeight="1" x14ac:dyDescent="0.25"/>
    <row r="1166" s="20" customFormat="1" ht="15" customHeight="1" x14ac:dyDescent="0.25"/>
    <row r="1167" s="20" customFormat="1" ht="15" customHeight="1" x14ac:dyDescent="0.25"/>
    <row r="1168" s="20" customFormat="1" ht="15" customHeight="1" x14ac:dyDescent="0.25"/>
    <row r="1169" s="20" customFormat="1" ht="15" customHeight="1" x14ac:dyDescent="0.25"/>
    <row r="1170" s="20" customFormat="1" ht="15" customHeight="1" x14ac:dyDescent="0.25"/>
    <row r="1171" s="20" customFormat="1" ht="15" customHeight="1" x14ac:dyDescent="0.25"/>
    <row r="1172" s="20" customFormat="1" ht="15" customHeight="1" x14ac:dyDescent="0.25"/>
    <row r="1173" s="20" customFormat="1" ht="15" customHeight="1" x14ac:dyDescent="0.25"/>
    <row r="1174" s="20" customFormat="1" ht="15" customHeight="1" x14ac:dyDescent="0.25"/>
    <row r="1175" s="20" customFormat="1" ht="15" customHeight="1" x14ac:dyDescent="0.25"/>
    <row r="1176" s="20" customFormat="1" ht="15" customHeight="1" x14ac:dyDescent="0.25"/>
    <row r="1177" s="20" customFormat="1" ht="15" customHeight="1" x14ac:dyDescent="0.25"/>
    <row r="1178" s="20" customFormat="1" ht="15" customHeight="1" x14ac:dyDescent="0.25"/>
    <row r="1179" s="20" customFormat="1" ht="15" customHeight="1" x14ac:dyDescent="0.25"/>
    <row r="1180" s="20" customFormat="1" ht="15" customHeight="1" x14ac:dyDescent="0.25"/>
    <row r="1181" s="20" customFormat="1" ht="15" customHeight="1" x14ac:dyDescent="0.25"/>
    <row r="1182" s="20" customFormat="1" ht="15" customHeight="1" x14ac:dyDescent="0.25"/>
    <row r="1183" s="20" customFormat="1" ht="15" customHeight="1" x14ac:dyDescent="0.25"/>
    <row r="1184" s="20" customFormat="1" ht="15" customHeight="1" x14ac:dyDescent="0.25"/>
    <row r="1185" s="20" customFormat="1" ht="15" customHeight="1" x14ac:dyDescent="0.25"/>
    <row r="1186" s="20" customFormat="1" ht="15" customHeight="1" x14ac:dyDescent="0.25"/>
    <row r="1187" s="20" customFormat="1" ht="15" customHeight="1" x14ac:dyDescent="0.25"/>
    <row r="1188" s="20" customFormat="1" ht="15" customHeight="1" x14ac:dyDescent="0.25"/>
    <row r="1189" s="20" customFormat="1" ht="15" customHeight="1" x14ac:dyDescent="0.25"/>
    <row r="1190" s="20" customFormat="1" ht="15" customHeight="1" x14ac:dyDescent="0.25"/>
    <row r="1191" s="20" customFormat="1" ht="15" customHeight="1" x14ac:dyDescent="0.25"/>
    <row r="1192" s="20" customFormat="1" ht="15" customHeight="1" x14ac:dyDescent="0.25"/>
    <row r="1193" s="20" customFormat="1" ht="15" customHeight="1" x14ac:dyDescent="0.25"/>
    <row r="1194" s="20" customFormat="1" ht="15" customHeight="1" x14ac:dyDescent="0.25"/>
    <row r="1195" s="20" customFormat="1" ht="15" customHeight="1" x14ac:dyDescent="0.25"/>
    <row r="1196" s="20" customFormat="1" ht="15" customHeight="1" x14ac:dyDescent="0.25"/>
    <row r="1197" s="20" customFormat="1" ht="15" customHeight="1" x14ac:dyDescent="0.25"/>
    <row r="1198" s="20" customFormat="1" ht="15" customHeight="1" x14ac:dyDescent="0.25"/>
    <row r="1199" s="20" customFormat="1" ht="15" customHeight="1" x14ac:dyDescent="0.25"/>
    <row r="1200" s="20" customFormat="1" ht="15" customHeight="1" x14ac:dyDescent="0.25"/>
    <row r="1201" s="20" customFormat="1" ht="15" customHeight="1" x14ac:dyDescent="0.25"/>
    <row r="1202" s="20" customFormat="1" ht="15" customHeight="1" x14ac:dyDescent="0.25"/>
    <row r="1203" s="20" customFormat="1" ht="15" customHeight="1" x14ac:dyDescent="0.25"/>
    <row r="1204" s="20" customFormat="1" ht="15" customHeight="1" x14ac:dyDescent="0.25"/>
    <row r="1205" s="20" customFormat="1" ht="15" customHeight="1" x14ac:dyDescent="0.25"/>
    <row r="1206" s="20" customFormat="1" ht="15" customHeight="1" x14ac:dyDescent="0.25"/>
    <row r="1207" s="20" customFormat="1" ht="15" customHeight="1" x14ac:dyDescent="0.25"/>
    <row r="1208" s="20" customFormat="1" ht="15" customHeight="1" x14ac:dyDescent="0.25"/>
    <row r="1209" s="20" customFormat="1" ht="15" customHeight="1" x14ac:dyDescent="0.25"/>
    <row r="1210" s="20" customFormat="1" ht="15" customHeight="1" x14ac:dyDescent="0.25"/>
    <row r="1211" s="20" customFormat="1" ht="15" customHeight="1" x14ac:dyDescent="0.25"/>
    <row r="1212" s="20" customFormat="1" ht="15" customHeight="1" x14ac:dyDescent="0.25"/>
    <row r="1213" s="20" customFormat="1" ht="15" customHeight="1" x14ac:dyDescent="0.25"/>
    <row r="1214" s="20" customFormat="1" ht="15" customHeight="1" x14ac:dyDescent="0.25"/>
    <row r="1215" s="20" customFormat="1" ht="15" customHeight="1" x14ac:dyDescent="0.25"/>
    <row r="1216" s="20" customFormat="1" ht="15" customHeight="1" x14ac:dyDescent="0.25"/>
    <row r="1217" s="20" customFormat="1" ht="15" customHeight="1" x14ac:dyDescent="0.25"/>
    <row r="1218" s="20" customFormat="1" ht="15" customHeight="1" x14ac:dyDescent="0.25"/>
    <row r="1219" s="20" customFormat="1" ht="15" customHeight="1" x14ac:dyDescent="0.25"/>
    <row r="1220" s="20" customFormat="1" ht="15" customHeight="1" x14ac:dyDescent="0.25"/>
    <row r="1221" s="20" customFormat="1" ht="15" customHeight="1" x14ac:dyDescent="0.25"/>
    <row r="1222" s="20" customFormat="1" ht="15" customHeight="1" x14ac:dyDescent="0.25"/>
    <row r="1223" s="20" customFormat="1" ht="15" customHeight="1" x14ac:dyDescent="0.25"/>
    <row r="1224" s="20" customFormat="1" ht="15" customHeight="1" x14ac:dyDescent="0.25"/>
    <row r="1225" s="20" customFormat="1" ht="15" customHeight="1" x14ac:dyDescent="0.25"/>
    <row r="1226" s="20" customFormat="1" ht="15" customHeight="1" x14ac:dyDescent="0.25"/>
    <row r="1227" s="20" customFormat="1" ht="15" customHeight="1" x14ac:dyDescent="0.25"/>
    <row r="1228" s="20" customFormat="1" ht="15" customHeight="1" x14ac:dyDescent="0.25"/>
    <row r="1229" s="20" customFormat="1" ht="15" customHeight="1" x14ac:dyDescent="0.25"/>
    <row r="1230" s="20" customFormat="1" ht="15" customHeight="1" x14ac:dyDescent="0.25"/>
    <row r="1231" s="20" customFormat="1" ht="15" customHeight="1" x14ac:dyDescent="0.25"/>
    <row r="1232" s="20" customFormat="1" ht="15" customHeight="1" x14ac:dyDescent="0.25"/>
    <row r="1233" s="20" customFormat="1" ht="15" customHeight="1" x14ac:dyDescent="0.25"/>
    <row r="1234" s="20" customFormat="1" ht="15" customHeight="1" x14ac:dyDescent="0.25"/>
    <row r="1235" s="20" customFormat="1" ht="15" customHeight="1" x14ac:dyDescent="0.25"/>
    <row r="1236" s="20" customFormat="1" ht="15" customHeight="1" x14ac:dyDescent="0.25"/>
    <row r="1237" s="20" customFormat="1" ht="15" customHeight="1" x14ac:dyDescent="0.25"/>
    <row r="1238" s="20" customFormat="1" ht="15" customHeight="1" x14ac:dyDescent="0.25"/>
    <row r="1239" s="20" customFormat="1" ht="15" customHeight="1" x14ac:dyDescent="0.25"/>
    <row r="1240" s="20" customFormat="1" ht="15" customHeight="1" x14ac:dyDescent="0.25"/>
    <row r="1241" s="20" customFormat="1" ht="15" customHeight="1" x14ac:dyDescent="0.25"/>
    <row r="1242" s="20" customFormat="1" ht="15" customHeight="1" x14ac:dyDescent="0.25"/>
    <row r="1243" s="20" customFormat="1" ht="15" customHeight="1" x14ac:dyDescent="0.25"/>
    <row r="1244" s="20" customFormat="1" ht="15" customHeight="1" x14ac:dyDescent="0.25"/>
    <row r="1245" s="20" customFormat="1" ht="15" customHeight="1" x14ac:dyDescent="0.25"/>
    <row r="1246" s="20" customFormat="1" ht="15" customHeight="1" x14ac:dyDescent="0.25"/>
    <row r="1247" s="20" customFormat="1" ht="15" customHeight="1" x14ac:dyDescent="0.25"/>
    <row r="1248" s="20" customFormat="1" ht="15" customHeight="1" x14ac:dyDescent="0.25"/>
    <row r="1249" s="20" customFormat="1" ht="15" customHeight="1" x14ac:dyDescent="0.25"/>
    <row r="1250" s="20" customFormat="1" ht="15" customHeight="1" x14ac:dyDescent="0.25"/>
    <row r="1251" s="20" customFormat="1" ht="15" customHeight="1" x14ac:dyDescent="0.25"/>
    <row r="1252" s="20" customFormat="1" ht="15" customHeight="1" x14ac:dyDescent="0.25"/>
    <row r="1253" s="20" customFormat="1" ht="15" customHeight="1" x14ac:dyDescent="0.25"/>
    <row r="1254" s="20" customFormat="1" ht="15" customHeight="1" x14ac:dyDescent="0.25"/>
    <row r="1255" s="20" customFormat="1" ht="15" customHeight="1" x14ac:dyDescent="0.25"/>
    <row r="1256" s="20" customFormat="1" ht="15" customHeight="1" x14ac:dyDescent="0.25"/>
    <row r="1257" s="20" customFormat="1" ht="15" customHeight="1" x14ac:dyDescent="0.25"/>
    <row r="1258" s="20" customFormat="1" ht="15" customHeight="1" x14ac:dyDescent="0.25"/>
    <row r="1259" s="20" customFormat="1" ht="15" customHeight="1" x14ac:dyDescent="0.25"/>
    <row r="1260" s="20" customFormat="1" ht="15" customHeight="1" x14ac:dyDescent="0.25"/>
    <row r="1261" s="20" customFormat="1" ht="15" customHeight="1" x14ac:dyDescent="0.25"/>
    <row r="1262" s="20" customFormat="1" ht="15" customHeight="1" x14ac:dyDescent="0.25"/>
    <row r="1263" s="20" customFormat="1" ht="15" customHeight="1" x14ac:dyDescent="0.25"/>
    <row r="1264" s="20" customFormat="1" ht="15" customHeight="1" x14ac:dyDescent="0.25"/>
    <row r="1265" s="20" customFormat="1" ht="15" customHeight="1" x14ac:dyDescent="0.25"/>
    <row r="1266" s="20" customFormat="1" ht="15" customHeight="1" x14ac:dyDescent="0.25"/>
    <row r="1267" s="20" customFormat="1" ht="15" customHeight="1" x14ac:dyDescent="0.25"/>
    <row r="1268" s="20" customFormat="1" ht="15" customHeight="1" x14ac:dyDescent="0.25"/>
    <row r="1269" s="20" customFormat="1" ht="15" customHeight="1" x14ac:dyDescent="0.25"/>
    <row r="1270" s="20" customFormat="1" ht="15" customHeight="1" x14ac:dyDescent="0.25"/>
    <row r="1271" s="20" customFormat="1" ht="15" customHeight="1" x14ac:dyDescent="0.25"/>
    <row r="1272" s="20" customFormat="1" ht="15" customHeight="1" x14ac:dyDescent="0.25"/>
    <row r="1273" s="20" customFormat="1" ht="15" customHeight="1" x14ac:dyDescent="0.25"/>
    <row r="1274" s="20" customFormat="1" ht="15" customHeight="1" x14ac:dyDescent="0.25"/>
    <row r="1275" s="20" customFormat="1" ht="15" customHeight="1" x14ac:dyDescent="0.25"/>
    <row r="1276" s="20" customFormat="1" ht="15" customHeight="1" x14ac:dyDescent="0.25"/>
    <row r="1277" s="20" customFormat="1" ht="15" customHeight="1" x14ac:dyDescent="0.25"/>
    <row r="1278" s="20" customFormat="1" ht="15" customHeight="1" x14ac:dyDescent="0.25"/>
    <row r="1279" s="20" customFormat="1" ht="15" customHeight="1" x14ac:dyDescent="0.25"/>
    <row r="1280" s="20" customFormat="1" ht="15" customHeight="1" x14ac:dyDescent="0.25"/>
    <row r="1281" s="20" customFormat="1" ht="15" customHeight="1" x14ac:dyDescent="0.25"/>
    <row r="1282" s="20" customFormat="1" ht="15" customHeight="1" x14ac:dyDescent="0.25"/>
    <row r="1283" s="20" customFormat="1" ht="15" customHeight="1" x14ac:dyDescent="0.25"/>
    <row r="1284" s="20" customFormat="1" ht="15" customHeight="1" x14ac:dyDescent="0.25"/>
    <row r="1285" s="20" customFormat="1" ht="15" customHeight="1" x14ac:dyDescent="0.25"/>
    <row r="1286" s="20" customFormat="1" ht="15" customHeight="1" x14ac:dyDescent="0.25"/>
    <row r="1287" s="20" customFormat="1" ht="15" customHeight="1" x14ac:dyDescent="0.25"/>
    <row r="1288" s="20" customFormat="1" ht="15" customHeight="1" x14ac:dyDescent="0.25"/>
    <row r="1289" s="20" customFormat="1" ht="15" customHeight="1" x14ac:dyDescent="0.25"/>
    <row r="1290" s="20" customFormat="1" ht="15" customHeight="1" x14ac:dyDescent="0.25"/>
    <row r="1291" s="20" customFormat="1" ht="15" customHeight="1" x14ac:dyDescent="0.25"/>
    <row r="1292" s="20" customFormat="1" ht="15" customHeight="1" x14ac:dyDescent="0.25"/>
    <row r="1293" s="20" customFormat="1" ht="15" customHeight="1" x14ac:dyDescent="0.25"/>
    <row r="1294" s="20" customFormat="1" ht="15" customHeight="1" x14ac:dyDescent="0.25"/>
    <row r="1295" s="20" customFormat="1" ht="15" customHeight="1" x14ac:dyDescent="0.25"/>
    <row r="1296" s="20" customFormat="1" ht="15" customHeight="1" x14ac:dyDescent="0.25"/>
    <row r="1297" s="20" customFormat="1" ht="15" customHeight="1" x14ac:dyDescent="0.25"/>
    <row r="1298" s="20" customFormat="1" ht="15" customHeight="1" x14ac:dyDescent="0.25"/>
    <row r="1299" s="20" customFormat="1" ht="15" customHeight="1" x14ac:dyDescent="0.25"/>
    <row r="1300" s="20" customFormat="1" ht="15" customHeight="1" x14ac:dyDescent="0.25"/>
    <row r="1301" s="20" customFormat="1" ht="15" customHeight="1" x14ac:dyDescent="0.25"/>
    <row r="1302" s="20" customFormat="1" ht="15" customHeight="1" x14ac:dyDescent="0.25"/>
    <row r="1303" s="20" customFormat="1" ht="15" customHeight="1" x14ac:dyDescent="0.25"/>
    <row r="1304" s="20" customFormat="1" ht="15" customHeight="1" x14ac:dyDescent="0.25"/>
    <row r="1305" s="20" customFormat="1" ht="15" customHeight="1" x14ac:dyDescent="0.25"/>
    <row r="1306" s="20" customFormat="1" ht="15" customHeight="1" x14ac:dyDescent="0.25"/>
    <row r="1307" s="20" customFormat="1" ht="15" customHeight="1" x14ac:dyDescent="0.25"/>
    <row r="1308" s="20" customFormat="1" ht="15" customHeight="1" x14ac:dyDescent="0.25"/>
    <row r="1309" s="20" customFormat="1" ht="15" customHeight="1" x14ac:dyDescent="0.25"/>
    <row r="1310" s="20" customFormat="1" ht="15" customHeight="1" x14ac:dyDescent="0.25"/>
    <row r="1311" s="20" customFormat="1" ht="15" customHeight="1" x14ac:dyDescent="0.25"/>
    <row r="1312" s="20" customFormat="1" ht="15" customHeight="1" x14ac:dyDescent="0.25"/>
    <row r="1313" s="20" customFormat="1" ht="15" customHeight="1" x14ac:dyDescent="0.25"/>
    <row r="1314" s="20" customFormat="1" ht="15" customHeight="1" x14ac:dyDescent="0.25"/>
    <row r="1315" s="20" customFormat="1" ht="15" customHeight="1" x14ac:dyDescent="0.25"/>
    <row r="1316" s="20" customFormat="1" ht="15" customHeight="1" x14ac:dyDescent="0.25"/>
    <row r="1317" s="20" customFormat="1" ht="15" customHeight="1" x14ac:dyDescent="0.25"/>
    <row r="1318" s="20" customFormat="1" ht="15" customHeight="1" x14ac:dyDescent="0.25"/>
    <row r="1319" s="20" customFormat="1" ht="15" customHeight="1" x14ac:dyDescent="0.25"/>
    <row r="1320" s="20" customFormat="1" ht="15" customHeight="1" x14ac:dyDescent="0.25"/>
    <row r="1321" s="20" customFormat="1" ht="15" customHeight="1" x14ac:dyDescent="0.25"/>
    <row r="1322" s="20" customFormat="1" ht="15" customHeight="1" x14ac:dyDescent="0.25"/>
    <row r="1323" s="20" customFormat="1" ht="15" customHeight="1" x14ac:dyDescent="0.25"/>
    <row r="1324" s="20" customFormat="1" ht="15" customHeight="1" x14ac:dyDescent="0.25"/>
    <row r="1325" s="20" customFormat="1" ht="15" customHeight="1" x14ac:dyDescent="0.25"/>
    <row r="1326" s="20" customFormat="1" ht="15" customHeight="1" x14ac:dyDescent="0.25"/>
    <row r="1327" s="20" customFormat="1" ht="15" customHeight="1" x14ac:dyDescent="0.25"/>
    <row r="1328" s="20" customFormat="1" ht="15" customHeight="1" x14ac:dyDescent="0.25"/>
    <row r="1329" s="20" customFormat="1" ht="15" customHeight="1" x14ac:dyDescent="0.25"/>
    <row r="1330" s="20" customFormat="1" ht="15" customHeight="1" x14ac:dyDescent="0.25"/>
    <row r="1331" s="20" customFormat="1" ht="15" customHeight="1" x14ac:dyDescent="0.25"/>
    <row r="1332" s="20" customFormat="1" ht="15" customHeight="1" x14ac:dyDescent="0.25"/>
    <row r="1333" s="20" customFormat="1" ht="15" customHeight="1" x14ac:dyDescent="0.25"/>
    <row r="1334" s="20" customFormat="1" ht="15" customHeight="1" x14ac:dyDescent="0.25"/>
    <row r="1335" s="20" customFormat="1" ht="15" customHeight="1" x14ac:dyDescent="0.25"/>
    <row r="1336" s="20" customFormat="1" ht="15" customHeight="1" x14ac:dyDescent="0.25"/>
    <row r="1337" s="20" customFormat="1" ht="15" customHeight="1" x14ac:dyDescent="0.25"/>
    <row r="1338" s="20" customFormat="1" ht="15" customHeight="1" x14ac:dyDescent="0.25"/>
    <row r="1339" s="20" customFormat="1" ht="15" customHeight="1" x14ac:dyDescent="0.25"/>
    <row r="1340" s="20" customFormat="1" ht="15" customHeight="1" x14ac:dyDescent="0.25"/>
    <row r="1341" s="20" customFormat="1" ht="15" customHeight="1" x14ac:dyDescent="0.25"/>
    <row r="1342" s="20" customFormat="1" ht="15" customHeight="1" x14ac:dyDescent="0.25"/>
    <row r="1343" s="20" customFormat="1" ht="15" customHeight="1" x14ac:dyDescent="0.25"/>
    <row r="1344" s="20" customFormat="1" ht="15" customHeight="1" x14ac:dyDescent="0.25"/>
    <row r="1345" s="20" customFormat="1" ht="15" customHeight="1" x14ac:dyDescent="0.25"/>
    <row r="1346" s="20" customFormat="1" ht="15" customHeight="1" x14ac:dyDescent="0.25"/>
    <row r="1347" s="20" customFormat="1" ht="15" customHeight="1" x14ac:dyDescent="0.25"/>
    <row r="1348" s="20" customFormat="1" ht="15" customHeight="1" x14ac:dyDescent="0.25"/>
    <row r="1349" s="20" customFormat="1" ht="15" customHeight="1" x14ac:dyDescent="0.25"/>
    <row r="1350" s="20" customFormat="1" ht="15" customHeight="1" x14ac:dyDescent="0.25"/>
    <row r="1351" s="20" customFormat="1" ht="15" customHeight="1" x14ac:dyDescent="0.25"/>
    <row r="1352" s="20" customFormat="1" ht="15" customHeight="1" x14ac:dyDescent="0.25"/>
    <row r="1353" s="20" customFormat="1" ht="15" customHeight="1" x14ac:dyDescent="0.25"/>
    <row r="1354" s="20" customFormat="1" ht="15" customHeight="1" x14ac:dyDescent="0.25"/>
    <row r="1355" s="20" customFormat="1" ht="15" customHeight="1" x14ac:dyDescent="0.25"/>
    <row r="1356" s="20" customFormat="1" ht="15" customHeight="1" x14ac:dyDescent="0.25"/>
    <row r="1357" s="20" customFormat="1" ht="15" customHeight="1" x14ac:dyDescent="0.25"/>
    <row r="1358" s="20" customFormat="1" ht="15" customHeight="1" x14ac:dyDescent="0.25"/>
    <row r="1359" s="20" customFormat="1" ht="15" customHeight="1" x14ac:dyDescent="0.25"/>
    <row r="1360" s="20" customFormat="1" ht="15" customHeight="1" x14ac:dyDescent="0.25"/>
    <row r="1361" s="20" customFormat="1" ht="15" customHeight="1" x14ac:dyDescent="0.25"/>
    <row r="1362" s="20" customFormat="1" ht="15" customHeight="1" x14ac:dyDescent="0.25"/>
    <row r="1363" s="20" customFormat="1" ht="15" customHeight="1" x14ac:dyDescent="0.25"/>
    <row r="1364" s="20" customFormat="1" ht="15" customHeight="1" x14ac:dyDescent="0.25"/>
    <row r="1365" s="20" customFormat="1" ht="15" customHeight="1" x14ac:dyDescent="0.25"/>
    <row r="1366" s="20" customFormat="1" ht="15" customHeight="1" x14ac:dyDescent="0.25"/>
    <row r="1367" s="20" customFormat="1" ht="15" customHeight="1" x14ac:dyDescent="0.25"/>
    <row r="1368" s="20" customFormat="1" ht="15" customHeight="1" x14ac:dyDescent="0.25"/>
    <row r="1369" s="20" customFormat="1" ht="15" customHeight="1" x14ac:dyDescent="0.25"/>
    <row r="1370" s="20" customFormat="1" ht="15" customHeight="1" x14ac:dyDescent="0.25"/>
    <row r="1371" s="20" customFormat="1" ht="15" customHeight="1" x14ac:dyDescent="0.25"/>
    <row r="1372" s="20" customFormat="1" ht="15" customHeight="1" x14ac:dyDescent="0.25"/>
    <row r="1373" s="20" customFormat="1" ht="15" customHeight="1" x14ac:dyDescent="0.25"/>
    <row r="1374" s="20" customFormat="1" ht="15" customHeight="1" x14ac:dyDescent="0.25"/>
    <row r="1375" s="20" customFormat="1" ht="15" customHeight="1" x14ac:dyDescent="0.25"/>
    <row r="1376" s="20" customFormat="1" ht="15" customHeight="1" x14ac:dyDescent="0.25"/>
    <row r="1377" s="20" customFormat="1" ht="15" customHeight="1" x14ac:dyDescent="0.25"/>
    <row r="1378" s="20" customFormat="1" ht="15" customHeight="1" x14ac:dyDescent="0.25"/>
    <row r="1379" s="20" customFormat="1" ht="15" customHeight="1" x14ac:dyDescent="0.25"/>
    <row r="1380" s="20" customFormat="1" ht="15" customHeight="1" x14ac:dyDescent="0.25"/>
    <row r="1381" s="20" customFormat="1" ht="15" customHeight="1" x14ac:dyDescent="0.25"/>
    <row r="1382" s="20" customFormat="1" ht="15" customHeight="1" x14ac:dyDescent="0.25"/>
    <row r="1383" s="20" customFormat="1" ht="15" customHeight="1" x14ac:dyDescent="0.25"/>
    <row r="1384" s="20" customFormat="1" ht="15" customHeight="1" x14ac:dyDescent="0.25"/>
    <row r="1385" s="20" customFormat="1" ht="15" customHeight="1" x14ac:dyDescent="0.25"/>
    <row r="1386" s="20" customFormat="1" ht="15" customHeight="1" x14ac:dyDescent="0.25"/>
    <row r="1387" s="20" customFormat="1" ht="15" customHeight="1" x14ac:dyDescent="0.25"/>
    <row r="1388" s="20" customFormat="1" ht="15" customHeight="1" x14ac:dyDescent="0.25"/>
    <row r="1389" s="20" customFormat="1" ht="15" customHeight="1" x14ac:dyDescent="0.25"/>
    <row r="1390" s="20" customFormat="1" ht="15" customHeight="1" x14ac:dyDescent="0.25"/>
    <row r="1391" s="20" customFormat="1" ht="15" customHeight="1" x14ac:dyDescent="0.25"/>
    <row r="1392" s="20" customFormat="1" ht="15" customHeight="1" x14ac:dyDescent="0.25"/>
    <row r="1393" s="20" customFormat="1" ht="15" customHeight="1" x14ac:dyDescent="0.25"/>
    <row r="1394" s="20" customFormat="1" ht="15" customHeight="1" x14ac:dyDescent="0.25"/>
    <row r="1395" s="20" customFormat="1" ht="15" customHeight="1" x14ac:dyDescent="0.25"/>
    <row r="1396" s="20" customFormat="1" ht="15" customHeight="1" x14ac:dyDescent="0.25"/>
    <row r="1397" s="20" customFormat="1" ht="15" customHeight="1" x14ac:dyDescent="0.25"/>
    <row r="1398" s="20" customFormat="1" ht="15" customHeight="1" x14ac:dyDescent="0.25"/>
    <row r="1399" s="20" customFormat="1" ht="15" customHeight="1" x14ac:dyDescent="0.25"/>
    <row r="1400" s="20" customFormat="1" ht="15" customHeight="1" x14ac:dyDescent="0.25"/>
    <row r="1401" s="20" customFormat="1" ht="15" customHeight="1" x14ac:dyDescent="0.25"/>
  </sheetData>
  <mergeCells count="12">
    <mergeCell ref="AI4:AI5"/>
    <mergeCell ref="C13:AI13"/>
    <mergeCell ref="F14:H14"/>
    <mergeCell ref="J14:L14"/>
    <mergeCell ref="N14:P14"/>
    <mergeCell ref="R14:T14"/>
    <mergeCell ref="V14:X14"/>
    <mergeCell ref="Z14:AB14"/>
    <mergeCell ref="AD14:AF14"/>
    <mergeCell ref="C3:C4"/>
    <mergeCell ref="D3:AH3"/>
    <mergeCell ref="D4:AH4"/>
  </mergeCells>
  <phoneticPr fontId="19" type="noConversion"/>
  <conditionalFormatting sqref="D7:AH11">
    <cfRule type="expression" dxfId="470" priority="1" stopIfTrue="1">
      <formula>D7=KeyAutreStiuation</formula>
    </cfRule>
    <cfRule type="expression" dxfId="469" priority="2" stopIfTrue="1">
      <formula>D7=KeyChomageTech</formula>
    </cfRule>
    <cfRule type="expression" dxfId="468" priority="3" stopIfTrue="1">
      <formula>D7=KeyCustom2</formula>
    </cfRule>
    <cfRule type="expression" dxfId="467" priority="4" stopIfTrue="1">
      <formula>D7=KeyCustom1</formula>
    </cfRule>
    <cfRule type="expression" dxfId="466" priority="5" stopIfTrue="1">
      <formula>D7=KeySick</formula>
    </cfRule>
    <cfRule type="expression" dxfId="465" priority="6" stopIfTrue="1">
      <formula>D7=KeyPersonal</formula>
    </cfRule>
    <cfRule type="expression" dxfId="464" priority="7" stopIfTrue="1">
      <formula>D7=KeyVacation</formula>
    </cfRule>
  </conditionalFormatting>
  <conditionalFormatting sqref="AI7:AI11">
    <cfRule type="dataBar" priority="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{F4154922-372F-4518-B2C8-7492F11FEBE3}</x14:id>
        </ext>
      </extLst>
    </cfRule>
  </conditionalFormatting>
  <dataValidations count="1">
    <dataValidation type="list" allowBlank="1" showInputMessage="1" showErrorMessage="1" sqref="C5" xr:uid="{2502FA53-E23D-4602-8881-1EB51A17A9DD}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154922-372F-4518-B2C8-7492F11FEBE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AI7:AI11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12E088-20D7-4967-AEBF-AD2845381A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170</vt:i4>
      </vt:variant>
    </vt:vector>
  </HeadingPairs>
  <TitlesOfParts>
    <vt:vector size="18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Août!CalendarYear</vt:lpstr>
      <vt:lpstr>Avril!CalendarYear</vt:lpstr>
      <vt:lpstr>Décembre!CalendarYear</vt:lpstr>
      <vt:lpstr>Février!CalendarYear</vt:lpstr>
      <vt:lpstr>Juillet!CalendarYear</vt:lpstr>
      <vt:lpstr>Juin!CalendarYear</vt:lpstr>
      <vt:lpstr>Mai!CalendarYear</vt:lpstr>
      <vt:lpstr>Mars!CalendarYear</vt:lpstr>
      <vt:lpstr>Novembre!CalendarYear</vt:lpstr>
      <vt:lpstr>Octobre!CalendarYear</vt:lpstr>
      <vt:lpstr>Septembre!CalendarYear</vt:lpstr>
      <vt:lpstr>CalendarYear</vt:lpstr>
      <vt:lpstr>Août!KeyAutreStiuation</vt:lpstr>
      <vt:lpstr>Avril!KeyAutreStiuation</vt:lpstr>
      <vt:lpstr>Décembre!KeyAutreStiuation</vt:lpstr>
      <vt:lpstr>Février!KeyAutreStiuation</vt:lpstr>
      <vt:lpstr>Juillet!KeyAutreStiuation</vt:lpstr>
      <vt:lpstr>Juin!KeyAutreStiuation</vt:lpstr>
      <vt:lpstr>Mai!KeyAutreStiuation</vt:lpstr>
      <vt:lpstr>Mars!KeyAutreStiuation</vt:lpstr>
      <vt:lpstr>Novembre!KeyAutreStiuation</vt:lpstr>
      <vt:lpstr>Octobre!KeyAutreStiuation</vt:lpstr>
      <vt:lpstr>Septembre!KeyAutreStiuation</vt:lpstr>
      <vt:lpstr>KeyAutreStiuation</vt:lpstr>
      <vt:lpstr>Août!KeyChomageTech</vt:lpstr>
      <vt:lpstr>Avril!KeyChomageTech</vt:lpstr>
      <vt:lpstr>Décembre!KeyChomageTech</vt:lpstr>
      <vt:lpstr>Février!KeyChomageTech</vt:lpstr>
      <vt:lpstr>Juillet!KeyChomageTech</vt:lpstr>
      <vt:lpstr>Juin!KeyChomageTech</vt:lpstr>
      <vt:lpstr>Mai!KeyChomageTech</vt:lpstr>
      <vt:lpstr>Mars!KeyChomageTech</vt:lpstr>
      <vt:lpstr>Novembre!KeyChomageTech</vt:lpstr>
      <vt:lpstr>Octobre!KeyChomageTech</vt:lpstr>
      <vt:lpstr>Septembre!KeyChomageTech</vt:lpstr>
      <vt:lpstr>KeyChomageTech</vt:lpstr>
      <vt:lpstr>Août!KeyCustom1</vt:lpstr>
      <vt:lpstr>Avril!KeyCustom1</vt:lpstr>
      <vt:lpstr>Décembre!KeyCustom1</vt:lpstr>
      <vt:lpstr>Février!KeyCustom1</vt:lpstr>
      <vt:lpstr>Juillet!KeyCustom1</vt:lpstr>
      <vt:lpstr>Juin!KeyCustom1</vt:lpstr>
      <vt:lpstr>Mai!KeyCustom1</vt:lpstr>
      <vt:lpstr>Mars!KeyCustom1</vt:lpstr>
      <vt:lpstr>Novembre!KeyCustom1</vt:lpstr>
      <vt:lpstr>Octobre!KeyCustom1</vt:lpstr>
      <vt:lpstr>Septembre!KeyCustom1</vt:lpstr>
      <vt:lpstr>KeyCustom1</vt:lpstr>
      <vt:lpstr>Août!KeyCustom1Label</vt:lpstr>
      <vt:lpstr>Avril!KeyCustom1Label</vt:lpstr>
      <vt:lpstr>Décembre!KeyCustom1Label</vt:lpstr>
      <vt:lpstr>Février!KeyCustom1Label</vt:lpstr>
      <vt:lpstr>Juillet!KeyCustom1Label</vt:lpstr>
      <vt:lpstr>Juin!KeyCustom1Label</vt:lpstr>
      <vt:lpstr>Mai!KeyCustom1Label</vt:lpstr>
      <vt:lpstr>Mars!KeyCustom1Label</vt:lpstr>
      <vt:lpstr>Novembre!KeyCustom1Label</vt:lpstr>
      <vt:lpstr>Octobre!KeyCustom1Label</vt:lpstr>
      <vt:lpstr>Septembre!KeyCustom1Label</vt:lpstr>
      <vt:lpstr>KeyCustom1Label</vt:lpstr>
      <vt:lpstr>Août!KeyCustom2</vt:lpstr>
      <vt:lpstr>Avril!KeyCustom2</vt:lpstr>
      <vt:lpstr>Décembre!KeyCustom2</vt:lpstr>
      <vt:lpstr>Février!KeyCustom2</vt:lpstr>
      <vt:lpstr>Juillet!KeyCustom2</vt:lpstr>
      <vt:lpstr>Juin!KeyCustom2</vt:lpstr>
      <vt:lpstr>Mai!KeyCustom2</vt:lpstr>
      <vt:lpstr>Mars!KeyCustom2</vt:lpstr>
      <vt:lpstr>Novembre!KeyCustom2</vt:lpstr>
      <vt:lpstr>Octobre!KeyCustom2</vt:lpstr>
      <vt:lpstr>Septembre!KeyCustom2</vt:lpstr>
      <vt:lpstr>KeyCustom2</vt:lpstr>
      <vt:lpstr>Août!KeyCustom2Label</vt:lpstr>
      <vt:lpstr>Avril!KeyCustom2Label</vt:lpstr>
      <vt:lpstr>Décembre!KeyCustom2Label</vt:lpstr>
      <vt:lpstr>Février!KeyCustom2Label</vt:lpstr>
      <vt:lpstr>Juillet!KeyCustom2Label</vt:lpstr>
      <vt:lpstr>Juin!KeyCustom2Label</vt:lpstr>
      <vt:lpstr>Mai!KeyCustom2Label</vt:lpstr>
      <vt:lpstr>Mars!KeyCustom2Label</vt:lpstr>
      <vt:lpstr>Novembre!KeyCustom2Label</vt:lpstr>
      <vt:lpstr>Octobre!KeyCustom2Label</vt:lpstr>
      <vt:lpstr>Septembre!KeyCustom2Label</vt:lpstr>
      <vt:lpstr>KeyCustom2Label</vt:lpstr>
      <vt:lpstr>KeyNaissance</vt:lpstr>
      <vt:lpstr>Août!KeyPersonal</vt:lpstr>
      <vt:lpstr>Avril!KeyPersonal</vt:lpstr>
      <vt:lpstr>Décembre!KeyPersonal</vt:lpstr>
      <vt:lpstr>Février!KeyPersonal</vt:lpstr>
      <vt:lpstr>Juillet!KeyPersonal</vt:lpstr>
      <vt:lpstr>Juin!KeyPersonal</vt:lpstr>
      <vt:lpstr>Mai!KeyPersonal</vt:lpstr>
      <vt:lpstr>Mars!KeyPersonal</vt:lpstr>
      <vt:lpstr>Novembre!KeyPersonal</vt:lpstr>
      <vt:lpstr>Octobre!KeyPersonal</vt:lpstr>
      <vt:lpstr>Septembre!KeyPersonal</vt:lpstr>
      <vt:lpstr>KeyPersonal</vt:lpstr>
      <vt:lpstr>Août!KeyPersonalLabel</vt:lpstr>
      <vt:lpstr>Avril!KeyPersonalLabel</vt:lpstr>
      <vt:lpstr>Décembre!KeyPersonalLabel</vt:lpstr>
      <vt:lpstr>Février!KeyPersonalLabel</vt:lpstr>
      <vt:lpstr>Juillet!KeyPersonalLabel</vt:lpstr>
      <vt:lpstr>Juin!KeyPersonalLabel</vt:lpstr>
      <vt:lpstr>Mai!KeyPersonalLabel</vt:lpstr>
      <vt:lpstr>Mars!KeyPersonalLabel</vt:lpstr>
      <vt:lpstr>Novembre!KeyPersonalLabel</vt:lpstr>
      <vt:lpstr>Octobre!KeyPersonalLabel</vt:lpstr>
      <vt:lpstr>Septembre!KeyPersonalLabel</vt:lpstr>
      <vt:lpstr>KeyPersonalLabel</vt:lpstr>
      <vt:lpstr>Août!KeySick</vt:lpstr>
      <vt:lpstr>Avril!KeySick</vt:lpstr>
      <vt:lpstr>Décembre!KeySick</vt:lpstr>
      <vt:lpstr>Février!KeySick</vt:lpstr>
      <vt:lpstr>Juillet!KeySick</vt:lpstr>
      <vt:lpstr>Juin!KeySick</vt:lpstr>
      <vt:lpstr>Mai!KeySick</vt:lpstr>
      <vt:lpstr>Mars!KeySick</vt:lpstr>
      <vt:lpstr>Novembre!KeySick</vt:lpstr>
      <vt:lpstr>Octobre!KeySick</vt:lpstr>
      <vt:lpstr>Septembre!KeySick</vt:lpstr>
      <vt:lpstr>KeySick</vt:lpstr>
      <vt:lpstr>Août!KeySickLabel</vt:lpstr>
      <vt:lpstr>Avril!KeySickLabel</vt:lpstr>
      <vt:lpstr>Décembre!KeySickLabel</vt:lpstr>
      <vt:lpstr>Février!KeySickLabel</vt:lpstr>
      <vt:lpstr>Juillet!KeySickLabel</vt:lpstr>
      <vt:lpstr>Juin!KeySickLabel</vt:lpstr>
      <vt:lpstr>Mai!KeySickLabel</vt:lpstr>
      <vt:lpstr>Mars!KeySickLabel</vt:lpstr>
      <vt:lpstr>Novembre!KeySickLabel</vt:lpstr>
      <vt:lpstr>Octobre!KeySickLabel</vt:lpstr>
      <vt:lpstr>Septembre!KeySickLabel</vt:lpstr>
      <vt:lpstr>KeySickLabel</vt:lpstr>
      <vt:lpstr>Août!KeyVacation</vt:lpstr>
      <vt:lpstr>Avril!KeyVacation</vt:lpstr>
      <vt:lpstr>Décembre!KeyVacation</vt:lpstr>
      <vt:lpstr>Février!KeyVacation</vt:lpstr>
      <vt:lpstr>Juillet!KeyVacation</vt:lpstr>
      <vt:lpstr>Juin!KeyVacation</vt:lpstr>
      <vt:lpstr>Mai!KeyVacation</vt:lpstr>
      <vt:lpstr>Mars!KeyVacation</vt:lpstr>
      <vt:lpstr>Novembre!KeyVacation</vt:lpstr>
      <vt:lpstr>Octobre!KeyVacation</vt:lpstr>
      <vt:lpstr>Septembre!KeyVacation</vt:lpstr>
      <vt:lpstr>KeyVacation</vt:lpstr>
      <vt:lpstr>Août!KeyVacationLabel</vt:lpstr>
      <vt:lpstr>Avril!KeyVacationLabel</vt:lpstr>
      <vt:lpstr>Décembre!KeyVacationLabel</vt:lpstr>
      <vt:lpstr>Février!KeyVacationLabel</vt:lpstr>
      <vt:lpstr>Juillet!KeyVacationLabel</vt:lpstr>
      <vt:lpstr>Juin!KeyVacationLabel</vt:lpstr>
      <vt:lpstr>Mai!KeyVacationLabel</vt:lpstr>
      <vt:lpstr>Mars!KeyVacationLabel</vt:lpstr>
      <vt:lpstr>Novembre!KeyVacationLabel</vt:lpstr>
      <vt:lpstr>Octobre!KeyVacationLabel</vt:lpstr>
      <vt:lpstr>Septembre!KeyVacationLabel</vt:lpstr>
      <vt:lpstr>KeyVacationLabel</vt:lpstr>
      <vt:lpstr>Mois</vt:lpstr>
      <vt:lpstr>Août!MonthName</vt:lpstr>
      <vt:lpstr>Avril!MonthName</vt:lpstr>
      <vt:lpstr>Décembre!MonthName</vt:lpstr>
      <vt:lpstr>Février!MonthName</vt:lpstr>
      <vt:lpstr>Janvier!MonthName</vt:lpstr>
      <vt:lpstr>Juillet!MonthName</vt:lpstr>
      <vt:lpstr>Juin!MonthName</vt:lpstr>
      <vt:lpstr>Mai!MonthName</vt:lpstr>
      <vt:lpstr>Mars!MonthName</vt:lpstr>
      <vt:lpstr>Novembre!MonthName</vt:lpstr>
      <vt:lpstr>Octobre!MonthName</vt:lpstr>
      <vt:lpstr>Septembre!MonthName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FORCE YB</cp:lastModifiedBy>
  <cp:lastPrinted>2021-12-26T22:02:39Z</cp:lastPrinted>
  <dcterms:created xsi:type="dcterms:W3CDTF">2018-01-11T09:04:58Z</dcterms:created>
  <dcterms:modified xsi:type="dcterms:W3CDTF">2021-12-28T23:59:19Z</dcterms:modified>
</cp:coreProperties>
</file>