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D8D4488E-9551-47A7-A056-2F725134D278}" xr6:coauthVersionLast="47" xr6:coauthVersionMax="47" xr10:uidLastSave="{00000000-0000-0000-0000-000000000000}"/>
  <bookViews>
    <workbookView xWindow="9972" yWindow="180" windowWidth="15792" windowHeight="15192" tabRatio="761" xr2:uid="{00000000-000D-0000-FFFF-FFFF00000000}"/>
  </bookViews>
  <sheets>
    <sheet name="FACTURE" sheetId="3" r:id="rId1"/>
    <sheet name="BL" sheetId="4" r:id="rId2"/>
    <sheet name="AVOIR" sheetId="18" r:id="rId3"/>
    <sheet name="TARIF" sheetId="17" state="hidden" r:id="rId4"/>
    <sheet name="TARIF_P" sheetId="20" state="hidden" r:id="rId5"/>
    <sheet name="TARIF_RS" sheetId="21" state="hidden" r:id="rId6"/>
    <sheet name="TARIF_RV" sheetId="22" state="hidden" r:id="rId7"/>
  </sheets>
  <functionGroups builtInGroupCount="19"/>
  <externalReferences>
    <externalReference r:id="rId8"/>
  </externalReferences>
  <definedNames>
    <definedName name="BLDate" comment="Fichier FACTURE Champ BL en H9">BL!$H$9</definedName>
    <definedName name="BLNumero" comment="Fichier FACTURE Champ n° BL en H10">BL!$H$10</definedName>
    <definedName name="Categorie" comment="Pour le TABLEAU_BL">[1]!Categorie</definedName>
    <definedName name="ChoixBL" comment="Facture Liste ChoixBL en H8">BL!$L$8</definedName>
    <definedName name="Date">#REF!</definedName>
    <definedName name="Lot">#REF!</definedName>
    <definedName name="SEMAINES" comment="BL">OFFSET(FACTURE!$A$13,,MATCH(BL!$L$8,FACTURE!$B$12:$F$12,0),20)</definedName>
    <definedName name="TYPE">#REF!</definedName>
    <definedName name="_xlnm.Print_Area" comment="BL" localSheetId="1">BL!$A$1:$I$37</definedName>
    <definedName name="_xlnm.Print_Area" comment="FACTURE" localSheetId="0">FACTURE!$A$1:$H$44</definedName>
    <definedName name="_xlnm.Print_Area" localSheetId="4">TARIF_P!$A$1:$E$45</definedName>
    <definedName name="_xlnm.Print_Area" localSheetId="5">TARIF_RS!$A$1:$E$53</definedName>
    <definedName name="_xlnm.Print_Area" localSheetId="6">TARIF_RV!$A$1:$E$53</definedName>
    <definedName name="ZoneBL1" comment="BL">FACTURE!$A$40</definedName>
    <definedName name="ZoneBL2" comment="BL">FACTURE!$A$41</definedName>
    <definedName name="ZoneBL3" comment="BL">FACTURE!$A$42</definedName>
    <definedName name="ZoneBL4" comment="BL">FACTURE!$A$43</definedName>
    <definedName name="ZoneBL5" comment="BL">FACTURE!$A$44</definedName>
    <definedName name="ZoneBLDate" comment="BL">FACTURE!$G$9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6" i="20" l="1"/>
  <c r="E12" i="20"/>
  <c r="E13" i="20"/>
  <c r="E14" i="20"/>
  <c r="E15" i="20"/>
  <c r="E16" i="20"/>
  <c r="E17" i="20"/>
  <c r="E21" i="20"/>
  <c r="E20" i="20"/>
  <c r="E19" i="20"/>
  <c r="E18" i="20"/>
  <c r="H14" i="4" l="1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13" i="4"/>
  <c r="H13" i="4"/>
  <c r="G3" i="4" l="1"/>
  <c r="H10" i="18"/>
  <c r="H10" i="4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45" i="22"/>
  <c r="D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12" i="22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2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12" i="21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7" i="20"/>
  <c r="E38" i="20"/>
  <c r="E39" i="20"/>
  <c r="E40" i="20"/>
  <c r="E41" i="20"/>
  <c r="E42" i="20"/>
  <c r="E43" i="20"/>
  <c r="E44" i="20"/>
  <c r="E45" i="20"/>
  <c r="E2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12" i="20"/>
  <c r="B12" i="20"/>
  <c r="A49" i="3"/>
  <c r="G10" i="3"/>
  <c r="D57" i="3" s="1"/>
  <c r="N3" i="18"/>
  <c r="G17" i="3"/>
  <c r="H17" i="3" s="1"/>
  <c r="G16" i="3"/>
  <c r="H16" i="3" s="1"/>
  <c r="G15" i="3"/>
  <c r="H15" i="3" s="1"/>
  <c r="G14" i="3"/>
  <c r="H14" i="3" s="1"/>
  <c r="G13" i="3"/>
  <c r="H13" i="3" s="1"/>
  <c r="H3" i="20"/>
  <c r="H4" i="20"/>
  <c r="G3" i="20"/>
  <c r="G4" i="20"/>
  <c r="E8" i="22"/>
  <c r="E8" i="21"/>
  <c r="E8" i="20"/>
  <c r="G6" i="4"/>
  <c r="A50" i="3" a="1"/>
  <c r="A50" i="3" s="1"/>
  <c r="A51" i="3" a="1"/>
  <c r="A51" i="3" s="1"/>
  <c r="B35" i="4"/>
  <c r="H19" i="18"/>
  <c r="H21" i="18"/>
  <c r="H23" i="18"/>
  <c r="N17" i="18"/>
  <c r="D17" i="18"/>
  <c r="A17" i="18"/>
  <c r="H13" i="18"/>
  <c r="N2" i="18"/>
  <c r="G4" i="18"/>
  <c r="A32" i="4" a="1"/>
  <c r="A32" i="4" s="1"/>
  <c r="D32" i="4" s="1" a="1"/>
  <c r="D32" i="4" s="1"/>
  <c r="A31" i="4" a="1"/>
  <c r="A31" i="4" s="1"/>
  <c r="D31" i="4" s="1" a="1"/>
  <c r="D31" i="4" s="1"/>
  <c r="A30" i="4" a="1"/>
  <c r="A30" i="4" s="1"/>
  <c r="D30" i="4" s="1" a="1"/>
  <c r="D30" i="4" s="1"/>
  <c r="A29" i="4" a="1"/>
  <c r="A29" i="4" s="1"/>
  <c r="D29" i="4" s="1" a="1"/>
  <c r="D29" i="4" s="1"/>
  <c r="A28" i="4" a="1"/>
  <c r="A28" i="4" s="1"/>
  <c r="D28" i="4" s="1" a="1"/>
  <c r="D28" i="4" s="1"/>
  <c r="A27" i="4" a="1"/>
  <c r="A27" i="4" s="1"/>
  <c r="D27" i="4" s="1" a="1"/>
  <c r="D27" i="4" s="1"/>
  <c r="A26" i="4" a="1"/>
  <c r="A26" i="4" s="1"/>
  <c r="D26" i="4" s="1" a="1"/>
  <c r="D26" i="4" s="1"/>
  <c r="A25" i="4" a="1"/>
  <c r="A25" i="4" s="1"/>
  <c r="D25" i="4" s="1" a="1"/>
  <c r="D25" i="4" s="1"/>
  <c r="A24" i="4" a="1"/>
  <c r="A24" i="4" s="1"/>
  <c r="D24" i="4" s="1" a="1"/>
  <c r="D24" i="4" s="1"/>
  <c r="A23" i="4" a="1"/>
  <c r="A23" i="4" s="1"/>
  <c r="D23" i="4" s="1" a="1"/>
  <c r="D23" i="4" s="1"/>
  <c r="A22" i="4" a="1"/>
  <c r="A22" i="4" s="1"/>
  <c r="D22" i="4" s="1" a="1"/>
  <c r="D22" i="4" s="1"/>
  <c r="A21" i="4" a="1"/>
  <c r="A21" i="4" s="1"/>
  <c r="D21" i="4" s="1" a="1"/>
  <c r="D21" i="4" s="1"/>
  <c r="A20" i="4" a="1"/>
  <c r="A20" i="4" s="1"/>
  <c r="D20" i="4" s="1" a="1"/>
  <c r="D20" i="4" s="1"/>
  <c r="A19" i="4" a="1"/>
  <c r="A19" i="4" s="1"/>
  <c r="D19" i="4" s="1" a="1"/>
  <c r="D19" i="4" s="1"/>
  <c r="A18" i="4" a="1"/>
  <c r="A18" i="4" s="1"/>
  <c r="D18" i="4" s="1" a="1"/>
  <c r="D18" i="4" s="1"/>
  <c r="A17" i="4" a="1"/>
  <c r="A17" i="4" s="1"/>
  <c r="D17" i="4" s="1" a="1"/>
  <c r="D17" i="4" s="1"/>
  <c r="A16" i="4" a="1"/>
  <c r="A16" i="4" s="1"/>
  <c r="D16" i="4" s="1" a="1"/>
  <c r="D16" i="4" s="1"/>
  <c r="A15" i="4" a="1"/>
  <c r="A15" i="4" s="1"/>
  <c r="D15" i="4" s="1" a="1"/>
  <c r="D15" i="4" s="1"/>
  <c r="A14" i="4" a="1"/>
  <c r="A14" i="4" s="1"/>
  <c r="D14" i="4" s="1" a="1"/>
  <c r="D14" i="4" s="1"/>
  <c r="A13" i="4" a="1"/>
  <c r="A13" i="4" s="1"/>
  <c r="D13" i="4" s="1" a="1"/>
  <c r="D13" i="4" s="1"/>
  <c r="G4" i="4"/>
  <c r="C57" i="3"/>
  <c r="B57" i="3"/>
  <c r="G32" i="3"/>
  <c r="H32" i="3" s="1"/>
  <c r="G31" i="3"/>
  <c r="H31" i="3" s="1"/>
  <c r="G30" i="3"/>
  <c r="H30" i="3" s="1"/>
  <c r="G29" i="3"/>
  <c r="H29" i="3" s="1"/>
  <c r="G28" i="3"/>
  <c r="H28" i="3" s="1"/>
  <c r="G27" i="3"/>
  <c r="H27" i="3" s="1"/>
  <c r="G26" i="3"/>
  <c r="H26" i="3" s="1"/>
  <c r="G25" i="3"/>
  <c r="H25" i="3" s="1"/>
  <c r="G24" i="3"/>
  <c r="H24" i="3" s="1"/>
  <c r="G23" i="3"/>
  <c r="H23" i="3" s="1"/>
  <c r="G22" i="3"/>
  <c r="H22" i="3" s="1"/>
  <c r="G21" i="3"/>
  <c r="H21" i="3" s="1"/>
  <c r="G20" i="3"/>
  <c r="H20" i="3" s="1"/>
  <c r="G19" i="3"/>
  <c r="H19" i="3" s="1"/>
  <c r="G18" i="3"/>
  <c r="H18" i="3" s="1"/>
  <c r="S6" i="3"/>
  <c r="R6" i="3"/>
  <c r="Q6" i="3"/>
  <c r="P6" i="3"/>
  <c r="O6" i="3"/>
  <c r="G7" i="18"/>
  <c r="G6" i="18"/>
  <c r="G5" i="18"/>
  <c r="G3" i="18"/>
  <c r="A57" i="3"/>
  <c r="G5" i="4"/>
  <c r="G7" i="4"/>
  <c r="E25" i="18" a="1"/>
  <c r="G34" i="3" l="1"/>
  <c r="E25" i="18"/>
  <c r="A13" i="18"/>
  <c r="F35" i="4"/>
  <c r="B54" i="3" l="1" a="1"/>
  <c r="B54" i="3" s="1"/>
  <c r="E57" i="3"/>
  <c r="G35" i="3" l="1"/>
  <c r="F57" i="3" s="1"/>
  <c r="G36" i="3"/>
  <c r="G37" i="3" s="1"/>
  <c r="G57" i="3" l="1"/>
  <c r="D40" i="3" a="1"/>
  <c r="J6" i="3" l="1"/>
  <c r="D40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<sst xmlns="http://schemas.openxmlformats.org/spreadsheetml/2006/main" count="211" uniqueCount="142">
  <si>
    <t>SIRET : 812 657 492 000 11     –     N° TVA FR 968 126 574 92</t>
  </si>
  <si>
    <t>Téléphone :  06 71 48 15 30</t>
  </si>
  <si>
    <t>Email : auxcochonsdausson@gmail.com</t>
  </si>
  <si>
    <t>DESIGNATION DU PRODUIT</t>
  </si>
  <si>
    <t>POIDS</t>
  </si>
  <si>
    <t>DLC</t>
  </si>
  <si>
    <t>LOT</t>
  </si>
  <si>
    <t>Steeve et Clémence MARCE</t>
  </si>
  <si>
    <t>240 B Chemin de Barral – 26150 DIE</t>
  </si>
  <si>
    <t>L I V R A I S O N</t>
  </si>
  <si>
    <t>Prix TT - HT</t>
  </si>
  <si>
    <t>Prix au Kg</t>
  </si>
  <si>
    <t>TOTAL HT</t>
  </si>
  <si>
    <t>TOTAL TTC</t>
  </si>
  <si>
    <t>F A C T U R E</t>
  </si>
  <si>
    <t>POIDS TOTAL</t>
  </si>
  <si>
    <t>Cordialement.</t>
  </si>
  <si>
    <t>En votre aimable règlement,</t>
  </si>
  <si>
    <t>Date :</t>
  </si>
  <si>
    <t>Numéro :</t>
  </si>
  <si>
    <t>Coordonnées bancaires</t>
  </si>
  <si>
    <t>Adresse :</t>
  </si>
  <si>
    <t>CP - VILLE :</t>
  </si>
  <si>
    <t>Téléphone :</t>
  </si>
  <si>
    <t>Destinataire :</t>
  </si>
  <si>
    <t>CP -  VILLE</t>
  </si>
  <si>
    <t xml:space="preserve">N° CLIENT : </t>
  </si>
  <si>
    <t>N° de CLIENT :</t>
  </si>
  <si>
    <t>BL1</t>
  </si>
  <si>
    <t>BL2</t>
  </si>
  <si>
    <t>BL3</t>
  </si>
  <si>
    <t>BL4</t>
  </si>
  <si>
    <t>BL5</t>
  </si>
  <si>
    <t>NOMBRE DE PRODUIT</t>
  </si>
  <si>
    <t>Kg(s)</t>
  </si>
  <si>
    <t>Liste des bordereaux de livraison</t>
  </si>
  <si>
    <t>N° Client</t>
  </si>
  <si>
    <t>PRIX</t>
  </si>
  <si>
    <t>NON PAYEE</t>
  </si>
  <si>
    <t>PAYEE</t>
  </si>
  <si>
    <t>A V O I R</t>
  </si>
  <si>
    <t>PRESTATION</t>
  </si>
  <si>
    <t>Avoir sur la facture mentionnée ci-dessus</t>
  </si>
  <si>
    <t>Qté</t>
  </si>
  <si>
    <t>TVA</t>
  </si>
  <si>
    <t>TT HT</t>
  </si>
  <si>
    <t>Saisir le montant TTC</t>
  </si>
  <si>
    <t>Montant HT</t>
  </si>
  <si>
    <t>Aide au calcul du HT</t>
  </si>
  <si>
    <t>En votre aimable réception,</t>
  </si>
  <si>
    <t>Choisir le BL</t>
  </si>
  <si>
    <t>PRODUIT</t>
  </si>
  <si>
    <t xml:space="preserve"> </t>
  </si>
  <si>
    <t>Client</t>
  </si>
  <si>
    <t>Date</t>
  </si>
  <si>
    <t>N° Facture</t>
  </si>
  <si>
    <t>TT TVA</t>
  </si>
  <si>
    <t>TT TTC</t>
  </si>
  <si>
    <t>Etat</t>
  </si>
  <si>
    <t>ARAIGNEE</t>
  </si>
  <si>
    <t>BAVETTE</t>
  </si>
  <si>
    <t>BOUDIN</t>
  </si>
  <si>
    <t>CAILLETTES</t>
  </si>
  <si>
    <t>CAISSETTE DE VIANDE 15 KG</t>
  </si>
  <si>
    <t>CHAIR A SAUCISSE</t>
  </si>
  <si>
    <t>COTE DE PORC</t>
  </si>
  <si>
    <t>COTIS SALE</t>
  </si>
  <si>
    <t>DEMI PORC</t>
  </si>
  <si>
    <t>ECHINE DE PORC</t>
  </si>
  <si>
    <t>EPAULE ENTIERE 3D</t>
  </si>
  <si>
    <t>ESCALOPE DE PORC</t>
  </si>
  <si>
    <t>FILET MIGNON DE PORC</t>
  </si>
  <si>
    <t>FROMAGE DE TETE</t>
  </si>
  <si>
    <t>GODIVEAUX AUX HERBES</t>
  </si>
  <si>
    <t>GODIVEAUX AUX OLIVES NYONS</t>
  </si>
  <si>
    <t>GODIVEAUX NATURE</t>
  </si>
  <si>
    <t>GODIVEAUX PICODON AOC</t>
  </si>
  <si>
    <t>GORGES DE PORC</t>
  </si>
  <si>
    <t>GRILLADE PARISIENNE</t>
  </si>
  <si>
    <t>GROIN</t>
  </si>
  <si>
    <t>HAMPES</t>
  </si>
  <si>
    <t>JAMBON CUIT</t>
  </si>
  <si>
    <t>JAMBON ENTIER</t>
  </si>
  <si>
    <t>JARRET DE PORC</t>
  </si>
  <si>
    <t>JARRET DEMI SEL</t>
  </si>
  <si>
    <t>JOUES</t>
  </si>
  <si>
    <t>LONGE ENTIERE</t>
  </si>
  <si>
    <t>MERGUEZ DE PORC</t>
  </si>
  <si>
    <t>MURSON</t>
  </si>
  <si>
    <t>OREILLES</t>
  </si>
  <si>
    <t>PATE CROUTE</t>
  </si>
  <si>
    <t>PATE DE CAMPAGNE</t>
  </si>
  <si>
    <t>PIED  DE PORC</t>
  </si>
  <si>
    <t>POITRINE DE PORC</t>
  </si>
  <si>
    <t>POITRINE DEMI SEL</t>
  </si>
  <si>
    <t>PORC ENTIER</t>
  </si>
  <si>
    <t>QUEUE</t>
  </si>
  <si>
    <t>ROTI DE PORC (EPAULE)</t>
  </si>
  <si>
    <t>ROTI DE PORC (FILET)</t>
  </si>
  <si>
    <t>ROTI ECHINE</t>
  </si>
  <si>
    <t>ROTI FARCI</t>
  </si>
  <si>
    <t>ROUELLE DE PORC</t>
  </si>
  <si>
    <t>SAUCISSE A CUIRE NATURE</t>
  </si>
  <si>
    <t>SAUCISSE A CUIRE OLIVES NYONS</t>
  </si>
  <si>
    <t>SAUCISSE A GRILLER HERBES</t>
  </si>
  <si>
    <t>SAUCISSE A GRILLER NATURE</t>
  </si>
  <si>
    <t>SAUCISSE AUX HERBES</t>
  </si>
  <si>
    <t>SAUCISSON BRIOCHE</t>
  </si>
  <si>
    <t>SAUCISSON SEC PUR PORC</t>
  </si>
  <si>
    <t>SAUTE DE PORC</t>
  </si>
  <si>
    <t>SURPRISE</t>
  </si>
  <si>
    <t>TRAVERS DE PORC</t>
  </si>
  <si>
    <t>FOIE</t>
  </si>
  <si>
    <t>Le total TTC a été arrêté à la somme de</t>
  </si>
  <si>
    <t>PATE DE TETE</t>
  </si>
  <si>
    <t>CREPINE</t>
  </si>
  <si>
    <t>GODIVEAUX VIGNERON</t>
  </si>
  <si>
    <t>GODIVEAUX FENOUIL</t>
  </si>
  <si>
    <t>LISTE</t>
  </si>
  <si>
    <t>Ligne pour sauvegarder dans le fichier SUIVI DES FACTURES.XLSM les informations de la facture.</t>
  </si>
  <si>
    <t>RS</t>
  </si>
  <si>
    <t>REMISE</t>
  </si>
  <si>
    <t>RV</t>
  </si>
  <si>
    <t>Formule Remise</t>
  </si>
  <si>
    <r>
      <rPr>
        <u/>
        <sz val="10"/>
        <color theme="1"/>
        <rFont val="Calibri"/>
        <family val="2"/>
        <scheme val="minor"/>
      </rPr>
      <t>BIC :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AGRIFRPP839</t>
    </r>
  </si>
  <si>
    <r>
      <rPr>
        <u/>
        <sz val="10"/>
        <color theme="1"/>
        <rFont val="Calibri"/>
        <family val="2"/>
        <scheme val="minor"/>
      </rPr>
      <t>IBAN :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FR76 1390 6001 2685 0398 7336 807</t>
    </r>
  </si>
  <si>
    <r>
      <rPr>
        <u/>
        <sz val="10"/>
        <color theme="1"/>
        <rFont val="Calibri"/>
        <family val="2"/>
        <scheme val="minor"/>
      </rPr>
      <t>Banque :</t>
    </r>
    <r>
      <rPr>
        <b/>
        <sz val="10"/>
        <color theme="1"/>
        <rFont val="Calibri"/>
        <family val="2"/>
        <scheme val="minor"/>
      </rPr>
      <t xml:space="preserve"> CREDIT AGRICOLE</t>
    </r>
  </si>
  <si>
    <r>
      <rPr>
        <u/>
        <sz val="11"/>
        <color theme="1"/>
        <rFont val="Calibri"/>
        <family val="2"/>
        <scheme val="minor"/>
      </rPr>
      <t>Banque :</t>
    </r>
    <r>
      <rPr>
        <b/>
        <sz val="11"/>
        <color theme="1"/>
        <rFont val="Calibri"/>
        <family val="2"/>
        <scheme val="minor"/>
      </rPr>
      <t xml:space="preserve"> CREDIT AGRICOLE</t>
    </r>
  </si>
  <si>
    <r>
      <rPr>
        <u/>
        <sz val="11"/>
        <color theme="1"/>
        <rFont val="Calibri"/>
        <family val="2"/>
        <scheme val="minor"/>
      </rPr>
      <t>IBAN :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FR76 1390 6001 2685 0398 7336 807</t>
    </r>
  </si>
  <si>
    <r>
      <rPr>
        <u/>
        <sz val="11"/>
        <color theme="1"/>
        <rFont val="Calibri"/>
        <family val="2"/>
        <scheme val="minor"/>
      </rPr>
      <t>BIC :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AGRIFRPP839</t>
    </r>
  </si>
  <si>
    <t>T A R I F S</t>
  </si>
  <si>
    <t>Mise à jour au :</t>
  </si>
  <si>
    <t>RESTAURANT</t>
  </si>
  <si>
    <t>PARTICULIER</t>
  </si>
  <si>
    <t>PRIX TTC</t>
  </si>
  <si>
    <t>REVENDEUR</t>
  </si>
  <si>
    <t>.</t>
  </si>
  <si>
    <t>C:\FACTURE\PDF\AVOIR\</t>
  </si>
  <si>
    <t>SANG</t>
  </si>
  <si>
    <t>TVA 5,5%</t>
  </si>
  <si>
    <t>CHAUSSON</t>
  </si>
  <si>
    <t>CHORIZO A GRILLER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</si>
</sst>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#,##0.00\ &quot;€&quot;"/>
    <numFmt numFmtId="167" formatCode="0.000"/>
    <numFmt numFmtId="168" formatCode="0.0%"/>
    <numFmt numFmtId="169" formatCode="#,##0.000"/>
    <numFmt numFmtId="170" formatCode="#\ ##0.00"/>
    <numFmt numFmtId="171" formatCode="0.0000"/>
    <numFmt numFmtId="172" formatCode="#,##0.0000"/>
  </numFmts>
  <fonts count="3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 Unicode MS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rgb="FFEEFFDD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1C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164" fontId="27" fillId="0" borderId="0" applyFont="0" applyFill="0" applyBorder="0" applyAlignment="0" applyProtection="0"/>
  </cellStyleXfs>
  <cellXfs count="2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6" fontId="10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3" borderId="1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24" fillId="0" borderId="0" xfId="0" applyFont="1" applyAlignment="1">
      <alignment horizontal="center"/>
    </xf>
    <xf numFmtId="14" fontId="0" fillId="0" borderId="0" xfId="0" applyNumberFormat="1" applyAlignment="1">
      <alignment wrapText="1"/>
    </xf>
    <xf numFmtId="0" fontId="26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2" fontId="16" fillId="0" borderId="1" xfId="0" applyNumberFormat="1" applyFont="1" applyBorder="1" applyAlignment="1" applyProtection="1">
      <alignment horizontal="center" vertical="center"/>
      <protection locked="0"/>
    </xf>
    <xf numFmtId="0" fontId="0" fillId="0" borderId="6" xfId="0" applyBorder="1"/>
    <xf numFmtId="0" fontId="26" fillId="0" borderId="0" xfId="0" applyFont="1" applyAlignment="1">
      <alignment vertical="center"/>
    </xf>
    <xf numFmtId="0" fontId="0" fillId="0" borderId="17" xfId="0" applyBorder="1" applyAlignment="1">
      <alignment horizontal="centerContinuous"/>
    </xf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10" fillId="5" borderId="1" xfId="0" applyFont="1" applyFill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167" fontId="18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26" fillId="0" borderId="0" xfId="0" applyFont="1" applyAlignment="1" applyProtection="1">
      <alignment horizontal="left" vertical="center"/>
      <protection locked="0"/>
    </xf>
    <xf numFmtId="0" fontId="26" fillId="0" borderId="0" xfId="0" applyFont="1" applyAlignment="1" applyProtection="1">
      <alignment horizontal="center" vertical="center"/>
      <protection locked="0"/>
    </xf>
    <xf numFmtId="0" fontId="26" fillId="0" borderId="0" xfId="0" applyFont="1" applyProtection="1"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168" fontId="0" fillId="0" borderId="1" xfId="0" applyNumberFormat="1" applyBorder="1" applyAlignment="1" applyProtection="1">
      <alignment horizontal="center" vertical="center"/>
      <protection hidden="1"/>
    </xf>
    <xf numFmtId="169" fontId="12" fillId="0" borderId="1" xfId="0" applyNumberFormat="1" applyFont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0" fontId="1" fillId="3" borderId="20" xfId="0" applyFont="1" applyFill="1" applyBorder="1" applyAlignment="1">
      <alignment horizontal="center"/>
    </xf>
    <xf numFmtId="0" fontId="23" fillId="0" borderId="0" xfId="0" applyFont="1"/>
    <xf numFmtId="2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left"/>
    </xf>
    <xf numFmtId="0" fontId="2" fillId="0" borderId="0" xfId="0" applyFont="1" applyAlignment="1" applyProtection="1">
      <alignment horizontal="centerContinuous" vertical="center"/>
      <protection hidden="1"/>
    </xf>
    <xf numFmtId="0" fontId="0" fillId="0" borderId="0" xfId="0" applyAlignment="1" applyProtection="1">
      <alignment horizontal="centerContinuous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4" fillId="3" borderId="18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18" fillId="0" borderId="0" xfId="0" applyFont="1" applyAlignment="1" applyProtection="1">
      <alignment horizontal="centerContinuous" vertical="center"/>
      <protection hidden="1"/>
    </xf>
    <xf numFmtId="0" fontId="0" fillId="0" borderId="34" xfId="0" applyBorder="1" applyAlignment="1">
      <alignment horizontal="center" vertical="center"/>
    </xf>
    <xf numFmtId="0" fontId="31" fillId="0" borderId="35" xfId="0" applyFont="1" applyBorder="1" applyAlignment="1">
      <alignment vertical="center"/>
    </xf>
    <xf numFmtId="0" fontId="30" fillId="0" borderId="3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Continuous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0" fillId="0" borderId="38" xfId="0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1" applyAlignment="1">
      <alignment vertical="center"/>
    </xf>
    <xf numFmtId="14" fontId="2" fillId="0" borderId="0" xfId="0" applyNumberFormat="1" applyFont="1" applyAlignment="1">
      <alignment horizontal="right"/>
    </xf>
    <xf numFmtId="2" fontId="0" fillId="0" borderId="0" xfId="0" applyNumberFormat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23" fillId="0" borderId="2" xfId="0" applyFont="1" applyBorder="1"/>
    <xf numFmtId="2" fontId="23" fillId="0" borderId="3" xfId="0" applyNumberFormat="1" applyFon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23" fillId="4" borderId="2" xfId="0" applyFont="1" applyFill="1" applyBorder="1"/>
    <xf numFmtId="0" fontId="23" fillId="8" borderId="2" xfId="0" applyFont="1" applyFill="1" applyBorder="1" applyAlignment="1">
      <alignment horizontal="left"/>
    </xf>
    <xf numFmtId="14" fontId="10" fillId="0" borderId="0" xfId="0" applyNumberFormat="1" applyFont="1" applyAlignment="1">
      <alignment horizontal="center"/>
    </xf>
    <xf numFmtId="0" fontId="5" fillId="0" borderId="0" xfId="1"/>
    <xf numFmtId="4" fontId="21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alignment horizontal="center"/>
      <protection locked="0"/>
    </xf>
    <xf numFmtId="0" fontId="23" fillId="0" borderId="0" xfId="0" applyFont="1" applyAlignment="1">
      <alignment horizontal="center"/>
    </xf>
    <xf numFmtId="14" fontId="1" fillId="3" borderId="25" xfId="0" applyNumberFormat="1" applyFon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/>
    </xf>
    <xf numFmtId="0" fontId="12" fillId="0" borderId="0" xfId="0" applyFont="1"/>
    <xf numFmtId="171" fontId="12" fillId="0" borderId="0" xfId="0" applyNumberFormat="1" applyFont="1"/>
    <xf numFmtId="10" fontId="12" fillId="0" borderId="0" xfId="0" applyNumberFormat="1" applyFont="1" applyAlignment="1">
      <alignment horizontal="center"/>
    </xf>
    <xf numFmtId="1" fontId="12" fillId="9" borderId="41" xfId="0" applyNumberFormat="1" applyFont="1" applyFill="1" applyBorder="1" applyAlignment="1">
      <alignment horizontal="center" vertical="center"/>
    </xf>
    <xf numFmtId="1" fontId="12" fillId="9" borderId="31" xfId="0" applyNumberFormat="1" applyFont="1" applyFill="1" applyBorder="1" applyAlignment="1">
      <alignment horizontal="center" vertical="center"/>
    </xf>
    <xf numFmtId="1" fontId="12" fillId="9" borderId="23" xfId="0" applyNumberFormat="1" applyFont="1" applyFill="1" applyBorder="1" applyAlignment="1">
      <alignment horizontal="center" vertical="center"/>
    </xf>
    <xf numFmtId="166" fontId="10" fillId="9" borderId="13" xfId="0" applyNumberFormat="1" applyFont="1" applyFill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171" fontId="30" fillId="7" borderId="1" xfId="0" applyNumberFormat="1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30" fillId="7" borderId="1" xfId="0" applyFont="1" applyFill="1" applyBorder="1" applyAlignment="1">
      <alignment horizontal="center" vertical="center"/>
    </xf>
    <xf numFmtId="0" fontId="32" fillId="0" borderId="0" xfId="0" applyFont="1"/>
    <xf numFmtId="172" fontId="12" fillId="0" borderId="1" xfId="0" applyNumberFormat="1" applyFont="1" applyBorder="1" applyAlignment="1">
      <alignment horizontal="center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0" fontId="14" fillId="10" borderId="1" xfId="0" applyFont="1" applyFill="1" applyBorder="1" applyAlignment="1" applyProtection="1">
      <alignment horizontal="center" vertical="center"/>
      <protection locked="0"/>
    </xf>
    <xf numFmtId="0" fontId="20" fillId="4" borderId="0" xfId="0" applyFont="1" applyFill="1" applyAlignment="1">
      <alignment horizontal="right" vertical="center"/>
    </xf>
    <xf numFmtId="0" fontId="4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14" fontId="4" fillId="4" borderId="0" xfId="0" applyNumberFormat="1" applyFont="1" applyFill="1" applyAlignment="1" applyProtection="1">
      <alignment horizontal="centerContinuous" vertical="center"/>
      <protection locked="0"/>
    </xf>
    <xf numFmtId="0" fontId="4" fillId="4" borderId="0" xfId="0" applyFont="1" applyFill="1" applyAlignment="1" applyProtection="1">
      <alignment horizontal="centerContinuous" vertical="center"/>
      <protection locked="0"/>
    </xf>
    <xf numFmtId="165" fontId="4" fillId="4" borderId="0" xfId="0" applyNumberFormat="1" applyFont="1" applyFill="1" applyAlignment="1">
      <alignment horizontal="centerContinuous" vertical="center"/>
    </xf>
    <xf numFmtId="165" fontId="0" fillId="4" borderId="0" xfId="0" applyNumberFormat="1" applyFill="1" applyAlignment="1">
      <alignment horizontal="centerContinuous" vertical="center"/>
    </xf>
    <xf numFmtId="14" fontId="4" fillId="4" borderId="0" xfId="0" applyNumberFormat="1" applyFont="1" applyFill="1" applyAlignment="1">
      <alignment horizontal="center" vertical="center"/>
    </xf>
    <xf numFmtId="14" fontId="19" fillId="4" borderId="0" xfId="0" applyNumberFormat="1" applyFont="1" applyFill="1" applyAlignment="1">
      <alignment horizontal="center" vertical="center"/>
    </xf>
    <xf numFmtId="22" fontId="10" fillId="4" borderId="0" xfId="0" applyNumberFormat="1" applyFont="1" applyFill="1" applyAlignment="1">
      <alignment horizontal="center"/>
    </xf>
    <xf numFmtId="0" fontId="0" fillId="4" borderId="0" xfId="0" applyFill="1"/>
    <xf numFmtId="0" fontId="25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7" fillId="4" borderId="0" xfId="0" applyFont="1" applyFill="1" applyAlignment="1">
      <alignment horizontal="centerContinuous" vertical="center"/>
    </xf>
    <xf numFmtId="0" fontId="0" fillId="4" borderId="0" xfId="0" applyFill="1" applyProtection="1">
      <protection locked="0"/>
    </xf>
    <xf numFmtId="0" fontId="20" fillId="4" borderId="0" xfId="0" applyFont="1" applyFill="1" applyAlignment="1" applyProtection="1">
      <alignment horizontal="right" vertical="center"/>
      <protection locked="0"/>
    </xf>
    <xf numFmtId="0" fontId="4" fillId="4" borderId="0" xfId="0" applyFont="1" applyFill="1" applyAlignment="1">
      <alignment horizontal="center" vertical="center"/>
    </xf>
    <xf numFmtId="14" fontId="4" fillId="4" borderId="0" xfId="0" applyNumberFormat="1" applyFont="1" applyFill="1" applyAlignment="1">
      <alignment vertical="center"/>
    </xf>
    <xf numFmtId="0" fontId="0" fillId="4" borderId="0" xfId="0" applyFill="1" applyAlignment="1">
      <alignment vertical="center"/>
    </xf>
    <xf numFmtId="0" fontId="2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4" borderId="0" xfId="0" applyFont="1" applyFill="1" applyAlignment="1" applyProtection="1">
      <alignment horizontal="center" vertical="center"/>
      <protection hidden="1"/>
    </xf>
    <xf numFmtId="14" fontId="4" fillId="4" borderId="0" xfId="0" applyNumberFormat="1" applyFont="1" applyFill="1" applyAlignment="1" applyProtection="1">
      <alignment horizontal="center" vertical="center"/>
      <protection hidden="1"/>
    </xf>
    <xf numFmtId="0" fontId="0" fillId="4" borderId="0" xfId="0" applyFill="1" applyAlignment="1" applyProtection="1">
      <alignment horizontal="center" vertical="center"/>
      <protection hidden="1"/>
    </xf>
    <xf numFmtId="0" fontId="0" fillId="4" borderId="5" xfId="0" applyFill="1" applyBorder="1" applyAlignment="1">
      <alignment horizontal="centerContinuous"/>
    </xf>
    <xf numFmtId="0" fontId="0" fillId="4" borderId="7" xfId="0" applyFill="1" applyBorder="1" applyAlignment="1">
      <alignment horizontal="centerContinuous"/>
    </xf>
    <xf numFmtId="0" fontId="0" fillId="4" borderId="8" xfId="0" applyFill="1" applyBorder="1" applyAlignment="1">
      <alignment horizontal="centerContinuous"/>
    </xf>
    <xf numFmtId="0" fontId="0" fillId="4" borderId="9" xfId="0" applyFill="1" applyBorder="1" applyAlignment="1">
      <alignment horizontal="centerContinuous" wrapText="1"/>
    </xf>
    <xf numFmtId="0" fontId="0" fillId="4" borderId="10" xfId="0" applyFill="1" applyBorder="1" applyAlignment="1">
      <alignment horizontal="centerContinuous"/>
    </xf>
    <xf numFmtId="0" fontId="0" fillId="4" borderId="12" xfId="0" applyFill="1" applyBorder="1" applyAlignment="1">
      <alignment horizontal="centerContinuous" wrapText="1"/>
    </xf>
    <xf numFmtId="0" fontId="36" fillId="0" borderId="0" xfId="0" applyFont="1" applyAlignment="1">
      <alignment horizontal="left" vertical="center"/>
    </xf>
    <xf numFmtId="0" fontId="1" fillId="13" borderId="1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  <protection locked="0"/>
    </xf>
    <xf numFmtId="169" fontId="12" fillId="0" borderId="0" xfId="0" applyNumberFormat="1" applyFont="1" applyAlignment="1" applyProtection="1">
      <alignment horizontal="center" vertical="center"/>
      <protection locked="0"/>
    </xf>
    <xf numFmtId="4" fontId="21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" fontId="0" fillId="11" borderId="0" xfId="0" applyNumberFormat="1" applyFill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0" fillId="0" borderId="0" xfId="0"/>
    <xf numFmtId="166" fontId="33" fillId="0" borderId="21" xfId="0" applyNumberFormat="1" applyFont="1" applyBorder="1" applyAlignment="1">
      <alignment horizontal="center"/>
    </xf>
    <xf numFmtId="166" fontId="33" fillId="0" borderId="22" xfId="0" applyNumberFormat="1" applyFont="1" applyBorder="1" applyAlignment="1">
      <alignment horizontal="center"/>
    </xf>
    <xf numFmtId="166" fontId="33" fillId="0" borderId="2" xfId="0" applyNumberFormat="1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166" fontId="33" fillId="0" borderId="23" xfId="0" applyNumberFormat="1" applyFont="1" applyBorder="1" applyAlignment="1">
      <alignment horizontal="center" vertical="center"/>
    </xf>
    <xf numFmtId="166" fontId="33" fillId="0" borderId="32" xfId="0" applyNumberFormat="1" applyFont="1" applyBorder="1" applyAlignment="1">
      <alignment horizontal="center" vertical="center"/>
    </xf>
    <xf numFmtId="0" fontId="13" fillId="12" borderId="24" xfId="0" applyFont="1" applyFill="1" applyBorder="1" applyAlignment="1">
      <alignment horizontal="center" vertical="center"/>
    </xf>
    <xf numFmtId="0" fontId="13" fillId="12" borderId="25" xfId="0" applyFont="1" applyFill="1" applyBorder="1" applyAlignment="1">
      <alignment horizontal="center" vertical="center"/>
    </xf>
    <xf numFmtId="0" fontId="13" fillId="12" borderId="26" xfId="0" applyFont="1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13" fillId="12" borderId="3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 applyAlignment="1">
      <alignment horizontal="left" vertic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3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166" fontId="28" fillId="3" borderId="1" xfId="0" applyNumberFormat="1" applyFont="1" applyFill="1" applyBorder="1" applyAlignment="1">
      <alignment horizontal="center" vertical="center"/>
    </xf>
    <xf numFmtId="0" fontId="13" fillId="12" borderId="28" xfId="0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166" fontId="33" fillId="0" borderId="1" xfId="0" applyNumberFormat="1" applyFont="1" applyBorder="1" applyAlignment="1">
      <alignment horizontal="center" vertical="center"/>
    </xf>
    <xf numFmtId="166" fontId="33" fillId="0" borderId="27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11" borderId="0" xfId="0" applyFont="1" applyFill="1" applyAlignment="1" applyProtection="1">
      <alignment horizontal="center" vertical="center"/>
      <protection locked="0"/>
    </xf>
    <xf numFmtId="0" fontId="0" fillId="11" borderId="0" xfId="0" applyFill="1" applyProtection="1">
      <protection locked="0"/>
    </xf>
    <xf numFmtId="0" fontId="18" fillId="0" borderId="0" xfId="0" applyFont="1" applyAlignment="1">
      <alignment horizontal="left" vertical="center"/>
    </xf>
    <xf numFmtId="0" fontId="14" fillId="13" borderId="1" xfId="0" applyFont="1" applyFill="1" applyBorder="1" applyAlignment="1" applyProtection="1">
      <alignment horizontal="center" vertical="center"/>
      <protection locked="0"/>
    </xf>
    <xf numFmtId="0" fontId="15" fillId="13" borderId="1" xfId="0" applyFont="1" applyFill="1" applyBorder="1" applyProtection="1">
      <protection locked="0"/>
    </xf>
    <xf numFmtId="0" fontId="15" fillId="13" borderId="1" xfId="0" applyFont="1" applyFill="1" applyBorder="1" applyAlignment="1" applyProtection="1">
      <alignment horizontal="center" vertical="center"/>
      <protection locked="0"/>
    </xf>
    <xf numFmtId="167" fontId="18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7" fontId="34" fillId="0" borderId="0" xfId="0" applyNumberFormat="1" applyFont="1" applyAlignment="1">
      <alignment horizontal="right" vertical="center"/>
    </xf>
    <xf numFmtId="0" fontId="35" fillId="0" borderId="0" xfId="0" applyFont="1" applyAlignment="1">
      <alignment horizontal="right" vertical="center"/>
    </xf>
    <xf numFmtId="0" fontId="18" fillId="0" borderId="1" xfId="0" applyFont="1" applyBorder="1" applyAlignment="1">
      <alignment horizontal="left" vertical="center"/>
    </xf>
    <xf numFmtId="1" fontId="34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0" borderId="0" xfId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7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14" fontId="4" fillId="4" borderId="0" xfId="0" applyNumberFormat="1" applyFont="1" applyFill="1" applyAlignment="1">
      <alignment horizontal="center" vertical="center"/>
    </xf>
    <xf numFmtId="0" fontId="9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5" fontId="4" fillId="4" borderId="0" xfId="0" applyNumberFormat="1" applyFont="1" applyFill="1" applyAlignment="1">
      <alignment horizontal="center" vertical="center"/>
    </xf>
    <xf numFmtId="165" fontId="0" fillId="4" borderId="0" xfId="0" applyNumberFormat="1" applyFill="1" applyAlignment="1">
      <alignment horizontal="center"/>
    </xf>
    <xf numFmtId="0" fontId="2" fillId="0" borderId="8" xfId="0" applyFont="1" applyBorder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9" xfId="0" applyFont="1" applyBorder="1" applyAlignment="1" applyProtection="1">
      <alignment vertical="center"/>
      <protection hidden="1"/>
    </xf>
    <xf numFmtId="0" fontId="17" fillId="0" borderId="5" xfId="0" applyFont="1" applyBorder="1" applyAlignment="1" applyProtection="1">
      <alignment horizontal="center" vertical="center"/>
      <protection hidden="1"/>
    </xf>
    <xf numFmtId="0" fontId="17" fillId="0" borderId="6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/>
      <protection hidden="1"/>
    </xf>
    <xf numFmtId="0" fontId="8" fillId="6" borderId="2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Alignment="1" applyProtection="1">
      <alignment horizontal="center" vertical="center"/>
      <protection locked="0"/>
    </xf>
    <xf numFmtId="166" fontId="33" fillId="0" borderId="1" xfId="2" applyNumberFormat="1" applyFont="1" applyFill="1" applyBorder="1" applyAlignment="1" applyProtection="1">
      <alignment horizontal="center"/>
      <protection hidden="1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0" fontId="14" fillId="10" borderId="4" xfId="0" applyFont="1" applyFill="1" applyBorder="1" applyAlignment="1" applyProtection="1">
      <alignment horizontal="center" vertical="center"/>
      <protection locked="0"/>
    </xf>
    <xf numFmtId="0" fontId="14" fillId="10" borderId="3" xfId="0" applyFont="1" applyFill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/>
      <protection hidden="1"/>
    </xf>
    <xf numFmtId="0" fontId="18" fillId="0" borderId="4" xfId="0" applyFont="1" applyBorder="1" applyAlignment="1" applyProtection="1">
      <alignment horizontal="center" vertical="center"/>
      <protection hidden="1"/>
    </xf>
    <xf numFmtId="0" fontId="18" fillId="0" borderId="3" xfId="0" applyFont="1" applyBorder="1" applyAlignment="1" applyProtection="1">
      <alignment horizontal="center" vertical="center"/>
      <protection hidden="1"/>
    </xf>
    <xf numFmtId="166" fontId="33" fillId="0" borderId="1" xfId="0" applyNumberFormat="1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2" fillId="0" borderId="9" xfId="0" applyFont="1" applyBorder="1" applyAlignment="1" applyProtection="1">
      <alignment horizontal="left" vertical="center"/>
      <protection hidden="1"/>
    </xf>
    <xf numFmtId="0" fontId="2" fillId="0" borderId="10" xfId="0" applyFont="1" applyBorder="1" applyAlignment="1" applyProtection="1">
      <alignment horizontal="left" vertical="center"/>
      <protection hidden="1"/>
    </xf>
    <xf numFmtId="0" fontId="2" fillId="0" borderId="11" xfId="0" applyFont="1" applyBorder="1" applyAlignment="1" applyProtection="1">
      <alignment horizontal="left" vertical="center"/>
      <protection hidden="1"/>
    </xf>
    <xf numFmtId="0" fontId="2" fillId="0" borderId="12" xfId="0" applyFont="1" applyBorder="1" applyAlignment="1" applyProtection="1">
      <alignment horizontal="left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0" fontId="0" fillId="4" borderId="0" xfId="0" applyFill="1" applyAlignment="1" applyProtection="1">
      <alignment horizontal="center"/>
      <protection hidden="1"/>
    </xf>
    <xf numFmtId="14" fontId="9" fillId="0" borderId="15" xfId="0" applyNumberFormat="1" applyFont="1" applyBorder="1" applyAlignment="1" applyProtection="1">
      <alignment horizontal="right" vertical="center"/>
      <protection hidden="1"/>
    </xf>
    <xf numFmtId="14" fontId="9" fillId="0" borderId="16" xfId="0" applyNumberFormat="1" applyFont="1" applyBorder="1" applyAlignment="1" applyProtection="1">
      <alignment horizontal="right" vertical="center"/>
      <protection hidden="1"/>
    </xf>
    <xf numFmtId="14" fontId="9" fillId="0" borderId="16" xfId="0" applyNumberFormat="1" applyFont="1" applyBorder="1" applyAlignment="1" applyProtection="1">
      <alignment horizontal="left" vertical="center"/>
      <protection hidden="1"/>
    </xf>
    <xf numFmtId="14" fontId="9" fillId="0" borderId="17" xfId="0" applyNumberFormat="1" applyFont="1" applyBorder="1" applyAlignment="1" applyProtection="1">
      <alignment horizontal="left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165" fontId="4" fillId="4" borderId="0" xfId="0" applyNumberFormat="1" applyFont="1" applyFill="1" applyAlignment="1" applyProtection="1">
      <alignment horizontal="center" vertical="center"/>
      <protection hidden="1"/>
    </xf>
    <xf numFmtId="165" fontId="0" fillId="4" borderId="0" xfId="0" applyNumberFormat="1" applyFill="1" applyAlignment="1" applyProtection="1">
      <alignment horizontal="center"/>
      <protection hidden="1"/>
    </xf>
    <xf numFmtId="0" fontId="7" fillId="7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EEFFDD"/>
      <color rgb="FFFFF7DD"/>
      <color rgb="FFFFF1C5"/>
      <color rgb="FFFFFFCC"/>
      <color rgb="FFFFFFEB"/>
      <color rgb="FFE3EFF9"/>
      <color rgb="FFFDFED6"/>
      <color rgb="FFE5FFCB"/>
      <color rgb="FFCCFF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1003</xdr:colOff>
      <xdr:row>2</xdr:row>
      <xdr:rowOff>9525</xdr:rowOff>
    </xdr:from>
    <xdr:to>
      <xdr:col>7</xdr:col>
      <xdr:colOff>824280</xdr:colOff>
      <xdr:row>7</xdr:row>
      <xdr:rowOff>19050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082885" y="843458"/>
          <a:ext cx="2952000" cy="960501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1002</xdr:colOff>
      <xdr:row>0</xdr:row>
      <xdr:rowOff>24155</xdr:rowOff>
    </xdr:from>
    <xdr:to>
      <xdr:col>7</xdr:col>
      <xdr:colOff>824279</xdr:colOff>
      <xdr:row>1</xdr:row>
      <xdr:rowOff>24155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82884" y="24155"/>
          <a:ext cx="2952000" cy="702259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1002</xdr:colOff>
      <xdr:row>8</xdr:row>
      <xdr:rowOff>0</xdr:rowOff>
    </xdr:from>
    <xdr:to>
      <xdr:col>7</xdr:col>
      <xdr:colOff>824279</xdr:colOff>
      <xdr:row>10</xdr:row>
      <xdr:rowOff>28575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4082884" y="1923898"/>
          <a:ext cx="2952000" cy="39433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42926</xdr:colOff>
      <xdr:row>26</xdr:row>
      <xdr:rowOff>173126</xdr:rowOff>
    </xdr:from>
    <xdr:to>
      <xdr:col>15</xdr:col>
      <xdr:colOff>78106</xdr:colOff>
      <xdr:row>29</xdr:row>
      <xdr:rowOff>81915</xdr:rowOff>
    </xdr:to>
    <xdr:sp macro="[0]!LancerFormulaireProduit" textlink="">
      <xdr:nvSpPr>
        <xdr:cNvPr id="2" name="Ellipse 7">
          <a:extLst>
            <a:ext uri="{FF2B5EF4-FFF2-40B4-BE49-F238E27FC236}">
              <a16:creationId xmlns:a16="http://schemas.microsoft.com/office/drawing/2014/main" id="{D8C16486-386D-4859-A698-C92740133AC7}"/>
            </a:ext>
          </a:extLst>
        </xdr:cNvPr>
        <xdr:cNvSpPr/>
      </xdr:nvSpPr>
      <xdr:spPr>
        <a:xfrm>
          <a:off x="6862826" y="6520586"/>
          <a:ext cx="1406780" cy="708889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>
              <a:solidFill>
                <a:srgbClr val="FF0000"/>
              </a:solidFill>
            </a:rPr>
            <a:t>Produits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9</xdr:col>
      <xdr:colOff>51917</xdr:colOff>
      <xdr:row>22</xdr:row>
      <xdr:rowOff>180486</xdr:rowOff>
    </xdr:from>
    <xdr:to>
      <xdr:col>15</xdr:col>
      <xdr:colOff>77145</xdr:colOff>
      <xdr:row>25</xdr:row>
      <xdr:rowOff>218444</xdr:rowOff>
    </xdr:to>
    <xdr:sp macro="[0]!QUITTER" textlink="">
      <xdr:nvSpPr>
        <xdr:cNvPr id="3" name="Ellipse 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337856" y="5425484"/>
          <a:ext cx="1476000" cy="828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QUITTER</a:t>
          </a:r>
        </a:p>
      </xdr:txBody>
    </xdr:sp>
    <xdr:clientData fPrintsWithSheet="0"/>
  </xdr:twoCellAnchor>
  <xdr:twoCellAnchor editAs="absolute">
    <xdr:from>
      <xdr:col>9</xdr:col>
      <xdr:colOff>40912</xdr:colOff>
      <xdr:row>15</xdr:row>
      <xdr:rowOff>125437</xdr:rowOff>
    </xdr:from>
    <xdr:to>
      <xdr:col>15</xdr:col>
      <xdr:colOff>66140</xdr:colOff>
      <xdr:row>18</xdr:row>
      <xdr:rowOff>163395</xdr:rowOff>
    </xdr:to>
    <xdr:sp macro="[0]!ImprimeFacture" textlink="">
      <xdr:nvSpPr>
        <xdr:cNvPr id="17" name="Ellips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7326851" y="3527005"/>
          <a:ext cx="1476000" cy="828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absolute">
    <xdr:from>
      <xdr:col>9</xdr:col>
      <xdr:colOff>33662</xdr:colOff>
      <xdr:row>11</xdr:row>
      <xdr:rowOff>205247</xdr:rowOff>
    </xdr:from>
    <xdr:to>
      <xdr:col>15</xdr:col>
      <xdr:colOff>22890</xdr:colOff>
      <xdr:row>14</xdr:row>
      <xdr:rowOff>243205</xdr:rowOff>
    </xdr:to>
    <xdr:sp macro="[0]!Enregistre_Saisies" textlink="">
      <xdr:nvSpPr>
        <xdr:cNvPr id="30" name="Ellipse 4" hidden="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7319601" y="2553426"/>
          <a:ext cx="1440000" cy="828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 2, 3,</a:t>
          </a:r>
          <a:r>
            <a:rPr lang="fr-FR" sz="1600" b="1" baseline="0">
              <a:solidFill>
                <a:schemeClr val="bg1"/>
              </a:solidFill>
            </a:rPr>
            <a:t> ...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9</xdr:col>
      <xdr:colOff>40912</xdr:colOff>
      <xdr:row>11</xdr:row>
      <xdr:rowOff>212562</xdr:rowOff>
    </xdr:from>
    <xdr:to>
      <xdr:col>15</xdr:col>
      <xdr:colOff>66140</xdr:colOff>
      <xdr:row>14</xdr:row>
      <xdr:rowOff>250520</xdr:rowOff>
    </xdr:to>
    <xdr:sp macro="[0]!SauveNouvelleFacture" textlink="">
      <xdr:nvSpPr>
        <xdr:cNvPr id="18" name="Ellipse 3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7326851" y="2560741"/>
          <a:ext cx="1476000" cy="828000"/>
        </a:xfrm>
        <a:prstGeom prst="ellipse">
          <a:avLst/>
        </a:prstGeom>
        <a:ln w="38100" cmpd="dbl">
          <a:gradFill>
            <a:gsLst>
              <a:gs pos="0">
                <a:schemeClr val="accent2">
                  <a:lumMod val="60000"/>
                  <a:lumOff val="40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BL1</a:t>
          </a:r>
        </a:p>
      </xdr:txBody>
    </xdr:sp>
    <xdr:clientData fPrintsWithSheet="0"/>
  </xdr:twoCellAnchor>
  <xdr:twoCellAnchor editAs="absolute">
    <xdr:from>
      <xdr:col>15</xdr:col>
      <xdr:colOff>60561</xdr:colOff>
      <xdr:row>16</xdr:row>
      <xdr:rowOff>30340</xdr:rowOff>
    </xdr:from>
    <xdr:to>
      <xdr:col>19</xdr:col>
      <xdr:colOff>223847</xdr:colOff>
      <xdr:row>21</xdr:row>
      <xdr:rowOff>9604</xdr:rowOff>
    </xdr:to>
    <xdr:sp macro="[0]!Effacer" textlink="">
      <xdr:nvSpPr>
        <xdr:cNvPr id="31" name="Ellipse 2" hidden="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8804587" y="3695255"/>
          <a:ext cx="1296000" cy="1296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REMISE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ZERO</a:t>
          </a:r>
        </a:p>
      </xdr:txBody>
    </xdr:sp>
    <xdr:clientData fPrintsWithSheet="0"/>
  </xdr:twoCellAnchor>
  <xdr:twoCellAnchor editAs="absolute">
    <xdr:from>
      <xdr:col>9</xdr:col>
      <xdr:colOff>51917</xdr:colOff>
      <xdr:row>19</xdr:row>
      <xdr:rowOff>19551</xdr:rowOff>
    </xdr:from>
    <xdr:to>
      <xdr:col>15</xdr:col>
      <xdr:colOff>77145</xdr:colOff>
      <xdr:row>22</xdr:row>
      <xdr:rowOff>57510</xdr:rowOff>
    </xdr:to>
    <xdr:sp macro="[0]!Facture_Finie" textlink="">
      <xdr:nvSpPr>
        <xdr:cNvPr id="32" name="Ellipse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7337856" y="4474508"/>
          <a:ext cx="1476000" cy="828000"/>
        </a:xfrm>
        <a:prstGeom prst="ellipse">
          <a:avLst/>
        </a:prstGeom>
        <a:gradFill>
          <a:gsLst>
            <a:gs pos="0">
              <a:srgbClr val="F9775D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FACTURE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FINIE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oneCell">
    <xdr:from>
      <xdr:col>0</xdr:col>
      <xdr:colOff>352425</xdr:colOff>
      <xdr:row>0</xdr:row>
      <xdr:rowOff>219075</xdr:rowOff>
    </xdr:from>
    <xdr:to>
      <xdr:col>3</xdr:col>
      <xdr:colOff>114300</xdr:colOff>
      <xdr:row>2</xdr:row>
      <xdr:rowOff>95936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219075"/>
          <a:ext cx="2838450" cy="685800"/>
        </a:xfrm>
        <a:prstGeom prst="rect">
          <a:avLst/>
        </a:prstGeom>
      </xdr:spPr>
    </xdr:pic>
    <xdr:clientData/>
  </xdr:twoCellAnchor>
  <xdr:twoCellAnchor editAs="oneCell">
    <xdr:from>
      <xdr:col>9</xdr:col>
      <xdr:colOff>343814</xdr:colOff>
      <xdr:row>0</xdr:row>
      <xdr:rowOff>307239</xdr:rowOff>
    </xdr:from>
    <xdr:to>
      <xdr:col>9</xdr:col>
      <xdr:colOff>987552</xdr:colOff>
      <xdr:row>2</xdr:row>
      <xdr:rowOff>146305</xdr:rowOff>
    </xdr:to>
    <xdr:pic macro="[0]!MessageOutlook">
      <xdr:nvPicPr>
        <xdr:cNvPr id="7" name="Graphique 6" descr="Adresse de courrier avec un remplissage uni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629753" y="307239"/>
          <a:ext cx="643738" cy="6437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219075</xdr:rowOff>
    </xdr:from>
    <xdr:to>
      <xdr:col>4</xdr:col>
      <xdr:colOff>333375</xdr:colOff>
      <xdr:row>1</xdr:row>
      <xdr:rowOff>171450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19075"/>
          <a:ext cx="3123438" cy="683895"/>
        </a:xfrm>
        <a:prstGeom prst="rect">
          <a:avLst/>
        </a:prstGeom>
      </xdr:spPr>
    </xdr:pic>
    <xdr:clientData/>
  </xdr:twoCellAnchor>
  <xdr:twoCellAnchor>
    <xdr:from>
      <xdr:col>4</xdr:col>
      <xdr:colOff>769589</xdr:colOff>
      <xdr:row>0</xdr:row>
      <xdr:rowOff>9525</xdr:rowOff>
    </xdr:from>
    <xdr:to>
      <xdr:col>8</xdr:col>
      <xdr:colOff>763944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988277" y="9525"/>
          <a:ext cx="3096000" cy="73152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755339</xdr:colOff>
      <xdr:row>2</xdr:row>
      <xdr:rowOff>0</xdr:rowOff>
    </xdr:from>
    <xdr:to>
      <xdr:col>8</xdr:col>
      <xdr:colOff>758054</xdr:colOff>
      <xdr:row>7</xdr:row>
      <xdr:rowOff>9525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974027" y="914400"/>
          <a:ext cx="3104360" cy="960501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768924</xdr:colOff>
      <xdr:row>8</xdr:row>
      <xdr:rowOff>9526</xdr:rowOff>
    </xdr:from>
    <xdr:to>
      <xdr:col>8</xdr:col>
      <xdr:colOff>765939</xdr:colOff>
      <xdr:row>10</xdr:row>
      <xdr:rowOff>9526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987612" y="2224036"/>
          <a:ext cx="3096000" cy="36576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716280</xdr:colOff>
      <xdr:row>32</xdr:row>
      <xdr:rowOff>365760</xdr:rowOff>
    </xdr:from>
    <xdr:to>
      <xdr:col>8</xdr:col>
      <xdr:colOff>15239</xdr:colOff>
      <xdr:row>35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733800" y="8732520"/>
          <a:ext cx="2194559" cy="81724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32</xdr:row>
      <xdr:rowOff>371475</xdr:rowOff>
    </xdr:from>
    <xdr:to>
      <xdr:col>4</xdr:col>
      <xdr:colOff>14288</xdr:colOff>
      <xdr:row>35</xdr:row>
      <xdr:rowOff>9525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785813" y="8734425"/>
          <a:ext cx="224790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0</xdr:colOff>
      <xdr:row>11</xdr:row>
      <xdr:rowOff>0</xdr:rowOff>
    </xdr:from>
    <xdr:to>
      <xdr:col>12</xdr:col>
      <xdr:colOff>123264</xdr:colOff>
      <xdr:row>14</xdr:row>
      <xdr:rowOff>37959</xdr:rowOff>
    </xdr:to>
    <xdr:sp macro="[0]!Insere_Date_BL" textlink="">
      <xdr:nvSpPr>
        <xdr:cNvPr id="11" name="Ellipse 7" hidden="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573414" y="2765146"/>
          <a:ext cx="1440000" cy="828000"/>
        </a:xfrm>
        <a:prstGeom prst="ellipse">
          <a:avLst/>
        </a:prstGeom>
        <a:ln w="41275">
          <a:solidFill>
            <a:schemeClr val="accent2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11</xdr:col>
      <xdr:colOff>0</xdr:colOff>
      <xdr:row>14</xdr:row>
      <xdr:rowOff>201245</xdr:rowOff>
    </xdr:from>
    <xdr:to>
      <xdr:col>12</xdr:col>
      <xdr:colOff>123264</xdr:colOff>
      <xdr:row>17</xdr:row>
      <xdr:rowOff>239203</xdr:rowOff>
    </xdr:to>
    <xdr:sp macro="[0]!ImpressionBL" textlink="">
      <xdr:nvSpPr>
        <xdr:cNvPr id="12" name="Ellipse 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8023860" y="3767405"/>
          <a:ext cx="1357704" cy="838058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12</xdr:col>
      <xdr:colOff>371475</xdr:colOff>
      <xdr:row>5</xdr:row>
      <xdr:rowOff>133350</xdr:rowOff>
    </xdr:from>
    <xdr:to>
      <xdr:col>14</xdr:col>
      <xdr:colOff>696073</xdr:colOff>
      <xdr:row>8</xdr:row>
      <xdr:rowOff>66945</xdr:rowOff>
    </xdr:to>
    <xdr:pic>
      <xdr:nvPicPr>
        <xdr:cNvPr id="3" name="Image 1" hidden="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48675" y="1628775"/>
          <a:ext cx="1848597" cy="667020"/>
        </a:xfrm>
        <a:prstGeom prst="rect">
          <a:avLst/>
        </a:prstGeom>
      </xdr:spPr>
    </xdr:pic>
    <xdr:clientData/>
  </xdr:twoCellAnchor>
  <xdr:twoCellAnchor editAs="oneCell">
    <xdr:from>
      <xdr:col>12</xdr:col>
      <xdr:colOff>409575</xdr:colOff>
      <xdr:row>5</xdr:row>
      <xdr:rowOff>123825</xdr:rowOff>
    </xdr:from>
    <xdr:to>
      <xdr:col>14</xdr:col>
      <xdr:colOff>734173</xdr:colOff>
      <xdr:row>8</xdr:row>
      <xdr:rowOff>57420</xdr:rowOff>
    </xdr:to>
    <xdr:pic>
      <xdr:nvPicPr>
        <xdr:cNvPr id="13" name="Image 1" hidden="1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1619250"/>
          <a:ext cx="1848597" cy="667020"/>
        </a:xfrm>
        <a:prstGeom prst="rect">
          <a:avLst/>
        </a:prstGeom>
      </xdr:spPr>
    </xdr:pic>
    <xdr:clientData/>
  </xdr:twoCellAnchor>
  <xdr:twoCellAnchor>
    <xdr:from>
      <xdr:col>11</xdr:col>
      <xdr:colOff>298092</xdr:colOff>
      <xdr:row>18</xdr:row>
      <xdr:rowOff>198120</xdr:rowOff>
    </xdr:from>
    <xdr:to>
      <xdr:col>11</xdr:col>
      <xdr:colOff>1090092</xdr:colOff>
      <xdr:row>21</xdr:row>
      <xdr:rowOff>190020</xdr:rowOff>
    </xdr:to>
    <xdr:sp macro="[0]!RAZ" textlink="">
      <xdr:nvSpPr>
        <xdr:cNvPr id="2" name="Ellipse 1">
          <a:extLst>
            <a:ext uri="{FF2B5EF4-FFF2-40B4-BE49-F238E27FC236}">
              <a16:creationId xmlns:a16="http://schemas.microsoft.com/office/drawing/2014/main" id="{C94BE291-0C9A-93D1-18C5-75E1B54299A9}"/>
            </a:ext>
          </a:extLst>
        </xdr:cNvPr>
        <xdr:cNvSpPr/>
      </xdr:nvSpPr>
      <xdr:spPr>
        <a:xfrm>
          <a:off x="8321952" y="4831080"/>
          <a:ext cx="792000" cy="792000"/>
        </a:xfrm>
        <a:prstGeom prst="ellipse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RAZ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219075</xdr:rowOff>
    </xdr:from>
    <xdr:to>
      <xdr:col>4</xdr:col>
      <xdr:colOff>333375</xdr:colOff>
      <xdr:row>1</xdr:row>
      <xdr:rowOff>171450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19075"/>
          <a:ext cx="2838450" cy="685800"/>
        </a:xfrm>
        <a:prstGeom prst="rect">
          <a:avLst/>
        </a:prstGeom>
      </xdr:spPr>
    </xdr:pic>
    <xdr:clientData/>
  </xdr:twoCellAnchor>
  <xdr:twoCellAnchor>
    <xdr:from>
      <xdr:col>4</xdr:col>
      <xdr:colOff>758952</xdr:colOff>
      <xdr:row>0</xdr:row>
      <xdr:rowOff>9525</xdr:rowOff>
    </xdr:from>
    <xdr:to>
      <xdr:col>8</xdr:col>
      <xdr:colOff>758952</xdr:colOff>
      <xdr:row>1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77640" y="9525"/>
          <a:ext cx="3095485" cy="73152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758951</xdr:colOff>
      <xdr:row>1</xdr:row>
      <xdr:rowOff>168250</xdr:rowOff>
    </xdr:from>
    <xdr:to>
      <xdr:col>8</xdr:col>
      <xdr:colOff>761006</xdr:colOff>
      <xdr:row>6</xdr:row>
      <xdr:rowOff>185090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977639" y="899770"/>
          <a:ext cx="3103700" cy="960501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757558</xdr:colOff>
      <xdr:row>8</xdr:row>
      <xdr:rowOff>2210</xdr:rowOff>
    </xdr:from>
    <xdr:to>
      <xdr:col>8</xdr:col>
      <xdr:colOff>758072</xdr:colOff>
      <xdr:row>10</xdr:row>
      <xdr:rowOff>2210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976246" y="2057781"/>
          <a:ext cx="3102159" cy="365760"/>
        </a:xfrm>
        <a:prstGeom prst="roundRect">
          <a:avLst/>
        </a:prstGeom>
        <a:noFill/>
        <a:ln w="22225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179869</xdr:colOff>
      <xdr:row>14</xdr:row>
      <xdr:rowOff>216027</xdr:rowOff>
    </xdr:from>
    <xdr:to>
      <xdr:col>11</xdr:col>
      <xdr:colOff>1407728</xdr:colOff>
      <xdr:row>18</xdr:row>
      <xdr:rowOff>63790</xdr:rowOff>
    </xdr:to>
    <xdr:sp macro="[0]!PDF_AVOIR.PDF_AVOIR" textlink="">
      <xdr:nvSpPr>
        <xdr:cNvPr id="8" name="Ellipse 1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7560906" y="3815105"/>
          <a:ext cx="1440000" cy="828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10</xdr:col>
      <xdr:colOff>179869</xdr:colOff>
      <xdr:row>19</xdr:row>
      <xdr:rowOff>19202</xdr:rowOff>
    </xdr:from>
    <xdr:to>
      <xdr:col>11</xdr:col>
      <xdr:colOff>1407728</xdr:colOff>
      <xdr:row>23</xdr:row>
      <xdr:rowOff>64476</xdr:rowOff>
    </xdr:to>
    <xdr:sp macro="[0]!ImprimeAvoir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7560906" y="4803343"/>
          <a:ext cx="1440000" cy="828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10</xdr:col>
      <xdr:colOff>179869</xdr:colOff>
      <xdr:row>11</xdr:row>
      <xdr:rowOff>106299</xdr:rowOff>
    </xdr:from>
    <xdr:to>
      <xdr:col>11</xdr:col>
      <xdr:colOff>1407728</xdr:colOff>
      <xdr:row>14</xdr:row>
      <xdr:rowOff>49160</xdr:rowOff>
    </xdr:to>
    <xdr:sp macro="[0]!Saisir_Le_Montant_Avoir" textlink="">
      <xdr:nvSpPr>
        <xdr:cNvPr id="14" name="Ellips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7560906" y="2820238"/>
          <a:ext cx="1440000" cy="828000"/>
        </a:xfrm>
        <a:prstGeom prst="ellipse">
          <a:avLst/>
        </a:prstGeom>
        <a:ln w="28575" cap="rnd" cmpd="dbl">
          <a:solidFill>
            <a:schemeClr val="accent1">
              <a:lumMod val="75000"/>
            </a:schemeClr>
          </a:solidFill>
          <a:bevel/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MONTANT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102414</xdr:colOff>
      <xdr:row>0</xdr:row>
      <xdr:rowOff>138988</xdr:rowOff>
    </xdr:from>
    <xdr:to>
      <xdr:col>2</xdr:col>
      <xdr:colOff>134951</xdr:colOff>
      <xdr:row>3</xdr:row>
      <xdr:rowOff>23164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14" y="138988"/>
          <a:ext cx="3134182" cy="681533"/>
        </a:xfrm>
        <a:prstGeom prst="rect">
          <a:avLst/>
        </a:prstGeom>
      </xdr:spPr>
    </xdr:pic>
    <xdr:clientData/>
  </xdr:twoCellAnchor>
  <xdr:twoCellAnchor>
    <xdr:from>
      <xdr:col>3</xdr:col>
      <xdr:colOff>1002</xdr:colOff>
      <xdr:row>1</xdr:row>
      <xdr:rowOff>9525</xdr:rowOff>
    </xdr:from>
    <xdr:to>
      <xdr:col>4</xdr:col>
      <xdr:colOff>775411</xdr:colOff>
      <xdr:row>4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446461" y="163144"/>
          <a:ext cx="3093328" cy="860984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124359</xdr:colOff>
      <xdr:row>0</xdr:row>
      <xdr:rowOff>73152</xdr:rowOff>
    </xdr:from>
    <xdr:to>
      <xdr:col>2</xdr:col>
      <xdr:colOff>156896</xdr:colOff>
      <xdr:row>2</xdr:row>
      <xdr:rowOff>140208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359" y="73152"/>
          <a:ext cx="3134182" cy="681533"/>
        </a:xfrm>
        <a:prstGeom prst="rect">
          <a:avLst/>
        </a:prstGeom>
      </xdr:spPr>
    </xdr:pic>
    <xdr:clientData/>
  </xdr:twoCellAnchor>
  <xdr:twoCellAnchor>
    <xdr:from>
      <xdr:col>3</xdr:col>
      <xdr:colOff>1002</xdr:colOff>
      <xdr:row>1</xdr:row>
      <xdr:rowOff>9524</xdr:rowOff>
    </xdr:from>
    <xdr:to>
      <xdr:col>4</xdr:col>
      <xdr:colOff>775411</xdr:colOff>
      <xdr:row>4</xdr:row>
      <xdr:rowOff>29260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3446461" y="163143"/>
          <a:ext cx="3093328" cy="89024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138989</xdr:colOff>
      <xdr:row>0</xdr:row>
      <xdr:rowOff>36576</xdr:rowOff>
    </xdr:from>
    <xdr:to>
      <xdr:col>2</xdr:col>
      <xdr:colOff>171526</xdr:colOff>
      <xdr:row>2</xdr:row>
      <xdr:rowOff>103632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989" y="36576"/>
          <a:ext cx="3134182" cy="681533"/>
        </a:xfrm>
        <a:prstGeom prst="rect">
          <a:avLst/>
        </a:prstGeom>
      </xdr:spPr>
    </xdr:pic>
    <xdr:clientData/>
  </xdr:twoCellAnchor>
  <xdr:twoCellAnchor>
    <xdr:from>
      <xdr:col>3</xdr:col>
      <xdr:colOff>1002</xdr:colOff>
      <xdr:row>1</xdr:row>
      <xdr:rowOff>9524</xdr:rowOff>
    </xdr:from>
    <xdr:to>
      <xdr:col>4</xdr:col>
      <xdr:colOff>775411</xdr:colOff>
      <xdr:row>3</xdr:row>
      <xdr:rowOff>219456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3446461" y="163143"/>
          <a:ext cx="3093328" cy="853670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FACTURE\DONNEES.xlsm" TargetMode="External"/><Relationship Id="rId1" Type="http://schemas.openxmlformats.org/officeDocument/2006/relationships/externalLinkPath" Target="/FACTURE/DONNE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HEMIN"/>
    </sheetNames>
    <definedNames>
      <definedName name="Categorie" refersTo="='CHEMIN'!$E$4:$E$8"/>
    </definedNames>
    <sheetDataSet>
      <sheetData sheetId="0">
        <row r="3">
          <cell r="E3" t="str">
            <v>Catégorie</v>
          </cell>
          <cell r="F3" t="str">
            <v>Lot</v>
          </cell>
          <cell r="G3" t="str">
            <v>Date</v>
          </cell>
        </row>
        <row r="4">
          <cell r="E4" t="str">
            <v>Caillettes</v>
          </cell>
          <cell r="F4">
            <v>153</v>
          </cell>
          <cell r="G4">
            <v>45100</v>
          </cell>
        </row>
        <row r="5">
          <cell r="E5" t="str">
            <v>Viande</v>
          </cell>
          <cell r="F5">
            <v>150</v>
          </cell>
          <cell r="G5">
            <v>45097</v>
          </cell>
        </row>
        <row r="6">
          <cell r="E6" t="str">
            <v>Godiveaux</v>
          </cell>
          <cell r="F6">
            <v>153</v>
          </cell>
          <cell r="G6">
            <v>45093</v>
          </cell>
        </row>
        <row r="7">
          <cell r="E7" t="str">
            <v>Saucisson</v>
          </cell>
          <cell r="F7">
            <v>139</v>
          </cell>
          <cell r="G7">
            <v>45125</v>
          </cell>
        </row>
        <row r="8">
          <cell r="E8" t="str">
            <v>Sans DLC</v>
          </cell>
          <cell r="F8">
            <v>10</v>
          </cell>
          <cell r="G8">
            <v>45100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52074-C34A-4B70-8D15-80E3259772DC}" name="Tableau2" displayName="Tableau2" comment="FACTURE Feuille TARIF" ref="A1:B62" totalsRowShown="0" tableBorderDxfId="2">
  <sortState xmlns:xlrd2="http://schemas.microsoft.com/office/spreadsheetml/2017/richdata2" ref="A2:B62">
    <sortCondition ref="A2:A62"/>
  </sortState>
  <tableColumns count="2">
    <tableColumn id="1" xr3:uid="{A1B4A4D9-0709-461E-8891-AE4C64B78A16}" name="PRODUIT" dataDxfId="1"/>
    <tableColumn id="2" xr3:uid="{05ADE759-F11A-4F65-B651-3BE0BD778350}" name="PRI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toauxcochonsdausson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iltoauxcochonsdausson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mailtoauxcochonsdausson@g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mailtoauxcochonsdausson@gmail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mailtoauxcochonsdausson@gmail.co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mailtoauxcochonsdauss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5E372-9D05-48F8-B348-7D95AFE95D0E}">
  <sheetPr codeName="Feuil1">
    <tabColor rgb="FFCCFF99"/>
  </sheetPr>
  <dimension ref="A1:S57"/>
  <sheetViews>
    <sheetView showGridLines="0" showRowColHeaders="0" tabSelected="1" zoomScaleNormal="100" workbookViewId="0">
      <selection activeCell="F4" sqref="F4"/>
    </sheetView>
  </sheetViews>
  <sheetFormatPr baseColWidth="10" defaultRowHeight="14.4"/>
  <cols>
    <col min="1" max="1" width="26.6640625" customWidth="1"/>
    <col min="2" max="7" width="9.6640625" customWidth="1"/>
    <col min="8" max="8" width="11.33203125" customWidth="1"/>
    <col min="9" max="9" width="3.44140625" style="153" customWidth="1"/>
    <col min="10" max="10" width="16.109375" customWidth="1"/>
    <col min="11" max="11" width="0.88671875" hidden="1" customWidth="1"/>
    <col min="12" max="12" width="1.44140625" hidden="1" customWidth="1"/>
    <col min="13" max="13" width="2.5546875" hidden="1" customWidth="1"/>
    <col min="14" max="14" width="8" style="1" hidden="1" customWidth="1"/>
    <col min="15" max="19" width="3.88671875" customWidth="1"/>
  </cols>
  <sheetData>
    <row r="1" spans="1:19" ht="55.35" customHeight="1">
      <c r="A1" s="152"/>
      <c r="B1" s="153"/>
      <c r="C1" s="153"/>
      <c r="D1" s="153"/>
      <c r="E1" s="127" t="s">
        <v>14</v>
      </c>
      <c r="F1" s="116"/>
      <c r="G1" s="116"/>
      <c r="H1" s="116"/>
      <c r="J1" s="4"/>
      <c r="N1" s="107"/>
    </row>
    <row r="2" spans="1:19" ht="8.25" customHeight="1">
      <c r="K2" s="10"/>
      <c r="N2" s="108"/>
    </row>
    <row r="3" spans="1:19" ht="15" customHeight="1">
      <c r="E3" s="114" t="s">
        <v>26</v>
      </c>
      <c r="F3" s="115"/>
      <c r="G3" s="116"/>
      <c r="H3" s="116"/>
      <c r="N3" s="107"/>
      <c r="O3" s="1"/>
      <c r="P3" s="92"/>
      <c r="Q3" s="110" t="s">
        <v>136</v>
      </c>
    </row>
    <row r="4" spans="1:19" ht="15" customHeight="1" thickBot="1">
      <c r="A4" s="166" t="s">
        <v>7</v>
      </c>
      <c r="B4" s="166"/>
      <c r="C4" s="166"/>
      <c r="D4" s="166"/>
      <c r="E4" s="114" t="s">
        <v>24</v>
      </c>
      <c r="F4" s="117"/>
      <c r="G4" s="118"/>
      <c r="H4" s="118"/>
      <c r="K4" s="10"/>
      <c r="L4" s="8"/>
      <c r="M4" t="s">
        <v>120</v>
      </c>
      <c r="N4" s="106">
        <v>0.9</v>
      </c>
      <c r="O4" s="42"/>
    </row>
    <row r="5" spans="1:19" ht="15" customHeight="1">
      <c r="A5" s="167" t="s">
        <v>8</v>
      </c>
      <c r="B5" s="167"/>
      <c r="C5" s="167"/>
      <c r="D5" s="167"/>
      <c r="E5" s="114" t="s">
        <v>21</v>
      </c>
      <c r="F5" s="115"/>
      <c r="G5" s="116"/>
      <c r="H5" s="116"/>
      <c r="J5" s="41" t="s">
        <v>13</v>
      </c>
      <c r="M5" t="s">
        <v>122</v>
      </c>
      <c r="N5" s="109">
        <v>0.78979999999999995</v>
      </c>
      <c r="O5" s="105" t="s">
        <v>28</v>
      </c>
      <c r="P5" s="96" t="s">
        <v>29</v>
      </c>
      <c r="Q5" s="57" t="s">
        <v>30</v>
      </c>
      <c r="R5" s="57" t="s">
        <v>31</v>
      </c>
      <c r="S5" s="58" t="s">
        <v>32</v>
      </c>
    </row>
    <row r="6" spans="1:19" ht="15" customHeight="1" thickBot="1">
      <c r="A6" s="168" t="s">
        <v>1</v>
      </c>
      <c r="B6" s="168"/>
      <c r="C6" s="168"/>
      <c r="D6" s="168"/>
      <c r="E6" s="114" t="s">
        <v>22</v>
      </c>
      <c r="F6" s="115"/>
      <c r="G6" s="116"/>
      <c r="H6" s="116"/>
      <c r="J6" s="104" t="str">
        <f>G37</f>
        <v>0,00€</v>
      </c>
      <c r="K6" s="56"/>
      <c r="O6" s="101">
        <f>COUNTA(B13:B32)</f>
        <v>0</v>
      </c>
      <c r="P6" s="102">
        <f>COUNTA(C13:C32)</f>
        <v>0</v>
      </c>
      <c r="Q6" s="103">
        <f>COUNTA(D13:D32)</f>
        <v>0</v>
      </c>
      <c r="R6" s="103">
        <f>COUNTA(E13:E32)</f>
        <v>0</v>
      </c>
      <c r="S6" s="103">
        <f>COUNTA(F13:F32)</f>
        <v>0</v>
      </c>
    </row>
    <row r="7" spans="1:19" ht="15" customHeight="1">
      <c r="A7" s="169" t="s">
        <v>2</v>
      </c>
      <c r="B7" s="169"/>
      <c r="C7" s="169"/>
      <c r="D7" s="169"/>
      <c r="E7" s="114" t="s">
        <v>23</v>
      </c>
      <c r="F7" s="119"/>
      <c r="G7" s="120"/>
      <c r="H7" s="120"/>
    </row>
    <row r="8" spans="1:19" ht="11.25" customHeight="1">
      <c r="A8" s="170" t="s">
        <v>0</v>
      </c>
      <c r="B8" s="170"/>
      <c r="C8" s="170"/>
      <c r="D8" s="170"/>
    </row>
    <row r="9" spans="1:19">
      <c r="E9" s="114" t="s">
        <v>18</v>
      </c>
      <c r="F9" s="121"/>
      <c r="G9" s="122"/>
      <c r="H9" s="123"/>
    </row>
    <row r="10" spans="1:19">
      <c r="E10" s="114" t="s">
        <v>19</v>
      </c>
      <c r="F10" s="124"/>
      <c r="G10" s="125" t="str">
        <f ca="1">"FAC-"&amp;F3&amp;"-"&amp;N3&amp;"-S"&amp;_xlfn.ISOWEEKNUM(G9)&amp;"-"&amp;YEAR(TODAY())</f>
        <v>FAC---S52-2023</v>
      </c>
      <c r="H10" s="126"/>
    </row>
    <row r="11" spans="1:19" ht="7.2" customHeight="1">
      <c r="H11" s="2"/>
      <c r="J11" s="4"/>
    </row>
    <row r="12" spans="1:19" ht="21" customHeight="1">
      <c r="A12" s="145" t="s">
        <v>51</v>
      </c>
      <c r="B12" s="145" t="s">
        <v>28</v>
      </c>
      <c r="C12" s="145" t="s">
        <v>29</v>
      </c>
      <c r="D12" s="145" t="s">
        <v>30</v>
      </c>
      <c r="E12" s="145" t="s">
        <v>31</v>
      </c>
      <c r="F12" s="145" t="s">
        <v>32</v>
      </c>
      <c r="G12" s="145" t="s">
        <v>11</v>
      </c>
      <c r="H12" s="145" t="s">
        <v>10</v>
      </c>
      <c r="J12" s="183"/>
      <c r="K12" s="184"/>
    </row>
    <row r="13" spans="1:19" s="5" customFormat="1" ht="21" customHeight="1">
      <c r="A13" s="45"/>
      <c r="B13" s="40"/>
      <c r="C13" s="40"/>
      <c r="D13" s="40"/>
      <c r="E13" s="40"/>
      <c r="F13" s="40"/>
      <c r="G13" s="93" t="str">
        <f>IFERROR(VLOOKUP(A13,Tableau2[],2,FALSE),"")</f>
        <v/>
      </c>
      <c r="H13" s="3" t="str">
        <f t="shared" ref="H13:H32" si="0">IFERROR(SUM(B13:F13)*(G13),"")</f>
        <v/>
      </c>
      <c r="I13" s="153"/>
      <c r="J13" s="183"/>
      <c r="K13" s="184"/>
      <c r="N13" s="1"/>
    </row>
    <row r="14" spans="1:19" ht="21" customHeight="1">
      <c r="A14" s="146"/>
      <c r="B14" s="147"/>
      <c r="C14" s="147"/>
      <c r="D14" s="147"/>
      <c r="E14" s="147"/>
      <c r="F14" s="147"/>
      <c r="G14" s="148" t="str">
        <f>IFERROR(VLOOKUP(A14,Tableau2[],2,FALSE),"")</f>
        <v/>
      </c>
      <c r="H14" s="149" t="str">
        <f t="shared" si="0"/>
        <v/>
      </c>
      <c r="J14" s="183"/>
      <c r="K14" s="184"/>
    </row>
    <row r="15" spans="1:19" ht="21" customHeight="1">
      <c r="A15" s="146"/>
      <c r="B15" s="147"/>
      <c r="C15" s="147"/>
      <c r="D15" s="147"/>
      <c r="E15" s="147"/>
      <c r="F15" s="147"/>
      <c r="G15" s="148" t="str">
        <f>IFERROR(VLOOKUP(A15,Tableau2[],2,FALSE),"")</f>
        <v/>
      </c>
      <c r="H15" s="149" t="str">
        <f t="shared" si="0"/>
        <v/>
      </c>
      <c r="J15" s="183"/>
      <c r="K15" s="184"/>
    </row>
    <row r="16" spans="1:19" ht="21" customHeight="1">
      <c r="A16" s="146"/>
      <c r="B16" s="147"/>
      <c r="C16" s="147"/>
      <c r="D16" s="147"/>
      <c r="E16" s="147"/>
      <c r="F16" s="147"/>
      <c r="G16" s="148" t="str">
        <f>IFERROR(VLOOKUP(A16,Tableau2[],2,FALSE),"")</f>
        <v/>
      </c>
      <c r="H16" s="149" t="str">
        <f t="shared" si="0"/>
        <v/>
      </c>
      <c r="J16" s="183"/>
      <c r="K16" s="184"/>
    </row>
    <row r="17" spans="1:14" ht="21" customHeight="1">
      <c r="A17" s="146"/>
      <c r="B17" s="147"/>
      <c r="C17" s="147"/>
      <c r="D17" s="147"/>
      <c r="E17" s="147"/>
      <c r="F17" s="147"/>
      <c r="G17" s="148" t="str">
        <f>IFERROR(VLOOKUP(A17,Tableau2[],2,FALSE),"")</f>
        <v/>
      </c>
      <c r="H17" s="149" t="str">
        <f t="shared" si="0"/>
        <v/>
      </c>
      <c r="K17" s="184"/>
    </row>
    <row r="18" spans="1:14" ht="21" customHeight="1">
      <c r="A18" s="146"/>
      <c r="B18" s="147"/>
      <c r="C18" s="147"/>
      <c r="D18" s="147"/>
      <c r="E18" s="147"/>
      <c r="F18" s="147"/>
      <c r="G18" s="148" t="str">
        <f>IFERROR(VLOOKUP(A18,Tableau2[],2,FALSE),"")</f>
        <v/>
      </c>
      <c r="H18" s="149" t="str">
        <f t="shared" si="0"/>
        <v/>
      </c>
      <c r="K18" s="184"/>
    </row>
    <row r="19" spans="1:14" ht="21" customHeight="1">
      <c r="A19" s="146"/>
      <c r="B19" s="147"/>
      <c r="C19" s="147"/>
      <c r="D19" s="147"/>
      <c r="E19" s="147"/>
      <c r="F19" s="147"/>
      <c r="G19" s="148" t="str">
        <f>IFERROR(VLOOKUP(A19,Tableau2[],2,FALSE),"")</f>
        <v/>
      </c>
      <c r="H19" s="149" t="str">
        <f t="shared" si="0"/>
        <v/>
      </c>
      <c r="K19" s="184"/>
    </row>
    <row r="20" spans="1:14" ht="21" customHeight="1">
      <c r="A20" s="146"/>
      <c r="B20" s="147"/>
      <c r="C20" s="147"/>
      <c r="D20" s="147"/>
      <c r="E20" s="147"/>
      <c r="F20" s="147"/>
      <c r="G20" s="148" t="str">
        <f>IFERROR(VLOOKUP(A20,Tableau2[],2,FALSE),"")</f>
        <v/>
      </c>
      <c r="H20" s="149" t="str">
        <f t="shared" si="0"/>
        <v/>
      </c>
      <c r="K20" s="184"/>
    </row>
    <row r="21" spans="1:14" ht="21" customHeight="1">
      <c r="A21" s="146"/>
      <c r="B21" s="147"/>
      <c r="C21" s="147"/>
      <c r="D21" s="147"/>
      <c r="E21" s="147"/>
      <c r="F21" s="147"/>
      <c r="G21" s="148" t="str">
        <f>IFERROR(VLOOKUP(A21,Tableau2[],2,FALSE),"")</f>
        <v/>
      </c>
      <c r="H21" s="149" t="str">
        <f t="shared" si="0"/>
        <v/>
      </c>
      <c r="K21" s="184"/>
    </row>
    <row r="22" spans="1:14" ht="21" customHeight="1">
      <c r="A22" s="146"/>
      <c r="B22" s="147"/>
      <c r="C22" s="147"/>
      <c r="D22" s="147"/>
      <c r="E22" s="147"/>
      <c r="F22" s="147"/>
      <c r="G22" s="148" t="str">
        <f>IFERROR(VLOOKUP(A22,Tableau2[],2,FALSE),"")</f>
        <v/>
      </c>
      <c r="H22" s="149" t="str">
        <f t="shared" si="0"/>
        <v/>
      </c>
      <c r="J22" s="184"/>
    </row>
    <row r="23" spans="1:14" ht="21" customHeight="1">
      <c r="A23" s="146"/>
      <c r="B23" s="147"/>
      <c r="C23" s="147"/>
      <c r="D23" s="147"/>
      <c r="E23" s="147"/>
      <c r="F23" s="147"/>
      <c r="G23" s="148" t="str">
        <f>IFERROR(VLOOKUP(A23,Tableau2[],2,FALSE),"")</f>
        <v/>
      </c>
      <c r="H23" s="149" t="str">
        <f t="shared" si="0"/>
        <v/>
      </c>
      <c r="J23" s="184"/>
      <c r="N23" s="67"/>
    </row>
    <row r="24" spans="1:14" ht="21" customHeight="1">
      <c r="A24" s="146"/>
      <c r="B24" s="147"/>
      <c r="C24" s="147"/>
      <c r="D24" s="147"/>
      <c r="E24" s="147"/>
      <c r="F24" s="147"/>
      <c r="G24" s="148" t="str">
        <f>IFERROR(VLOOKUP(A24,Tableau2[],2,FALSE),"")</f>
        <v/>
      </c>
      <c r="H24" s="149" t="str">
        <f t="shared" si="0"/>
        <v/>
      </c>
      <c r="J24" s="184"/>
      <c r="N24" s="67"/>
    </row>
    <row r="25" spans="1:14" ht="21" customHeight="1">
      <c r="A25" s="146"/>
      <c r="B25" s="147"/>
      <c r="C25" s="147"/>
      <c r="D25" s="147"/>
      <c r="E25" s="147"/>
      <c r="F25" s="147"/>
      <c r="G25" s="148" t="str">
        <f>IFERROR(VLOOKUP(A25,Tableau2[],2,FALSE),"")</f>
        <v/>
      </c>
      <c r="H25" s="149" t="str">
        <f t="shared" si="0"/>
        <v/>
      </c>
      <c r="J25" s="184"/>
    </row>
    <row r="26" spans="1:14" ht="21" customHeight="1">
      <c r="A26" s="146"/>
      <c r="B26" s="147"/>
      <c r="C26" s="147"/>
      <c r="D26" s="147"/>
      <c r="E26" s="147"/>
      <c r="F26" s="147"/>
      <c r="G26" s="148" t="str">
        <f>IFERROR(VLOOKUP(A26,Tableau2[],2,FALSE),"")</f>
        <v/>
      </c>
      <c r="H26" s="149" t="str">
        <f t="shared" si="0"/>
        <v/>
      </c>
      <c r="J26" s="184"/>
    </row>
    <row r="27" spans="1:14" ht="21" customHeight="1">
      <c r="A27" s="146"/>
      <c r="B27" s="147"/>
      <c r="C27" s="147"/>
      <c r="D27" s="147"/>
      <c r="E27" s="147"/>
      <c r="F27" s="147"/>
      <c r="G27" s="148" t="str">
        <f>IFERROR(VLOOKUP(A27,Tableau2[],2,FALSE),"")</f>
        <v/>
      </c>
      <c r="H27" s="149" t="str">
        <f t="shared" si="0"/>
        <v/>
      </c>
      <c r="J27" s="184"/>
    </row>
    <row r="28" spans="1:14" ht="21" customHeight="1">
      <c r="A28" s="146"/>
      <c r="B28" s="147"/>
      <c r="C28" s="147"/>
      <c r="D28" s="147"/>
      <c r="E28" s="147"/>
      <c r="F28" s="147"/>
      <c r="G28" s="148" t="str">
        <f>IFERROR(VLOOKUP(A28,Tableau2[],2,FALSE),"")</f>
        <v/>
      </c>
      <c r="H28" s="149" t="str">
        <f t="shared" si="0"/>
        <v/>
      </c>
      <c r="J28" s="4"/>
    </row>
    <row r="29" spans="1:14" ht="21" customHeight="1">
      <c r="A29" s="146"/>
      <c r="B29" s="147"/>
      <c r="C29" s="147"/>
      <c r="D29" s="147"/>
      <c r="E29" s="147"/>
      <c r="F29" s="147"/>
      <c r="G29" s="148" t="str">
        <f>IFERROR(VLOOKUP(A29,Tableau2[],2,FALSE),"")</f>
        <v/>
      </c>
      <c r="H29" s="149" t="str">
        <f t="shared" si="0"/>
        <v/>
      </c>
      <c r="J29" s="4"/>
    </row>
    <row r="30" spans="1:14" ht="21" customHeight="1">
      <c r="A30" s="146"/>
      <c r="B30" s="147"/>
      <c r="C30" s="147"/>
      <c r="D30" s="147"/>
      <c r="E30" s="147"/>
      <c r="F30" s="147"/>
      <c r="G30" s="148" t="str">
        <f>IFERROR(VLOOKUP(A30,Tableau2[],2,FALSE),"")</f>
        <v/>
      </c>
      <c r="H30" s="149" t="str">
        <f t="shared" si="0"/>
        <v/>
      </c>
    </row>
    <row r="31" spans="1:14" ht="21" customHeight="1">
      <c r="A31" s="146"/>
      <c r="B31" s="147"/>
      <c r="C31" s="147"/>
      <c r="D31" s="147"/>
      <c r="E31" s="147"/>
      <c r="F31" s="147"/>
      <c r="G31" s="148" t="str">
        <f>IFERROR(VLOOKUP(A31,Tableau2[],2,FALSE),"")</f>
        <v/>
      </c>
      <c r="H31" s="149" t="str">
        <f t="shared" si="0"/>
        <v/>
      </c>
    </row>
    <row r="32" spans="1:14" ht="21" customHeight="1">
      <c r="A32" s="146"/>
      <c r="B32" s="147"/>
      <c r="C32" s="147"/>
      <c r="D32" s="147"/>
      <c r="E32" s="147"/>
      <c r="F32" s="147"/>
      <c r="G32" s="148" t="str">
        <f>IFERROR(VLOOKUP(A32,Tableau2[],2,FALSE),"")</f>
        <v/>
      </c>
      <c r="H32" s="149" t="str">
        <f t="shared" si="0"/>
        <v/>
      </c>
    </row>
    <row r="33" spans="1:11" ht="5.25" customHeight="1" thickBot="1">
      <c r="A33" s="1"/>
      <c r="B33" s="1"/>
      <c r="F33" s="1"/>
      <c r="G33" s="1"/>
      <c r="H33" s="1"/>
    </row>
    <row r="34" spans="1:11" ht="15.6">
      <c r="A34" s="174" t="s">
        <v>20</v>
      </c>
      <c r="B34" s="175"/>
      <c r="C34" s="176"/>
      <c r="E34" s="160" t="s">
        <v>12</v>
      </c>
      <c r="F34" s="161"/>
      <c r="G34" s="154">
        <f>SUM(H13:H32)</f>
        <v>0</v>
      </c>
      <c r="H34" s="155"/>
    </row>
    <row r="35" spans="1:11" ht="15.6">
      <c r="A35" s="177" t="s">
        <v>127</v>
      </c>
      <c r="B35" s="178"/>
      <c r="C35" s="179"/>
      <c r="E35" s="162" t="s">
        <v>121</v>
      </c>
      <c r="F35" s="163"/>
      <c r="G35" s="156" t="str">
        <f>IFERROR(SUM(G34-B54),"0,00€")</f>
        <v>0,00€</v>
      </c>
      <c r="H35" s="157"/>
      <c r="J35" s="185"/>
      <c r="K35" s="185"/>
    </row>
    <row r="36" spans="1:11" ht="15.6">
      <c r="A36" s="180" t="s">
        <v>128</v>
      </c>
      <c r="B36" s="181"/>
      <c r="C36" s="182"/>
      <c r="E36" s="189" t="s">
        <v>139</v>
      </c>
      <c r="F36" s="190"/>
      <c r="G36" s="191" t="str">
        <f>IFERROR(SUM(B54*0.055),"0,00 €")</f>
        <v>0,00 €</v>
      </c>
      <c r="H36" s="192"/>
      <c r="J36" s="186"/>
      <c r="K36" s="187"/>
    </row>
    <row r="37" spans="1:11" ht="14.4" customHeight="1" thickBot="1">
      <c r="A37" s="171" t="s">
        <v>129</v>
      </c>
      <c r="B37" s="172"/>
      <c r="C37" s="173"/>
      <c r="E37" s="164" t="s">
        <v>13</v>
      </c>
      <c r="F37" s="165"/>
      <c r="G37" s="158" t="str">
        <f>IFERROR(SUM(B54+G36),"0,00€")</f>
        <v>0,00€</v>
      </c>
      <c r="H37" s="159"/>
    </row>
    <row r="38" spans="1:11" ht="5.25" customHeight="1" thickBot="1">
      <c r="C38" s="16"/>
      <c r="D38" s="7"/>
    </row>
    <row r="39" spans="1:11" ht="15" thickBot="1">
      <c r="A39" s="75" t="s">
        <v>35</v>
      </c>
      <c r="B39" s="18"/>
      <c r="C39" s="17"/>
      <c r="D39" s="193" t="s">
        <v>113</v>
      </c>
      <c r="E39" s="194"/>
      <c r="F39" s="194"/>
      <c r="G39" s="194"/>
      <c r="H39" s="194"/>
    </row>
    <row r="40" spans="1:11" ht="12" customHeight="1">
      <c r="A40" s="138"/>
      <c r="B40" s="139"/>
      <c r="C40" s="14"/>
      <c r="D40" s="193" t="str" cm="1">
        <f t="array" ref="D40">IFERROR(ChiffreLettre(G37),"")</f>
        <v/>
      </c>
      <c r="E40" s="193"/>
      <c r="F40" s="193"/>
      <c r="G40" s="193"/>
      <c r="H40" s="193"/>
    </row>
    <row r="41" spans="1:11" ht="12" customHeight="1">
      <c r="A41" s="140"/>
      <c r="B41" s="141"/>
      <c r="C41" s="14"/>
      <c r="D41" s="13"/>
    </row>
    <row r="42" spans="1:11" ht="12" customHeight="1">
      <c r="A42" s="140"/>
      <c r="B42" s="141"/>
      <c r="C42" s="14"/>
      <c r="D42" s="70" t="s">
        <v>17</v>
      </c>
      <c r="E42" s="69"/>
      <c r="F42" s="68"/>
      <c r="G42" s="68"/>
      <c r="H42" s="68"/>
    </row>
    <row r="43" spans="1:11" ht="12" customHeight="1">
      <c r="A43" s="140"/>
      <c r="B43" s="141"/>
      <c r="D43" s="70" t="s">
        <v>16</v>
      </c>
      <c r="E43" s="70"/>
      <c r="F43" s="68"/>
      <c r="G43" s="68"/>
      <c r="H43" s="68"/>
    </row>
    <row r="44" spans="1:11" ht="12" customHeight="1" thickBot="1">
      <c r="A44" s="142"/>
      <c r="B44" s="143"/>
      <c r="C44" s="1"/>
      <c r="D44" s="6"/>
      <c r="E44" s="1"/>
      <c r="F44" s="1"/>
      <c r="G44" s="1"/>
      <c r="H44" s="1"/>
    </row>
    <row r="45" spans="1:11">
      <c r="A45" s="1"/>
      <c r="B45" s="1"/>
      <c r="C45" s="1"/>
    </row>
    <row r="46" spans="1:11">
      <c r="A46" s="1"/>
      <c r="B46" s="1"/>
      <c r="C46" s="1"/>
      <c r="D46" s="1"/>
      <c r="E46" s="1"/>
      <c r="F46" s="1"/>
      <c r="G46" s="1"/>
      <c r="H46" s="1"/>
    </row>
    <row r="47" spans="1:11">
      <c r="A47" s="1"/>
      <c r="B47" s="1"/>
      <c r="C47" s="1"/>
      <c r="D47" s="1"/>
      <c r="E47" s="1"/>
      <c r="F47" s="1"/>
    </row>
    <row r="48" spans="1:11">
      <c r="A48" s="1"/>
      <c r="B48" s="1"/>
      <c r="C48" s="1"/>
      <c r="D48" s="1"/>
      <c r="E48" s="1"/>
      <c r="F48" s="1"/>
    </row>
    <row r="49" spans="1:10" hidden="1">
      <c r="A49" s="76">
        <f ca="1">YEAR(TODAY())</f>
        <v>2023</v>
      </c>
      <c r="B49" s="72"/>
      <c r="C49" s="1"/>
      <c r="D49" s="1"/>
      <c r="E49" s="1"/>
      <c r="F49" s="1"/>
      <c r="G49" s="1"/>
      <c r="H49" s="1"/>
    </row>
    <row r="50" spans="1:10" hidden="1">
      <c r="A50" s="77" t="str" cm="1">
        <f t="array" aca="1" ref="A50" ca="1">RIGHT(LEFT(CELL("nomfichier",A1),FIND("]",CELL("nomfichier",A1),1)-1),FIND("]",CELL("nomfichier",A1),1)-FIND("[",CELL("nomfichier",A1),1)-1)</f>
        <v>FACTURE1.xlsm</v>
      </c>
      <c r="B50" s="78"/>
      <c r="C50" s="1"/>
      <c r="D50" s="1"/>
      <c r="E50" s="1"/>
      <c r="F50" s="1"/>
      <c r="G50" s="1"/>
      <c r="H50" s="1"/>
    </row>
    <row r="51" spans="1:10" hidden="1">
      <c r="A51" s="73" t="str" cm="1">
        <f t="array" aca="1" ref="A51" ca="1">SUBSTITUTE(LEFT(CELL("filename",B2),FIND("]",CELL("filename",B2))-1), "[","")</f>
        <v>C:\Users\peopl\Desktop\FACTURE1.xlsm</v>
      </c>
      <c r="B51" s="74"/>
      <c r="C51" s="1"/>
      <c r="D51" s="1"/>
      <c r="E51" s="1"/>
      <c r="F51" s="1"/>
      <c r="G51" s="1"/>
      <c r="H51" s="1"/>
    </row>
    <row r="52" spans="1:10" hidden="1">
      <c r="A52" s="1"/>
      <c r="B52" s="1"/>
      <c r="D52" s="1"/>
      <c r="E52" s="1"/>
      <c r="F52" s="1"/>
      <c r="G52" s="1"/>
      <c r="H52" s="1"/>
    </row>
    <row r="53" spans="1:10" ht="6.45" hidden="1" customHeight="1">
      <c r="A53" s="1"/>
      <c r="C53" s="12"/>
    </row>
    <row r="54" spans="1:10" ht="16.649999999999999" hidden="1" customHeight="1">
      <c r="A54" s="1" t="s">
        <v>123</v>
      </c>
      <c r="B54" s="188" t="str" cm="1">
        <f t="array" ref="B54">IFERROR(_xlfn.IFS(N2="RS",(G34*N4),N2="RV",(G34*N5),N2="P",G34),"")</f>
        <v/>
      </c>
      <c r="C54" s="188"/>
      <c r="D54" s="42"/>
      <c r="E54" s="59"/>
      <c r="F54" s="59"/>
      <c r="G54" s="59"/>
      <c r="H54" s="10"/>
    </row>
    <row r="55" spans="1:10" ht="17.850000000000001" hidden="1" customHeight="1">
      <c r="A55" t="s">
        <v>119</v>
      </c>
      <c r="B55" s="1"/>
      <c r="C55" s="6"/>
      <c r="D55" s="1"/>
      <c r="E55" s="1"/>
      <c r="F55" s="1"/>
      <c r="G55" s="1"/>
      <c r="H55" s="1"/>
    </row>
    <row r="56" spans="1:10" ht="16.649999999999999" hidden="1" customHeight="1">
      <c r="A56" s="6" t="s">
        <v>36</v>
      </c>
      <c r="B56" s="6" t="s">
        <v>53</v>
      </c>
      <c r="C56" s="60" t="s">
        <v>54</v>
      </c>
      <c r="D56" s="6" t="s">
        <v>55</v>
      </c>
      <c r="E56" s="6" t="s">
        <v>45</v>
      </c>
      <c r="F56" s="6" t="s">
        <v>56</v>
      </c>
      <c r="G56" s="6" t="s">
        <v>57</v>
      </c>
      <c r="H56" s="6" t="s">
        <v>58</v>
      </c>
      <c r="J56" s="8" t="s">
        <v>38</v>
      </c>
    </row>
    <row r="57" spans="1:10" s="1" customFormat="1" ht="18.45" hidden="1" customHeight="1">
      <c r="A57" s="63">
        <f>F3</f>
        <v>0</v>
      </c>
      <c r="B57" s="63">
        <f>F4</f>
        <v>0</v>
      </c>
      <c r="C57" s="64">
        <f>G9</f>
        <v>0</v>
      </c>
      <c r="D57" s="63" t="str">
        <f ca="1">G10</f>
        <v>FAC---S52-2023</v>
      </c>
      <c r="E57" s="65">
        <f>G34</f>
        <v>0</v>
      </c>
      <c r="F57" s="65" t="str">
        <f>G35</f>
        <v>0,00€</v>
      </c>
      <c r="G57" s="65" t="str">
        <f>G37</f>
        <v>0,00€</v>
      </c>
      <c r="H57" s="63" t="s">
        <v>38</v>
      </c>
      <c r="I57" s="153"/>
      <c r="J57" s="62" t="s">
        <v>39</v>
      </c>
    </row>
  </sheetData>
  <mergeCells count="28">
    <mergeCell ref="B54:C54"/>
    <mergeCell ref="E36:F36"/>
    <mergeCell ref="G36:H36"/>
    <mergeCell ref="D40:H40"/>
    <mergeCell ref="D39:H39"/>
    <mergeCell ref="J12:J16"/>
    <mergeCell ref="K12:K16"/>
    <mergeCell ref="K17:K21"/>
    <mergeCell ref="J22:J27"/>
    <mergeCell ref="I1:I1048576"/>
    <mergeCell ref="J35:K35"/>
    <mergeCell ref="J36:K36"/>
    <mergeCell ref="A1:D1"/>
    <mergeCell ref="G34:H34"/>
    <mergeCell ref="G35:H35"/>
    <mergeCell ref="G37:H37"/>
    <mergeCell ref="E34:F34"/>
    <mergeCell ref="E35:F35"/>
    <mergeCell ref="E37:F37"/>
    <mergeCell ref="A4:D4"/>
    <mergeCell ref="A5:D5"/>
    <mergeCell ref="A6:D6"/>
    <mergeCell ref="A7:D7"/>
    <mergeCell ref="A8:D8"/>
    <mergeCell ref="A37:C37"/>
    <mergeCell ref="A34:C34"/>
    <mergeCell ref="A35:C35"/>
    <mergeCell ref="A36:C36"/>
  </mergeCells>
  <phoneticPr fontId="11" type="noConversion"/>
  <dataValidations count="5">
    <dataValidation type="list" allowBlank="1" showInputMessage="1" sqref="H57" xr:uid="{4B6025E2-5681-4D8E-A003-A73333E9F3A0}">
      <formula1>$J$56:$J$57</formula1>
    </dataValidation>
    <dataValidation type="list" allowBlank="1" showInputMessage="1" sqref="H54" xr:uid="{CF1D1899-01C3-42F4-A1D6-B87D20D52167}">
      <formula1>#REF!</formula1>
    </dataValidation>
    <dataValidation type="custom" allowBlank="1" showInputMessage="1" showErrorMessage="1" errorTitle="ATTENTION" error="Veuillez saisir des chiffres et virgule pour les poids." sqref="B13:B32" xr:uid="{C569C5FC-D588-4353-A38C-F80B63EB8FAC}">
      <formula1>B13=1*TEXT(B13,"# ##0,000")</formula1>
    </dataValidation>
    <dataValidation type="custom" allowBlank="1" showInputMessage="1" showErrorMessage="1" errorTitle="ATTENTION" error="Veuillez saisir des chiffres et virgule pour le poids" sqref="C13:C32" xr:uid="{A5367A2E-C2D4-4920-AB68-5925A135F76D}">
      <formula1>C13=1*TEXT(C13,"# ##0,000")</formula1>
    </dataValidation>
    <dataValidation type="custom" allowBlank="1" showInputMessage="1" showErrorMessage="1" errorTitle="ATTENTION" error="Veuillez saisir des chiffres et virgule pour le poids." sqref="D13:F32" xr:uid="{376DDDA6-74DE-44C0-9455-A93A774177AC}">
      <formula1>D13=1*TEXT(D13,"# ##0,000")</formula1>
    </dataValidation>
  </dataValidations>
  <hyperlinks>
    <hyperlink ref="A7" r:id="rId1" xr:uid="{BB5CFD75-E774-4D1F-8D59-A6D8016901C6}"/>
  </hyperlinks>
  <pageMargins left="0.39370078740157483" right="0.31496062992125984" top="0.35433070866141736" bottom="0.35433070866141736" header="0.31496062992125984" footer="0.31496062992125984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B3AAD-9597-4E26-984A-C8EFE7D38F7E}">
  <sheetPr codeName="Feuil2">
    <tabColor theme="7" tint="0.59999389629810485"/>
  </sheetPr>
  <dimension ref="A1:O35"/>
  <sheetViews>
    <sheetView showGridLines="0" showZeros="0" zoomScaleNormal="100" workbookViewId="0">
      <selection activeCell="L8" sqref="L8"/>
    </sheetView>
  </sheetViews>
  <sheetFormatPr baseColWidth="10" defaultColWidth="11.44140625" defaultRowHeight="14.4"/>
  <cols>
    <col min="1" max="1" width="11.44140625" style="19" customWidth="1"/>
    <col min="2" max="2" width="11.44140625" style="19"/>
    <col min="3" max="9" width="10.5546875" style="19" customWidth="1"/>
    <col min="10" max="10" width="17.109375" style="19" customWidth="1"/>
    <col min="11" max="11" width="3.109375" style="19" customWidth="1"/>
    <col min="12" max="12" width="18" style="19" customWidth="1"/>
    <col min="13" max="13" width="11.44140625" style="19"/>
    <col min="14" max="14" width="11.44140625" style="19" customWidth="1"/>
    <col min="15" max="15" width="11.44140625" style="21" customWidth="1"/>
    <col min="16" max="16" width="8.109375" style="19" customWidth="1"/>
    <col min="17" max="16384" width="11.44140625" style="19"/>
  </cols>
  <sheetData>
    <row r="1" spans="1:15" ht="57.75" customHeight="1">
      <c r="A1" s="216"/>
      <c r="B1" s="212"/>
      <c r="C1" s="212"/>
      <c r="D1" s="212"/>
      <c r="F1" s="217" t="s">
        <v>9</v>
      </c>
      <c r="G1" s="218"/>
      <c r="H1" s="218"/>
      <c r="I1" s="218"/>
      <c r="K1" s="20"/>
    </row>
    <row r="2" spans="1:15">
      <c r="F2" s="128"/>
      <c r="G2" s="128"/>
      <c r="H2" s="128"/>
      <c r="I2" s="128"/>
    </row>
    <row r="3" spans="1:15" ht="15" customHeight="1">
      <c r="A3" s="222"/>
      <c r="B3" s="212"/>
      <c r="C3" s="212"/>
      <c r="D3" s="212"/>
      <c r="E3" s="212"/>
      <c r="F3" s="129" t="s">
        <v>27</v>
      </c>
      <c r="G3" s="219">
        <f>FACTURE!F3</f>
        <v>0</v>
      </c>
      <c r="H3" s="220"/>
      <c r="I3" s="220"/>
      <c r="N3" s="21"/>
    </row>
    <row r="4" spans="1:15" ht="15" customHeight="1">
      <c r="A4" s="222" t="s">
        <v>7</v>
      </c>
      <c r="B4" s="212"/>
      <c r="C4" s="212"/>
      <c r="D4" s="212"/>
      <c r="E4" s="212"/>
      <c r="F4" s="129" t="s">
        <v>24</v>
      </c>
      <c r="G4" s="221">
        <f>FACTURE!F4</f>
        <v>0</v>
      </c>
      <c r="H4" s="220"/>
      <c r="I4" s="220"/>
      <c r="K4" s="20"/>
      <c r="N4" s="43"/>
      <c r="O4" s="43"/>
    </row>
    <row r="5" spans="1:15" ht="15" customHeight="1">
      <c r="A5" s="223" t="s">
        <v>8</v>
      </c>
      <c r="B5" s="212"/>
      <c r="C5" s="212"/>
      <c r="D5" s="212"/>
      <c r="E5" s="212"/>
      <c r="F5" s="129" t="s">
        <v>21</v>
      </c>
      <c r="G5" s="219">
        <f>FACTURE!F5</f>
        <v>0</v>
      </c>
      <c r="H5" s="219"/>
      <c r="I5" s="219"/>
    </row>
    <row r="6" spans="1:15" ht="15" customHeight="1" thickBot="1">
      <c r="A6" s="211" t="s">
        <v>1</v>
      </c>
      <c r="B6" s="212"/>
      <c r="C6" s="212"/>
      <c r="D6" s="212"/>
      <c r="E6" s="212"/>
      <c r="F6" s="129" t="s">
        <v>25</v>
      </c>
      <c r="G6" s="219">
        <f>FACTURE!F6</f>
        <v>0</v>
      </c>
      <c r="H6" s="219"/>
      <c r="I6" s="219"/>
    </row>
    <row r="7" spans="1:15" ht="15" customHeight="1" thickBot="1">
      <c r="A7" s="213" t="s">
        <v>2</v>
      </c>
      <c r="B7" s="212"/>
      <c r="C7" s="212"/>
      <c r="D7" s="212"/>
      <c r="E7" s="212"/>
      <c r="F7" s="129" t="s">
        <v>23</v>
      </c>
      <c r="G7" s="224">
        <f>FACTURE!F7</f>
        <v>0</v>
      </c>
      <c r="H7" s="225"/>
      <c r="I7" s="225"/>
      <c r="L7" s="53" t="s">
        <v>50</v>
      </c>
    </row>
    <row r="8" spans="1:15" ht="27.9" customHeight="1" thickBot="1">
      <c r="A8" s="214" t="s">
        <v>0</v>
      </c>
      <c r="B8" s="215"/>
      <c r="C8" s="215"/>
      <c r="D8" s="215"/>
      <c r="E8" s="215"/>
      <c r="F8" s="128"/>
      <c r="G8" s="128"/>
      <c r="H8" s="128"/>
      <c r="I8" s="128"/>
      <c r="L8" s="52" t="s">
        <v>28</v>
      </c>
    </row>
    <row r="9" spans="1:15">
      <c r="F9" s="129" t="s">
        <v>18</v>
      </c>
      <c r="G9" s="131" t="s">
        <v>52</v>
      </c>
      <c r="H9" s="122"/>
      <c r="I9" s="132"/>
    </row>
    <row r="10" spans="1:15">
      <c r="F10" s="129" t="s">
        <v>19</v>
      </c>
      <c r="G10" s="130"/>
      <c r="H10" s="133" t="str">
        <f ca="1">"BL-S"&amp;_xlfn.ISOWEEKNUM(H9)&amp;"-"&amp;FACTURE!N3&amp;"-"&amp;YEAR(TODAY())</f>
        <v>BL-S52--2023</v>
      </c>
      <c r="I10" s="134"/>
    </row>
    <row r="11" spans="1:15">
      <c r="H11" s="22"/>
    </row>
    <row r="12" spans="1:15" ht="21" customHeight="1">
      <c r="A12" s="201" t="s">
        <v>3</v>
      </c>
      <c r="B12" s="201"/>
      <c r="C12" s="201"/>
      <c r="D12" s="201" t="s">
        <v>4</v>
      </c>
      <c r="E12" s="202"/>
      <c r="F12" s="201" t="s">
        <v>6</v>
      </c>
      <c r="G12" s="202"/>
      <c r="H12" s="201" t="s">
        <v>5</v>
      </c>
      <c r="I12" s="203"/>
      <c r="J12" s="61" t="s">
        <v>118</v>
      </c>
    </row>
    <row r="13" spans="1:15" ht="21" customHeight="1">
      <c r="A13" s="209" t="str" cm="1">
        <f t="array" aca="1" ref="A13" ca="1">IF(COUNTA(SEMAINES)&gt;=ROWS($11:11),INDEX(FACTURE!$A$13:$A$36,SMALL(IF(SEMAINES&gt;0,ROW(SEMAINES)-12),ROWS($11:11))),"")</f>
        <v/>
      </c>
      <c r="B13" s="209"/>
      <c r="C13" s="209"/>
      <c r="D13" s="204" t="str" cm="1">
        <f t="array" aca="1" ref="D13" ca="1">IF(A13="","",INDEX(SEMAINES,SMALL(IF(SEMAINES&gt;0,ROW(SEMAINES)-12),ROWS($11:11))))</f>
        <v/>
      </c>
      <c r="E13" s="204"/>
      <c r="F13" s="205" t="str">
        <f>IFERROR(_xlfn.XLOOKUP(J13,[1]CHEMIN!$E$3:$E$8,[1]CHEMIN!$F$3:$F$8),"")</f>
        <v/>
      </c>
      <c r="G13" s="205"/>
      <c r="H13" s="206" t="str">
        <f>IFERROR(_xlfn.XLOOKUP(J13,[1]CHEMIN!$E$3:$E$8,[1]CHEMIN!$G$3:$G$8),"")</f>
        <v/>
      </c>
      <c r="I13" s="206"/>
      <c r="J13" s="151"/>
      <c r="N13" s="21"/>
      <c r="O13" s="19"/>
    </row>
    <row r="14" spans="1:15" ht="21" customHeight="1">
      <c r="A14" s="200" t="str" cm="1">
        <f t="array" aca="1" ref="A14" ca="1">IF(COUNTA(SEMAINES)&gt;=ROWS($11:12),INDEX(FACTURE!$A$13:$A$36,SMALL(IF(SEMAINES&gt;0,ROW(SEMAINES)-12),ROWS($11:12))),"")</f>
        <v/>
      </c>
      <c r="B14" s="200"/>
      <c r="C14" s="200"/>
      <c r="D14" s="196" t="str" cm="1">
        <f t="array" aca="1" ref="D14" ca="1">IF(A14="","",INDEX(SEMAINES,SMALL(IF(SEMAINES&gt;0,ROW(SEMAINES)-12),ROWS($11:12))))</f>
        <v/>
      </c>
      <c r="E14" s="196"/>
      <c r="F14" s="195" t="str">
        <f>IFERROR(_xlfn.XLOOKUP(J14,[1]CHEMIN!$E$3:$E$8,[1]CHEMIN!$F$3:$F$8),"")</f>
        <v/>
      </c>
      <c r="G14" s="195"/>
      <c r="H14" s="197" t="str">
        <f>IFERROR(_xlfn.XLOOKUP(J14,[1]CHEMIN!$E$3:$E$8,[1]CHEMIN!$G$3:$G$8),"")</f>
        <v/>
      </c>
      <c r="I14" s="197"/>
      <c r="J14" s="150"/>
    </row>
    <row r="15" spans="1:15" ht="21" customHeight="1">
      <c r="A15" s="200" t="str" cm="1">
        <f t="array" aca="1" ref="A15" ca="1">IF(COUNTA(SEMAINES)&gt;=ROWS($11:13),INDEX(FACTURE!$A$13:$A$36,SMALL(IF(SEMAINES&gt;0,ROW(SEMAINES)-12),ROWS($11:13))),"")</f>
        <v/>
      </c>
      <c r="B15" s="200"/>
      <c r="C15" s="200"/>
      <c r="D15" s="196" t="str" cm="1">
        <f t="array" aca="1" ref="D15" ca="1">IF(A15="","",INDEX(SEMAINES,SMALL(IF(SEMAINES&gt;0,ROW(SEMAINES)-12),ROWS($11:13))))</f>
        <v/>
      </c>
      <c r="E15" s="196"/>
      <c r="F15" s="195" t="str">
        <f>IFERROR(_xlfn.XLOOKUP(J15,[1]CHEMIN!$E$3:$E$8,[1]CHEMIN!$F$3:$F$8),"")</f>
        <v/>
      </c>
      <c r="G15" s="195"/>
      <c r="H15" s="197" t="str">
        <f>IFERROR(_xlfn.XLOOKUP(J15,[1]CHEMIN!$E$3:$E$8,[1]CHEMIN!$G$3:$G$8),"")</f>
        <v/>
      </c>
      <c r="I15" s="197"/>
      <c r="J15" s="151"/>
    </row>
    <row r="16" spans="1:15" ht="21" customHeight="1">
      <c r="A16" s="200" t="str" cm="1">
        <f t="array" aca="1" ref="A16" ca="1">IF(COUNTA(SEMAINES)&gt;=ROWS($11:14),INDEX(FACTURE!$A$13:$A$36,SMALL(IF(SEMAINES&gt;0,ROW(SEMAINES)-12),ROWS($11:14))),"")</f>
        <v/>
      </c>
      <c r="B16" s="200"/>
      <c r="C16" s="200"/>
      <c r="D16" s="196" t="str" cm="1">
        <f t="array" aca="1" ref="D16" ca="1">IF(A16="","",INDEX(SEMAINES,SMALL(IF(SEMAINES&gt;0,ROW(SEMAINES)-12),ROWS($11:14))))</f>
        <v/>
      </c>
      <c r="E16" s="196"/>
      <c r="F16" s="195" t="str">
        <f>IFERROR(_xlfn.XLOOKUP(J16,[1]CHEMIN!$E$3:$E$8,[1]CHEMIN!$F$3:$F$8),"")</f>
        <v/>
      </c>
      <c r="G16" s="195"/>
      <c r="H16" s="197" t="str">
        <f>IFERROR(_xlfn.XLOOKUP(J16,[1]CHEMIN!$E$3:$E$8,[1]CHEMIN!$G$3:$G$8),"")</f>
        <v/>
      </c>
      <c r="I16" s="197"/>
      <c r="J16" s="150"/>
    </row>
    <row r="17" spans="1:10" ht="21" customHeight="1">
      <c r="A17" s="200" t="str" cm="1">
        <f t="array" aca="1" ref="A17" ca="1">IF(COUNTA(SEMAINES)&gt;=ROWS($11:15),INDEX(FACTURE!$A$13:$A$36,SMALL(IF(SEMAINES&gt;0,ROW(SEMAINES)-12),ROWS($11:15))),"")</f>
        <v/>
      </c>
      <c r="B17" s="200"/>
      <c r="C17" s="200"/>
      <c r="D17" s="196" t="str" cm="1">
        <f t="array" aca="1" ref="D17" ca="1">IF(A17="","",INDEX(SEMAINES,SMALL(IF(SEMAINES&gt;0,ROW(SEMAINES)-12),ROWS($11:15))))</f>
        <v/>
      </c>
      <c r="E17" s="196"/>
      <c r="F17" s="195" t="str">
        <f>IFERROR(_xlfn.XLOOKUP(J17,[1]CHEMIN!$E$3:$E$8,[1]CHEMIN!$F$3:$F$8),"")</f>
        <v/>
      </c>
      <c r="G17" s="195"/>
      <c r="H17" s="197" t="str">
        <f>IFERROR(_xlfn.XLOOKUP(J17,[1]CHEMIN!$E$3:$E$8,[1]CHEMIN!$G$3:$G$8),"")</f>
        <v/>
      </c>
      <c r="I17" s="197"/>
      <c r="J17" s="151"/>
    </row>
    <row r="18" spans="1:10" ht="21" customHeight="1">
      <c r="A18" s="200" t="str" cm="1">
        <f t="array" aca="1" ref="A18" ca="1">IF(COUNTA(SEMAINES)&gt;=ROWS($11:16),INDEX(FACTURE!$A$13:$A$36,SMALL(IF(SEMAINES&gt;0,ROW(SEMAINES)-12),ROWS($11:16))),"")</f>
        <v/>
      </c>
      <c r="B18" s="200"/>
      <c r="C18" s="200"/>
      <c r="D18" s="196" t="str" cm="1">
        <f t="array" aca="1" ref="D18" ca="1">IF(A18="","",INDEX(SEMAINES,SMALL(IF(SEMAINES&gt;0,ROW(SEMAINES)-12),ROWS($11:16))))</f>
        <v/>
      </c>
      <c r="E18" s="196"/>
      <c r="F18" s="195" t="str">
        <f>IFERROR(_xlfn.XLOOKUP(J18,[1]CHEMIN!$E$3:$E$8,[1]CHEMIN!$F$3:$F$8),"")</f>
        <v/>
      </c>
      <c r="G18" s="195"/>
      <c r="H18" s="197" t="str">
        <f>IFERROR(_xlfn.XLOOKUP(J18,[1]CHEMIN!$E$3:$E$8,[1]CHEMIN!$G$3:$G$8),"")</f>
        <v/>
      </c>
      <c r="I18" s="197"/>
      <c r="J18" s="150"/>
    </row>
    <row r="19" spans="1:10" ht="21" customHeight="1">
      <c r="A19" s="200" t="str" cm="1">
        <f t="array" aca="1" ref="A19" ca="1">IF(COUNTA(SEMAINES)&gt;=ROWS($11:17),INDEX(FACTURE!$A$13:$A$36,SMALL(IF(SEMAINES&gt;0,ROW(SEMAINES)-12),ROWS($11:17))),"")</f>
        <v/>
      </c>
      <c r="B19" s="200"/>
      <c r="C19" s="200"/>
      <c r="D19" s="196" t="str" cm="1">
        <f t="array" aca="1" ref="D19" ca="1">IF(A19="","",INDEX(SEMAINES,SMALL(IF(SEMAINES&gt;0,ROW(SEMAINES)-12),ROWS($11:17))))</f>
        <v/>
      </c>
      <c r="E19" s="196"/>
      <c r="F19" s="195" t="str">
        <f>IFERROR(_xlfn.XLOOKUP(J19,[1]CHEMIN!$E$3:$E$8,[1]CHEMIN!$F$3:$F$8),"")</f>
        <v/>
      </c>
      <c r="G19" s="195"/>
      <c r="H19" s="197" t="str">
        <f>IFERROR(_xlfn.XLOOKUP(J19,[1]CHEMIN!$E$3:$E$8,[1]CHEMIN!$G$3:$G$8),"")</f>
        <v/>
      </c>
      <c r="I19" s="197"/>
      <c r="J19" s="151"/>
    </row>
    <row r="20" spans="1:10" ht="21" customHeight="1">
      <c r="A20" s="200" t="str" cm="1">
        <f t="array" aca="1" ref="A20" ca="1">IF(COUNTA(SEMAINES)&gt;=ROWS($11:18),INDEX(FACTURE!$A$13:$A$36,SMALL(IF(SEMAINES&gt;0,ROW(SEMAINES)-12),ROWS($11:18))),"")</f>
        <v/>
      </c>
      <c r="B20" s="200"/>
      <c r="C20" s="200"/>
      <c r="D20" s="196" t="str" cm="1">
        <f t="array" aca="1" ref="D20" ca="1">IF(A20="","",INDEX(SEMAINES,SMALL(IF(SEMAINES&gt;0,ROW(SEMAINES)-12),ROWS($11:18))))</f>
        <v/>
      </c>
      <c r="E20" s="196"/>
      <c r="F20" s="195" t="str">
        <f>IFERROR(_xlfn.XLOOKUP(J20,[1]CHEMIN!$E$3:$E$8,[1]CHEMIN!$F$3:$F$8),"")</f>
        <v/>
      </c>
      <c r="G20" s="195"/>
      <c r="H20" s="197" t="str">
        <f>IFERROR(_xlfn.XLOOKUP(J20,[1]CHEMIN!$E$3:$E$8,[1]CHEMIN!$G$3:$G$8),"")</f>
        <v/>
      </c>
      <c r="I20" s="197"/>
      <c r="J20" s="150"/>
    </row>
    <row r="21" spans="1:10" ht="21" customHeight="1">
      <c r="A21" s="200" t="str" cm="1">
        <f t="array" aca="1" ref="A21" ca="1">IF(COUNTA(SEMAINES)&gt;=ROWS($11:19),INDEX(FACTURE!$A$13:$A$36,SMALL(IF(SEMAINES&gt;0,ROW(SEMAINES)-12),ROWS($11:19))),"")</f>
        <v/>
      </c>
      <c r="B21" s="200"/>
      <c r="C21" s="200"/>
      <c r="D21" s="196" t="str" cm="1">
        <f t="array" aca="1" ref="D21" ca="1">IF(A21="","",INDEX(SEMAINES,SMALL(IF(SEMAINES&gt;0,ROW(SEMAINES)-12),ROWS($11:19))))</f>
        <v/>
      </c>
      <c r="E21" s="196"/>
      <c r="F21" s="195" t="str">
        <f>IFERROR(_xlfn.XLOOKUP(J21,[1]CHEMIN!$E$3:$E$8,[1]CHEMIN!$F$3:$F$8),"")</f>
        <v/>
      </c>
      <c r="G21" s="195"/>
      <c r="H21" s="197" t="str">
        <f>IFERROR(_xlfn.XLOOKUP(J21,[1]CHEMIN!$E$3:$E$8,[1]CHEMIN!$G$3:$G$8),"")</f>
        <v/>
      </c>
      <c r="I21" s="197"/>
      <c r="J21" s="151"/>
    </row>
    <row r="22" spans="1:10" ht="21" customHeight="1">
      <c r="A22" s="200" t="str" cm="1">
        <f t="array" aca="1" ref="A22" ca="1">IF(COUNTA(SEMAINES)&gt;=ROWS($11:20),INDEX(FACTURE!$A$13:$A$36,SMALL(IF(SEMAINES&gt;0,ROW(SEMAINES)-12),ROWS($11:20))),"")</f>
        <v/>
      </c>
      <c r="B22" s="200"/>
      <c r="C22" s="200"/>
      <c r="D22" s="196" t="str" cm="1">
        <f t="array" aca="1" ref="D22" ca="1">IF(A22="","",INDEX(SEMAINES,SMALL(IF(SEMAINES&gt;0,ROW(SEMAINES)-12),ROWS($11:20))))</f>
        <v/>
      </c>
      <c r="E22" s="196"/>
      <c r="F22" s="195" t="str">
        <f>IFERROR(_xlfn.XLOOKUP(J22,[1]CHEMIN!$E$3:$E$8,[1]CHEMIN!$F$3:$F$8),"")</f>
        <v/>
      </c>
      <c r="G22" s="195"/>
      <c r="H22" s="197" t="str">
        <f>IFERROR(_xlfn.XLOOKUP(J22,[1]CHEMIN!$E$3:$E$8,[1]CHEMIN!$G$3:$G$8),"")</f>
        <v/>
      </c>
      <c r="I22" s="197"/>
      <c r="J22" s="150"/>
    </row>
    <row r="23" spans="1:10" ht="21" customHeight="1">
      <c r="A23" s="200" t="str" cm="1">
        <f t="array" aca="1" ref="A23" ca="1">IF(COUNTA(SEMAINES)&gt;=ROWS($11:21),INDEX(FACTURE!$A$13:$A$36,SMALL(IF(SEMAINES&gt;0,ROW(SEMAINES)-12),ROWS($11:21))),"")</f>
        <v/>
      </c>
      <c r="B23" s="200"/>
      <c r="C23" s="200"/>
      <c r="D23" s="196" t="str" cm="1">
        <f t="array" aca="1" ref="D23" ca="1">IF(A23="","",INDEX(SEMAINES,SMALL(IF(SEMAINES&gt;0,ROW(SEMAINES)-12),ROWS($11:21))))</f>
        <v/>
      </c>
      <c r="E23" s="196"/>
      <c r="F23" s="195" t="str">
        <f>IFERROR(_xlfn.XLOOKUP(J23,[1]CHEMIN!$E$3:$E$8,[1]CHEMIN!$F$3:$F$8),"")</f>
        <v/>
      </c>
      <c r="G23" s="195"/>
      <c r="H23" s="197" t="str">
        <f>IFERROR(_xlfn.XLOOKUP(J23,[1]CHEMIN!$E$3:$E$8,[1]CHEMIN!$G$3:$G$8),"")</f>
        <v/>
      </c>
      <c r="I23" s="197"/>
      <c r="J23" s="151"/>
    </row>
    <row r="24" spans="1:10" ht="21" customHeight="1">
      <c r="A24" s="200" t="str" cm="1">
        <f t="array" aca="1" ref="A24" ca="1">IF(COUNTA(SEMAINES)&gt;=ROWS($11:22),INDEX(FACTURE!$A$13:$A$36,SMALL(IF(SEMAINES&gt;0,ROW(SEMAINES)-12),ROWS($11:22))),"")</f>
        <v/>
      </c>
      <c r="B24" s="200"/>
      <c r="C24" s="200"/>
      <c r="D24" s="196" t="str" cm="1">
        <f t="array" aca="1" ref="D24" ca="1">IF(A24="","",INDEX(SEMAINES,SMALL(IF(SEMAINES&gt;0,ROW(SEMAINES)-12),ROWS($11:22))))</f>
        <v/>
      </c>
      <c r="E24" s="196"/>
      <c r="F24" s="195" t="str">
        <f>IFERROR(_xlfn.XLOOKUP(J24,[1]CHEMIN!$E$3:$E$8,[1]CHEMIN!$F$3:$F$8),"")</f>
        <v/>
      </c>
      <c r="G24" s="195"/>
      <c r="H24" s="197" t="str">
        <f>IFERROR(_xlfn.XLOOKUP(J24,[1]CHEMIN!$E$3:$E$8,[1]CHEMIN!$G$3:$G$8),"")</f>
        <v/>
      </c>
      <c r="I24" s="197"/>
      <c r="J24" s="150"/>
    </row>
    <row r="25" spans="1:10" ht="21" customHeight="1">
      <c r="A25" s="200" t="str" cm="1">
        <f t="array" aca="1" ref="A25" ca="1">IF(COUNTA(SEMAINES)&gt;=ROWS($11:23),INDEX(FACTURE!$A$13:$A$36,SMALL(IF(SEMAINES&gt;0,ROW(SEMAINES)-12),ROWS($11:23))),"")</f>
        <v/>
      </c>
      <c r="B25" s="200"/>
      <c r="C25" s="200"/>
      <c r="D25" s="196" t="str" cm="1">
        <f t="array" aca="1" ref="D25" ca="1">IF(A25="","",INDEX(SEMAINES,SMALL(IF(SEMAINES&gt;0,ROW(SEMAINES)-12),ROWS($11:23))))</f>
        <v/>
      </c>
      <c r="E25" s="196"/>
      <c r="F25" s="195" t="str">
        <f>IFERROR(_xlfn.XLOOKUP(J25,[1]CHEMIN!$E$3:$E$8,[1]CHEMIN!$F$3:$F$8),"")</f>
        <v/>
      </c>
      <c r="G25" s="195"/>
      <c r="H25" s="197" t="str">
        <f>IFERROR(_xlfn.XLOOKUP(J25,[1]CHEMIN!$E$3:$E$8,[1]CHEMIN!$G$3:$G$8),"")</f>
        <v/>
      </c>
      <c r="I25" s="197"/>
      <c r="J25" s="151"/>
    </row>
    <row r="26" spans="1:10" ht="21" customHeight="1">
      <c r="A26" s="200" t="str" cm="1">
        <f t="array" aca="1" ref="A26" ca="1">IF(COUNTA(SEMAINES)&gt;=ROWS($11:24),INDEX(FACTURE!$A$13:$A$36,SMALL(IF(SEMAINES&gt;0,ROW(SEMAINES)-12),ROWS($11:24))),"")</f>
        <v/>
      </c>
      <c r="B26" s="200"/>
      <c r="C26" s="200"/>
      <c r="D26" s="196" t="str" cm="1">
        <f t="array" aca="1" ref="D26" ca="1">IF(A26="","",INDEX(SEMAINES,SMALL(IF(SEMAINES&gt;0,ROW(SEMAINES)-12),ROWS($11:24))))</f>
        <v/>
      </c>
      <c r="E26" s="196"/>
      <c r="F26" s="195" t="str">
        <f>IFERROR(_xlfn.XLOOKUP(J26,[1]CHEMIN!$E$3:$E$8,[1]CHEMIN!$F$3:$F$8),"")</f>
        <v/>
      </c>
      <c r="G26" s="195"/>
      <c r="H26" s="197" t="str">
        <f>IFERROR(_xlfn.XLOOKUP(J26,[1]CHEMIN!$E$3:$E$8,[1]CHEMIN!$G$3:$G$8),"")</f>
        <v/>
      </c>
      <c r="I26" s="197"/>
      <c r="J26" s="150"/>
    </row>
    <row r="27" spans="1:10" ht="21" customHeight="1">
      <c r="A27" s="200" t="str" cm="1">
        <f t="array" aca="1" ref="A27" ca="1">IF(COUNTA(SEMAINES)&gt;=ROWS($11:25),INDEX(FACTURE!$A$13:$A$36,SMALL(IF(SEMAINES&gt;0,ROW(SEMAINES)-12),ROWS($11:25))),"")</f>
        <v/>
      </c>
      <c r="B27" s="200"/>
      <c r="C27" s="200"/>
      <c r="D27" s="196" t="str" cm="1">
        <f t="array" aca="1" ref="D27" ca="1">IF(A27="","",INDEX(SEMAINES,SMALL(IF(SEMAINES&gt;0,ROW(SEMAINES)-12),ROWS($11:25))))</f>
        <v/>
      </c>
      <c r="E27" s="196"/>
      <c r="F27" s="195" t="str">
        <f>IFERROR(_xlfn.XLOOKUP(J27,[1]CHEMIN!$E$3:$E$8,[1]CHEMIN!$F$3:$F$8),"")</f>
        <v/>
      </c>
      <c r="G27" s="195"/>
      <c r="H27" s="197" t="str">
        <f>IFERROR(_xlfn.XLOOKUP(J27,[1]CHEMIN!$E$3:$E$8,[1]CHEMIN!$G$3:$G$8),"")</f>
        <v/>
      </c>
      <c r="I27" s="197"/>
      <c r="J27" s="151"/>
    </row>
    <row r="28" spans="1:10" ht="21" customHeight="1">
      <c r="A28" s="200" t="str" cm="1">
        <f t="array" aca="1" ref="A28" ca="1">IF(COUNTA(SEMAINES)&gt;=ROWS($11:26),INDEX(FACTURE!$A$13:$A$36,SMALL(IF(SEMAINES&gt;0,ROW(SEMAINES)-12),ROWS($11:26))),"")</f>
        <v/>
      </c>
      <c r="B28" s="200"/>
      <c r="C28" s="200"/>
      <c r="D28" s="196" t="str" cm="1">
        <f t="array" aca="1" ref="D28" ca="1">IF(A28="","",INDEX(SEMAINES,SMALL(IF(SEMAINES&gt;0,ROW(SEMAINES)-12),ROWS($11:26))))</f>
        <v/>
      </c>
      <c r="E28" s="196"/>
      <c r="F28" s="195" t="str">
        <f>IFERROR(_xlfn.XLOOKUP(J28,[1]CHEMIN!$E$3:$E$8,[1]CHEMIN!$F$3:$F$8),"")</f>
        <v/>
      </c>
      <c r="G28" s="195"/>
      <c r="H28" s="197" t="str">
        <f>IFERROR(_xlfn.XLOOKUP(J28,[1]CHEMIN!$E$3:$E$8,[1]CHEMIN!$G$3:$G$8),"")</f>
        <v/>
      </c>
      <c r="I28" s="197"/>
      <c r="J28" s="150"/>
    </row>
    <row r="29" spans="1:10" ht="21" customHeight="1">
      <c r="A29" s="200" t="str" cm="1">
        <f t="array" aca="1" ref="A29" ca="1">IF(COUNTA(SEMAINES)&gt;=ROWS($11:27),INDEX(FACTURE!$A$13:$A$36,SMALL(IF(SEMAINES&gt;0,ROW(SEMAINES)-12),ROWS($11:27))),"")</f>
        <v/>
      </c>
      <c r="B29" s="200"/>
      <c r="C29" s="200"/>
      <c r="D29" s="196" t="str" cm="1">
        <f t="array" aca="1" ref="D29" ca="1">IF(A29="","",INDEX(SEMAINES,SMALL(IF(SEMAINES&gt;0,ROW(SEMAINES)-12),ROWS($11:27))))</f>
        <v/>
      </c>
      <c r="E29" s="196"/>
      <c r="F29" s="195" t="str">
        <f>IFERROR(_xlfn.XLOOKUP(J29,[1]CHEMIN!$E$3:$E$8,[1]CHEMIN!$F$3:$F$8),"")</f>
        <v/>
      </c>
      <c r="G29" s="195"/>
      <c r="H29" s="197" t="str">
        <f>IFERROR(_xlfn.XLOOKUP(J29,[1]CHEMIN!$E$3:$E$8,[1]CHEMIN!$G$3:$G$8),"")</f>
        <v/>
      </c>
      <c r="I29" s="197"/>
      <c r="J29" s="151"/>
    </row>
    <row r="30" spans="1:10" ht="21" customHeight="1">
      <c r="A30" s="200" t="str" cm="1">
        <f t="array" aca="1" ref="A30" ca="1">IF(COUNTA(SEMAINES)&gt;=ROWS($11:28),INDEX(FACTURE!$A$13:$A$36,SMALL(IF(SEMAINES&gt;0,ROW(SEMAINES)-12),ROWS($11:28))),"")</f>
        <v/>
      </c>
      <c r="B30" s="200"/>
      <c r="C30" s="200"/>
      <c r="D30" s="196" t="str" cm="1">
        <f t="array" aca="1" ref="D30" ca="1">IF(A30="","",INDEX(SEMAINES,SMALL(IF(SEMAINES&gt;0,ROW(SEMAINES)-12),ROWS($11:28))))</f>
        <v/>
      </c>
      <c r="E30" s="196"/>
      <c r="F30" s="195" t="str">
        <f>IFERROR(_xlfn.XLOOKUP(J30,[1]CHEMIN!$E$3:$E$8,[1]CHEMIN!$F$3:$F$8),"")</f>
        <v/>
      </c>
      <c r="G30" s="195"/>
      <c r="H30" s="197" t="str">
        <f>IFERROR(_xlfn.XLOOKUP(J30,[1]CHEMIN!$E$3:$E$8,[1]CHEMIN!$G$3:$G$8),"")</f>
        <v/>
      </c>
      <c r="I30" s="197"/>
      <c r="J30" s="150"/>
    </row>
    <row r="31" spans="1:10" ht="21" customHeight="1">
      <c r="A31" s="200" t="str" cm="1">
        <f t="array" aca="1" ref="A31" ca="1">IF(COUNTA(SEMAINES)&gt;=ROWS($11:29),INDEX(FACTURE!$A$13:$A$36,SMALL(IF(SEMAINES&gt;0,ROW(SEMAINES)-12),ROWS($11:29))),"")</f>
        <v/>
      </c>
      <c r="B31" s="200"/>
      <c r="C31" s="200"/>
      <c r="D31" s="196" t="str" cm="1">
        <f t="array" aca="1" ref="D31" ca="1">IF(A31="","",INDEX(SEMAINES,SMALL(IF(SEMAINES&gt;0,ROW(SEMAINES)-12),ROWS($11:29))))</f>
        <v/>
      </c>
      <c r="E31" s="196"/>
      <c r="F31" s="195" t="str">
        <f>IFERROR(_xlfn.XLOOKUP(J31,[1]CHEMIN!$E$3:$E$8,[1]CHEMIN!$F$3:$F$8),"")</f>
        <v/>
      </c>
      <c r="G31" s="195"/>
      <c r="H31" s="197" t="str">
        <f>IFERROR(_xlfn.XLOOKUP(J31,[1]CHEMIN!$E$3:$E$8,[1]CHEMIN!$G$3:$G$8),"")</f>
        <v/>
      </c>
      <c r="I31" s="197"/>
      <c r="J31" s="151"/>
    </row>
    <row r="32" spans="1:10" ht="21" customHeight="1">
      <c r="A32" s="200" t="str" cm="1">
        <f t="array" aca="1" ref="A32" ca="1">IF(COUNTA(SEMAINES)&gt;=ROWS($11:30),INDEX(FACTURE!$A$13:$A$36,SMALL(IF(SEMAINES&gt;0,ROW(SEMAINES)-12),ROWS($11:30))),"")</f>
        <v/>
      </c>
      <c r="B32" s="200"/>
      <c r="C32" s="200"/>
      <c r="D32" s="196" t="str" cm="1">
        <f t="array" aca="1" ref="D32" ca="1">IF(A32="","",INDEX(SEMAINES,SMALL(IF(SEMAINES&gt;0,ROW(SEMAINES)-12),ROWS($11:30))))</f>
        <v/>
      </c>
      <c r="E32" s="196"/>
      <c r="F32" s="195" t="str">
        <f>IFERROR(_xlfn.XLOOKUP(J32,[1]CHEMIN!$E$3:$E$8,[1]CHEMIN!$F$3:$F$8),"")</f>
        <v/>
      </c>
      <c r="G32" s="195"/>
      <c r="H32" s="197" t="str">
        <f>IFERROR(_xlfn.XLOOKUP(J32,[1]CHEMIN!$E$3:$E$8,[1]CHEMIN!$G$3:$G$8),"")</f>
        <v/>
      </c>
      <c r="I32" s="197"/>
      <c r="J32" s="150"/>
    </row>
    <row r="33" spans="2:8" ht="30" customHeight="1"/>
    <row r="34" spans="2:8" ht="31.5" customHeight="1">
      <c r="B34" s="198" t="s">
        <v>33</v>
      </c>
      <c r="C34" s="198"/>
      <c r="D34" s="199"/>
      <c r="F34" s="198" t="s">
        <v>15</v>
      </c>
      <c r="G34" s="198"/>
      <c r="H34" s="199"/>
    </row>
    <row r="35" spans="2:8" ht="31.5" customHeight="1">
      <c r="B35" s="210">
        <f>COUNTA(J13:J32)</f>
        <v>0</v>
      </c>
      <c r="C35" s="210"/>
      <c r="D35" s="210"/>
      <c r="F35" s="207">
        <f ca="1">SUM(D13:E32)</f>
        <v>0</v>
      </c>
      <c r="G35" s="208"/>
      <c r="H35" s="144" t="s">
        <v>34</v>
      </c>
    </row>
  </sheetData>
  <mergeCells count="101">
    <mergeCell ref="F35:G35"/>
    <mergeCell ref="A13:C13"/>
    <mergeCell ref="B34:D34"/>
    <mergeCell ref="B35:D35"/>
    <mergeCell ref="A6:E6"/>
    <mergeCell ref="A7:E7"/>
    <mergeCell ref="A8:E8"/>
    <mergeCell ref="A1:D1"/>
    <mergeCell ref="F1:I1"/>
    <mergeCell ref="G5:I5"/>
    <mergeCell ref="G3:I3"/>
    <mergeCell ref="G4:I4"/>
    <mergeCell ref="A3:E3"/>
    <mergeCell ref="A4:E4"/>
    <mergeCell ref="A5:E5"/>
    <mergeCell ref="A27:C27"/>
    <mergeCell ref="G6:I6"/>
    <mergeCell ref="G7:I7"/>
    <mergeCell ref="A23:C23"/>
    <mergeCell ref="A24:C24"/>
    <mergeCell ref="A25:C25"/>
    <mergeCell ref="A26:C26"/>
    <mergeCell ref="A12:C12"/>
    <mergeCell ref="D12:E12"/>
    <mergeCell ref="F12:G12"/>
    <mergeCell ref="H12:I12"/>
    <mergeCell ref="D13:E13"/>
    <mergeCell ref="F13:G13"/>
    <mergeCell ref="A14:C14"/>
    <mergeCell ref="A15:C15"/>
    <mergeCell ref="D14:E14"/>
    <mergeCell ref="D15:E15"/>
    <mergeCell ref="F14:G14"/>
    <mergeCell ref="F15:G15"/>
    <mergeCell ref="H13:I13"/>
    <mergeCell ref="A28:C28"/>
    <mergeCell ref="A29:C29"/>
    <mergeCell ref="A30:C30"/>
    <mergeCell ref="A31:C31"/>
    <mergeCell ref="A32:C32"/>
    <mergeCell ref="D27:E27"/>
    <mergeCell ref="D16:E16"/>
    <mergeCell ref="D17:E17"/>
    <mergeCell ref="D18:E18"/>
    <mergeCell ref="D19:E19"/>
    <mergeCell ref="D20:E20"/>
    <mergeCell ref="D21:E21"/>
    <mergeCell ref="D30:E30"/>
    <mergeCell ref="D31:E31"/>
    <mergeCell ref="D32:E32"/>
    <mergeCell ref="A22:C22"/>
    <mergeCell ref="A21:C21"/>
    <mergeCell ref="A16:C16"/>
    <mergeCell ref="A17:C17"/>
    <mergeCell ref="A18:C18"/>
    <mergeCell ref="A19:C19"/>
    <mergeCell ref="A20:C20"/>
    <mergeCell ref="F20:G20"/>
    <mergeCell ref="H19:I19"/>
    <mergeCell ref="F22:G22"/>
    <mergeCell ref="F23:G23"/>
    <mergeCell ref="F24:G24"/>
    <mergeCell ref="F25:G25"/>
    <mergeCell ref="F21:G21"/>
    <mergeCell ref="H14:I14"/>
    <mergeCell ref="H15:I15"/>
    <mergeCell ref="H16:I16"/>
    <mergeCell ref="H17:I17"/>
    <mergeCell ref="H18:I18"/>
    <mergeCell ref="H20:I20"/>
    <mergeCell ref="H21:I21"/>
    <mergeCell ref="H22:I22"/>
    <mergeCell ref="H23:I23"/>
    <mergeCell ref="H24:I24"/>
    <mergeCell ref="H25:I25"/>
    <mergeCell ref="F16:G16"/>
    <mergeCell ref="F17:G17"/>
    <mergeCell ref="F18:G18"/>
    <mergeCell ref="F19:G19"/>
    <mergeCell ref="F26:G26"/>
    <mergeCell ref="F27:G27"/>
    <mergeCell ref="D22:E22"/>
    <mergeCell ref="D23:E23"/>
    <mergeCell ref="D24:E24"/>
    <mergeCell ref="D25:E25"/>
    <mergeCell ref="D26:E26"/>
    <mergeCell ref="H32:I32"/>
    <mergeCell ref="F34:H34"/>
    <mergeCell ref="H26:I26"/>
    <mergeCell ref="H27:I27"/>
    <mergeCell ref="H28:I28"/>
    <mergeCell ref="H29:I29"/>
    <mergeCell ref="H30:I30"/>
    <mergeCell ref="H31:I31"/>
    <mergeCell ref="F28:G28"/>
    <mergeCell ref="F29:G29"/>
    <mergeCell ref="F30:G30"/>
    <mergeCell ref="F31:G31"/>
    <mergeCell ref="F32:G32"/>
    <mergeCell ref="D28:E28"/>
    <mergeCell ref="D29:E29"/>
  </mergeCells>
  <dataValidations count="2">
    <dataValidation type="list" allowBlank="1" showInputMessage="1" showErrorMessage="1" sqref="L8" xr:uid="{CEA1CB2C-E8D9-442C-8E9C-115D6AD05613}">
      <formula1>"BL1,BL2,BL3,BL4,BL5"</formula1>
    </dataValidation>
    <dataValidation type="list" allowBlank="1" showInputMessage="1" sqref="J13:J32" xr:uid="{01C7587C-7A4E-445E-8EA1-C52AEB3EBD3D}">
      <formula1>Categorie</formula1>
    </dataValidation>
  </dataValidations>
  <hyperlinks>
    <hyperlink ref="A7" r:id="rId1" xr:uid="{B6184251-3BBC-4C53-8B0B-D8D8B2FF3EF7}"/>
  </hyperlink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2"/>
  <ignoredErrors>
    <ignoredError sqref="G3:I3 A14:E32 G5:I7 G13" unlockedFormula="1"/>
  </ignoredError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8C39-1F39-4923-AA5F-89B2C24DFD2B}">
  <sheetPr codeName="Feuil3">
    <tabColor rgb="FFFF0000"/>
  </sheetPr>
  <dimension ref="A1:O28"/>
  <sheetViews>
    <sheetView showGridLines="0" showZeros="0" zoomScaleNormal="100" workbookViewId="0">
      <selection activeCell="H23" activeCellId="2" sqref="H19:I19 H21:I21 H23:I23"/>
    </sheetView>
  </sheetViews>
  <sheetFormatPr baseColWidth="10" defaultColWidth="11.44140625" defaultRowHeight="14.4"/>
  <cols>
    <col min="1" max="1" width="11.44140625" style="19" customWidth="1"/>
    <col min="2" max="2" width="11.44140625" style="19"/>
    <col min="3" max="9" width="10.5546875" style="19" customWidth="1"/>
    <col min="10" max="10" width="3.88671875" style="19" customWidth="1"/>
    <col min="11" max="11" width="2.88671875" style="19" customWidth="1"/>
    <col min="12" max="12" width="23.109375" style="19" customWidth="1"/>
    <col min="13" max="13" width="5.6640625" style="19" customWidth="1"/>
    <col min="14" max="14" width="8.44140625" style="21" hidden="1" customWidth="1"/>
    <col min="15" max="15" width="10.5546875" style="21" customWidth="1"/>
    <col min="16" max="16" width="9.88671875" style="19" customWidth="1"/>
    <col min="17" max="17" width="8.109375" style="19" customWidth="1"/>
    <col min="18" max="16384" width="11.44140625" style="19"/>
  </cols>
  <sheetData>
    <row r="1" spans="1:15" ht="57.75" customHeight="1">
      <c r="A1" s="216"/>
      <c r="B1" s="212"/>
      <c r="C1" s="212"/>
      <c r="D1" s="212"/>
      <c r="F1" s="217" t="s">
        <v>40</v>
      </c>
      <c r="G1" s="218"/>
      <c r="H1" s="218"/>
      <c r="I1" s="218"/>
      <c r="K1" s="20"/>
      <c r="N1" s="54" t="s">
        <v>137</v>
      </c>
    </row>
    <row r="2" spans="1:15">
      <c r="F2" s="128"/>
      <c r="G2" s="128"/>
      <c r="H2" s="128"/>
      <c r="I2" s="128"/>
      <c r="N2" s="55">
        <f>_xlfn.ISOWEEKNUM(H9)</f>
        <v>52</v>
      </c>
    </row>
    <row r="3" spans="1:15" ht="15" customHeight="1">
      <c r="A3" s="222"/>
      <c r="B3" s="212"/>
      <c r="C3" s="212"/>
      <c r="D3" s="212"/>
      <c r="E3" s="212"/>
      <c r="F3" s="129" t="s">
        <v>27</v>
      </c>
      <c r="G3" s="248">
        <f>FACTURE!F3</f>
        <v>0</v>
      </c>
      <c r="H3" s="249"/>
      <c r="I3" s="249"/>
      <c r="N3" s="94">
        <f ca="1">YEAR(TODAY())</f>
        <v>2023</v>
      </c>
    </row>
    <row r="4" spans="1:15" ht="15" customHeight="1">
      <c r="A4" s="222" t="s">
        <v>7</v>
      </c>
      <c r="B4" s="212"/>
      <c r="C4" s="212"/>
      <c r="D4" s="212"/>
      <c r="E4" s="212"/>
      <c r="F4" s="129" t="s">
        <v>24</v>
      </c>
      <c r="G4" s="248">
        <f>FACTURE!F4</f>
        <v>0</v>
      </c>
      <c r="H4" s="248"/>
      <c r="I4" s="248"/>
      <c r="K4" s="20"/>
      <c r="O4" s="43"/>
    </row>
    <row r="5" spans="1:15" ht="15" customHeight="1">
      <c r="A5" s="223" t="s">
        <v>8</v>
      </c>
      <c r="B5" s="212"/>
      <c r="C5" s="212"/>
      <c r="D5" s="212"/>
      <c r="E5" s="212"/>
      <c r="F5" s="129" t="s">
        <v>21</v>
      </c>
      <c r="G5" s="248">
        <f>FACTURE!F5</f>
        <v>0</v>
      </c>
      <c r="H5" s="248"/>
      <c r="I5" s="248"/>
    </row>
    <row r="6" spans="1:15" ht="15" customHeight="1">
      <c r="A6" s="211" t="s">
        <v>1</v>
      </c>
      <c r="B6" s="212"/>
      <c r="C6" s="212"/>
      <c r="D6" s="212"/>
      <c r="E6" s="212"/>
      <c r="F6" s="129" t="s">
        <v>25</v>
      </c>
      <c r="G6" s="248">
        <f>FACTURE!F6</f>
        <v>0</v>
      </c>
      <c r="H6" s="248"/>
      <c r="I6" s="248"/>
    </row>
    <row r="7" spans="1:15" ht="15" customHeight="1">
      <c r="A7" s="213" t="s">
        <v>2</v>
      </c>
      <c r="B7" s="212"/>
      <c r="C7" s="212"/>
      <c r="D7" s="212"/>
      <c r="E7" s="212"/>
      <c r="F7" s="129" t="s">
        <v>23</v>
      </c>
      <c r="G7" s="255">
        <f>FACTURE!F7</f>
        <v>0</v>
      </c>
      <c r="H7" s="256"/>
      <c r="I7" s="256"/>
    </row>
    <row r="8" spans="1:15" ht="15" customHeight="1">
      <c r="A8" s="254" t="s">
        <v>0</v>
      </c>
      <c r="B8" s="212"/>
      <c r="C8" s="212"/>
      <c r="D8" s="212"/>
      <c r="E8" s="212"/>
      <c r="F8" s="128"/>
      <c r="G8" s="128"/>
      <c r="H8" s="128"/>
      <c r="I8" s="128"/>
    </row>
    <row r="9" spans="1:15">
      <c r="F9" s="129" t="s">
        <v>18</v>
      </c>
      <c r="G9" s="136"/>
      <c r="H9" s="122"/>
      <c r="I9" s="137"/>
    </row>
    <row r="10" spans="1:15">
      <c r="F10" s="129" t="s">
        <v>19</v>
      </c>
      <c r="G10" s="135"/>
      <c r="H10" s="133" t="str">
        <f ca="1">"AV-S"&amp;_xlfn.ISOWEEKNUM(H9)&amp;"-"&amp;FACTURE!N3&amp;"-"&amp;YEAR(TODAY())</f>
        <v>AV-S52--2023</v>
      </c>
      <c r="I10" s="137"/>
    </row>
    <row r="11" spans="1:15" ht="23.25" customHeight="1">
      <c r="H11" s="22"/>
      <c r="N11" s="23" t="s">
        <v>44</v>
      </c>
    </row>
    <row r="12" spans="1:15" ht="21" customHeight="1" thickBot="1">
      <c r="H12" s="22"/>
      <c r="N12" s="24">
        <v>5.5E-2</v>
      </c>
    </row>
    <row r="13" spans="1:15" ht="26.25" customHeight="1" thickBot="1">
      <c r="A13" s="250" t="str">
        <f ca="1">"Avoir sur la facture n° "&amp;FACTURE!G10&amp;" du"</f>
        <v>Avoir sur la facture n° FAC---S52-2023 du</v>
      </c>
      <c r="B13" s="251"/>
      <c r="C13" s="251"/>
      <c r="D13" s="251"/>
      <c r="E13" s="251"/>
      <c r="F13" s="251"/>
      <c r="G13" s="251"/>
      <c r="H13" s="252">
        <f>FACTURE!G9</f>
        <v>0</v>
      </c>
      <c r="I13" s="253"/>
      <c r="N13" s="25" t="s">
        <v>48</v>
      </c>
    </row>
    <row r="14" spans="1:15" ht="23.25" customHeight="1">
      <c r="H14" s="22"/>
      <c r="N14" s="23" t="s">
        <v>46</v>
      </c>
    </row>
    <row r="15" spans="1:15" ht="21" customHeight="1">
      <c r="A15" s="235" t="s">
        <v>41</v>
      </c>
      <c r="B15" s="236"/>
      <c r="C15" s="236"/>
      <c r="D15" s="236"/>
      <c r="E15" s="236"/>
      <c r="F15" s="237"/>
      <c r="G15" s="112" t="s">
        <v>43</v>
      </c>
      <c r="H15" s="113" t="s">
        <v>44</v>
      </c>
      <c r="I15" s="113" t="s">
        <v>45</v>
      </c>
      <c r="N15" s="15">
        <v>100</v>
      </c>
    </row>
    <row r="16" spans="1:15" ht="21" customHeight="1">
      <c r="A16" s="238" t="s">
        <v>42</v>
      </c>
      <c r="B16" s="239"/>
      <c r="C16" s="239"/>
      <c r="D16" s="239"/>
      <c r="E16" s="239"/>
      <c r="F16" s="240"/>
      <c r="G16" s="38">
        <v>1</v>
      </c>
      <c r="H16" s="39">
        <v>5.5E-2</v>
      </c>
      <c r="I16" s="66">
        <v>0</v>
      </c>
      <c r="N16" s="26" t="s">
        <v>47</v>
      </c>
    </row>
    <row r="17" spans="1:15" ht="21" customHeight="1">
      <c r="A17" s="27">
        <f>FACTURE!A14</f>
        <v>0</v>
      </c>
      <c r="B17" s="27"/>
      <c r="C17" s="27"/>
      <c r="D17" s="28">
        <f>FACTURE!B14</f>
        <v>0</v>
      </c>
      <c r="E17" s="28"/>
      <c r="F17" s="29"/>
      <c r="G17" s="29"/>
      <c r="H17" s="30"/>
      <c r="I17" s="30"/>
      <c r="N17" s="31">
        <f>N15/(N12+1)</f>
        <v>94.786729857819907</v>
      </c>
    </row>
    <row r="18" spans="1:15" ht="15" thickBot="1"/>
    <row r="19" spans="1:15" ht="15.6">
      <c r="A19" s="229" t="s">
        <v>20</v>
      </c>
      <c r="B19" s="230"/>
      <c r="C19" s="231"/>
      <c r="F19" s="232" t="s">
        <v>12</v>
      </c>
      <c r="G19" s="233"/>
      <c r="H19" s="234" t="str">
        <f>I16&amp;" €"</f>
        <v>0 €</v>
      </c>
      <c r="I19" s="234"/>
    </row>
    <row r="20" spans="1:15">
      <c r="A20" s="226" t="s">
        <v>126</v>
      </c>
      <c r="B20" s="227"/>
      <c r="C20" s="228"/>
      <c r="F20" s="30"/>
      <c r="G20" s="32"/>
      <c r="I20" s="30"/>
    </row>
    <row r="21" spans="1:15" ht="15.6">
      <c r="A21" s="242" t="s">
        <v>125</v>
      </c>
      <c r="B21" s="243"/>
      <c r="C21" s="244"/>
      <c r="F21" s="232" t="s">
        <v>44</v>
      </c>
      <c r="G21" s="233"/>
      <c r="H21" s="241">
        <f>SUM(H19*5.5%)</f>
        <v>0</v>
      </c>
      <c r="I21" s="241"/>
    </row>
    <row r="22" spans="1:15" ht="15" thickBot="1">
      <c r="A22" s="245" t="s">
        <v>124</v>
      </c>
      <c r="B22" s="246"/>
      <c r="C22" s="247"/>
      <c r="F22" s="30"/>
      <c r="G22" s="22"/>
      <c r="I22" s="30"/>
      <c r="O22" s="44"/>
    </row>
    <row r="23" spans="1:15" ht="15.6">
      <c r="D23" s="33"/>
      <c r="E23" s="33"/>
      <c r="F23" s="232" t="s">
        <v>13</v>
      </c>
      <c r="G23" s="233"/>
      <c r="H23" s="241">
        <f>SUM(H19+H21)</f>
        <v>0</v>
      </c>
      <c r="I23" s="241"/>
    </row>
    <row r="24" spans="1:15">
      <c r="A24" s="34"/>
      <c r="B24" s="35"/>
      <c r="C24" s="36"/>
      <c r="D24" s="37"/>
      <c r="E24" s="168" t="s">
        <v>113</v>
      </c>
      <c r="F24" s="184"/>
      <c r="G24" s="184"/>
      <c r="H24" s="184"/>
      <c r="I24" s="184"/>
    </row>
    <row r="25" spans="1:15">
      <c r="A25" s="34"/>
      <c r="B25" s="35"/>
      <c r="C25" s="36"/>
      <c r="D25" s="36"/>
      <c r="E25" s="193" t="str" cm="1">
        <f t="array" ref="E25">ChiffreLettre(H23)</f>
        <v/>
      </c>
      <c r="F25" s="193"/>
      <c r="G25" s="193"/>
      <c r="H25" s="193"/>
      <c r="I25" s="193"/>
    </row>
    <row r="26" spans="1:15">
      <c r="A26" s="34"/>
      <c r="B26" s="35"/>
      <c r="C26" s="36"/>
      <c r="D26" s="36"/>
    </row>
    <row r="27" spans="1:15" ht="15.6">
      <c r="A27" s="34"/>
      <c r="B27" s="35"/>
      <c r="C27" s="36"/>
      <c r="D27" s="36"/>
      <c r="E27" s="71" t="s">
        <v>49</v>
      </c>
      <c r="F27" s="51"/>
      <c r="G27" s="50"/>
      <c r="H27" s="50"/>
      <c r="I27" s="50"/>
    </row>
    <row r="28" spans="1:15" ht="15.6">
      <c r="A28" s="34"/>
      <c r="B28" s="35"/>
      <c r="C28" s="36"/>
      <c r="D28" s="36"/>
      <c r="E28" s="71" t="s">
        <v>16</v>
      </c>
      <c r="F28" s="51"/>
      <c r="G28" s="50"/>
      <c r="H28" s="50"/>
      <c r="I28" s="50"/>
    </row>
  </sheetData>
  <sheetProtection sheet="1" objects="1" scenarios="1"/>
  <mergeCells count="29">
    <mergeCell ref="A13:G13"/>
    <mergeCell ref="H13:I13"/>
    <mergeCell ref="A8:E8"/>
    <mergeCell ref="A5:E5"/>
    <mergeCell ref="G5:I5"/>
    <mergeCell ref="A6:E6"/>
    <mergeCell ref="G6:I6"/>
    <mergeCell ref="A7:E7"/>
    <mergeCell ref="G7:I7"/>
    <mergeCell ref="A1:D1"/>
    <mergeCell ref="F1:I1"/>
    <mergeCell ref="A3:E3"/>
    <mergeCell ref="G3:I3"/>
    <mergeCell ref="A4:E4"/>
    <mergeCell ref="G4:I4"/>
    <mergeCell ref="A15:F15"/>
    <mergeCell ref="A16:F16"/>
    <mergeCell ref="F23:G23"/>
    <mergeCell ref="H23:I23"/>
    <mergeCell ref="A21:C21"/>
    <mergeCell ref="F21:G21"/>
    <mergeCell ref="H21:I21"/>
    <mergeCell ref="A22:C22"/>
    <mergeCell ref="E24:I24"/>
    <mergeCell ref="E25:I25"/>
    <mergeCell ref="A20:C20"/>
    <mergeCell ref="A19:C19"/>
    <mergeCell ref="F19:G19"/>
    <mergeCell ref="H19:I19"/>
  </mergeCells>
  <hyperlinks>
    <hyperlink ref="A7" r:id="rId1" xr:uid="{833C177C-98DA-4661-BF40-DAA87D35B7DB}"/>
  </hyperlink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2"/>
  <ignoredErrors>
    <ignoredError xmlns:x16r3="http://schemas.microsoft.com/office/spreadsheetml/2018/08/main" sqref="G4" x16r3:misleadingFormat="1"/>
    <ignoredError sqref="A17 D17" unlockedFormula="1"/>
  </ignoredErrors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0E1A-64AB-4EDA-A35D-3FDB0B04CF9A}">
  <sheetPr codeName="Feuil5">
    <tabColor theme="4" tint="0.39997558519241921"/>
  </sheetPr>
  <dimension ref="A1:D62"/>
  <sheetViews>
    <sheetView workbookViewId="0">
      <selection activeCell="A10" sqref="A10"/>
    </sheetView>
  </sheetViews>
  <sheetFormatPr baseColWidth="10" defaultRowHeight="14.4"/>
  <cols>
    <col min="1" max="1" width="31.5546875" customWidth="1"/>
    <col min="2" max="2" width="9.6640625" style="8" customWidth="1"/>
    <col min="3" max="3" width="8" customWidth="1"/>
    <col min="4" max="4" width="6.33203125" customWidth="1"/>
  </cols>
  <sheetData>
    <row r="1" spans="1:4">
      <c r="A1" s="46" t="s">
        <v>51</v>
      </c>
      <c r="B1" s="9" t="s">
        <v>37</v>
      </c>
      <c r="D1" s="111">
        <v>1.47</v>
      </c>
    </row>
    <row r="2" spans="1:4">
      <c r="A2" s="47" t="s">
        <v>59</v>
      </c>
      <c r="B2" s="48">
        <v>26.97</v>
      </c>
    </row>
    <row r="3" spans="1:4">
      <c r="A3" s="47" t="s">
        <v>60</v>
      </c>
      <c r="B3" s="48">
        <v>26.97</v>
      </c>
    </row>
    <row r="4" spans="1:4">
      <c r="A4" s="47" t="s">
        <v>61</v>
      </c>
      <c r="B4" s="48">
        <v>16.54</v>
      </c>
    </row>
    <row r="5" spans="1:4">
      <c r="A5" s="47" t="s">
        <v>62</v>
      </c>
      <c r="B5" s="48">
        <v>16.54</v>
      </c>
      <c r="C5" s="11"/>
      <c r="D5" s="11"/>
    </row>
    <row r="6" spans="1:4">
      <c r="A6" s="47" t="s">
        <v>63</v>
      </c>
      <c r="B6" s="48">
        <v>11.9</v>
      </c>
      <c r="C6" s="11"/>
      <c r="D6" s="11"/>
    </row>
    <row r="7" spans="1:4">
      <c r="A7" s="47" t="s">
        <v>64</v>
      </c>
      <c r="B7" s="48">
        <v>13.700000000000001</v>
      </c>
      <c r="C7" s="11"/>
      <c r="D7" s="11"/>
    </row>
    <row r="8" spans="1:4">
      <c r="A8" s="47" t="s">
        <v>140</v>
      </c>
      <c r="B8" s="48">
        <v>25.07</v>
      </c>
    </row>
    <row r="9" spans="1:4">
      <c r="A9" s="47" t="s">
        <v>141</v>
      </c>
      <c r="B9" s="48">
        <v>16.54</v>
      </c>
    </row>
    <row r="10" spans="1:4">
      <c r="A10" s="47" t="s">
        <v>65</v>
      </c>
      <c r="B10" s="48">
        <v>13.700000000000001</v>
      </c>
    </row>
    <row r="11" spans="1:4">
      <c r="A11" s="47" t="s">
        <v>66</v>
      </c>
      <c r="B11" s="48">
        <v>11.23</v>
      </c>
    </row>
    <row r="12" spans="1:4">
      <c r="A12" s="47" t="s">
        <v>115</v>
      </c>
      <c r="B12" s="95">
        <v>2.42</v>
      </c>
    </row>
    <row r="13" spans="1:4">
      <c r="A13" s="47" t="s">
        <v>67</v>
      </c>
      <c r="B13" s="48">
        <v>5.26</v>
      </c>
    </row>
    <row r="14" spans="1:4">
      <c r="A14" s="47" t="s">
        <v>68</v>
      </c>
      <c r="B14" s="48">
        <v>15.59</v>
      </c>
    </row>
    <row r="15" spans="1:4">
      <c r="A15" s="49" t="s">
        <v>69</v>
      </c>
      <c r="B15" s="48">
        <v>10.850000000000001</v>
      </c>
    </row>
    <row r="16" spans="1:4">
      <c r="A16" s="47" t="s">
        <v>70</v>
      </c>
      <c r="B16" s="48">
        <v>17.489999999999998</v>
      </c>
    </row>
    <row r="17" spans="1:2">
      <c r="A17" s="47" t="s">
        <v>71</v>
      </c>
      <c r="B17" s="48">
        <v>22.23</v>
      </c>
    </row>
    <row r="18" spans="1:2">
      <c r="A18" s="47" t="s">
        <v>112</v>
      </c>
      <c r="B18" s="95">
        <v>5.26</v>
      </c>
    </row>
    <row r="19" spans="1:2">
      <c r="A19" s="47" t="s">
        <v>72</v>
      </c>
      <c r="B19" s="48">
        <v>17.489999999999998</v>
      </c>
    </row>
    <row r="20" spans="1:2">
      <c r="A20" s="47" t="s">
        <v>73</v>
      </c>
      <c r="B20" s="48">
        <v>17.489999999999998</v>
      </c>
    </row>
    <row r="21" spans="1:2">
      <c r="A21" s="47" t="s">
        <v>74</v>
      </c>
      <c r="B21" s="48">
        <v>18.439999999999998</v>
      </c>
    </row>
    <row r="22" spans="1:2">
      <c r="A22" s="47" t="s">
        <v>117</v>
      </c>
      <c r="B22" s="95">
        <v>16.54</v>
      </c>
    </row>
    <row r="23" spans="1:2">
      <c r="A23" s="47" t="s">
        <v>75</v>
      </c>
      <c r="B23" s="48">
        <v>15.59</v>
      </c>
    </row>
    <row r="24" spans="1:2">
      <c r="A24" s="47" t="s">
        <v>76</v>
      </c>
      <c r="B24" s="48">
        <v>18.439999999999998</v>
      </c>
    </row>
    <row r="25" spans="1:2">
      <c r="A25" s="47" t="s">
        <v>116</v>
      </c>
      <c r="B25" s="95">
        <v>18.439999999999998</v>
      </c>
    </row>
    <row r="26" spans="1:2">
      <c r="A26" s="47" t="s">
        <v>77</v>
      </c>
      <c r="B26" s="48">
        <v>5.26</v>
      </c>
    </row>
    <row r="27" spans="1:2">
      <c r="A27" s="47" t="s">
        <v>78</v>
      </c>
      <c r="B27" s="48">
        <v>18.439999999999998</v>
      </c>
    </row>
    <row r="28" spans="1:2">
      <c r="A28" s="47" t="s">
        <v>79</v>
      </c>
      <c r="B28" s="48">
        <v>2.42</v>
      </c>
    </row>
    <row r="29" spans="1:2">
      <c r="A29" s="47" t="s">
        <v>80</v>
      </c>
      <c r="B29" s="48">
        <v>26.97</v>
      </c>
    </row>
    <row r="30" spans="1:2">
      <c r="A30" s="47" t="s">
        <v>81</v>
      </c>
      <c r="B30" s="48">
        <v>28.86</v>
      </c>
    </row>
    <row r="31" spans="1:2">
      <c r="A31" s="49" t="s">
        <v>82</v>
      </c>
      <c r="B31" s="48">
        <v>9.5300000000000011</v>
      </c>
    </row>
    <row r="32" spans="1:2">
      <c r="A32" s="47" t="s">
        <v>83</v>
      </c>
      <c r="B32" s="48">
        <v>8.58</v>
      </c>
    </row>
    <row r="33" spans="1:2">
      <c r="A33" s="47" t="s">
        <v>84</v>
      </c>
      <c r="B33" s="48">
        <v>9.5300000000000011</v>
      </c>
    </row>
    <row r="34" spans="1:2">
      <c r="A34" s="47" t="s">
        <v>85</v>
      </c>
      <c r="B34" s="48">
        <v>19.38</v>
      </c>
    </row>
    <row r="35" spans="1:2">
      <c r="A35" s="49" t="s">
        <v>86</v>
      </c>
      <c r="B35" s="48">
        <v>12.75</v>
      </c>
    </row>
    <row r="36" spans="1:2">
      <c r="A36" s="47" t="s">
        <v>87</v>
      </c>
      <c r="B36" s="48">
        <v>16.54</v>
      </c>
    </row>
    <row r="37" spans="1:2">
      <c r="A37" s="47" t="s">
        <v>88</v>
      </c>
      <c r="B37" s="48">
        <v>16.54</v>
      </c>
    </row>
    <row r="38" spans="1:2">
      <c r="A38" s="47" t="s">
        <v>89</v>
      </c>
      <c r="B38" s="48">
        <v>2.42</v>
      </c>
    </row>
    <row r="39" spans="1:2">
      <c r="A39" s="47" t="s">
        <v>90</v>
      </c>
      <c r="B39" s="48">
        <v>25.07</v>
      </c>
    </row>
    <row r="40" spans="1:2">
      <c r="A40" s="47" t="s">
        <v>91</v>
      </c>
      <c r="B40" s="48">
        <v>25.07</v>
      </c>
    </row>
    <row r="41" spans="1:2">
      <c r="A41" s="47" t="s">
        <v>114</v>
      </c>
      <c r="B41" s="48">
        <v>15.59</v>
      </c>
    </row>
    <row r="42" spans="1:2">
      <c r="A42" s="47" t="s">
        <v>92</v>
      </c>
      <c r="B42" s="48">
        <v>2.42</v>
      </c>
    </row>
    <row r="43" spans="1:2">
      <c r="A43" s="47" t="s">
        <v>93</v>
      </c>
      <c r="B43" s="48">
        <v>13.700000000000001</v>
      </c>
    </row>
    <row r="44" spans="1:2">
      <c r="A44" s="47" t="s">
        <v>94</v>
      </c>
      <c r="B44" s="48">
        <v>14.65</v>
      </c>
    </row>
    <row r="45" spans="1:2">
      <c r="A45" s="47" t="s">
        <v>95</v>
      </c>
      <c r="B45" s="48">
        <v>5.26</v>
      </c>
    </row>
    <row r="46" spans="1:2">
      <c r="A46" s="47" t="s">
        <v>96</v>
      </c>
      <c r="B46" s="48">
        <v>2.42</v>
      </c>
    </row>
    <row r="47" spans="1:2">
      <c r="A47" s="47" t="s">
        <v>97</v>
      </c>
      <c r="B47" s="48">
        <v>15.59</v>
      </c>
    </row>
    <row r="48" spans="1:2">
      <c r="A48" s="47" t="s">
        <v>98</v>
      </c>
      <c r="B48" s="48">
        <v>15.59</v>
      </c>
    </row>
    <row r="49" spans="1:2">
      <c r="A49" s="47" t="s">
        <v>99</v>
      </c>
      <c r="B49" s="48">
        <v>17.489999999999998</v>
      </c>
    </row>
    <row r="50" spans="1:2">
      <c r="A50" s="47" t="s">
        <v>100</v>
      </c>
      <c r="B50" s="48">
        <v>19.38</v>
      </c>
    </row>
    <row r="51" spans="1:2">
      <c r="A51" s="47" t="s">
        <v>101</v>
      </c>
      <c r="B51" s="48">
        <v>15.59</v>
      </c>
    </row>
    <row r="52" spans="1:2">
      <c r="A52" s="47" t="s">
        <v>138</v>
      </c>
      <c r="B52" s="48">
        <v>3.37</v>
      </c>
    </row>
    <row r="53" spans="1:2">
      <c r="A53" s="47" t="s">
        <v>102</v>
      </c>
      <c r="B53" s="95">
        <v>15.59</v>
      </c>
    </row>
    <row r="54" spans="1:2">
      <c r="A54" s="47" t="s">
        <v>103</v>
      </c>
      <c r="B54" s="48">
        <v>18.439999999999998</v>
      </c>
    </row>
    <row r="55" spans="1:2">
      <c r="A55" s="47" t="s">
        <v>104</v>
      </c>
      <c r="B55" s="95">
        <v>16.54</v>
      </c>
    </row>
    <row r="56" spans="1:2">
      <c r="A56" s="47" t="s">
        <v>105</v>
      </c>
      <c r="B56" s="48">
        <v>15.59</v>
      </c>
    </row>
    <row r="57" spans="1:2">
      <c r="A57" s="47" t="s">
        <v>106</v>
      </c>
      <c r="B57" s="48">
        <v>17.489999999999998</v>
      </c>
    </row>
    <row r="58" spans="1:2">
      <c r="A58" s="47" t="s">
        <v>107</v>
      </c>
      <c r="B58" s="95">
        <v>25.07</v>
      </c>
    </row>
    <row r="59" spans="1:2">
      <c r="A59" s="47" t="s">
        <v>108</v>
      </c>
      <c r="B59" s="48">
        <v>30.759999999999998</v>
      </c>
    </row>
    <row r="60" spans="1:2">
      <c r="A60" s="47" t="s">
        <v>109</v>
      </c>
      <c r="B60" s="48">
        <v>13.700000000000001</v>
      </c>
    </row>
    <row r="61" spans="1:2">
      <c r="A61" s="47" t="s">
        <v>110</v>
      </c>
      <c r="B61" s="48">
        <v>18.439999999999998</v>
      </c>
    </row>
    <row r="62" spans="1:2">
      <c r="A62" s="47" t="s">
        <v>111</v>
      </c>
      <c r="B62" s="48">
        <v>10.290000000000001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CD809-5EAD-4209-A867-D9C8E47E8E9D}">
  <sheetPr codeName="Feuil7">
    <tabColor theme="4" tint="0.39997558519241921"/>
  </sheetPr>
  <dimension ref="A1:H45"/>
  <sheetViews>
    <sheetView showGridLines="0" showZeros="0" topLeftCell="A11" workbookViewId="0">
      <selection activeCell="E38" sqref="E38"/>
    </sheetView>
  </sheetViews>
  <sheetFormatPr baseColWidth="10" defaultRowHeight="14.4"/>
  <cols>
    <col min="1" max="1" width="31.6640625" customWidth="1"/>
    <col min="2" max="2" width="10.6640625" style="8" customWidth="1"/>
    <col min="3" max="3" width="4.6640625" customWidth="1"/>
    <col min="4" max="4" width="31.6640625" customWidth="1"/>
    <col min="5" max="5" width="10.6640625" style="8" customWidth="1"/>
  </cols>
  <sheetData>
    <row r="1" spans="1:8" ht="12.15" customHeight="1">
      <c r="G1" s="100">
        <v>5.5E-2</v>
      </c>
    </row>
    <row r="2" spans="1:8" ht="36.6">
      <c r="D2" s="257" t="s">
        <v>130</v>
      </c>
      <c r="E2" s="257"/>
      <c r="H2" s="70"/>
    </row>
    <row r="3" spans="1:8">
      <c r="D3" s="258" t="s">
        <v>133</v>
      </c>
      <c r="E3" s="258"/>
      <c r="G3">
        <f>TARIF!A63</f>
        <v>0</v>
      </c>
      <c r="H3" s="82">
        <f>TARIF!B63</f>
        <v>0</v>
      </c>
    </row>
    <row r="4" spans="1:8" ht="18">
      <c r="A4" s="166" t="s">
        <v>7</v>
      </c>
      <c r="B4" s="166"/>
      <c r="C4" s="166"/>
      <c r="D4" s="258"/>
      <c r="E4" s="258"/>
      <c r="G4">
        <f>TARIF!A64</f>
        <v>0</v>
      </c>
      <c r="H4" s="82">
        <f>TARIF!B64</f>
        <v>0</v>
      </c>
    </row>
    <row r="5" spans="1:8">
      <c r="A5" s="167" t="s">
        <v>8</v>
      </c>
      <c r="B5" s="167"/>
      <c r="C5" s="167"/>
      <c r="E5" s="1"/>
      <c r="F5" s="1"/>
    </row>
    <row r="6" spans="1:8">
      <c r="A6" s="168" t="s">
        <v>1</v>
      </c>
      <c r="B6" s="168"/>
      <c r="C6" s="168"/>
    </row>
    <row r="7" spans="1:8">
      <c r="A7" s="169" t="s">
        <v>2</v>
      </c>
      <c r="B7" s="169"/>
      <c r="C7" s="169"/>
      <c r="D7" s="80"/>
    </row>
    <row r="8" spans="1:8">
      <c r="A8" s="170" t="s">
        <v>0</v>
      </c>
      <c r="B8" s="170"/>
      <c r="C8" s="170"/>
      <c r="D8" s="81" t="s">
        <v>131</v>
      </c>
      <c r="E8" s="91">
        <f ca="1">TODAY()</f>
        <v>45223</v>
      </c>
    </row>
    <row r="9" spans="1:8" ht="10.95" customHeight="1">
      <c r="A9" s="79"/>
      <c r="B9" s="79"/>
      <c r="C9" s="79"/>
      <c r="D9" s="79"/>
    </row>
    <row r="10" spans="1:8" ht="15" thickBot="1">
      <c r="A10" s="47"/>
      <c r="B10" s="48"/>
    </row>
    <row r="11" spans="1:8">
      <c r="A11" s="83" t="s">
        <v>51</v>
      </c>
      <c r="B11" s="84" t="s">
        <v>134</v>
      </c>
      <c r="D11" s="83" t="s">
        <v>51</v>
      </c>
      <c r="E11" s="84" t="s">
        <v>134</v>
      </c>
    </row>
    <row r="12" spans="1:8">
      <c r="A12" s="85" t="str">
        <f>TARIF!A2</f>
        <v>ARAIGNEE</v>
      </c>
      <c r="B12" s="86">
        <f>SUM(TARIF!B2*(1+TARIF_P!$G$1))</f>
        <v>28.453349999999997</v>
      </c>
      <c r="D12" s="88" t="str">
        <f>TARIF!A36</f>
        <v>MERGUEZ DE PORC</v>
      </c>
      <c r="E12" s="87">
        <f>SUM(TARIF!B36*(1+TARIF_P!$G$1))</f>
        <v>17.449699999999996</v>
      </c>
    </row>
    <row r="13" spans="1:8">
      <c r="A13" s="85" t="str">
        <f>TARIF!A3</f>
        <v>BAVETTE</v>
      </c>
      <c r="B13" s="86">
        <f>SUM(TARIF!B3*(1+TARIF_P!$G$1))</f>
        <v>28.453349999999997</v>
      </c>
      <c r="D13" s="88" t="str">
        <f>TARIF!A37</f>
        <v>MURSON</v>
      </c>
      <c r="E13" s="87">
        <f>SUM(TARIF!B37*(1+TARIF_P!$G$1))</f>
        <v>17.449699999999996</v>
      </c>
    </row>
    <row r="14" spans="1:8">
      <c r="A14" s="85" t="str">
        <f>TARIF!A4</f>
        <v>BOUDIN</v>
      </c>
      <c r="B14" s="86">
        <f>SUM(TARIF!B4*(1+TARIF_P!$G$1))</f>
        <v>17.449699999999996</v>
      </c>
      <c r="D14" s="88" t="str">
        <f>TARIF!A38</f>
        <v>OREILLES</v>
      </c>
      <c r="E14" s="87">
        <f>SUM(TARIF!B38*(1+TARIF_P!$G$1))</f>
        <v>2.5530999999999997</v>
      </c>
    </row>
    <row r="15" spans="1:8">
      <c r="A15" s="85" t="str">
        <f>TARIF!A5</f>
        <v>CAILLETTES</v>
      </c>
      <c r="B15" s="86">
        <f>SUM(TARIF!B5*(1+TARIF_P!$G$1))</f>
        <v>17.449699999999996</v>
      </c>
      <c r="D15" s="88" t="str">
        <f>TARIF!A39</f>
        <v>PATE CROUTE</v>
      </c>
      <c r="E15" s="87">
        <f>SUM(TARIF!B39*(1+TARIF_P!$G$1))</f>
        <v>26.44885</v>
      </c>
    </row>
    <row r="16" spans="1:8">
      <c r="A16" s="85" t="str">
        <f>TARIF!A6</f>
        <v>CAISSETTE DE VIANDE 15 KG</v>
      </c>
      <c r="B16" s="86">
        <f>SUM(TARIF!B6*(1+TARIF_P!$G$1))</f>
        <v>12.554499999999999</v>
      </c>
      <c r="D16" s="88" t="str">
        <f>TARIF!A40</f>
        <v>PATE DE CAMPAGNE</v>
      </c>
      <c r="E16" s="87">
        <f>SUM(TARIF!B40*(1+TARIF_P!$G$1))</f>
        <v>26.44885</v>
      </c>
    </row>
    <row r="17" spans="1:5">
      <c r="A17" s="85" t="str">
        <f>TARIF!A7</f>
        <v>CHAIR A SAUCISSE</v>
      </c>
      <c r="B17" s="86">
        <f>SUM(TARIF!B7*(1+TARIF_P!$G$1))</f>
        <v>14.4535</v>
      </c>
      <c r="D17" s="88" t="str">
        <f>TARIF!A41</f>
        <v>PATE DE TETE</v>
      </c>
      <c r="E17" s="87">
        <f>SUM(TARIF!B41*(1+TARIF_P!$G$1))</f>
        <v>16.44745</v>
      </c>
    </row>
    <row r="18" spans="1:5">
      <c r="A18" s="85" t="str">
        <f>TARIF!A8</f>
        <v>CHAUSSON</v>
      </c>
      <c r="B18" s="86">
        <f>SUM(TARIF!B8*(1+TARIF_P!$G$1))</f>
        <v>26.44885</v>
      </c>
      <c r="D18" s="88" t="str">
        <f>TARIF!A42</f>
        <v>PIED  DE PORC</v>
      </c>
      <c r="E18" s="87">
        <f>SUM(TARIF!B42*(1+TARIF_P!$G$1))</f>
        <v>2.5530999999999997</v>
      </c>
    </row>
    <row r="19" spans="1:5">
      <c r="A19" s="85" t="str">
        <f>TARIF!A9</f>
        <v>CHORIZO A GRILLER</v>
      </c>
      <c r="B19" s="86">
        <f>SUM(TARIF!B9*(1+TARIF_P!$G$1))</f>
        <v>17.449699999999996</v>
      </c>
      <c r="D19" s="88" t="str">
        <f>TARIF!A43</f>
        <v>POITRINE DE PORC</v>
      </c>
      <c r="E19" s="87">
        <f>SUM(TARIF!B43*(1+TARIF_P!$G$1))</f>
        <v>14.4535</v>
      </c>
    </row>
    <row r="20" spans="1:5">
      <c r="A20" s="85" t="str">
        <f>TARIF!A10</f>
        <v>COTE DE PORC</v>
      </c>
      <c r="B20" s="86">
        <f>SUM(TARIF!B10*(1+TARIF_P!$G$1))</f>
        <v>14.4535</v>
      </c>
      <c r="D20" s="88" t="str">
        <f>TARIF!A44</f>
        <v>POITRINE DEMI SEL</v>
      </c>
      <c r="E20" s="87">
        <f>SUM(TARIF!B44*(1+TARIF_P!$G$1))</f>
        <v>15.45575</v>
      </c>
    </row>
    <row r="21" spans="1:5">
      <c r="A21" s="85" t="str">
        <f>TARIF!A11</f>
        <v>COTIS SALE</v>
      </c>
      <c r="B21" s="86">
        <f>SUM(TARIF!B11*(1+TARIF_P!$G$1))</f>
        <v>11.84765</v>
      </c>
      <c r="D21" s="88" t="str">
        <f>TARIF!A45</f>
        <v>PORC ENTIER</v>
      </c>
      <c r="E21" s="87">
        <f>SUM(TARIF!B45*(1+TARIF_P!$G$1))</f>
        <v>5.5492999999999997</v>
      </c>
    </row>
    <row r="22" spans="1:5">
      <c r="A22" s="85" t="str">
        <f>TARIF!A12</f>
        <v>CREPINE</v>
      </c>
      <c r="B22" s="86">
        <f>SUM(TARIF!B12*(1+TARIF_P!$G$1))</f>
        <v>2.5530999999999997</v>
      </c>
      <c r="D22" s="88" t="str">
        <f>TARIF!A46</f>
        <v>QUEUE</v>
      </c>
      <c r="E22" s="97">
        <f>SUM(TARIF!B46*(1+TARIF_P!$G$1))</f>
        <v>2.5530999999999997</v>
      </c>
    </row>
    <row r="23" spans="1:5">
      <c r="A23" s="85" t="str">
        <f>TARIF!A13</f>
        <v>DEMI PORC</v>
      </c>
      <c r="B23" s="86">
        <f>SUM(TARIF!B13*(1+TARIF_P!$G$1))</f>
        <v>5.5492999999999997</v>
      </c>
      <c r="D23" s="88" t="str">
        <f>TARIF!A47</f>
        <v>ROTI DE PORC (EPAULE)</v>
      </c>
      <c r="E23" s="97">
        <f>SUM(TARIF!B47*(1+TARIF_P!$G$1))</f>
        <v>16.44745</v>
      </c>
    </row>
    <row r="24" spans="1:5">
      <c r="A24" s="85" t="str">
        <f>TARIF!A14</f>
        <v>ECHINE DE PORC</v>
      </c>
      <c r="B24" s="86">
        <f>SUM(TARIF!B14*(1+TARIF_P!$G$1))</f>
        <v>16.44745</v>
      </c>
      <c r="D24" s="88" t="str">
        <f>TARIF!A48</f>
        <v>ROTI DE PORC (FILET)</v>
      </c>
      <c r="E24" s="97">
        <f>SUM(TARIF!B48*(1+TARIF_P!$G$1))</f>
        <v>16.44745</v>
      </c>
    </row>
    <row r="25" spans="1:5">
      <c r="A25" s="85" t="str">
        <f>TARIF!A15</f>
        <v>EPAULE ENTIERE 3D</v>
      </c>
      <c r="B25" s="86">
        <f>SUM(TARIF!B15*(1+TARIF_P!$G$1))</f>
        <v>11.446750000000002</v>
      </c>
      <c r="D25" s="88" t="str">
        <f>TARIF!A49</f>
        <v>ROTI ECHINE</v>
      </c>
      <c r="E25" s="97">
        <f>SUM(TARIF!B49*(1+TARIF_P!$G$1))</f>
        <v>18.451949999999997</v>
      </c>
    </row>
    <row r="26" spans="1:5">
      <c r="A26" s="85" t="str">
        <f>TARIF!A16</f>
        <v>ESCALOPE DE PORC</v>
      </c>
      <c r="B26" s="86">
        <f>SUM(TARIF!B16*(1+TARIF_P!$G$1))</f>
        <v>18.451949999999997</v>
      </c>
      <c r="D26" s="88" t="str">
        <f>TARIF!A50</f>
        <v>ROTI FARCI</v>
      </c>
      <c r="E26" s="97">
        <f>SUM(TARIF!B50*(1+TARIF_P!$G$1))</f>
        <v>20.445899999999998</v>
      </c>
    </row>
    <row r="27" spans="1:5">
      <c r="A27" s="85" t="str">
        <f>TARIF!A17</f>
        <v>FILET MIGNON DE PORC</v>
      </c>
      <c r="B27" s="86">
        <f>SUM(TARIF!B17*(1+TARIF_P!$G$1))</f>
        <v>23.452649999999998</v>
      </c>
      <c r="D27" s="88" t="str">
        <f>TARIF!A51</f>
        <v>ROUELLE DE PORC</v>
      </c>
      <c r="E27" s="97">
        <f>SUM(TARIF!B51*(1+TARIF_P!$G$1))</f>
        <v>16.44745</v>
      </c>
    </row>
    <row r="28" spans="1:5">
      <c r="A28" s="85" t="str">
        <f>TARIF!A18</f>
        <v>FOIE</v>
      </c>
      <c r="B28" s="86">
        <f>SUM(TARIF!B18*(1+TARIF_P!$G$1))</f>
        <v>5.5492999999999997</v>
      </c>
      <c r="D28" s="88" t="str">
        <f>TARIF!A52</f>
        <v>SANG</v>
      </c>
      <c r="E28" s="97">
        <f>SUM(TARIF!B52*(1+TARIF_P!$G$1))</f>
        <v>3.5553499999999998</v>
      </c>
    </row>
    <row r="29" spans="1:5">
      <c r="A29" s="85" t="str">
        <f>TARIF!A19</f>
        <v>FROMAGE DE TETE</v>
      </c>
      <c r="B29" s="86">
        <f>SUM(TARIF!B19*(1+TARIF_P!$G$1))</f>
        <v>18.451949999999997</v>
      </c>
      <c r="D29" s="88" t="str">
        <f>TARIF!A53</f>
        <v>SAUCISSE A CUIRE NATURE</v>
      </c>
      <c r="E29" s="97">
        <f>SUM(TARIF!B53*(1+TARIF_P!$G$1))</f>
        <v>16.44745</v>
      </c>
    </row>
    <row r="30" spans="1:5">
      <c r="A30" s="85" t="str">
        <f>TARIF!A20</f>
        <v>GODIVEAUX AUX HERBES</v>
      </c>
      <c r="B30" s="86">
        <f>SUM(TARIF!B20*(1+TARIF_P!$G$1))</f>
        <v>18.451949999999997</v>
      </c>
      <c r="D30" s="88" t="str">
        <f>TARIF!A54</f>
        <v>SAUCISSE A CUIRE OLIVES NYONS</v>
      </c>
      <c r="E30" s="97">
        <f>SUM(TARIF!B54*(1+TARIF_P!$G$1))</f>
        <v>19.454199999999997</v>
      </c>
    </row>
    <row r="31" spans="1:5">
      <c r="A31" s="85" t="str">
        <f>TARIF!A21</f>
        <v>GODIVEAUX AUX OLIVES NYONS</v>
      </c>
      <c r="B31" s="86">
        <f>SUM(TARIF!B21*(1+TARIF_P!$G$1))</f>
        <v>19.454199999999997</v>
      </c>
      <c r="D31" s="88" t="str">
        <f>TARIF!A55</f>
        <v>SAUCISSE A GRILLER HERBES</v>
      </c>
      <c r="E31" s="97">
        <f>SUM(TARIF!B55*(1+TARIF_P!$G$1))</f>
        <v>17.449699999999996</v>
      </c>
    </row>
    <row r="32" spans="1:5">
      <c r="A32" s="85" t="str">
        <f>TARIF!A22</f>
        <v>GODIVEAUX FENOUIL</v>
      </c>
      <c r="B32" s="86">
        <f>SUM(TARIF!B22*(1+TARIF_P!$G$1))</f>
        <v>17.449699999999996</v>
      </c>
      <c r="D32" s="88" t="str">
        <f>TARIF!A56</f>
        <v>SAUCISSE A GRILLER NATURE</v>
      </c>
      <c r="E32" s="97">
        <f>SUM(TARIF!B56*(1+TARIF_P!$G$1))</f>
        <v>16.44745</v>
      </c>
    </row>
    <row r="33" spans="1:5">
      <c r="A33" s="85" t="str">
        <f>TARIF!A23</f>
        <v>GODIVEAUX NATURE</v>
      </c>
      <c r="B33" s="86">
        <f>SUM(TARIF!B23*(1+TARIF_P!$G$1))</f>
        <v>16.44745</v>
      </c>
      <c r="D33" s="88" t="str">
        <f>TARIF!A57</f>
        <v>SAUCISSE AUX HERBES</v>
      </c>
      <c r="E33" s="97">
        <f>SUM(TARIF!B57*(1+TARIF_P!$G$1))</f>
        <v>18.451949999999997</v>
      </c>
    </row>
    <row r="34" spans="1:5">
      <c r="A34" s="85" t="str">
        <f>TARIF!A24</f>
        <v>GODIVEAUX PICODON AOC</v>
      </c>
      <c r="B34" s="86">
        <f>SUM(TARIF!B24*(1+TARIF_P!$G$1))</f>
        <v>19.454199999999997</v>
      </c>
      <c r="D34" s="88" t="str">
        <f>TARIF!A58</f>
        <v>SAUCISSON BRIOCHE</v>
      </c>
      <c r="E34" s="97">
        <f>SUM(TARIF!B58*(1+TARIF_P!$G$1))</f>
        <v>26.44885</v>
      </c>
    </row>
    <row r="35" spans="1:5">
      <c r="A35" s="85" t="str">
        <f>TARIF!A25</f>
        <v>GODIVEAUX VIGNERON</v>
      </c>
      <c r="B35" s="86">
        <f>SUM(TARIF!B25*(1+TARIF_P!$G$1))</f>
        <v>19.454199999999997</v>
      </c>
      <c r="D35" s="88" t="str">
        <f>TARIF!A59</f>
        <v>SAUCISSON SEC PUR PORC</v>
      </c>
      <c r="E35" s="97">
        <f>SUM(TARIF!B59*(1+TARIF_P!$G$1))</f>
        <v>32.451799999999999</v>
      </c>
    </row>
    <row r="36" spans="1:5">
      <c r="A36" s="85" t="str">
        <f>TARIF!A26</f>
        <v>GORGES DE PORC</v>
      </c>
      <c r="B36" s="86">
        <f>SUM(TARIF!B26*(1+TARIF_P!$G$1))</f>
        <v>5.5492999999999997</v>
      </c>
      <c r="D36" s="88" t="str">
        <f>TARIF!A60</f>
        <v>SAUTE DE PORC</v>
      </c>
      <c r="E36" s="97">
        <f>SUM(TARIF!B60*(1+TARIF_P!$G$1))</f>
        <v>14.4535</v>
      </c>
    </row>
    <row r="37" spans="1:5">
      <c r="A37" s="85" t="str">
        <f>TARIF!A27</f>
        <v>GRILLADE PARISIENNE</v>
      </c>
      <c r="B37" s="86">
        <f>SUM(TARIF!B27*(1+TARIF_P!$G$1))</f>
        <v>19.454199999999997</v>
      </c>
      <c r="D37" s="88" t="str">
        <f>TARIF!A61</f>
        <v>SURPRISE</v>
      </c>
      <c r="E37" s="97">
        <f>SUM(TARIF!B61*(1+TARIF_P!$G$1))</f>
        <v>19.454199999999997</v>
      </c>
    </row>
    <row r="38" spans="1:5">
      <c r="A38" s="85" t="str">
        <f>TARIF!A28</f>
        <v>GROIN</v>
      </c>
      <c r="B38" s="86">
        <f>SUM(TARIF!B28*(1+TARIF_P!$G$1))</f>
        <v>2.5530999999999997</v>
      </c>
      <c r="D38" s="88" t="str">
        <f>TARIF!A62</f>
        <v>TRAVERS DE PORC</v>
      </c>
      <c r="E38" s="97">
        <f>SUM(TARIF!B62*(1+TARIF_P!$G$1))</f>
        <v>10.85595</v>
      </c>
    </row>
    <row r="39" spans="1:5">
      <c r="A39" s="85" t="str">
        <f>TARIF!A29</f>
        <v>HAMPES</v>
      </c>
      <c r="B39" s="86">
        <f>SUM(TARIF!B29*(1+TARIF_P!$G$1))</f>
        <v>28.453349999999997</v>
      </c>
      <c r="D39" s="88">
        <f>TARIF!A63</f>
        <v>0</v>
      </c>
      <c r="E39" s="97">
        <f>SUM(TARIF!B63*(1+TARIF_P!$G$1))</f>
        <v>0</v>
      </c>
    </row>
    <row r="40" spans="1:5">
      <c r="A40" s="85" t="str">
        <f>TARIF!A30</f>
        <v>JAMBON CUIT</v>
      </c>
      <c r="B40" s="86">
        <f>SUM(TARIF!B30*(1+TARIF_P!$G$1))</f>
        <v>30.447299999999998</v>
      </c>
      <c r="D40" s="88">
        <f>TARIF!A64</f>
        <v>0</v>
      </c>
      <c r="E40" s="97">
        <f>SUM(TARIF!B64*(1+TARIF_P!$G$1))</f>
        <v>0</v>
      </c>
    </row>
    <row r="41" spans="1:5">
      <c r="A41" s="85" t="str">
        <f>TARIF!A31</f>
        <v>JAMBON ENTIER</v>
      </c>
      <c r="B41" s="86">
        <f>SUM(TARIF!B31*(1+TARIF_P!$G$1))</f>
        <v>10.05415</v>
      </c>
      <c r="D41" s="88">
        <f>TARIF!A65</f>
        <v>0</v>
      </c>
      <c r="E41" s="97">
        <f>SUM(TARIF!B65*(1+TARIF_P!$G$1))</f>
        <v>0</v>
      </c>
    </row>
    <row r="42" spans="1:5">
      <c r="A42" s="85" t="str">
        <f>TARIF!A32</f>
        <v>JARRET DE PORC</v>
      </c>
      <c r="B42" s="86">
        <f>SUM(TARIF!B32*(1+TARIF_P!$G$1))</f>
        <v>9.0518999999999998</v>
      </c>
      <c r="D42" s="88">
        <f>TARIF!A66</f>
        <v>0</v>
      </c>
      <c r="E42" s="97">
        <f>SUM(TARIF!B66*(1+TARIF_P!$G$1))</f>
        <v>0</v>
      </c>
    </row>
    <row r="43" spans="1:5">
      <c r="A43" s="85" t="str">
        <f>TARIF!A33</f>
        <v>JARRET DEMI SEL</v>
      </c>
      <c r="B43" s="86">
        <f>SUM(TARIF!B33*(1+TARIF_P!$G$1))</f>
        <v>10.05415</v>
      </c>
      <c r="D43" s="88">
        <f>TARIF!A67</f>
        <v>0</v>
      </c>
      <c r="E43" s="97">
        <f>SUM(TARIF!B67*(1+TARIF_P!$G$1))</f>
        <v>0</v>
      </c>
    </row>
    <row r="44" spans="1:5">
      <c r="A44" s="85" t="str">
        <f>TARIF!A34</f>
        <v>JOUES</v>
      </c>
      <c r="B44" s="86">
        <f>SUM(TARIF!B34*(1+TARIF_P!$G$1))</f>
        <v>20.445899999999998</v>
      </c>
      <c r="D44" s="88">
        <f>TARIF!A68</f>
        <v>0</v>
      </c>
      <c r="E44" s="97">
        <f>SUM(TARIF!B68*(1+TARIF_P!$G$1))</f>
        <v>0</v>
      </c>
    </row>
    <row r="45" spans="1:5">
      <c r="A45" s="85" t="str">
        <f>TARIF!A35</f>
        <v>LONGE ENTIERE</v>
      </c>
      <c r="B45" s="86">
        <f>SUM(TARIF!B35*(1+TARIF_P!$G$1))</f>
        <v>13.45125</v>
      </c>
      <c r="D45" s="88">
        <f>TARIF!A69</f>
        <v>0</v>
      </c>
      <c r="E45" s="97">
        <f>SUM(TARIF!B69*(1+TARIF_P!$G$1))</f>
        <v>0</v>
      </c>
    </row>
  </sheetData>
  <mergeCells count="7">
    <mergeCell ref="A7:C7"/>
    <mergeCell ref="A8:C8"/>
    <mergeCell ref="D2:E2"/>
    <mergeCell ref="D3:E4"/>
    <mergeCell ref="A4:C4"/>
    <mergeCell ref="A5:C5"/>
    <mergeCell ref="A6:C6"/>
  </mergeCells>
  <hyperlinks>
    <hyperlink ref="A7" r:id="rId1" xr:uid="{75BE50B1-09E6-440E-B187-DA7656D25840}"/>
  </hyperlinks>
  <pageMargins left="0.59055118110236227" right="0.31496062992125984" top="0.35433070866141736" bottom="0.35433070866141736" header="0.31496062992125984" footer="0.31496062992125984"/>
  <pageSetup paperSize="9" orientation="portrait" horizontalDpi="0" verticalDpi="0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40DFD-4C0A-4009-A5C9-FF5DE97A77CF}">
  <sheetPr codeName="Feuil8">
    <tabColor theme="7" tint="0.59999389629810485"/>
  </sheetPr>
  <dimension ref="A1:G45"/>
  <sheetViews>
    <sheetView showGridLines="0" showZeros="0" topLeftCell="A10" workbookViewId="0">
      <selection activeCell="B12" sqref="B12"/>
    </sheetView>
  </sheetViews>
  <sheetFormatPr baseColWidth="10" defaultRowHeight="14.4"/>
  <cols>
    <col min="1" max="1" width="31.6640625" customWidth="1"/>
    <col min="2" max="2" width="10.6640625" style="8" customWidth="1"/>
    <col min="3" max="3" width="4.6640625" customWidth="1"/>
    <col min="4" max="4" width="31.6640625" customWidth="1"/>
    <col min="5" max="5" width="10.6640625" style="8" customWidth="1"/>
  </cols>
  <sheetData>
    <row r="1" spans="1:7" ht="12.15" customHeight="1">
      <c r="G1" s="99">
        <v>0.9</v>
      </c>
    </row>
    <row r="2" spans="1:7" ht="36.6">
      <c r="D2" s="257" t="s">
        <v>130</v>
      </c>
      <c r="E2" s="257"/>
    </row>
    <row r="3" spans="1:7">
      <c r="D3" s="258" t="s">
        <v>132</v>
      </c>
      <c r="E3" s="258"/>
    </row>
    <row r="4" spans="1:7" ht="18">
      <c r="A4" s="166" t="s">
        <v>7</v>
      </c>
      <c r="B4" s="166"/>
      <c r="C4" s="166"/>
      <c r="D4" s="258"/>
      <c r="E4" s="258"/>
    </row>
    <row r="5" spans="1:7">
      <c r="A5" s="167" t="s">
        <v>8</v>
      </c>
      <c r="B5" s="167"/>
      <c r="C5" s="167"/>
      <c r="E5" s="1"/>
      <c r="F5" s="1"/>
    </row>
    <row r="6" spans="1:7">
      <c r="A6" s="168" t="s">
        <v>1</v>
      </c>
      <c r="B6" s="168"/>
      <c r="C6" s="168"/>
    </row>
    <row r="7" spans="1:7">
      <c r="A7" s="169" t="s">
        <v>2</v>
      </c>
      <c r="B7" s="169"/>
      <c r="C7" s="169"/>
      <c r="D7" s="80"/>
    </row>
    <row r="8" spans="1:7">
      <c r="A8" s="170" t="s">
        <v>0</v>
      </c>
      <c r="B8" s="170"/>
      <c r="C8" s="170"/>
      <c r="D8" s="81" t="s">
        <v>131</v>
      </c>
      <c r="E8" s="91">
        <f ca="1">TODAY()</f>
        <v>45223</v>
      </c>
    </row>
    <row r="9" spans="1:7" ht="10.95" customHeight="1">
      <c r="A9" s="79"/>
      <c r="B9" s="79"/>
      <c r="C9" s="79"/>
      <c r="D9" s="79"/>
    </row>
    <row r="10" spans="1:7" ht="15" thickBot="1">
      <c r="A10" s="47"/>
      <c r="B10" s="48"/>
    </row>
    <row r="11" spans="1:7">
      <c r="A11" s="83" t="s">
        <v>51</v>
      </c>
      <c r="B11" s="84" t="s">
        <v>37</v>
      </c>
      <c r="D11" s="83" t="s">
        <v>51</v>
      </c>
      <c r="E11" s="84" t="s">
        <v>37</v>
      </c>
    </row>
    <row r="12" spans="1:7">
      <c r="A12" s="85" t="str">
        <f>TARIF!A2</f>
        <v>ARAIGNEE</v>
      </c>
      <c r="B12" s="86">
        <f>SUM(TARIF!B2*TARIF_RS!$G$1)</f>
        <v>24.273</v>
      </c>
      <c r="D12" s="89" t="str">
        <f>TARIF!A36</f>
        <v>MERGUEZ DE PORC</v>
      </c>
      <c r="E12" s="87">
        <f>SUM(TARIF!B36*TARIF_RS!$G$1)</f>
        <v>14.885999999999999</v>
      </c>
    </row>
    <row r="13" spans="1:7">
      <c r="A13" s="85" t="str">
        <f>TARIF!A3</f>
        <v>BAVETTE</v>
      </c>
      <c r="B13" s="86">
        <f>SUM(TARIF!B3*TARIF_RS!$G$1)</f>
        <v>24.273</v>
      </c>
      <c r="D13" s="89" t="str">
        <f>TARIF!A37</f>
        <v>MURSON</v>
      </c>
      <c r="E13" s="87">
        <f>SUM(TARIF!B37*TARIF_RS!$G$1)</f>
        <v>14.885999999999999</v>
      </c>
    </row>
    <row r="14" spans="1:7">
      <c r="A14" s="85" t="str">
        <f>TARIF!A4</f>
        <v>BOUDIN</v>
      </c>
      <c r="B14" s="86">
        <f>SUM(TARIF!B4*TARIF_RS!$G$1)</f>
        <v>14.885999999999999</v>
      </c>
      <c r="D14" s="89" t="str">
        <f>TARIF!A38</f>
        <v>OREILLES</v>
      </c>
      <c r="E14" s="87">
        <f>SUM(TARIF!B38*TARIF_RS!$G$1)</f>
        <v>2.1779999999999999</v>
      </c>
    </row>
    <row r="15" spans="1:7">
      <c r="A15" s="85" t="str">
        <f>TARIF!A5</f>
        <v>CAILLETTES</v>
      </c>
      <c r="B15" s="86">
        <f>SUM(TARIF!B5*TARIF_RS!$G$1)</f>
        <v>14.885999999999999</v>
      </c>
      <c r="D15" s="89" t="str">
        <f>TARIF!A39</f>
        <v>PATE CROUTE</v>
      </c>
      <c r="E15" s="87">
        <f>SUM(TARIF!B39*TARIF_RS!$G$1)</f>
        <v>22.563000000000002</v>
      </c>
    </row>
    <row r="16" spans="1:7">
      <c r="A16" s="85" t="str">
        <f>TARIF!A6</f>
        <v>CAISSETTE DE VIANDE 15 KG</v>
      </c>
      <c r="B16" s="86">
        <f>SUM(TARIF!B6*TARIF_RS!$G$1)</f>
        <v>10.71</v>
      </c>
      <c r="D16" s="89" t="str">
        <f>TARIF!A40</f>
        <v>PATE DE CAMPAGNE</v>
      </c>
      <c r="E16" s="87">
        <f>SUM(TARIF!B40*TARIF_RS!$G$1)</f>
        <v>22.563000000000002</v>
      </c>
    </row>
    <row r="17" spans="1:5">
      <c r="A17" s="85" t="str">
        <f>TARIF!A7</f>
        <v>CHAIR A SAUCISSE</v>
      </c>
      <c r="B17" s="86">
        <f>SUM(TARIF!B7*TARIF_RS!$G$1)</f>
        <v>12.330000000000002</v>
      </c>
      <c r="D17" s="89" t="str">
        <f>TARIF!A41</f>
        <v>PATE DE TETE</v>
      </c>
      <c r="E17" s="87">
        <f>SUM(TARIF!B41*TARIF_RS!$G$1)</f>
        <v>14.031000000000001</v>
      </c>
    </row>
    <row r="18" spans="1:5">
      <c r="A18" s="85" t="str">
        <f>TARIF!A8</f>
        <v>CHAUSSON</v>
      </c>
      <c r="B18" s="86">
        <f>SUM(TARIF!B8*TARIF_RS!$G$1)</f>
        <v>22.563000000000002</v>
      </c>
      <c r="D18" s="89" t="str">
        <f>TARIF!A42</f>
        <v>PIED  DE PORC</v>
      </c>
      <c r="E18" s="87">
        <f>SUM(TARIF!B42*TARIF_RS!$G$1)</f>
        <v>2.1779999999999999</v>
      </c>
    </row>
    <row r="19" spans="1:5">
      <c r="A19" s="85" t="str">
        <f>TARIF!A9</f>
        <v>CHORIZO A GRILLER</v>
      </c>
      <c r="B19" s="86">
        <f>SUM(TARIF!B9*TARIF_RS!$G$1)</f>
        <v>14.885999999999999</v>
      </c>
      <c r="D19" s="89" t="str">
        <f>TARIF!A43</f>
        <v>POITRINE DE PORC</v>
      </c>
      <c r="E19" s="87">
        <f>SUM(TARIF!B43*TARIF_RS!$G$1)</f>
        <v>12.330000000000002</v>
      </c>
    </row>
    <row r="20" spans="1:5">
      <c r="A20" s="85" t="str">
        <f>TARIF!A10</f>
        <v>COTE DE PORC</v>
      </c>
      <c r="B20" s="86">
        <f>SUM(TARIF!B10*TARIF_RS!$G$1)</f>
        <v>12.330000000000002</v>
      </c>
      <c r="D20" s="89" t="str">
        <f>TARIF!A44</f>
        <v>POITRINE DEMI SEL</v>
      </c>
      <c r="E20" s="87">
        <f>SUM(TARIF!B44*TARIF_RS!$G$1)</f>
        <v>13.185</v>
      </c>
    </row>
    <row r="21" spans="1:5">
      <c r="A21" s="85" t="str">
        <f>TARIF!A11</f>
        <v>COTIS SALE</v>
      </c>
      <c r="B21" s="86">
        <f>SUM(TARIF!B11*TARIF_RS!$G$1)</f>
        <v>10.107000000000001</v>
      </c>
      <c r="D21" s="89" t="str">
        <f>TARIF!A45</f>
        <v>PORC ENTIER</v>
      </c>
      <c r="E21" s="87">
        <f>SUM(TARIF!B45*TARIF_RS!$G$1)</f>
        <v>4.734</v>
      </c>
    </row>
    <row r="22" spans="1:5">
      <c r="A22" s="85" t="str">
        <f>TARIF!A12</f>
        <v>CREPINE</v>
      </c>
      <c r="B22" s="86">
        <f>SUM(TARIF!B12*TARIF_RS!$G$1)</f>
        <v>2.1779999999999999</v>
      </c>
      <c r="D22" s="89" t="str">
        <f>TARIF!A46</f>
        <v>QUEUE</v>
      </c>
      <c r="E22" s="87">
        <f>SUM(TARIF!B46*TARIF_RS!$G$1)</f>
        <v>2.1779999999999999</v>
      </c>
    </row>
    <row r="23" spans="1:5">
      <c r="A23" s="85" t="str">
        <f>TARIF!A13</f>
        <v>DEMI PORC</v>
      </c>
      <c r="B23" s="86">
        <f>SUM(TARIF!B13*TARIF_RS!$G$1)</f>
        <v>4.734</v>
      </c>
      <c r="D23" s="89" t="str">
        <f>TARIF!A47</f>
        <v>ROTI DE PORC (EPAULE)</v>
      </c>
      <c r="E23" s="87">
        <f>SUM(TARIF!B47*TARIF_RS!$G$1)</f>
        <v>14.031000000000001</v>
      </c>
    </row>
    <row r="24" spans="1:5">
      <c r="A24" s="85" t="str">
        <f>TARIF!A14</f>
        <v>ECHINE DE PORC</v>
      </c>
      <c r="B24" s="86">
        <f>SUM(TARIF!B14*TARIF_RS!$G$1)</f>
        <v>14.031000000000001</v>
      </c>
      <c r="D24" s="89" t="str">
        <f>TARIF!A48</f>
        <v>ROTI DE PORC (FILET)</v>
      </c>
      <c r="E24" s="87">
        <f>SUM(TARIF!B48*TARIF_RS!$G$1)</f>
        <v>14.031000000000001</v>
      </c>
    </row>
    <row r="25" spans="1:5">
      <c r="A25" s="85" t="str">
        <f>TARIF!A15</f>
        <v>EPAULE ENTIERE 3D</v>
      </c>
      <c r="B25" s="86">
        <f>SUM(TARIF!B15*TARIF_RS!$G$1)</f>
        <v>9.7650000000000023</v>
      </c>
      <c r="D25" s="89" t="str">
        <f>TARIF!A49</f>
        <v>ROTI ECHINE</v>
      </c>
      <c r="E25" s="87">
        <f>SUM(TARIF!B49*TARIF_RS!$G$1)</f>
        <v>15.741</v>
      </c>
    </row>
    <row r="26" spans="1:5">
      <c r="A26" s="85" t="str">
        <f>TARIF!A16</f>
        <v>ESCALOPE DE PORC</v>
      </c>
      <c r="B26" s="86">
        <f>SUM(TARIF!B16*TARIF_RS!$G$1)</f>
        <v>15.741</v>
      </c>
      <c r="D26" s="89" t="str">
        <f>TARIF!A50</f>
        <v>ROTI FARCI</v>
      </c>
      <c r="E26" s="87">
        <f>SUM(TARIF!B50*TARIF_RS!$G$1)</f>
        <v>17.442</v>
      </c>
    </row>
    <row r="27" spans="1:5">
      <c r="A27" s="85" t="str">
        <f>TARIF!A17</f>
        <v>FILET MIGNON DE PORC</v>
      </c>
      <c r="B27" s="86">
        <f>SUM(TARIF!B17*TARIF_RS!$G$1)</f>
        <v>20.007000000000001</v>
      </c>
      <c r="D27" s="89" t="str">
        <f>TARIF!A51</f>
        <v>ROUELLE DE PORC</v>
      </c>
      <c r="E27" s="87">
        <f>SUM(TARIF!B51*TARIF_RS!$G$1)</f>
        <v>14.031000000000001</v>
      </c>
    </row>
    <row r="28" spans="1:5">
      <c r="A28" s="85" t="str">
        <f>TARIF!A18</f>
        <v>FOIE</v>
      </c>
      <c r="B28" s="86">
        <f>SUM(TARIF!B18*TARIF_RS!$G$1)</f>
        <v>4.734</v>
      </c>
      <c r="D28" s="89" t="str">
        <f>TARIF!A52</f>
        <v>SANG</v>
      </c>
      <c r="E28" s="87">
        <f>SUM(TARIF!B52*TARIF_RS!$G$1)</f>
        <v>3.0330000000000004</v>
      </c>
    </row>
    <row r="29" spans="1:5">
      <c r="A29" s="85" t="str">
        <f>TARIF!A19</f>
        <v>FROMAGE DE TETE</v>
      </c>
      <c r="B29" s="86">
        <f>SUM(TARIF!B19*TARIF_RS!$G$1)</f>
        <v>15.741</v>
      </c>
      <c r="D29" s="89" t="str">
        <f>TARIF!A53</f>
        <v>SAUCISSE A CUIRE NATURE</v>
      </c>
      <c r="E29" s="87">
        <f>SUM(TARIF!B53*TARIF_RS!$G$1)</f>
        <v>14.031000000000001</v>
      </c>
    </row>
    <row r="30" spans="1:5">
      <c r="A30" s="85" t="str">
        <f>TARIF!A20</f>
        <v>GODIVEAUX AUX HERBES</v>
      </c>
      <c r="B30" s="86">
        <f>SUM(TARIF!B20*TARIF_RS!$G$1)</f>
        <v>15.741</v>
      </c>
      <c r="D30" s="89" t="str">
        <f>TARIF!A54</f>
        <v>SAUCISSE A CUIRE OLIVES NYONS</v>
      </c>
      <c r="E30" s="87">
        <f>SUM(TARIF!B54*TARIF_RS!$G$1)</f>
        <v>16.596</v>
      </c>
    </row>
    <row r="31" spans="1:5">
      <c r="A31" s="85" t="str">
        <f>TARIF!A21</f>
        <v>GODIVEAUX AUX OLIVES NYONS</v>
      </c>
      <c r="B31" s="86">
        <f>SUM(TARIF!B21*TARIF_RS!$G$1)</f>
        <v>16.596</v>
      </c>
      <c r="D31" s="89" t="str">
        <f>TARIF!A55</f>
        <v>SAUCISSE A GRILLER HERBES</v>
      </c>
      <c r="E31" s="87">
        <f>SUM(TARIF!B55*TARIF_RS!$G$1)</f>
        <v>14.885999999999999</v>
      </c>
    </row>
    <row r="32" spans="1:5">
      <c r="A32" s="85" t="str">
        <f>TARIF!A22</f>
        <v>GODIVEAUX FENOUIL</v>
      </c>
      <c r="B32" s="86">
        <f>SUM(TARIF!B22*TARIF_RS!$G$1)</f>
        <v>14.885999999999999</v>
      </c>
      <c r="D32" s="89" t="str">
        <f>TARIF!A56</f>
        <v>SAUCISSE A GRILLER NATURE</v>
      </c>
      <c r="E32" s="87">
        <f>SUM(TARIF!B56*TARIF_RS!$G$1)</f>
        <v>14.031000000000001</v>
      </c>
    </row>
    <row r="33" spans="1:5">
      <c r="A33" s="85" t="str">
        <f>TARIF!A23</f>
        <v>GODIVEAUX NATURE</v>
      </c>
      <c r="B33" s="86">
        <f>SUM(TARIF!B23*TARIF_RS!$G$1)</f>
        <v>14.031000000000001</v>
      </c>
      <c r="D33" s="89" t="str">
        <f>TARIF!A57</f>
        <v>SAUCISSE AUX HERBES</v>
      </c>
      <c r="E33" s="87">
        <f>SUM(TARIF!B57*TARIF_RS!$G$1)</f>
        <v>15.741</v>
      </c>
    </row>
    <row r="34" spans="1:5">
      <c r="A34" s="85" t="str">
        <f>TARIF!A24</f>
        <v>GODIVEAUX PICODON AOC</v>
      </c>
      <c r="B34" s="86">
        <f>SUM(TARIF!B24*TARIF_RS!$G$1)</f>
        <v>16.596</v>
      </c>
      <c r="D34" s="89" t="str">
        <f>TARIF!A58</f>
        <v>SAUCISSON BRIOCHE</v>
      </c>
      <c r="E34" s="87">
        <f>SUM(TARIF!B58*TARIF_RS!$G$1)</f>
        <v>22.563000000000002</v>
      </c>
    </row>
    <row r="35" spans="1:5">
      <c r="A35" s="85" t="str">
        <f>TARIF!A25</f>
        <v>GODIVEAUX VIGNERON</v>
      </c>
      <c r="B35" s="86">
        <f>SUM(TARIF!B25*TARIF_RS!$G$1)</f>
        <v>16.596</v>
      </c>
      <c r="D35" s="89" t="str">
        <f>TARIF!A59</f>
        <v>SAUCISSON SEC PUR PORC</v>
      </c>
      <c r="E35" s="87">
        <f>SUM(TARIF!B59*TARIF_RS!$G$1)</f>
        <v>27.683999999999997</v>
      </c>
    </row>
    <row r="36" spans="1:5">
      <c r="A36" s="85" t="str">
        <f>TARIF!A26</f>
        <v>GORGES DE PORC</v>
      </c>
      <c r="B36" s="86">
        <f>SUM(TARIF!B26*TARIF_RS!$G$1)</f>
        <v>4.734</v>
      </c>
      <c r="D36" s="89" t="str">
        <f>TARIF!A60</f>
        <v>SAUTE DE PORC</v>
      </c>
      <c r="E36" s="87">
        <f>SUM(TARIF!B60*TARIF_RS!$G$1)</f>
        <v>12.330000000000002</v>
      </c>
    </row>
    <row r="37" spans="1:5">
      <c r="A37" s="85" t="str">
        <f>TARIF!A27</f>
        <v>GRILLADE PARISIENNE</v>
      </c>
      <c r="B37" s="86">
        <f>SUM(TARIF!B27*TARIF_RS!$G$1)</f>
        <v>16.596</v>
      </c>
      <c r="D37" s="89" t="str">
        <f>TARIF!A61</f>
        <v>SURPRISE</v>
      </c>
      <c r="E37" s="87">
        <f>SUM(TARIF!B61*TARIF_RS!$G$1)</f>
        <v>16.596</v>
      </c>
    </row>
    <row r="38" spans="1:5">
      <c r="A38" s="85" t="str">
        <f>TARIF!A28</f>
        <v>GROIN</v>
      </c>
      <c r="B38" s="86">
        <f>SUM(TARIF!B28*TARIF_RS!$G$1)</f>
        <v>2.1779999999999999</v>
      </c>
      <c r="D38" s="89" t="str">
        <f>TARIF!A62</f>
        <v>TRAVERS DE PORC</v>
      </c>
      <c r="E38" s="87">
        <f>SUM(TARIF!B62*TARIF_RS!$G$1)</f>
        <v>9.261000000000001</v>
      </c>
    </row>
    <row r="39" spans="1:5">
      <c r="A39" s="85" t="str">
        <f>TARIF!A29</f>
        <v>HAMPES</v>
      </c>
      <c r="B39" s="86">
        <f>SUM(TARIF!B29*TARIF_RS!$G$1)</f>
        <v>24.273</v>
      </c>
      <c r="D39" s="89">
        <f>TARIF!A63</f>
        <v>0</v>
      </c>
      <c r="E39" s="87">
        <f>SUM(TARIF!B63*TARIF_RS!$G$1)</f>
        <v>0</v>
      </c>
    </row>
    <row r="40" spans="1:5">
      <c r="A40" s="85" t="str">
        <f>TARIF!A30</f>
        <v>JAMBON CUIT</v>
      </c>
      <c r="B40" s="86">
        <f>SUM(TARIF!B30*TARIF_RS!$G$1)</f>
        <v>25.974</v>
      </c>
      <c r="D40" s="89">
        <f>TARIF!A64</f>
        <v>0</v>
      </c>
      <c r="E40" s="87">
        <f>SUM(TARIF!B64*TARIF_RS!$G$1)</f>
        <v>0</v>
      </c>
    </row>
    <row r="41" spans="1:5">
      <c r="A41" s="85" t="str">
        <f>TARIF!A31</f>
        <v>JAMBON ENTIER</v>
      </c>
      <c r="B41" s="86">
        <f>SUM(TARIF!B31*TARIF_RS!$G$1)</f>
        <v>8.5770000000000017</v>
      </c>
      <c r="D41" s="89">
        <f>TARIF!A65</f>
        <v>0</v>
      </c>
      <c r="E41" s="87">
        <f>SUM(TARIF!B65*TARIF_RS!$G$1)</f>
        <v>0</v>
      </c>
    </row>
    <row r="42" spans="1:5">
      <c r="A42" s="85" t="str">
        <f>TARIF!A32</f>
        <v>JARRET DE PORC</v>
      </c>
      <c r="B42" s="86">
        <f>SUM(TARIF!B32*TARIF_RS!$G$1)</f>
        <v>7.7220000000000004</v>
      </c>
      <c r="D42" s="89">
        <f>TARIF!A66</f>
        <v>0</v>
      </c>
      <c r="E42" s="87">
        <f>SUM(TARIF!B66*TARIF_RS!$G$1)</f>
        <v>0</v>
      </c>
    </row>
    <row r="43" spans="1:5">
      <c r="A43" s="85" t="str">
        <f>TARIF!A33</f>
        <v>JARRET DEMI SEL</v>
      </c>
      <c r="B43" s="86">
        <f>SUM(TARIF!B33*TARIF_RS!$G$1)</f>
        <v>8.5770000000000017</v>
      </c>
      <c r="D43" s="89">
        <f>TARIF!A67</f>
        <v>0</v>
      </c>
      <c r="E43" s="87">
        <f>SUM(TARIF!B67*TARIF_RS!$G$1)</f>
        <v>0</v>
      </c>
    </row>
    <row r="44" spans="1:5">
      <c r="A44" s="85" t="str">
        <f>TARIF!A34</f>
        <v>JOUES</v>
      </c>
      <c r="B44" s="86">
        <f>SUM(TARIF!B34*TARIF_RS!$G$1)</f>
        <v>17.442</v>
      </c>
      <c r="D44" s="89">
        <f>TARIF!A68</f>
        <v>0</v>
      </c>
      <c r="E44" s="87">
        <f>SUM(TARIF!B68*TARIF_RS!$G$1)</f>
        <v>0</v>
      </c>
    </row>
    <row r="45" spans="1:5">
      <c r="A45" s="85" t="str">
        <f>TARIF!A35</f>
        <v>LONGE ENTIERE</v>
      </c>
      <c r="B45" s="86">
        <f>SUM(TARIF!B35*TARIF_RS!$G$1)</f>
        <v>11.475</v>
      </c>
      <c r="D45" s="89">
        <f>TARIF!A69</f>
        <v>0</v>
      </c>
      <c r="E45" s="87">
        <f>SUM(TARIF!B69*TARIF_RS!$G$1)</f>
        <v>0</v>
      </c>
    </row>
  </sheetData>
  <mergeCells count="7">
    <mergeCell ref="A7:C7"/>
    <mergeCell ref="A8:C8"/>
    <mergeCell ref="D2:E2"/>
    <mergeCell ref="D3:E4"/>
    <mergeCell ref="A4:C4"/>
    <mergeCell ref="A5:C5"/>
    <mergeCell ref="A6:C6"/>
  </mergeCells>
  <hyperlinks>
    <hyperlink ref="A7" r:id="rId1" xr:uid="{5CB30701-1CBF-4E0A-B7BF-581B89A6F88E}"/>
  </hyperlinks>
  <pageMargins left="0.59055118110236227" right="0.31496062992125984" top="0.35433070866141736" bottom="0.35433070866141736" header="0.31496062992125984" footer="0.31496062992125984"/>
  <pageSetup paperSize="9" orientation="portrait" horizontalDpi="0" verticalDpi="0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7B46D-9BA9-4FC7-96C7-0EA331859BB2}">
  <sheetPr codeName="Feuil9">
    <tabColor theme="5" tint="0.39997558519241921"/>
  </sheetPr>
  <dimension ref="A1:G45"/>
  <sheetViews>
    <sheetView showGridLines="0" showZeros="0" topLeftCell="A7" workbookViewId="0">
      <selection activeCell="A45" sqref="A45"/>
    </sheetView>
  </sheetViews>
  <sheetFormatPr baseColWidth="10" defaultRowHeight="14.4"/>
  <cols>
    <col min="1" max="1" width="31.6640625" customWidth="1"/>
    <col min="2" max="2" width="10.6640625" style="8" customWidth="1"/>
    <col min="3" max="3" width="4.6640625" customWidth="1"/>
    <col min="4" max="4" width="31.6640625" customWidth="1"/>
    <col min="5" max="5" width="10.6640625" style="8" customWidth="1"/>
  </cols>
  <sheetData>
    <row r="1" spans="1:7" ht="12.15" customHeight="1">
      <c r="G1" s="98">
        <v>0.78979999999999995</v>
      </c>
    </row>
    <row r="2" spans="1:7" ht="36.6">
      <c r="D2" s="257" t="s">
        <v>130</v>
      </c>
      <c r="E2" s="257"/>
    </row>
    <row r="3" spans="1:7">
      <c r="D3" s="258" t="s">
        <v>135</v>
      </c>
      <c r="E3" s="259"/>
    </row>
    <row r="4" spans="1:7" ht="18">
      <c r="A4" s="166" t="s">
        <v>7</v>
      </c>
      <c r="B4" s="166"/>
      <c r="C4" s="166"/>
      <c r="D4" s="259"/>
      <c r="E4" s="259"/>
    </row>
    <row r="5" spans="1:7">
      <c r="A5" s="167" t="s">
        <v>8</v>
      </c>
      <c r="B5" s="167"/>
      <c r="C5" s="167"/>
      <c r="E5" s="1"/>
      <c r="F5" s="1"/>
    </row>
    <row r="6" spans="1:7">
      <c r="A6" s="168" t="s">
        <v>1</v>
      </c>
      <c r="B6" s="168"/>
      <c r="C6" s="168"/>
    </row>
    <row r="7" spans="1:7">
      <c r="A7" s="169" t="s">
        <v>2</v>
      </c>
      <c r="B7" s="169"/>
      <c r="C7" s="169"/>
      <c r="D7" s="80"/>
    </row>
    <row r="8" spans="1:7">
      <c r="A8" s="170" t="s">
        <v>0</v>
      </c>
      <c r="B8" s="170"/>
      <c r="C8" s="170"/>
      <c r="D8" s="81" t="s">
        <v>131</v>
      </c>
      <c r="E8" s="91">
        <f ca="1">TODAY()</f>
        <v>45223</v>
      </c>
    </row>
    <row r="9" spans="1:7" ht="10.95" customHeight="1">
      <c r="A9" s="79"/>
      <c r="B9" s="79"/>
      <c r="C9" s="79"/>
      <c r="D9" s="79"/>
    </row>
    <row r="10" spans="1:7" ht="15" thickBot="1">
      <c r="A10" s="47"/>
      <c r="B10" s="48"/>
    </row>
    <row r="11" spans="1:7">
      <c r="A11" s="83" t="s">
        <v>51</v>
      </c>
      <c r="B11" s="84" t="s">
        <v>37</v>
      </c>
      <c r="D11" s="83" t="s">
        <v>51</v>
      </c>
      <c r="E11" s="84" t="s">
        <v>37</v>
      </c>
    </row>
    <row r="12" spans="1:7">
      <c r="A12" s="85" t="str">
        <f>TARIF!A2</f>
        <v>ARAIGNEE</v>
      </c>
      <c r="B12" s="86">
        <f>SUM(TARIF!B2*TARIF_RV!$G$1)</f>
        <v>21.300905999999998</v>
      </c>
      <c r="D12" s="90" t="str">
        <f>TARIF!A36</f>
        <v>MERGUEZ DE PORC</v>
      </c>
      <c r="E12" s="87">
        <f>SUM(TARIF!B36*TARIF_RV!$G$1)</f>
        <v>13.063291999999999</v>
      </c>
    </row>
    <row r="13" spans="1:7">
      <c r="A13" s="85" t="str">
        <f>TARIF!A3</f>
        <v>BAVETTE</v>
      </c>
      <c r="B13" s="86">
        <f>SUM(TARIF!B3*TARIF_RV!$G$1)</f>
        <v>21.300905999999998</v>
      </c>
      <c r="D13" s="90" t="str">
        <f>TARIF!A37</f>
        <v>MURSON</v>
      </c>
      <c r="E13" s="87">
        <f>SUM(TARIF!B37*TARIF_RV!$G$1)</f>
        <v>13.063291999999999</v>
      </c>
    </row>
    <row r="14" spans="1:7">
      <c r="A14" s="85" t="str">
        <f>TARIF!A4</f>
        <v>BOUDIN</v>
      </c>
      <c r="B14" s="86">
        <f>SUM(TARIF!B4*TARIF_RV!$G$1)</f>
        <v>13.063291999999999</v>
      </c>
      <c r="D14" s="90" t="str">
        <f>TARIF!A38</f>
        <v>OREILLES</v>
      </c>
      <c r="E14" s="87">
        <f>SUM(TARIF!B38*TARIF_RV!$G$1)</f>
        <v>1.9113159999999998</v>
      </c>
    </row>
    <row r="15" spans="1:7">
      <c r="A15" s="85" t="str">
        <f>TARIF!A5</f>
        <v>CAILLETTES</v>
      </c>
      <c r="B15" s="86">
        <f>SUM(TARIF!B5*TARIF_RV!$G$1)</f>
        <v>13.063291999999999</v>
      </c>
      <c r="D15" s="90" t="str">
        <f>TARIF!A39</f>
        <v>PATE CROUTE</v>
      </c>
      <c r="E15" s="87">
        <f>SUM(TARIF!B39*TARIF_RV!$G$1)</f>
        <v>19.800286</v>
      </c>
    </row>
    <row r="16" spans="1:7">
      <c r="A16" s="85" t="str">
        <f>TARIF!A6</f>
        <v>CAISSETTE DE VIANDE 15 KG</v>
      </c>
      <c r="B16" s="86">
        <f>SUM(TARIF!B6*TARIF_RV!$G$1)</f>
        <v>9.3986199999999993</v>
      </c>
      <c r="D16" s="90" t="str">
        <f>TARIF!A40</f>
        <v>PATE DE CAMPAGNE</v>
      </c>
      <c r="E16" s="87">
        <f>SUM(TARIF!B40*TARIF_RV!$G$1)</f>
        <v>19.800286</v>
      </c>
    </row>
    <row r="17" spans="1:5">
      <c r="A17" s="85" t="str">
        <f>TARIF!A7</f>
        <v>CHAIR A SAUCISSE</v>
      </c>
      <c r="B17" s="86">
        <f>SUM(TARIF!B7*TARIF_RV!$G$1)</f>
        <v>10.820259999999999</v>
      </c>
      <c r="D17" s="90" t="str">
        <f>TARIF!A41</f>
        <v>PATE DE TETE</v>
      </c>
      <c r="E17" s="87">
        <f>SUM(TARIF!B41*TARIF_RV!$G$1)</f>
        <v>12.312982</v>
      </c>
    </row>
    <row r="18" spans="1:5">
      <c r="A18" s="85" t="str">
        <f>TARIF!A8</f>
        <v>CHAUSSON</v>
      </c>
      <c r="B18" s="86">
        <f>SUM(TARIF!B8*TARIF_RV!$G$1)</f>
        <v>19.800286</v>
      </c>
      <c r="D18" s="90" t="str">
        <f>TARIF!A42</f>
        <v>PIED  DE PORC</v>
      </c>
      <c r="E18" s="87">
        <f>SUM(TARIF!B42*TARIF_RV!$G$1)</f>
        <v>1.9113159999999998</v>
      </c>
    </row>
    <row r="19" spans="1:5">
      <c r="A19" s="85" t="str">
        <f>TARIF!A9</f>
        <v>CHORIZO A GRILLER</v>
      </c>
      <c r="B19" s="86">
        <f>SUM(TARIF!B9*TARIF_RV!$G$1)</f>
        <v>13.063291999999999</v>
      </c>
      <c r="D19" s="90" t="str">
        <f>TARIF!A43</f>
        <v>POITRINE DE PORC</v>
      </c>
      <c r="E19" s="87">
        <f>SUM(TARIF!B43*TARIF_RV!$G$1)</f>
        <v>10.820259999999999</v>
      </c>
    </row>
    <row r="20" spans="1:5">
      <c r="A20" s="85" t="str">
        <f>TARIF!A10</f>
        <v>COTE DE PORC</v>
      </c>
      <c r="B20" s="86">
        <f>SUM(TARIF!B10*TARIF_RV!$G$1)</f>
        <v>10.820259999999999</v>
      </c>
      <c r="D20" s="90" t="str">
        <f>TARIF!A44</f>
        <v>POITRINE DEMI SEL</v>
      </c>
      <c r="E20" s="87">
        <f>SUM(TARIF!B44*TARIF_RV!$G$1)</f>
        <v>11.57057</v>
      </c>
    </row>
    <row r="21" spans="1:5">
      <c r="A21" s="85" t="str">
        <f>TARIF!A11</f>
        <v>COTIS SALE</v>
      </c>
      <c r="B21" s="86">
        <f>SUM(TARIF!B11*TARIF_RV!$G$1)</f>
        <v>8.8694539999999993</v>
      </c>
      <c r="D21" s="90" t="str">
        <f>TARIF!A45</f>
        <v>PORC ENTIER</v>
      </c>
      <c r="E21" s="87">
        <f>SUM(TARIF!B45*TARIF_RV!$G$1)</f>
        <v>4.1543479999999997</v>
      </c>
    </row>
    <row r="22" spans="1:5">
      <c r="A22" s="85" t="str">
        <f>TARIF!A12</f>
        <v>CREPINE</v>
      </c>
      <c r="B22" s="86">
        <f>SUM(TARIF!B12*TARIF_RV!$G$1)</f>
        <v>1.9113159999999998</v>
      </c>
      <c r="D22" s="90" t="str">
        <f>TARIF!A46</f>
        <v>QUEUE</v>
      </c>
      <c r="E22" s="87">
        <f>SUM(TARIF!B46*TARIF_RV!$G$1)</f>
        <v>1.9113159999999998</v>
      </c>
    </row>
    <row r="23" spans="1:5">
      <c r="A23" s="85" t="str">
        <f>TARIF!A13</f>
        <v>DEMI PORC</v>
      </c>
      <c r="B23" s="86">
        <f>SUM(TARIF!B13*TARIF_RV!$G$1)</f>
        <v>4.1543479999999997</v>
      </c>
      <c r="D23" s="90" t="str">
        <f>TARIF!A47</f>
        <v>ROTI DE PORC (EPAULE)</v>
      </c>
      <c r="E23" s="87">
        <f>SUM(TARIF!B47*TARIF_RV!$G$1)</f>
        <v>12.312982</v>
      </c>
    </row>
    <row r="24" spans="1:5">
      <c r="A24" s="85" t="str">
        <f>TARIF!A14</f>
        <v>ECHINE DE PORC</v>
      </c>
      <c r="B24" s="86">
        <f>SUM(TARIF!B14*TARIF_RV!$G$1)</f>
        <v>12.312982</v>
      </c>
      <c r="D24" s="90" t="str">
        <f>TARIF!A48</f>
        <v>ROTI DE PORC (FILET)</v>
      </c>
      <c r="E24" s="87">
        <f>SUM(TARIF!B48*TARIF_RV!$G$1)</f>
        <v>12.312982</v>
      </c>
    </row>
    <row r="25" spans="1:5">
      <c r="A25" s="85" t="str">
        <f>TARIF!A15</f>
        <v>EPAULE ENTIERE 3D</v>
      </c>
      <c r="B25" s="86">
        <f>SUM(TARIF!B15*TARIF_RV!$G$1)</f>
        <v>8.5693300000000008</v>
      </c>
      <c r="D25" s="90" t="str">
        <f>TARIF!A49</f>
        <v>ROTI ECHINE</v>
      </c>
      <c r="E25" s="87">
        <f>SUM(TARIF!B49*TARIF_RV!$G$1)</f>
        <v>13.813601999999998</v>
      </c>
    </row>
    <row r="26" spans="1:5">
      <c r="A26" s="85" t="str">
        <f>TARIF!A16</f>
        <v>ESCALOPE DE PORC</v>
      </c>
      <c r="B26" s="86">
        <f>SUM(TARIF!B16*TARIF_RV!$G$1)</f>
        <v>13.813601999999998</v>
      </c>
      <c r="D26" s="90" t="str">
        <f>TARIF!A50</f>
        <v>ROTI FARCI</v>
      </c>
      <c r="E26" s="87">
        <f>SUM(TARIF!B50*TARIF_RV!$G$1)</f>
        <v>15.306323999999998</v>
      </c>
    </row>
    <row r="27" spans="1:5">
      <c r="A27" s="85" t="str">
        <f>TARIF!A17</f>
        <v>FILET MIGNON DE PORC</v>
      </c>
      <c r="B27" s="86">
        <f>SUM(TARIF!B17*TARIF_RV!$G$1)</f>
        <v>17.557254</v>
      </c>
      <c r="D27" s="90" t="str">
        <f>TARIF!A51</f>
        <v>ROUELLE DE PORC</v>
      </c>
      <c r="E27" s="87">
        <f>SUM(TARIF!B51*TARIF_RV!$G$1)</f>
        <v>12.312982</v>
      </c>
    </row>
    <row r="28" spans="1:5">
      <c r="A28" s="85" t="str">
        <f>TARIF!A18</f>
        <v>FOIE</v>
      </c>
      <c r="B28" s="86">
        <f>SUM(TARIF!B18*TARIF_RV!$G$1)</f>
        <v>4.1543479999999997</v>
      </c>
      <c r="D28" s="90" t="str">
        <f>TARIF!A52</f>
        <v>SANG</v>
      </c>
      <c r="E28" s="87">
        <f>SUM(TARIF!B52*TARIF_RV!$G$1)</f>
        <v>2.661626</v>
      </c>
    </row>
    <row r="29" spans="1:5">
      <c r="A29" s="85" t="str">
        <f>TARIF!A19</f>
        <v>FROMAGE DE TETE</v>
      </c>
      <c r="B29" s="86">
        <f>SUM(TARIF!B19*TARIF_RV!$G$1)</f>
        <v>13.813601999999998</v>
      </c>
      <c r="D29" s="90" t="str">
        <f>TARIF!A53</f>
        <v>SAUCISSE A CUIRE NATURE</v>
      </c>
      <c r="E29" s="87">
        <f>SUM(TARIF!B53*TARIF_RV!$G$1)</f>
        <v>12.312982</v>
      </c>
    </row>
    <row r="30" spans="1:5">
      <c r="A30" s="85" t="str">
        <f>TARIF!A20</f>
        <v>GODIVEAUX AUX HERBES</v>
      </c>
      <c r="B30" s="86">
        <f>SUM(TARIF!B20*TARIF_RV!$G$1)</f>
        <v>13.813601999999998</v>
      </c>
      <c r="D30" s="90" t="str">
        <f>TARIF!A54</f>
        <v>SAUCISSE A CUIRE OLIVES NYONS</v>
      </c>
      <c r="E30" s="87">
        <f>SUM(TARIF!B54*TARIF_RV!$G$1)</f>
        <v>14.563911999999997</v>
      </c>
    </row>
    <row r="31" spans="1:5">
      <c r="A31" s="85" t="str">
        <f>TARIF!A21</f>
        <v>GODIVEAUX AUX OLIVES NYONS</v>
      </c>
      <c r="B31" s="86">
        <f>SUM(TARIF!B21*TARIF_RV!$G$1)</f>
        <v>14.563911999999997</v>
      </c>
      <c r="D31" s="90" t="str">
        <f>TARIF!A55</f>
        <v>SAUCISSE A GRILLER HERBES</v>
      </c>
      <c r="E31" s="87">
        <f>SUM(TARIF!B55*TARIF_RV!$G$1)</f>
        <v>13.063291999999999</v>
      </c>
    </row>
    <row r="32" spans="1:5">
      <c r="A32" s="85" t="str">
        <f>TARIF!A22</f>
        <v>GODIVEAUX FENOUIL</v>
      </c>
      <c r="B32" s="86">
        <f>SUM(TARIF!B22*TARIF_RV!$G$1)</f>
        <v>13.063291999999999</v>
      </c>
      <c r="D32" s="90" t="str">
        <f>TARIF!A56</f>
        <v>SAUCISSE A GRILLER NATURE</v>
      </c>
      <c r="E32" s="87">
        <f>SUM(TARIF!B56*TARIF_RV!$G$1)</f>
        <v>12.312982</v>
      </c>
    </row>
    <row r="33" spans="1:5">
      <c r="A33" s="85" t="str">
        <f>TARIF!A23</f>
        <v>GODIVEAUX NATURE</v>
      </c>
      <c r="B33" s="86">
        <f>SUM(TARIF!B23*TARIF_RV!$G$1)</f>
        <v>12.312982</v>
      </c>
      <c r="D33" s="90" t="str">
        <f>TARIF!A57</f>
        <v>SAUCISSE AUX HERBES</v>
      </c>
      <c r="E33" s="87">
        <f>SUM(TARIF!B57*TARIF_RV!$G$1)</f>
        <v>13.813601999999998</v>
      </c>
    </row>
    <row r="34" spans="1:5">
      <c r="A34" s="85" t="str">
        <f>TARIF!A24</f>
        <v>GODIVEAUX PICODON AOC</v>
      </c>
      <c r="B34" s="86">
        <f>SUM(TARIF!B24*TARIF_RV!$G$1)</f>
        <v>14.563911999999997</v>
      </c>
      <c r="D34" s="90" t="str">
        <f>TARIF!A58</f>
        <v>SAUCISSON BRIOCHE</v>
      </c>
      <c r="E34" s="87">
        <f>SUM(TARIF!B58*TARIF_RV!$G$1)</f>
        <v>19.800286</v>
      </c>
    </row>
    <row r="35" spans="1:5">
      <c r="A35" s="85" t="str">
        <f>TARIF!A25</f>
        <v>GODIVEAUX VIGNERON</v>
      </c>
      <c r="B35" s="86">
        <f>SUM(TARIF!B25*TARIF_RV!$G$1)</f>
        <v>14.563911999999997</v>
      </c>
      <c r="D35" s="90" t="str">
        <f>TARIF!A59</f>
        <v>SAUCISSON SEC PUR PORC</v>
      </c>
      <c r="E35" s="87">
        <f>SUM(TARIF!B59*TARIF_RV!$G$1)</f>
        <v>24.294247999999996</v>
      </c>
    </row>
    <row r="36" spans="1:5">
      <c r="A36" s="85" t="str">
        <f>TARIF!A26</f>
        <v>GORGES DE PORC</v>
      </c>
      <c r="B36" s="86">
        <f>SUM(TARIF!B26*TARIF_RV!$G$1)</f>
        <v>4.1543479999999997</v>
      </c>
      <c r="D36" s="90" t="str">
        <f>TARIF!A60</f>
        <v>SAUTE DE PORC</v>
      </c>
      <c r="E36" s="87">
        <f>SUM(TARIF!B60*TARIF_RV!$G$1)</f>
        <v>10.820259999999999</v>
      </c>
    </row>
    <row r="37" spans="1:5">
      <c r="A37" s="85" t="str">
        <f>TARIF!A27</f>
        <v>GRILLADE PARISIENNE</v>
      </c>
      <c r="B37" s="86">
        <f>SUM(TARIF!B27*TARIF_RV!$G$1)</f>
        <v>14.563911999999997</v>
      </c>
      <c r="D37" s="90" t="str">
        <f>TARIF!A61</f>
        <v>SURPRISE</v>
      </c>
      <c r="E37" s="87">
        <f>SUM(TARIF!B61*TARIF_RV!$G$1)</f>
        <v>14.563911999999997</v>
      </c>
    </row>
    <row r="38" spans="1:5">
      <c r="A38" s="85" t="str">
        <f>TARIF!A28</f>
        <v>GROIN</v>
      </c>
      <c r="B38" s="86">
        <f>SUM(TARIF!B28*TARIF_RV!$G$1)</f>
        <v>1.9113159999999998</v>
      </c>
      <c r="D38" s="90" t="str">
        <f>TARIF!A62</f>
        <v>TRAVERS DE PORC</v>
      </c>
      <c r="E38" s="87">
        <f>SUM(TARIF!B62*TARIF_RV!$G$1)</f>
        <v>8.1270419999999994</v>
      </c>
    </row>
    <row r="39" spans="1:5">
      <c r="A39" s="85" t="str">
        <f>TARIF!A29</f>
        <v>HAMPES</v>
      </c>
      <c r="B39" s="86">
        <f>SUM(TARIF!B29*TARIF_RV!$G$1)</f>
        <v>21.300905999999998</v>
      </c>
      <c r="D39" s="90">
        <f>TARIF!A63</f>
        <v>0</v>
      </c>
      <c r="E39" s="87">
        <f>SUM(TARIF!B63*TARIF_RV!$G$1)</f>
        <v>0</v>
      </c>
    </row>
    <row r="40" spans="1:5">
      <c r="A40" s="85" t="str">
        <f>TARIF!A30</f>
        <v>JAMBON CUIT</v>
      </c>
      <c r="B40" s="86">
        <f>SUM(TARIF!B30*TARIF_RV!$G$1)</f>
        <v>22.793627999999998</v>
      </c>
      <c r="D40" s="90">
        <f>TARIF!A64</f>
        <v>0</v>
      </c>
      <c r="E40" s="87">
        <f>SUM(TARIF!B64*TARIF_RV!$G$1)</f>
        <v>0</v>
      </c>
    </row>
    <row r="41" spans="1:5">
      <c r="A41" s="85" t="str">
        <f>TARIF!A31</f>
        <v>JAMBON ENTIER</v>
      </c>
      <c r="B41" s="86">
        <f>SUM(TARIF!B31*TARIF_RV!$G$1)</f>
        <v>7.5267940000000007</v>
      </c>
      <c r="D41" s="90">
        <f>TARIF!A65</f>
        <v>0</v>
      </c>
      <c r="E41" s="87">
        <f>SUM(TARIF!B65*TARIF_RV!$G$1)</f>
        <v>0</v>
      </c>
    </row>
    <row r="42" spans="1:5">
      <c r="A42" s="85" t="str">
        <f>TARIF!A32</f>
        <v>JARRET DE PORC</v>
      </c>
      <c r="B42" s="86">
        <f>SUM(TARIF!B32*TARIF_RV!$G$1)</f>
        <v>6.776484</v>
      </c>
      <c r="D42" s="90">
        <f>TARIF!A66</f>
        <v>0</v>
      </c>
      <c r="E42" s="87">
        <f>SUM(TARIF!B66*TARIF_RV!$G$1)</f>
        <v>0</v>
      </c>
    </row>
    <row r="43" spans="1:5">
      <c r="A43" s="85" t="str">
        <f>TARIF!A33</f>
        <v>JARRET DEMI SEL</v>
      </c>
      <c r="B43" s="86">
        <f>SUM(TARIF!B33*TARIF_RV!$G$1)</f>
        <v>7.5267940000000007</v>
      </c>
      <c r="D43" s="90">
        <f>TARIF!A67</f>
        <v>0</v>
      </c>
      <c r="E43" s="87">
        <f>SUM(TARIF!B67*TARIF_RV!$G$1)</f>
        <v>0</v>
      </c>
    </row>
    <row r="44" spans="1:5">
      <c r="A44" s="85" t="str">
        <f>TARIF!A34</f>
        <v>JOUES</v>
      </c>
      <c r="B44" s="86">
        <f>SUM(TARIF!B34*TARIF_RV!$G$1)</f>
        <v>15.306323999999998</v>
      </c>
      <c r="D44" s="90">
        <f>TARIF!A68</f>
        <v>0</v>
      </c>
      <c r="E44" s="87">
        <f>SUM(TARIF!B68*TARIF_RV!$G$1)</f>
        <v>0</v>
      </c>
    </row>
    <row r="45" spans="1:5">
      <c r="A45" s="85" t="str">
        <f>TARIF!A35</f>
        <v>LONGE ENTIERE</v>
      </c>
      <c r="B45" s="86">
        <f>SUM(TARIF!B35*TARIF_RV!$G$1)</f>
        <v>10.069949999999999</v>
      </c>
      <c r="D45" s="90">
        <f>TARIF!A69</f>
        <v>0</v>
      </c>
      <c r="E45" s="87">
        <f>SUM(TARIF!B69*TARIF_RV!$G$1)</f>
        <v>0</v>
      </c>
    </row>
  </sheetData>
  <mergeCells count="7">
    <mergeCell ref="A5:C5"/>
    <mergeCell ref="A4:C4"/>
    <mergeCell ref="D2:E2"/>
    <mergeCell ref="D3:E4"/>
    <mergeCell ref="A8:C8"/>
    <mergeCell ref="A7:C7"/>
    <mergeCell ref="A6:C6"/>
  </mergeCells>
  <hyperlinks>
    <hyperlink ref="A7" r:id="rId1" xr:uid="{07540F73-A485-479A-A078-7E2ACDDC8C71}"/>
  </hyperlinks>
  <pageMargins left="0.59055118110236227" right="0.31496062992125984" top="0.35433070866141736" bottom="0.35433070866141736" header="0.31496062992125984" footer="0.31496062992125984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FACTURE</vt:lpstr>
      <vt:lpstr>BL</vt:lpstr>
      <vt:lpstr>AVOIR</vt:lpstr>
      <vt:lpstr>TARIF</vt:lpstr>
      <vt:lpstr>TARIF_P</vt:lpstr>
      <vt:lpstr>TARIF_RS</vt:lpstr>
      <vt:lpstr>TARIF_RV</vt:lpstr>
      <vt:lpstr>BLDate</vt:lpstr>
      <vt:lpstr>BLNumero</vt:lpstr>
      <vt:lpstr>ChoixBL</vt:lpstr>
      <vt:lpstr>BL!Zone_d_impression</vt:lpstr>
      <vt:lpstr>FACTURE!Zone_d_impression</vt:lpstr>
      <vt:lpstr>TARIF_P!Zone_d_impression</vt:lpstr>
      <vt:lpstr>TARIF_RS!Zone_d_impression</vt:lpstr>
      <vt:lpstr>TARIF_RV!Zone_d_impression</vt:lpstr>
      <vt:lpstr>ZoneBL1</vt:lpstr>
      <vt:lpstr>ZoneBL2</vt:lpstr>
      <vt:lpstr>ZoneBL3</vt:lpstr>
      <vt:lpstr>ZoneBL4</vt:lpstr>
      <vt:lpstr>ZoneBL5</vt:lpstr>
      <vt:lpstr>ZoneBLDate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2023-04-06T15:25:31Z</cp:lastPrinted>
  <dcterms:created xsi:type="dcterms:W3CDTF">2015-06-05T18:19:34Z</dcterms:created>
  <dcterms:modified xsi:type="dcterms:W3CDTF">2023-10-24T07:35:11Z</dcterms:modified>
</cp:coreProperties>
</file>