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webextensions/webextension1.xml" ContentType="application/vnd.ms-office.webextension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peopl\Desktop\"/>
    </mc:Choice>
  </mc:AlternateContent>
  <xr:revisionPtr revIDLastSave="0" documentId="13_ncr:1_{EB6E0F89-F077-4034-8C63-03FD750C19C1}" xr6:coauthVersionLast="47" xr6:coauthVersionMax="47" xr10:uidLastSave="{00000000-0000-0000-0000-000000000000}"/>
  <bookViews>
    <workbookView xWindow="2097" yWindow="2062" windowWidth="17280" windowHeight="13490" tabRatio="761" xr2:uid="{00000000-000D-0000-FFFF-FFFF00000000}"/>
  </bookViews>
  <sheets>
    <sheet name="FACTURE" sheetId="3" r:id="rId1"/>
    <sheet name="BL" sheetId="4" r:id="rId2"/>
    <sheet name="AVOIR" sheetId="18" r:id="rId3"/>
    <sheet name="CLIENTS" sheetId="19" state="hidden" r:id="rId4"/>
    <sheet name="TARIF" sheetId="17" state="hidden" r:id="rId5"/>
  </sheets>
  <functionGroups builtInGroupCount="19"/>
  <externalReferences>
    <externalReference r:id="rId6"/>
  </externalReferences>
  <definedNames>
    <definedName name="BLDate" comment="Fichier FACTURE Champ BL en H9">BL!$H$9</definedName>
    <definedName name="BLNumero" comment="Fichier FACTURE Champ n° BL en H10">BL!$H$10</definedName>
    <definedName name="Categorie" comment="Fichier DONNEES Catégorie dans tableau DONNEES BL">[1]!Categorie</definedName>
    <definedName name="ChoixBL" comment="Facture Liste ChoixBL en H8">BL!$L$8</definedName>
    <definedName name="SEMAINES" comment="BL">OFFSET(FACTURE!$A$13,,MATCH(BL!$L$8,FACTURE!$B$12:$F$12,0),20)</definedName>
    <definedName name="_xlnm.Print_Area" comment="BL" localSheetId="1">BL!$A$1:$I$37</definedName>
    <definedName name="_xlnm.Print_Area" comment="FACTURE" localSheetId="0">FACTURE!$A$1:$H$44</definedName>
    <definedName name="ZoneBL1" comment="BL">FACTURE!$A$40</definedName>
    <definedName name="ZoneBL2" comment="BL">FACTURE!$A$41</definedName>
    <definedName name="ZoneBL3" comment="BL">FACTURE!$A$42</definedName>
    <definedName name="ZoneBL4" comment="BL">FACTURE!$A$43</definedName>
    <definedName name="ZoneBL5" comment="BL">FACTURE!$A$44</definedName>
    <definedName name="ZoneBlDate" comment="BL">FACTURE!$K$6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3" l="1"/>
  <c r="N10" i="3"/>
  <c r="A50" i="3" l="1" a="1"/>
  <c r="A50" i="3" s="1"/>
  <c r="H15" i="19"/>
  <c r="I15" i="19" s="1"/>
  <c r="J15" i="19" s="1"/>
  <c r="H17" i="19"/>
  <c r="I17" i="19" s="1"/>
  <c r="J17" i="19" s="1"/>
  <c r="H11" i="19"/>
  <c r="I11" i="19" s="1"/>
  <c r="J11" i="19" s="1"/>
  <c r="H14" i="19"/>
  <c r="I14" i="19" s="1"/>
  <c r="J14" i="19" s="1"/>
  <c r="H35" i="19"/>
  <c r="I35" i="19" s="1"/>
  <c r="J35" i="19" s="1"/>
  <c r="H38" i="19"/>
  <c r="I38" i="19" s="1"/>
  <c r="J38" i="19" s="1"/>
  <c r="H3" i="19"/>
  <c r="I3" i="19" s="1"/>
  <c r="J3" i="19" s="1"/>
  <c r="H34" i="19"/>
  <c r="I34" i="19" s="1"/>
  <c r="J34" i="19" s="1"/>
  <c r="H13" i="19"/>
  <c r="I13" i="19" s="1"/>
  <c r="J13" i="19" s="1"/>
  <c r="H12" i="19"/>
  <c r="I12" i="19" s="1"/>
  <c r="J12" i="19" s="1"/>
  <c r="H22" i="19"/>
  <c r="I22" i="19" s="1"/>
  <c r="J22" i="19" s="1"/>
  <c r="H29" i="19"/>
  <c r="I29" i="19" s="1"/>
  <c r="J29" i="19" s="1"/>
  <c r="H8" i="19"/>
  <c r="I8" i="19" s="1"/>
  <c r="J8" i="19" s="1"/>
  <c r="H33" i="19"/>
  <c r="I33" i="19" s="1"/>
  <c r="J33" i="19" s="1"/>
  <c r="H27" i="19"/>
  <c r="I27" i="19" s="1"/>
  <c r="J27" i="19" s="1"/>
  <c r="H6" i="19"/>
  <c r="I6" i="19" s="1"/>
  <c r="J6" i="19" s="1"/>
  <c r="H2" i="19"/>
  <c r="I2" i="19" s="1"/>
  <c r="J2" i="19" s="1"/>
  <c r="H5" i="19"/>
  <c r="I5" i="19" s="1"/>
  <c r="J5" i="19" s="1"/>
  <c r="H4" i="19"/>
  <c r="I4" i="19" s="1"/>
  <c r="J4" i="19" s="1"/>
  <c r="H28" i="19"/>
  <c r="I28" i="19" s="1"/>
  <c r="J28" i="19" s="1"/>
  <c r="H36" i="19"/>
  <c r="I36" i="19" s="1"/>
  <c r="J36" i="19" s="1"/>
  <c r="H9" i="19"/>
  <c r="I9" i="19" s="1"/>
  <c r="J9" i="19" s="1"/>
  <c r="H39" i="19"/>
  <c r="I39" i="19" s="1"/>
  <c r="J39" i="19" s="1"/>
  <c r="H25" i="19"/>
  <c r="I25" i="19" s="1"/>
  <c r="J25" i="19" s="1"/>
  <c r="H31" i="19"/>
  <c r="I31" i="19" s="1"/>
  <c r="J31" i="19" s="1"/>
  <c r="H26" i="19"/>
  <c r="I26" i="19" s="1"/>
  <c r="J26" i="19" s="1"/>
  <c r="H32" i="19"/>
  <c r="I32" i="19" s="1"/>
  <c r="J32" i="19" s="1"/>
  <c r="H16" i="19"/>
  <c r="I16" i="19" s="1"/>
  <c r="J16" i="19" s="1"/>
  <c r="H10" i="19"/>
  <c r="I10" i="19" s="1"/>
  <c r="J10" i="19" s="1"/>
  <c r="H23" i="19"/>
  <c r="I23" i="19" s="1"/>
  <c r="J23" i="19" s="1"/>
  <c r="H40" i="19"/>
  <c r="I40" i="19" s="1"/>
  <c r="J40" i="19" s="1"/>
  <c r="H30" i="19"/>
  <c r="I30" i="19" s="1"/>
  <c r="J30" i="19" s="1"/>
  <c r="H24" i="19"/>
  <c r="I24" i="19" s="1"/>
  <c r="J24" i="19" s="1"/>
  <c r="H21" i="19"/>
  <c r="I21" i="19" s="1"/>
  <c r="J21" i="19" s="1"/>
  <c r="H37" i="19"/>
  <c r="I37" i="19" s="1"/>
  <c r="J37" i="19" s="1"/>
  <c r="H7" i="19"/>
  <c r="I7" i="19" s="1"/>
  <c r="J7" i="19" s="1"/>
  <c r="H18" i="19"/>
  <c r="I18" i="19" s="1"/>
  <c r="J18" i="19" s="1"/>
  <c r="H20" i="19"/>
  <c r="I20" i="19" s="1"/>
  <c r="J20" i="19" s="1"/>
  <c r="H19" i="19"/>
  <c r="I19" i="19" s="1"/>
  <c r="J19" i="19" s="1"/>
  <c r="A51" i="3" a="1"/>
  <c r="A51" i="3" s="1"/>
  <c r="N3" i="3"/>
  <c r="N2" i="3"/>
  <c r="N1" i="3"/>
  <c r="N1" i="4" l="1"/>
  <c r="N1" i="18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13" i="4"/>
  <c r="H13" i="4"/>
  <c r="B35" i="4" l="1"/>
  <c r="H19" i="18" l="1"/>
  <c r="H21" i="18" s="1"/>
  <c r="H23" i="18" s="1"/>
  <c r="N17" i="18"/>
  <c r="D17" i="18"/>
  <c r="A17" i="18"/>
  <c r="H13" i="18"/>
  <c r="N2" i="18"/>
  <c r="G4" i="18"/>
  <c r="A32" i="4" a="1"/>
  <c r="A32" i="4" s="1"/>
  <c r="D32" i="4" s="1" a="1"/>
  <c r="D32" i="4" s="1"/>
  <c r="A31" i="4" a="1"/>
  <c r="A31" i="4" s="1"/>
  <c r="D31" i="4" s="1" a="1"/>
  <c r="D31" i="4" s="1"/>
  <c r="A30" i="4" a="1"/>
  <c r="A30" i="4" s="1"/>
  <c r="D30" i="4" s="1" a="1"/>
  <c r="D30" i="4" s="1"/>
  <c r="A29" i="4" a="1"/>
  <c r="A29" i="4" s="1"/>
  <c r="D29" i="4" s="1" a="1"/>
  <c r="D29" i="4" s="1"/>
  <c r="A28" i="4" a="1"/>
  <c r="A28" i="4" s="1"/>
  <c r="D28" i="4" s="1" a="1"/>
  <c r="D28" i="4" s="1"/>
  <c r="A27" i="4" a="1"/>
  <c r="A27" i="4" s="1"/>
  <c r="D27" i="4" s="1" a="1"/>
  <c r="D27" i="4" s="1"/>
  <c r="A26" i="4" a="1"/>
  <c r="A26" i="4" s="1"/>
  <c r="D26" i="4" s="1" a="1"/>
  <c r="D26" i="4" s="1"/>
  <c r="A25" i="4" a="1"/>
  <c r="A25" i="4" s="1"/>
  <c r="D25" i="4" s="1" a="1"/>
  <c r="D25" i="4" s="1"/>
  <c r="A24" i="4" a="1"/>
  <c r="A24" i="4" s="1"/>
  <c r="D24" i="4" s="1" a="1"/>
  <c r="D24" i="4" s="1"/>
  <c r="A23" i="4" a="1"/>
  <c r="A23" i="4" s="1"/>
  <c r="D23" i="4" s="1" a="1"/>
  <c r="D23" i="4" s="1"/>
  <c r="A22" i="4" a="1"/>
  <c r="A22" i="4" s="1"/>
  <c r="D22" i="4" s="1" a="1"/>
  <c r="D22" i="4" s="1"/>
  <c r="A21" i="4" a="1"/>
  <c r="A21" i="4" s="1"/>
  <c r="D21" i="4" s="1" a="1"/>
  <c r="D21" i="4" s="1"/>
  <c r="A20" i="4" a="1"/>
  <c r="A20" i="4" s="1"/>
  <c r="D20" i="4" s="1" a="1"/>
  <c r="D20" i="4" s="1"/>
  <c r="A19" i="4" a="1"/>
  <c r="A19" i="4" s="1"/>
  <c r="D19" i="4" s="1" a="1"/>
  <c r="D19" i="4" s="1"/>
  <c r="A18" i="4" a="1"/>
  <c r="A18" i="4" s="1"/>
  <c r="D18" i="4" s="1" a="1"/>
  <c r="D18" i="4" s="1"/>
  <c r="A17" i="4" a="1"/>
  <c r="A17" i="4" s="1"/>
  <c r="D17" i="4" s="1" a="1"/>
  <c r="D17" i="4" s="1"/>
  <c r="A16" i="4" a="1"/>
  <c r="A16" i="4" s="1"/>
  <c r="D16" i="4" s="1" a="1"/>
  <c r="D16" i="4" s="1"/>
  <c r="A15" i="4" a="1"/>
  <c r="A15" i="4" s="1"/>
  <c r="D15" i="4" s="1" a="1"/>
  <c r="D15" i="4" s="1"/>
  <c r="A14" i="4" a="1"/>
  <c r="A14" i="4" s="1"/>
  <c r="D14" i="4" s="1" a="1"/>
  <c r="D14" i="4" s="1"/>
  <c r="A13" i="4" a="1"/>
  <c r="A13" i="4" s="1"/>
  <c r="D13" i="4" s="1" a="1"/>
  <c r="D13" i="4" s="1"/>
  <c r="N2" i="4"/>
  <c r="G4" i="4"/>
  <c r="C57" i="3"/>
  <c r="B57" i="3"/>
  <c r="G32" i="3"/>
  <c r="H32" i="3" s="1"/>
  <c r="G31" i="3"/>
  <c r="H31" i="3" s="1"/>
  <c r="G30" i="3"/>
  <c r="H30" i="3" s="1"/>
  <c r="G29" i="3"/>
  <c r="H29" i="3" s="1"/>
  <c r="G28" i="3"/>
  <c r="H28" i="3" s="1"/>
  <c r="G27" i="3"/>
  <c r="H27" i="3" s="1"/>
  <c r="G26" i="3"/>
  <c r="H26" i="3" s="1"/>
  <c r="G25" i="3"/>
  <c r="H25" i="3" s="1"/>
  <c r="G24" i="3"/>
  <c r="H24" i="3" s="1"/>
  <c r="G23" i="3"/>
  <c r="H23" i="3" s="1"/>
  <c r="G22" i="3"/>
  <c r="H22" i="3" s="1"/>
  <c r="G21" i="3"/>
  <c r="H21" i="3" s="1"/>
  <c r="G20" i="3"/>
  <c r="H20" i="3" s="1"/>
  <c r="G19" i="3"/>
  <c r="H19" i="3" s="1"/>
  <c r="G18" i="3"/>
  <c r="H18" i="3" s="1"/>
  <c r="G17" i="3"/>
  <c r="H17" i="3" s="1"/>
  <c r="G16" i="3"/>
  <c r="H16" i="3" s="1"/>
  <c r="G15" i="3"/>
  <c r="H15" i="3" s="1"/>
  <c r="G14" i="3"/>
  <c r="H14" i="3" s="1"/>
  <c r="S13" i="3"/>
  <c r="R13" i="3"/>
  <c r="Q13" i="3"/>
  <c r="P13" i="3"/>
  <c r="O13" i="3"/>
  <c r="G13" i="3"/>
  <c r="H13" i="3" s="1"/>
  <c r="N9" i="3"/>
  <c r="N8" i="3"/>
  <c r="A49" i="3" s="1"/>
  <c r="G7" i="18"/>
  <c r="G6" i="18"/>
  <c r="G5" i="18"/>
  <c r="G3" i="18"/>
  <c r="E25" i="18" a="1"/>
  <c r="H10" i="18" l="1"/>
  <c r="G34" i="3"/>
  <c r="G35" i="3" s="1"/>
  <c r="F57" i="3" s="1"/>
  <c r="H10" i="4"/>
  <c r="A57" i="3"/>
  <c r="G3" i="4"/>
  <c r="G5" i="4"/>
  <c r="G10" i="3"/>
  <c r="D57" i="3" s="1"/>
  <c r="G6" i="4"/>
  <c r="G7" i="4"/>
  <c r="E25" i="18"/>
  <c r="F35" i="4"/>
  <c r="N7" i="3"/>
  <c r="E57" i="3" l="1"/>
  <c r="B54" i="3" a="1"/>
  <c r="B54" i="3" s="1"/>
  <c r="G36" i="3" s="1"/>
  <c r="G37" i="3" s="1"/>
  <c r="A13" i="18"/>
  <c r="D40" i="3" a="1"/>
  <c r="D40" i="3" l="1"/>
  <c r="J6" i="3"/>
  <c r="G5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 PIGNEAU</author>
  </authors>
  <commentList>
    <comment ref="J1" authorId="0" shapeId="0" xr:uid="{095E8AF6-CB31-46C5-88B5-93C796A11D8D}">
      <text>
        <r>
          <rPr>
            <b/>
            <u/>
            <sz val="9"/>
            <color indexed="14"/>
            <rFont val="Tahoma"/>
            <family val="2"/>
          </rPr>
          <t>Aux Cochons d'Ausson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Créer ou afficher les clients.</t>
        </r>
      </text>
    </comment>
    <comment ref="K1" authorId="0" shapeId="0" xr:uid="{7FA4F650-D6EF-4C92-9AC8-8604303EC823}">
      <text>
        <r>
          <rPr>
            <b/>
            <u/>
            <sz val="9"/>
            <color indexed="14"/>
            <rFont val="Tahoma"/>
            <family val="2"/>
          </rPr>
          <t>Aux Cochons d'Ausson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Créer ou afficher les tarifs ou prduits.</t>
        </r>
      </text>
    </comment>
    <comment ref="J12" authorId="0" shapeId="0" xr:uid="{4245C988-6C05-41ED-AE12-5C8A9AF6FD3C}">
      <text>
        <r>
          <rPr>
            <b/>
            <sz val="9"/>
            <color indexed="14"/>
            <rFont val="Tahoma"/>
            <family val="2"/>
          </rPr>
          <t>Aux Cochons d'Ausson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Pour créer une copie de la facture et du BL1.</t>
        </r>
      </text>
    </comment>
    <comment ref="K12" authorId="0" shapeId="0" xr:uid="{4E9890F5-DED1-4D1B-A0E5-7721ABB8E537}">
      <text>
        <r>
          <rPr>
            <b/>
            <u/>
            <sz val="9"/>
            <color indexed="14"/>
            <rFont val="Tahoma"/>
            <family val="2"/>
          </rPr>
          <t>Aux Cochons d'Ausson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Pour sauver les données à partir du BL2.</t>
        </r>
      </text>
    </comment>
    <comment ref="K17" authorId="0" shapeId="0" xr:uid="{CF79E6B7-5BA4-4F0A-83B6-54093485EA40}">
      <text>
        <r>
          <rPr>
            <b/>
            <u/>
            <sz val="9"/>
            <color indexed="14"/>
            <rFont val="Tahoma"/>
            <family val="2"/>
          </rPr>
          <t xml:space="preserve">Aux Cochons d'Ausson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Pour vider la facture et continuer avec un autre client PARTICULIER.</t>
        </r>
      </text>
    </comment>
    <comment ref="J22" authorId="0" shapeId="0" xr:uid="{63EB1439-F9EB-4A3C-A1DD-A118A6BC39A8}">
      <text>
        <r>
          <rPr>
            <b/>
            <u/>
            <sz val="9"/>
            <color indexed="14"/>
            <rFont val="Tahoma"/>
            <family val="2"/>
          </rPr>
          <t>Aux Cochons d'Ausson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La facture est finie. 
- Le PDF va être crée.
- Le récapitulatif sera compléter.
- Une copie sera créer à la fin du classeur.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<sst xmlns="http://schemas.openxmlformats.org/spreadsheetml/2006/main" count="371" uniqueCount="254">
  <si>
    <t>DESIGNATION DU PRODUIT</t>
  </si>
  <si>
    <t>POIDS</t>
  </si>
  <si>
    <t>DLC</t>
  </si>
  <si>
    <t>LOT</t>
  </si>
  <si>
    <t>L I V R A I S O N</t>
  </si>
  <si>
    <t>Prix TT - HT</t>
  </si>
  <si>
    <t>Prix au Kg</t>
  </si>
  <si>
    <t>TOTAL HT</t>
  </si>
  <si>
    <t>TOTAL TTC</t>
  </si>
  <si>
    <t>F A C T U R E</t>
  </si>
  <si>
    <t>POIDS TOTAL</t>
  </si>
  <si>
    <t>Cordialement.</t>
  </si>
  <si>
    <t>En votre aimable règlement,</t>
  </si>
  <si>
    <t>Date :</t>
  </si>
  <si>
    <t>Numéro :</t>
  </si>
  <si>
    <t>Coordonnées bancaires</t>
  </si>
  <si>
    <t>Adresse :</t>
  </si>
  <si>
    <t>CP - VILLE :</t>
  </si>
  <si>
    <t>Téléphone :</t>
  </si>
  <si>
    <t>Destinataire :</t>
  </si>
  <si>
    <t>CP -  VILLE</t>
  </si>
  <si>
    <t xml:space="preserve">N° CLIENT : </t>
  </si>
  <si>
    <t>N° de CLIENT :</t>
  </si>
  <si>
    <t>BL1</t>
  </si>
  <si>
    <t>BL2</t>
  </si>
  <si>
    <t>BL3</t>
  </si>
  <si>
    <t>BL4</t>
  </si>
  <si>
    <t>BL5</t>
  </si>
  <si>
    <t>NOMBRE DE PRODUIT</t>
  </si>
  <si>
    <t>Kg(s)</t>
  </si>
  <si>
    <t>Liste des bordereaux de livraison</t>
  </si>
  <si>
    <t>RAISON SOCIALE</t>
  </si>
  <si>
    <t>CODE</t>
  </si>
  <si>
    <t>ADRESSE1</t>
  </si>
  <si>
    <t>ADRESSE2</t>
  </si>
  <si>
    <t>TELEPHONE</t>
  </si>
  <si>
    <t>N° Client</t>
  </si>
  <si>
    <t>10 Rue de L'armellerie</t>
  </si>
  <si>
    <t>26150 DIE</t>
  </si>
  <si>
    <t>PRIX</t>
  </si>
  <si>
    <t>NON PAYEE</t>
  </si>
  <si>
    <t>PAYEE</t>
  </si>
  <si>
    <t>PERREE Lucie</t>
  </si>
  <si>
    <t>23,60</t>
  </si>
  <si>
    <t>14,12</t>
  </si>
  <si>
    <t>15,07</t>
  </si>
  <si>
    <t>A V O I R</t>
  </si>
  <si>
    <t>PRESTATION</t>
  </si>
  <si>
    <t>Avoir sur la facture mentionnée ci-dessus</t>
  </si>
  <si>
    <t>Qté</t>
  </si>
  <si>
    <t>TVA</t>
  </si>
  <si>
    <t>TT HT</t>
  </si>
  <si>
    <t>Saisir le montant TTC</t>
  </si>
  <si>
    <t>Montant HT</t>
  </si>
  <si>
    <t>Aide au calcul du HT</t>
  </si>
  <si>
    <t>En votre aimable réception,</t>
  </si>
  <si>
    <t>Choisir le BL</t>
  </si>
  <si>
    <t>PRODUIT</t>
  </si>
  <si>
    <t xml:space="preserve"> </t>
  </si>
  <si>
    <t>Client</t>
  </si>
  <si>
    <t>Date</t>
  </si>
  <si>
    <t>N° Facture</t>
  </si>
  <si>
    <t>TT TVA</t>
  </si>
  <si>
    <t>TT TTC</t>
  </si>
  <si>
    <t>Etat</t>
  </si>
  <si>
    <t>ARAIGNEE</t>
  </si>
  <si>
    <t>BAVETTE</t>
  </si>
  <si>
    <t>BOUDIN</t>
  </si>
  <si>
    <t>CAILLETTES</t>
  </si>
  <si>
    <t>CAISSETTE DE VIANDE 15 KG</t>
  </si>
  <si>
    <t>CHAIR A SAUCISSE</t>
  </si>
  <si>
    <t>COTE DE PORC</t>
  </si>
  <si>
    <t>COTIS SALE</t>
  </si>
  <si>
    <t>DEMI PORC</t>
  </si>
  <si>
    <t>ECHINE DE PORC</t>
  </si>
  <si>
    <t>EPAULE ENTIERE 3D</t>
  </si>
  <si>
    <t>ESCALOPE DE PORC</t>
  </si>
  <si>
    <t>FILET MIGNON DE PORC</t>
  </si>
  <si>
    <t>FROMAGE DE TETE</t>
  </si>
  <si>
    <t>GODIVEAUX AUX HERBES</t>
  </si>
  <si>
    <t>GODIVEAUX AUX OLIVES NYONS</t>
  </si>
  <si>
    <t>GODIVEAUX NATURE</t>
  </si>
  <si>
    <t>GODIVEAUX PICODON AOC</t>
  </si>
  <si>
    <t>GORGES DE PORC</t>
  </si>
  <si>
    <t>GRILLADE PARISIENNE</t>
  </si>
  <si>
    <t>GROIN</t>
  </si>
  <si>
    <t>HAMPES</t>
  </si>
  <si>
    <t>JAMBON CUIT</t>
  </si>
  <si>
    <t>JAMBON ENTIER</t>
  </si>
  <si>
    <t>JARRET DE PORC</t>
  </si>
  <si>
    <t>JARRET DEMI SEL</t>
  </si>
  <si>
    <t>JOUES</t>
  </si>
  <si>
    <t>LONGE ENTIERE</t>
  </si>
  <si>
    <t>MERGUEZ DE PORC</t>
  </si>
  <si>
    <t>MURSON</t>
  </si>
  <si>
    <t>MURSON VERRINE</t>
  </si>
  <si>
    <t>OREILLES</t>
  </si>
  <si>
    <t>PATE CROUTE</t>
  </si>
  <si>
    <t>PATE DE CAMPAGNE</t>
  </si>
  <si>
    <t>PIED  DE PORC</t>
  </si>
  <si>
    <t>POITRINE DE PORC</t>
  </si>
  <si>
    <t>POITRINE DEMI SEL</t>
  </si>
  <si>
    <t>PORC ENTIER</t>
  </si>
  <si>
    <t>QUEUE</t>
  </si>
  <si>
    <t>ROTI DE PORC (EPAULE)</t>
  </si>
  <si>
    <t>ROTI DE PORC (FILET)</t>
  </si>
  <si>
    <t>ROTI ECHINE</t>
  </si>
  <si>
    <t>ROTI FARCI</t>
  </si>
  <si>
    <t>ROUELLE DE PORC</t>
  </si>
  <si>
    <t>SAUCISSE A CUIRE NATURE</t>
  </si>
  <si>
    <t>SAUCISSE A CUIRE OLIVES NYONS</t>
  </si>
  <si>
    <t>SAUCISSE A GRILLER HERBES</t>
  </si>
  <si>
    <t>SAUCISSE A GRILLER NATURE</t>
  </si>
  <si>
    <t>SAUCISSE AUX HERBES</t>
  </si>
  <si>
    <t>SAUCISSON BRIOCHE</t>
  </si>
  <si>
    <t>SAUCISSON SEC PUR PORC</t>
  </si>
  <si>
    <t>SAUTE DE PORC</t>
  </si>
  <si>
    <t>SURPRISE</t>
  </si>
  <si>
    <t>TRAVERS DE PORC</t>
  </si>
  <si>
    <t>FOIE</t>
  </si>
  <si>
    <t>3,79</t>
  </si>
  <si>
    <t>Le total TTC a été arrêté à la somme de</t>
  </si>
  <si>
    <t>PATE DE TETE</t>
  </si>
  <si>
    <t>CREPINE</t>
  </si>
  <si>
    <t>0,95</t>
  </si>
  <si>
    <t>GODIVEAUX VIGNERON</t>
  </si>
  <si>
    <t>16,97</t>
  </si>
  <si>
    <t>ACCA DE BEAURIERES</t>
  </si>
  <si>
    <t>26310 BEAURIERES</t>
  </si>
  <si>
    <t>06 73 69 22 55</t>
  </si>
  <si>
    <t>GODIVEAUX FENOUIL</t>
  </si>
  <si>
    <t>VENOUIL VALERIE</t>
  </si>
  <si>
    <t>240 B Chemin BARRAL</t>
  </si>
  <si>
    <t>06 19 40 80 85</t>
  </si>
  <si>
    <t>REFECO +</t>
  </si>
  <si>
    <t>137 Allée du BIEF</t>
  </si>
  <si>
    <t>01600 TREVOUX</t>
  </si>
  <si>
    <t>06 87 26 00 99</t>
  </si>
  <si>
    <t>DIOT PASCAL</t>
  </si>
  <si>
    <t>Le Village</t>
  </si>
  <si>
    <t>06 28 59 39 08</t>
  </si>
  <si>
    <t>2395 Route de VALENCE</t>
  </si>
  <si>
    <t>26150 PONTAIX</t>
  </si>
  <si>
    <t>04 75 21 65 35</t>
  </si>
  <si>
    <t>EARL VERTACOCHON</t>
  </si>
  <si>
    <t>26420 LA CHAPELLE EN VERCORS</t>
  </si>
  <si>
    <t>06 42 19 24 13</t>
  </si>
  <si>
    <t>DIPED LES ALANIERS</t>
  </si>
  <si>
    <t>5 Chemin de la Providence</t>
  </si>
  <si>
    <t>01000 BOURG EN BRESSE</t>
  </si>
  <si>
    <t>06 98 21 73 13</t>
  </si>
  <si>
    <t>200 Avenue des Acacias</t>
  </si>
  <si>
    <t>LISTE</t>
  </si>
  <si>
    <t>P</t>
  </si>
  <si>
    <t>Ligne pour sauvegarder dans le fichier SUIVI DES FACTURES.XLSM les informations de la facture.</t>
  </si>
  <si>
    <t>RS</t>
  </si>
  <si>
    <t>REMISE</t>
  </si>
  <si>
    <t>RV</t>
  </si>
  <si>
    <t>Formule Remise</t>
  </si>
  <si>
    <t>ID</t>
  </si>
  <si>
    <t>EMAIL</t>
  </si>
  <si>
    <t>SUP '</t>
  </si>
  <si>
    <t>SUP Espace</t>
  </si>
  <si>
    <t>12 caractères</t>
  </si>
  <si>
    <t>INTERMARCHE BOUCHERIE</t>
  </si>
  <si>
    <t>Route de la Résistance</t>
  </si>
  <si>
    <t>INTERMARCHE CHARCUTERIE</t>
  </si>
  <si>
    <t>FROMAGERIE DE DIE</t>
  </si>
  <si>
    <t>13 Place du Marché</t>
  </si>
  <si>
    <t>CAFE DE LA MAIRIE</t>
  </si>
  <si>
    <t>Rue du Tricot</t>
  </si>
  <si>
    <t>26410 CHATILLON EN DIOIS</t>
  </si>
  <si>
    <t>U EXPRESS</t>
  </si>
  <si>
    <t>77 Avenue Sadi Carnot</t>
  </si>
  <si>
    <t>LA RAVIOLE DIOIS</t>
  </si>
  <si>
    <t>Ferme des Noyers</t>
  </si>
  <si>
    <t>26310 MONTLAUR EN DOIS</t>
  </si>
  <si>
    <t>LE MAS D'AMBANNE</t>
  </si>
  <si>
    <t>Les Boenes</t>
  </si>
  <si>
    <t>26310 RECOUBEAU JANSAC</t>
  </si>
  <si>
    <t>L'OISEAU BLEU DU GLANDASSE</t>
  </si>
  <si>
    <t>Salle Polyvalente N°347</t>
  </si>
  <si>
    <t>26150 SOLAURE EN DIOIS</t>
  </si>
  <si>
    <t>YAMANEKO ESTAMINETTE</t>
  </si>
  <si>
    <t>9 rue de l'Armellerie</t>
  </si>
  <si>
    <t>LE DOMANIAL</t>
  </si>
  <si>
    <t>Rue Charles Piot</t>
  </si>
  <si>
    <t>26340 PENNES LE SEC</t>
  </si>
  <si>
    <t>COMPTOIR PLUS</t>
  </si>
  <si>
    <t>17 Rue des Charmilles</t>
  </si>
  <si>
    <t>2612 MONTELIER</t>
  </si>
  <si>
    <t>04 75 60 75 58</t>
  </si>
  <si>
    <t>DOMAINE DU MAUPAS</t>
  </si>
  <si>
    <t>Le Maupas</t>
  </si>
  <si>
    <t>26150 CHATILLON EN DIOIS</t>
  </si>
  <si>
    <t>04 75 21 18 81</t>
  </si>
  <si>
    <t>MULTICOMMERCE</t>
  </si>
  <si>
    <t>Route Départementale 93</t>
  </si>
  <si>
    <t>LE REPERE</t>
  </si>
  <si>
    <t>Place de l'Horloge</t>
  </si>
  <si>
    <t>MEYRO'S PUB</t>
  </si>
  <si>
    <t>26 Rue des Jardins</t>
  </si>
  <si>
    <t>LE MAZEL</t>
  </si>
  <si>
    <t>5 rue Elie BROCHIER</t>
  </si>
  <si>
    <t>YAMANEKO</t>
  </si>
  <si>
    <t>CHEZ CHRISTINE</t>
  </si>
  <si>
    <t>3 Place de la République</t>
  </si>
  <si>
    <t>REFUGE D'ARCHIANE</t>
  </si>
  <si>
    <t/>
  </si>
  <si>
    <t>LE SAULE REVEUR</t>
  </si>
  <si>
    <t>194 Avenue du Vercors</t>
  </si>
  <si>
    <t>AUBERGE LE DOMANIAL</t>
  </si>
  <si>
    <t>Rue Charles PIOT</t>
  </si>
  <si>
    <t>06 14 59 76 46</t>
  </si>
  <si>
    <t>AUX BONS PASSANT</t>
  </si>
  <si>
    <t>10 Place de la République</t>
  </si>
  <si>
    <t>04 75 21 01 02</t>
  </si>
  <si>
    <t>ABC</t>
  </si>
  <si>
    <t>3696 Route de GAP</t>
  </si>
  <si>
    <t>06 76 24 93 15</t>
  </si>
  <si>
    <t>07 88 05 96 10</t>
  </si>
  <si>
    <t>07 89 55 17 55</t>
  </si>
  <si>
    <t>NOUVEAU MONASTERE</t>
  </si>
  <si>
    <t>26150 SAINTE CROIX</t>
  </si>
  <si>
    <t>06 85 80 05 22</t>
  </si>
  <si>
    <t>CAMPING LES ACCACIAS</t>
  </si>
  <si>
    <t>Les Tours</t>
  </si>
  <si>
    <t>26340 VERCHENY</t>
  </si>
  <si>
    <t>06 86 15 41 92</t>
  </si>
  <si>
    <t>LES TATINES</t>
  </si>
  <si>
    <t>26310 BARNAVE</t>
  </si>
  <si>
    <t>06 42 21 11 75</t>
  </si>
  <si>
    <t>LE BARABOCK</t>
  </si>
  <si>
    <t>Route des Tonnons</t>
  </si>
  <si>
    <t>26410 MENGLON</t>
  </si>
  <si>
    <t>06 82 61 94 43</t>
  </si>
  <si>
    <t>COOPÉRATIVE PLANTES AROMATIQUES DU DIOIS</t>
  </si>
  <si>
    <t>DEMURGER LESLIE</t>
  </si>
  <si>
    <t>00 00 00 00 00</t>
  </si>
  <si>
    <t>04 26 58 87 92</t>
  </si>
  <si>
    <t>04 75 22 12 30</t>
  </si>
  <si>
    <t>04 75 22 02 20</t>
  </si>
  <si>
    <t>04 75 21 23 89</t>
  </si>
  <si>
    <t>06 82 50 28 22</t>
  </si>
  <si>
    <t>04 75 21 01 13</t>
  </si>
  <si>
    <t>04 75 22 17 02</t>
  </si>
  <si>
    <t>09 51 78 52 22</t>
  </si>
  <si>
    <t>06 85 46 38 61</t>
  </si>
  <si>
    <t>04 75 22 17 26</t>
  </si>
  <si>
    <t>04 75 21 44 03</t>
  </si>
  <si>
    <t>04 75 21 24 47</t>
  </si>
  <si>
    <t>04 75 22 04 87</t>
  </si>
  <si>
    <t>09 80 38 79 49</t>
  </si>
  <si>
    <t>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</si>
</sst>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€&quot;* #,##0.00_);_(&quot;€&quot;* \(#,##0.00\);_(&quot;€&quot;* &quot;-&quot;??_);_(@_)"/>
    <numFmt numFmtId="165" formatCode="0#&quot; &quot;##&quot; &quot;##&quot; &quot;##&quot; &quot;##"/>
    <numFmt numFmtId="166" formatCode="#,##0.00\ &quot;€&quot;"/>
    <numFmt numFmtId="167" formatCode="0.000"/>
    <numFmt numFmtId="168" formatCode="0.0%"/>
    <numFmt numFmtId="169" formatCode="#,##0.000"/>
    <numFmt numFmtId="170" formatCode="#\ ##0.00"/>
    <numFmt numFmtId="171" formatCode="0.0000"/>
  </numFmts>
  <fonts count="3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3399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10"/>
      <color theme="8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name val="Arial"/>
      <family val="2"/>
    </font>
    <font>
      <sz val="11"/>
      <color theme="1"/>
      <name val="Calibri"/>
      <family val="2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9"/>
      <color indexed="14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14"/>
      <name val="Tahoma"/>
      <family val="2"/>
    </font>
    <font>
      <b/>
      <sz val="12"/>
      <color theme="0" tint="-4.9989318521683403E-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 Unicode MS"/>
    </font>
  </fonts>
  <fills count="12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7DD"/>
        <bgColor indexed="64"/>
      </patternFill>
    </fill>
    <fill>
      <patternFill patternType="solid">
        <fgColor rgb="FFFFFFEB"/>
        <bgColor indexed="64"/>
      </patternFill>
    </fill>
    <fill>
      <patternFill patternType="solid">
        <fgColor rgb="FFE3EFF9"/>
        <bgColor indexed="64"/>
      </patternFill>
    </fill>
    <fill>
      <patternFill patternType="solid">
        <fgColor rgb="FFEEFFDD"/>
        <bgColor indexed="64"/>
      </patternFill>
    </fill>
    <fill>
      <patternFill patternType="solid">
        <fgColor rgb="FFFFF1C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164" fontId="29" fillId="0" borderId="0" applyFont="0" applyFill="0" applyBorder="0" applyAlignment="0" applyProtection="0"/>
  </cellStyleXfs>
  <cellXfs count="2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66" fontId="10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7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0" fontId="1" fillId="4" borderId="14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26" fillId="0" borderId="0" xfId="0" applyFont="1" applyAlignment="1">
      <alignment horizontal="center"/>
    </xf>
    <xf numFmtId="14" fontId="0" fillId="0" borderId="0" xfId="0" applyNumberFormat="1" applyAlignment="1">
      <alignment wrapText="1"/>
    </xf>
    <xf numFmtId="0" fontId="28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2" fontId="16" fillId="0" borderId="1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/>
    <xf numFmtId="0" fontId="28" fillId="0" borderId="0" xfId="0" applyFont="1" applyAlignment="1">
      <alignment vertical="center"/>
    </xf>
    <xf numFmtId="0" fontId="0" fillId="0" borderId="17" xfId="0" applyBorder="1" applyAlignment="1">
      <alignment horizontal="centerContinuous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68" fontId="0" fillId="0" borderId="1" xfId="0" applyNumberFormat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167" fontId="18" fillId="0" borderId="0" xfId="0" applyNumberFormat="1" applyFon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12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28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8" fillId="0" borderId="0" xfId="0" applyFont="1" applyProtection="1"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168" fontId="0" fillId="0" borderId="1" xfId="0" applyNumberFormat="1" applyBorder="1" applyAlignment="1" applyProtection="1">
      <alignment horizontal="center" vertical="center"/>
      <protection hidden="1"/>
    </xf>
    <xf numFmtId="169" fontId="12" fillId="0" borderId="1" xfId="0" applyNumberFormat="1" applyFont="1" applyBorder="1" applyAlignment="1" applyProtection="1">
      <alignment horizontal="center" vertical="center"/>
      <protection locked="0"/>
    </xf>
    <xf numFmtId="0" fontId="1" fillId="4" borderId="19" xfId="0" applyFont="1" applyFill="1" applyBorder="1" applyAlignment="1">
      <alignment horizontal="center" vertical="center"/>
    </xf>
    <xf numFmtId="166" fontId="10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1" fillId="4" borderId="20" xfId="0" applyFont="1" applyFill="1" applyBorder="1" applyAlignment="1">
      <alignment horizontal="center"/>
    </xf>
    <xf numFmtId="0" fontId="25" fillId="0" borderId="0" xfId="0" applyFont="1"/>
    <xf numFmtId="2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left"/>
    </xf>
    <xf numFmtId="0" fontId="2" fillId="0" borderId="0" xfId="0" applyFont="1" applyAlignment="1" applyProtection="1">
      <alignment horizontal="centerContinuous" vertical="center"/>
      <protection hidden="1"/>
    </xf>
    <xf numFmtId="0" fontId="0" fillId="0" borderId="0" xfId="0" applyAlignment="1" applyProtection="1">
      <alignment horizontal="centerContinuous"/>
      <protection locked="0"/>
    </xf>
    <xf numFmtId="0" fontId="16" fillId="0" borderId="18" xfId="0" applyFont="1" applyBorder="1" applyAlignment="1" applyProtection="1">
      <alignment horizontal="center" vertical="center"/>
      <protection locked="0"/>
    </xf>
    <xf numFmtId="0" fontId="14" fillId="4" borderId="18" xfId="0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vertical="center"/>
    </xf>
    <xf numFmtId="4" fontId="21" fillId="0" borderId="0" xfId="0" applyNumberFormat="1" applyFont="1" applyAlignment="1">
      <alignment horizontal="center" vertical="center"/>
    </xf>
    <xf numFmtId="14" fontId="19" fillId="7" borderId="0" xfId="0" applyNumberFormat="1" applyFont="1" applyFill="1" applyAlignment="1">
      <alignment horizontal="center" vertical="center"/>
    </xf>
    <xf numFmtId="0" fontId="7" fillId="10" borderId="0" xfId="0" applyFont="1" applyFill="1" applyAlignment="1">
      <alignment horizontal="centerContinuous" vertical="center"/>
    </xf>
    <xf numFmtId="0" fontId="0" fillId="10" borderId="0" xfId="0" applyFill="1" applyAlignment="1">
      <alignment horizontal="centerContinuous" vertical="center"/>
    </xf>
    <xf numFmtId="0" fontId="20" fillId="10" borderId="0" xfId="0" applyFont="1" applyFill="1" applyAlignment="1">
      <alignment horizontal="right" vertical="center"/>
    </xf>
    <xf numFmtId="0" fontId="4" fillId="10" borderId="0" xfId="0" applyFont="1" applyFill="1" applyAlignment="1">
      <alignment horizontal="centerContinuous" vertical="center"/>
    </xf>
    <xf numFmtId="165" fontId="4" fillId="10" borderId="0" xfId="0" applyNumberFormat="1" applyFont="1" applyFill="1" applyAlignment="1">
      <alignment horizontal="centerContinuous" vertical="center"/>
    </xf>
    <xf numFmtId="14" fontId="4" fillId="10" borderId="0" xfId="0" applyNumberFormat="1" applyFont="1" applyFill="1" applyAlignment="1">
      <alignment horizontal="center" vertical="center"/>
    </xf>
    <xf numFmtId="14" fontId="19" fillId="10" borderId="0" xfId="0" applyNumberFormat="1" applyFont="1" applyFill="1" applyAlignment="1">
      <alignment horizontal="center" vertical="center"/>
    </xf>
    <xf numFmtId="0" fontId="10" fillId="10" borderId="0" xfId="0" applyFont="1" applyFill="1" applyAlignment="1">
      <alignment horizontal="center"/>
    </xf>
    <xf numFmtId="0" fontId="0" fillId="10" borderId="0" xfId="0" applyFill="1"/>
    <xf numFmtId="0" fontId="27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4" fillId="10" borderId="1" xfId="0" applyFont="1" applyFill="1" applyBorder="1" applyAlignment="1" applyProtection="1">
      <alignment vertical="center"/>
      <protection locked="0"/>
    </xf>
    <xf numFmtId="169" fontId="12" fillId="10" borderId="1" xfId="0" applyNumberFormat="1" applyFont="1" applyFill="1" applyBorder="1" applyAlignment="1" applyProtection="1">
      <alignment horizontal="center" vertical="center"/>
      <protection locked="0"/>
    </xf>
    <xf numFmtId="4" fontId="21" fillId="10" borderId="1" xfId="0" applyNumberFormat="1" applyFont="1" applyFill="1" applyBorder="1" applyAlignment="1">
      <alignment horizontal="center" vertical="center"/>
    </xf>
    <xf numFmtId="166" fontId="10" fillId="10" borderId="1" xfId="0" applyNumberFormat="1" applyFont="1" applyFill="1" applyBorder="1" applyAlignment="1">
      <alignment horizontal="center" vertical="center"/>
    </xf>
    <xf numFmtId="0" fontId="20" fillId="10" borderId="0" xfId="0" applyFont="1" applyFill="1" applyAlignment="1" applyProtection="1">
      <alignment horizontal="right" vertical="center"/>
      <protection locked="0"/>
    </xf>
    <xf numFmtId="14" fontId="4" fillId="10" borderId="0" xfId="0" applyNumberFormat="1" applyFont="1" applyFill="1" applyAlignment="1" applyProtection="1">
      <alignment horizontal="center" vertical="center"/>
      <protection hidden="1"/>
    </xf>
    <xf numFmtId="0" fontId="0" fillId="10" borderId="0" xfId="0" applyFill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1" fillId="4" borderId="21" xfId="0" applyFont="1" applyFill="1" applyBorder="1" applyAlignment="1">
      <alignment horizontal="center" vertical="center"/>
    </xf>
    <xf numFmtId="14" fontId="1" fillId="4" borderId="22" xfId="0" applyNumberFormat="1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20" fillId="7" borderId="0" xfId="0" applyFont="1" applyFill="1" applyAlignment="1">
      <alignment horizontal="right" vertical="center"/>
    </xf>
    <xf numFmtId="14" fontId="4" fillId="7" borderId="0" xfId="0" applyNumberFormat="1" applyFont="1" applyFill="1" applyAlignment="1">
      <alignment vertical="center"/>
    </xf>
    <xf numFmtId="0" fontId="0" fillId="7" borderId="0" xfId="0" applyFill="1" applyAlignment="1">
      <alignment vertical="center"/>
    </xf>
    <xf numFmtId="0" fontId="27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23" fillId="9" borderId="0" xfId="0" applyFont="1" applyFill="1" applyAlignment="1">
      <alignment horizontal="left" vertical="center"/>
    </xf>
    <xf numFmtId="166" fontId="0" fillId="0" borderId="0" xfId="0" applyNumberForma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 wrapText="1"/>
    </xf>
    <xf numFmtId="170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0" fillId="0" borderId="0" xfId="0" applyAlignment="1">
      <alignment horizontal="centerContinuous" vertical="center"/>
    </xf>
    <xf numFmtId="0" fontId="18" fillId="0" borderId="0" xfId="0" applyFont="1" applyAlignment="1">
      <alignment horizontal="centerContinuous" vertical="center"/>
    </xf>
    <xf numFmtId="0" fontId="18" fillId="0" borderId="0" xfId="0" applyFont="1" applyAlignment="1" applyProtection="1">
      <alignment horizontal="centerContinuous" vertical="center"/>
      <protection hidden="1"/>
    </xf>
    <xf numFmtId="0" fontId="0" fillId="0" borderId="36" xfId="0" applyBorder="1" applyAlignment="1">
      <alignment horizontal="center" vertical="center"/>
    </xf>
    <xf numFmtId="0" fontId="36" fillId="0" borderId="37" xfId="0" applyFont="1" applyBorder="1" applyAlignment="1">
      <alignment vertical="center"/>
    </xf>
    <xf numFmtId="0" fontId="35" fillId="0" borderId="38" xfId="0" applyFont="1" applyBorder="1" applyAlignment="1">
      <alignment horizontal="center" vertical="center"/>
    </xf>
    <xf numFmtId="0" fontId="0" fillId="11" borderId="1" xfId="0" applyFill="1" applyBorder="1" applyAlignment="1">
      <alignment horizontal="left"/>
    </xf>
    <xf numFmtId="0" fontId="18" fillId="8" borderId="5" xfId="0" applyFont="1" applyFill="1" applyBorder="1" applyAlignment="1">
      <alignment horizontal="centerContinuous"/>
    </xf>
    <xf numFmtId="0" fontId="18" fillId="8" borderId="7" xfId="0" applyFont="1" applyFill="1" applyBorder="1" applyAlignment="1">
      <alignment horizontal="centerContinuous"/>
    </xf>
    <xf numFmtId="0" fontId="18" fillId="8" borderId="8" xfId="0" applyFont="1" applyFill="1" applyBorder="1" applyAlignment="1">
      <alignment horizontal="centerContinuous"/>
    </xf>
    <xf numFmtId="0" fontId="18" fillId="8" borderId="9" xfId="0" applyFont="1" applyFill="1" applyBorder="1" applyAlignment="1">
      <alignment horizontal="centerContinuous" wrapText="1"/>
    </xf>
    <xf numFmtId="0" fontId="18" fillId="8" borderId="10" xfId="0" applyFont="1" applyFill="1" applyBorder="1" applyAlignment="1">
      <alignment horizontal="centerContinuous"/>
    </xf>
    <xf numFmtId="0" fontId="18" fillId="8" borderId="12" xfId="0" applyFont="1" applyFill="1" applyBorder="1" applyAlignment="1">
      <alignment horizontal="centerContinuous" wrapText="1"/>
    </xf>
    <xf numFmtId="0" fontId="2" fillId="0" borderId="15" xfId="0" applyFont="1" applyBorder="1" applyAlignment="1">
      <alignment horizontal="centerContinuous"/>
    </xf>
    <xf numFmtId="0" fontId="12" fillId="3" borderId="18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/>
    </xf>
    <xf numFmtId="165" fontId="0" fillId="10" borderId="0" xfId="0" applyNumberFormat="1" applyFill="1" applyAlignment="1">
      <alignment horizontal="centerContinuous" vertical="center"/>
    </xf>
    <xf numFmtId="14" fontId="4" fillId="10" borderId="0" xfId="0" applyNumberFormat="1" applyFont="1" applyFill="1" applyAlignment="1" applyProtection="1">
      <alignment horizontal="centerContinuous" vertical="center"/>
      <protection locked="0"/>
    </xf>
    <xf numFmtId="0" fontId="4" fillId="10" borderId="0" xfId="0" applyFont="1" applyFill="1" applyAlignment="1" applyProtection="1">
      <alignment horizontal="centerContinuous" vertical="center"/>
      <protection locked="0"/>
    </xf>
    <xf numFmtId="0" fontId="0" fillId="0" borderId="35" xfId="0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14" fontId="0" fillId="3" borderId="1" xfId="0" applyNumberFormat="1" applyFill="1" applyBorder="1" applyAlignment="1">
      <alignment horizontal="center"/>
    </xf>
    <xf numFmtId="171" fontId="0" fillId="0" borderId="1" xfId="0" applyNumberFormat="1" applyBorder="1" applyAlignment="1">
      <alignment horizontal="center"/>
    </xf>
    <xf numFmtId="166" fontId="34" fillId="4" borderId="1" xfId="0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6" fontId="34" fillId="4" borderId="2" xfId="0" applyNumberFormat="1" applyFont="1" applyFill="1" applyBorder="1" applyAlignment="1">
      <alignment horizontal="center" vertical="center"/>
    </xf>
    <xf numFmtId="0" fontId="34" fillId="4" borderId="31" xfId="0" applyFont="1" applyFill="1" applyBorder="1" applyAlignment="1">
      <alignment horizontal="center" vertical="center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6" fillId="0" borderId="0" xfId="0" applyFont="1" applyAlignment="1">
      <alignment horizontal="center" vertical="center" wrapText="1"/>
    </xf>
    <xf numFmtId="166" fontId="13" fillId="4" borderId="22" xfId="0" applyNumberFormat="1" applyFont="1" applyFill="1" applyBorder="1" applyAlignment="1">
      <alignment horizontal="center"/>
    </xf>
    <xf numFmtId="166" fontId="13" fillId="4" borderId="23" xfId="0" applyNumberFormat="1" applyFont="1" applyFill="1" applyBorder="1" applyAlignment="1">
      <alignment horizontal="center"/>
    </xf>
    <xf numFmtId="166" fontId="13" fillId="4" borderId="1" xfId="0" applyNumberFormat="1" applyFont="1" applyFill="1" applyBorder="1" applyAlignment="1">
      <alignment horizontal="center" vertical="center"/>
    </xf>
    <xf numFmtId="166" fontId="13" fillId="4" borderId="29" xfId="0" applyNumberFormat="1" applyFont="1" applyFill="1" applyBorder="1" applyAlignment="1">
      <alignment horizontal="center" vertical="center"/>
    </xf>
    <xf numFmtId="166" fontId="13" fillId="4" borderId="25" xfId="0" applyNumberFormat="1" applyFont="1" applyFill="1" applyBorder="1" applyAlignment="1">
      <alignment horizontal="center" vertical="center"/>
    </xf>
    <xf numFmtId="166" fontId="13" fillId="4" borderId="34" xfId="0" applyNumberFormat="1" applyFont="1" applyFill="1" applyBorder="1" applyAlignment="1">
      <alignment horizontal="center" vertical="center"/>
    </xf>
    <xf numFmtId="0" fontId="8" fillId="8" borderId="26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32" xfId="0" applyFont="1" applyFill="1" applyBorder="1" applyAlignment="1">
      <alignment horizontal="center" vertical="center"/>
    </xf>
    <xf numFmtId="0" fontId="8" fillId="8" borderId="3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left" vertical="center"/>
    </xf>
    <xf numFmtId="167" fontId="22" fillId="9" borderId="0" xfId="0" applyNumberFormat="1" applyFont="1" applyFill="1" applyAlignment="1">
      <alignment horizontal="right" vertical="center"/>
    </xf>
    <xf numFmtId="0" fontId="0" fillId="9" borderId="0" xfId="0" applyFill="1" applyAlignment="1">
      <alignment horizontal="right" vertical="center"/>
    </xf>
    <xf numFmtId="0" fontId="18" fillId="0" borderId="2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6" fillId="8" borderId="0" xfId="0" applyFont="1" applyFill="1" applyAlignment="1">
      <alignment horizontal="center" vertical="center"/>
    </xf>
    <xf numFmtId="0" fontId="0" fillId="8" borderId="0" xfId="0" applyFill="1"/>
    <xf numFmtId="1" fontId="22" fillId="9" borderId="0" xfId="0" applyNumberFormat="1" applyFont="1" applyFill="1" applyAlignment="1">
      <alignment horizontal="center" vertical="center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5" fillId="0" borderId="0" xfId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7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/>
    </xf>
    <xf numFmtId="14" fontId="4" fillId="7" borderId="0" xfId="0" applyNumberFormat="1" applyFont="1" applyFill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165" fontId="4" fillId="7" borderId="0" xfId="0" applyNumberFormat="1" applyFont="1" applyFill="1" applyAlignment="1">
      <alignment horizontal="center" vertical="center"/>
    </xf>
    <xf numFmtId="165" fontId="0" fillId="7" borderId="0" xfId="0" applyNumberFormat="1" applyFill="1" applyAlignment="1">
      <alignment horizontal="center"/>
    </xf>
    <xf numFmtId="0" fontId="18" fillId="7" borderId="2" xfId="0" applyFont="1" applyFill="1" applyBorder="1" applyAlignment="1">
      <alignment horizontal="left" vertical="center"/>
    </xf>
    <xf numFmtId="0" fontId="18" fillId="7" borderId="4" xfId="0" applyFont="1" applyFill="1" applyBorder="1" applyAlignment="1">
      <alignment horizontal="left" vertical="center"/>
    </xf>
    <xf numFmtId="0" fontId="18" fillId="7" borderId="3" xfId="0" applyFont="1" applyFill="1" applyBorder="1" applyAlignment="1">
      <alignment horizontal="left" vertical="center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Protection="1"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167" fontId="18" fillId="0" borderId="1" xfId="0" applyNumberFormat="1" applyFont="1" applyBorder="1" applyAlignment="1">
      <alignment horizontal="center" vertical="center"/>
    </xf>
    <xf numFmtId="1" fontId="0" fillId="0" borderId="2" xfId="0" applyNumberFormat="1" applyBorder="1" applyAlignment="1" applyProtection="1">
      <alignment horizontal="center" vertical="center"/>
      <protection locked="0"/>
    </xf>
    <xf numFmtId="1" fontId="0" fillId="0" borderId="3" xfId="0" applyNumberFormat="1" applyBorder="1" applyAlignment="1" applyProtection="1">
      <alignment horizontal="center" vertical="center"/>
      <protection locked="0"/>
    </xf>
    <xf numFmtId="167" fontId="18" fillId="7" borderId="1" xfId="0" applyNumberFormat="1" applyFont="1" applyFill="1" applyBorder="1" applyAlignment="1">
      <alignment horizontal="center" vertical="center"/>
    </xf>
    <xf numFmtId="167" fontId="18" fillId="5" borderId="1" xfId="0" applyNumberFormat="1" applyFont="1" applyFill="1" applyBorder="1" applyAlignment="1">
      <alignment horizontal="center" vertical="center"/>
    </xf>
    <xf numFmtId="1" fontId="0" fillId="7" borderId="2" xfId="0" applyNumberFormat="1" applyFill="1" applyBorder="1" applyAlignment="1" applyProtection="1">
      <alignment horizontal="center" vertical="center"/>
      <protection locked="0"/>
    </xf>
    <xf numFmtId="1" fontId="0" fillId="7" borderId="3" xfId="0" applyNumberFormat="1" applyFill="1" applyBorder="1" applyAlignment="1" applyProtection="1">
      <alignment horizontal="center" vertical="center"/>
      <protection locked="0"/>
    </xf>
    <xf numFmtId="14" fontId="0" fillId="0" borderId="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/>
    </xf>
    <xf numFmtId="14" fontId="9" fillId="0" borderId="15" xfId="0" applyNumberFormat="1" applyFont="1" applyBorder="1" applyAlignment="1" applyProtection="1">
      <alignment horizontal="right" vertical="center"/>
      <protection hidden="1"/>
    </xf>
    <xf numFmtId="14" fontId="9" fillId="0" borderId="16" xfId="0" applyNumberFormat="1" applyFont="1" applyBorder="1" applyAlignment="1" applyProtection="1">
      <alignment horizontal="right" vertical="center"/>
      <protection hidden="1"/>
    </xf>
    <xf numFmtId="14" fontId="9" fillId="0" borderId="16" xfId="0" applyNumberFormat="1" applyFont="1" applyBorder="1" applyAlignment="1" applyProtection="1">
      <alignment horizontal="left" vertical="center"/>
      <protection hidden="1"/>
    </xf>
    <xf numFmtId="14" fontId="9" fillId="0" borderId="17" xfId="0" applyNumberFormat="1" applyFont="1" applyBorder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center"/>
      <protection locked="0"/>
    </xf>
    <xf numFmtId="0" fontId="4" fillId="10" borderId="0" xfId="0" applyFont="1" applyFill="1" applyAlignment="1" applyProtection="1">
      <alignment horizontal="center" vertical="center"/>
      <protection hidden="1"/>
    </xf>
    <xf numFmtId="165" fontId="4" fillId="10" borderId="0" xfId="0" applyNumberFormat="1" applyFont="1" applyFill="1" applyAlignment="1" applyProtection="1">
      <alignment horizontal="center" vertical="center"/>
      <protection hidden="1"/>
    </xf>
    <xf numFmtId="165" fontId="0" fillId="10" borderId="0" xfId="0" applyNumberFormat="1" applyFill="1" applyAlignment="1" applyProtection="1">
      <alignment horizontal="center"/>
      <protection hidden="1"/>
    </xf>
    <xf numFmtId="0" fontId="7" fillId="10" borderId="0" xfId="0" applyFont="1" applyFill="1" applyAlignment="1" applyProtection="1">
      <alignment horizontal="center" vertical="center"/>
      <protection locked="0"/>
    </xf>
    <xf numFmtId="0" fontId="0" fillId="10" borderId="0" xfId="0" applyFill="1" applyAlignment="1" applyProtection="1">
      <alignment horizontal="center" vertical="center"/>
      <protection locked="0"/>
    </xf>
    <xf numFmtId="0" fontId="0" fillId="10" borderId="0" xfId="0" applyFill="1" applyAlignment="1" applyProtection="1">
      <alignment horizontal="center"/>
      <protection hidden="1"/>
    </xf>
    <xf numFmtId="0" fontId="18" fillId="0" borderId="2" xfId="0" applyFont="1" applyBorder="1" applyAlignment="1" applyProtection="1">
      <alignment horizontal="center" vertical="center"/>
      <protection hidden="1"/>
    </xf>
    <xf numFmtId="0" fontId="18" fillId="0" borderId="4" xfId="0" applyFont="1" applyBorder="1" applyAlignment="1" applyProtection="1">
      <alignment horizontal="center" vertical="center"/>
      <protection hidden="1"/>
    </xf>
    <xf numFmtId="0" fontId="18" fillId="0" borderId="3" xfId="0" applyFont="1" applyBorder="1" applyAlignment="1" applyProtection="1">
      <alignment horizontal="center" vertical="center"/>
      <protection hidden="1"/>
    </xf>
    <xf numFmtId="0" fontId="8" fillId="8" borderId="2" xfId="0" applyFont="1" applyFill="1" applyBorder="1" applyAlignment="1" applyProtection="1">
      <alignment horizontal="center" vertical="center"/>
      <protection locked="0"/>
    </xf>
    <xf numFmtId="0" fontId="8" fillId="8" borderId="3" xfId="0" applyFont="1" applyFill="1" applyBorder="1" applyAlignment="1" applyProtection="1">
      <alignment horizontal="center" vertical="center"/>
      <protection locked="0"/>
    </xf>
    <xf numFmtId="166" fontId="13" fillId="4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9" xfId="0" applyFont="1" applyBorder="1" applyAlignment="1" applyProtection="1">
      <alignment horizontal="left" vertical="center"/>
      <protection hidden="1"/>
    </xf>
    <xf numFmtId="0" fontId="2" fillId="0" borderId="10" xfId="0" applyFont="1" applyBorder="1" applyAlignment="1" applyProtection="1">
      <alignment horizontal="left" vertical="center"/>
      <protection hidden="1"/>
    </xf>
    <xf numFmtId="0" fontId="2" fillId="0" borderId="11" xfId="0" applyFont="1" applyBorder="1" applyAlignment="1" applyProtection="1">
      <alignment horizontal="left" vertical="center"/>
      <protection hidden="1"/>
    </xf>
    <xf numFmtId="0" fontId="2" fillId="0" borderId="12" xfId="0" applyFont="1" applyBorder="1" applyAlignment="1" applyProtection="1">
      <alignment horizontal="left" vertical="center"/>
      <protection hidden="1"/>
    </xf>
    <xf numFmtId="0" fontId="2" fillId="0" borderId="8" xfId="0" applyFont="1" applyBorder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9" xfId="0" applyFont="1" applyBorder="1" applyAlignment="1" applyProtection="1">
      <alignment vertical="center"/>
      <protection hidden="1"/>
    </xf>
    <xf numFmtId="0" fontId="17" fillId="0" borderId="5" xfId="0" applyFont="1" applyBorder="1" applyAlignment="1" applyProtection="1">
      <alignment horizontal="center" vertical="center"/>
      <protection hidden="1"/>
    </xf>
    <xf numFmtId="0" fontId="17" fillId="0" borderId="6" xfId="0" applyFont="1" applyBorder="1" applyAlignment="1" applyProtection="1">
      <alignment horizontal="center" vertical="center"/>
      <protection hidden="1"/>
    </xf>
    <xf numFmtId="0" fontId="17" fillId="0" borderId="7" xfId="0" applyFont="1" applyBorder="1" applyAlignment="1" applyProtection="1">
      <alignment horizontal="center" vertical="center"/>
      <protection hidden="1"/>
    </xf>
    <xf numFmtId="166" fontId="13" fillId="4" borderId="1" xfId="2" applyNumberFormat="1" applyFont="1" applyFill="1" applyBorder="1" applyAlignment="1" applyProtection="1">
      <alignment horizontal="center"/>
      <protection hidden="1"/>
    </xf>
  </cellXfs>
  <cellStyles count="3">
    <cellStyle name="Lien hypertexte" xfId="1" builtinId="8"/>
    <cellStyle name="Monétaire" xfId="2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1C5"/>
      <color rgb="FFFFFFCC"/>
      <color rgb="FFEEFFDD"/>
      <color rgb="FFFFF7DD"/>
      <color rgb="FFFFFFEB"/>
      <color rgb="FFE3EFF9"/>
      <color rgb="FFFDFED6"/>
      <color rgb="FFE5FFCB"/>
      <color rgb="FFCC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microsoft.com/office/2011/relationships/webextension" Target="../webextensions/webextension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1003</xdr:colOff>
      <xdr:row>2</xdr:row>
      <xdr:rowOff>9525</xdr:rowOff>
    </xdr:from>
    <xdr:to>
      <xdr:col>7</xdr:col>
      <xdr:colOff>824280</xdr:colOff>
      <xdr:row>7</xdr:row>
      <xdr:rowOff>19050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082885" y="843458"/>
          <a:ext cx="2952000" cy="960501"/>
        </a:xfrm>
        <a:prstGeom prst="roundRect">
          <a:avLst/>
        </a:prstGeom>
        <a:noFill/>
        <a:ln w="19050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1002</xdr:colOff>
      <xdr:row>0</xdr:row>
      <xdr:rowOff>9525</xdr:rowOff>
    </xdr:from>
    <xdr:to>
      <xdr:col>7</xdr:col>
      <xdr:colOff>824279</xdr:colOff>
      <xdr:row>1</xdr:row>
      <xdr:rowOff>9525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082884" y="9525"/>
          <a:ext cx="2952000" cy="731520"/>
        </a:xfrm>
        <a:prstGeom prst="roundRect">
          <a:avLst/>
        </a:prstGeom>
        <a:noFill/>
        <a:ln w="19050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1002</xdr:colOff>
      <xdr:row>8</xdr:row>
      <xdr:rowOff>0</xdr:rowOff>
    </xdr:from>
    <xdr:to>
      <xdr:col>7</xdr:col>
      <xdr:colOff>824279</xdr:colOff>
      <xdr:row>10</xdr:row>
      <xdr:rowOff>28575</xdr:rowOff>
    </xdr:to>
    <xdr:sp macro="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4082884" y="1923898"/>
          <a:ext cx="2952000" cy="394335"/>
        </a:xfrm>
        <a:prstGeom prst="roundRect">
          <a:avLst/>
        </a:prstGeom>
        <a:noFill/>
        <a:ln w="19050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0</xdr:colOff>
          <xdr:row>13</xdr:row>
          <xdr:rowOff>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266701</xdr:colOff>
      <xdr:row>0</xdr:row>
      <xdr:rowOff>90487</xdr:rowOff>
    </xdr:from>
    <xdr:to>
      <xdr:col>9</xdr:col>
      <xdr:colOff>1095376</xdr:colOff>
      <xdr:row>2</xdr:row>
      <xdr:rowOff>162610</xdr:rowOff>
    </xdr:to>
    <xdr:sp macro="[0]!Affiche_Feuille_Client" textlink="">
      <xdr:nvSpPr>
        <xdr:cNvPr id="16" name="Ellipse 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915151" y="90487"/>
          <a:ext cx="828675" cy="881062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200" b="1">
              <a:solidFill>
                <a:schemeClr val="bg1"/>
              </a:solidFill>
            </a:rPr>
            <a:t>Ajouter</a:t>
          </a:r>
          <a:br>
            <a:rPr lang="fr-FR" sz="1200" b="1">
              <a:solidFill>
                <a:schemeClr val="bg1"/>
              </a:solidFill>
            </a:rPr>
          </a:br>
          <a:r>
            <a:rPr lang="fr-FR" sz="1200" b="1">
              <a:solidFill>
                <a:schemeClr val="bg1"/>
              </a:solidFill>
            </a:rPr>
            <a:t>CLIENTS</a:t>
          </a:r>
        </a:p>
      </xdr:txBody>
    </xdr:sp>
    <xdr:clientData fPrintsWithSheet="0"/>
  </xdr:twoCellAnchor>
  <xdr:twoCellAnchor editAs="absolute">
    <xdr:from>
      <xdr:col>10</xdr:col>
      <xdr:colOff>273843</xdr:colOff>
      <xdr:row>0</xdr:row>
      <xdr:rowOff>90487</xdr:rowOff>
    </xdr:from>
    <xdr:to>
      <xdr:col>10</xdr:col>
      <xdr:colOff>1102518</xdr:colOff>
      <xdr:row>2</xdr:row>
      <xdr:rowOff>162610</xdr:rowOff>
    </xdr:to>
    <xdr:sp macro="[0]!Affiche_Feuille_Tarif" textlink="">
      <xdr:nvSpPr>
        <xdr:cNvPr id="25" name="Ellipse 7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303418" y="90487"/>
          <a:ext cx="828675" cy="881062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200" b="1">
              <a:solidFill>
                <a:schemeClr val="bg1"/>
              </a:solidFill>
            </a:rPr>
            <a:t>Ajouter</a:t>
          </a:r>
          <a:br>
            <a:rPr lang="fr-FR" sz="1050" b="1">
              <a:solidFill>
                <a:schemeClr val="bg1"/>
              </a:solidFill>
            </a:rPr>
          </a:br>
          <a:r>
            <a:rPr lang="fr-FR" sz="1050" b="1">
              <a:solidFill>
                <a:schemeClr val="bg1"/>
              </a:solidFill>
            </a:rPr>
            <a:t>PRODUITS</a:t>
          </a:r>
          <a:endParaRPr lang="fr-FR" sz="160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10</xdr:col>
      <xdr:colOff>11716</xdr:colOff>
      <xdr:row>21</xdr:row>
      <xdr:rowOff>48812</xdr:rowOff>
    </xdr:from>
    <xdr:to>
      <xdr:col>10</xdr:col>
      <xdr:colOff>1307716</xdr:colOff>
      <xdr:row>26</xdr:row>
      <xdr:rowOff>28076</xdr:rowOff>
    </xdr:to>
    <xdr:sp macro="[0]!Ferme_Facture_Sans_Sauvegarde" textlink="">
      <xdr:nvSpPr>
        <xdr:cNvPr id="3" name="Ellips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811902" y="5030463"/>
          <a:ext cx="1296000" cy="1296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QUITTER SANS SAUVER</a:t>
          </a:r>
        </a:p>
      </xdr:txBody>
    </xdr:sp>
    <xdr:clientData fPrintsWithSheet="0"/>
  </xdr:twoCellAnchor>
  <xdr:twoCellAnchor editAs="absolute">
    <xdr:from>
      <xdr:col>9</xdr:col>
      <xdr:colOff>14463</xdr:colOff>
      <xdr:row>16</xdr:row>
      <xdr:rowOff>30340</xdr:rowOff>
    </xdr:from>
    <xdr:to>
      <xdr:col>9</xdr:col>
      <xdr:colOff>1310463</xdr:colOff>
      <xdr:row>21</xdr:row>
      <xdr:rowOff>9604</xdr:rowOff>
    </xdr:to>
    <xdr:sp macro="[0]!ImpressionFacture" textlink="">
      <xdr:nvSpPr>
        <xdr:cNvPr id="17" name="Ellipse 5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300402" y="3695255"/>
          <a:ext cx="1296000" cy="1296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IMPRIMER</a:t>
          </a:r>
        </a:p>
      </xdr:txBody>
    </xdr:sp>
    <xdr:clientData fPrintsWithSheet="0"/>
  </xdr:twoCellAnchor>
  <xdr:twoCellAnchor editAs="absolute">
    <xdr:from>
      <xdr:col>10</xdr:col>
      <xdr:colOff>11716</xdr:colOff>
      <xdr:row>11</xdr:row>
      <xdr:rowOff>11394</xdr:rowOff>
    </xdr:from>
    <xdr:to>
      <xdr:col>10</xdr:col>
      <xdr:colOff>1307716</xdr:colOff>
      <xdr:row>15</xdr:row>
      <xdr:rowOff>254005</xdr:rowOff>
    </xdr:to>
    <xdr:sp macro="[0]!Enregistre_Saisies2" textlink="">
      <xdr:nvSpPr>
        <xdr:cNvPr id="30" name="Ellips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8811902" y="2359573"/>
          <a:ext cx="1296000" cy="1296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SAUVER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BL 2, 3,</a:t>
          </a:r>
          <a:r>
            <a:rPr lang="fr-FR" sz="1600" b="1" baseline="0">
              <a:solidFill>
                <a:schemeClr val="bg1"/>
              </a:solidFill>
            </a:rPr>
            <a:t> ...</a:t>
          </a:r>
          <a:endParaRPr lang="fr-FR" sz="160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9</xdr:col>
      <xdr:colOff>21778</xdr:colOff>
      <xdr:row>11</xdr:row>
      <xdr:rowOff>11394</xdr:rowOff>
    </xdr:from>
    <xdr:to>
      <xdr:col>9</xdr:col>
      <xdr:colOff>1317778</xdr:colOff>
      <xdr:row>15</xdr:row>
      <xdr:rowOff>254005</xdr:rowOff>
    </xdr:to>
    <xdr:sp macro="[0]!Enregistre_Copie_Facture" textlink="">
      <xdr:nvSpPr>
        <xdr:cNvPr id="18" name="Ellipse 3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307717" y="2359573"/>
          <a:ext cx="1296000" cy="1296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SAUVER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BL1</a:t>
          </a:r>
        </a:p>
      </xdr:txBody>
    </xdr:sp>
    <xdr:clientData fPrintsWithSheet="0"/>
  </xdr:twoCellAnchor>
  <xdr:twoCellAnchor editAs="absolute">
    <xdr:from>
      <xdr:col>10</xdr:col>
      <xdr:colOff>4401</xdr:colOff>
      <xdr:row>16</xdr:row>
      <xdr:rowOff>30340</xdr:rowOff>
    </xdr:from>
    <xdr:to>
      <xdr:col>10</xdr:col>
      <xdr:colOff>1300401</xdr:colOff>
      <xdr:row>21</xdr:row>
      <xdr:rowOff>9604</xdr:rowOff>
    </xdr:to>
    <xdr:sp macro="[0]!Effacer" textlink="">
      <xdr:nvSpPr>
        <xdr:cNvPr id="31" name="Ellipse 2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8804587" y="3695255"/>
          <a:ext cx="1296000" cy="1296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REMISE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A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ZERO</a:t>
          </a:r>
        </a:p>
      </xdr:txBody>
    </xdr:sp>
    <xdr:clientData fPrintsWithSheet="0"/>
  </xdr:twoCellAnchor>
  <xdr:twoCellAnchor editAs="absolute">
    <xdr:from>
      <xdr:col>9</xdr:col>
      <xdr:colOff>8841</xdr:colOff>
      <xdr:row>21</xdr:row>
      <xdr:rowOff>48812</xdr:rowOff>
    </xdr:from>
    <xdr:to>
      <xdr:col>9</xdr:col>
      <xdr:colOff>1304841</xdr:colOff>
      <xdr:row>26</xdr:row>
      <xdr:rowOff>28076</xdr:rowOff>
    </xdr:to>
    <xdr:sp macro="[0]!Facture_Finie" textlink="">
      <xdr:nvSpPr>
        <xdr:cNvPr id="32" name="Ellipse 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7294780" y="5030463"/>
          <a:ext cx="1296000" cy="1296000"/>
        </a:xfrm>
        <a:prstGeom prst="ellipse">
          <a:avLst/>
        </a:prstGeom>
        <a:gradFill>
          <a:gsLst>
            <a:gs pos="0">
              <a:srgbClr val="F9775D"/>
            </a:gs>
            <a:gs pos="50000">
              <a:schemeClr val="accent6">
                <a:lumMod val="105000"/>
                <a:satMod val="103000"/>
                <a:tint val="73000"/>
              </a:schemeClr>
            </a:gs>
            <a:gs pos="100000">
              <a:schemeClr val="accent6">
                <a:lumMod val="105000"/>
                <a:satMod val="109000"/>
                <a:tint val="81000"/>
              </a:schemeClr>
            </a:gs>
          </a:gsLst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FACTURE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FINIE</a:t>
          </a:r>
          <a:b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PDF TRANSFERT</a:t>
          </a:r>
          <a:b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COPIE MOIS</a:t>
          </a:r>
          <a:endParaRPr lang="fr-FR" sz="1600" b="1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14</xdr:col>
      <xdr:colOff>69913</xdr:colOff>
      <xdr:row>0</xdr:row>
      <xdr:rowOff>278282</xdr:rowOff>
    </xdr:from>
    <xdr:to>
      <xdr:col>18</xdr:col>
      <xdr:colOff>465200</xdr:colOff>
      <xdr:row>9</xdr:row>
      <xdr:rowOff>19203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769589</xdr:colOff>
      <xdr:row>0</xdr:row>
      <xdr:rowOff>9525</xdr:rowOff>
    </xdr:from>
    <xdr:to>
      <xdr:col>8</xdr:col>
      <xdr:colOff>763944</xdr:colOff>
      <xdr:row>1</xdr:row>
      <xdr:rowOff>9525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988277" y="9525"/>
          <a:ext cx="3096000" cy="731520"/>
        </a:xfrm>
        <a:prstGeom prst="roundRect">
          <a:avLst/>
        </a:prstGeom>
        <a:noFill/>
        <a:ln w="22225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755339</xdr:colOff>
      <xdr:row>2</xdr:row>
      <xdr:rowOff>0</xdr:rowOff>
    </xdr:from>
    <xdr:to>
      <xdr:col>8</xdr:col>
      <xdr:colOff>758054</xdr:colOff>
      <xdr:row>7</xdr:row>
      <xdr:rowOff>9525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974027" y="914400"/>
          <a:ext cx="3104360" cy="960501"/>
        </a:xfrm>
        <a:prstGeom prst="roundRect">
          <a:avLst/>
        </a:prstGeom>
        <a:noFill/>
        <a:ln w="22225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768924</xdr:colOff>
      <xdr:row>8</xdr:row>
      <xdr:rowOff>9526</xdr:rowOff>
    </xdr:from>
    <xdr:to>
      <xdr:col>8</xdr:col>
      <xdr:colOff>765939</xdr:colOff>
      <xdr:row>10</xdr:row>
      <xdr:rowOff>9526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987612" y="2224036"/>
          <a:ext cx="3096000" cy="365760"/>
        </a:xfrm>
        <a:prstGeom prst="roundRect">
          <a:avLst/>
        </a:prstGeom>
        <a:noFill/>
        <a:ln w="22225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695325</xdr:colOff>
      <xdr:row>33</xdr:row>
      <xdr:rowOff>0</xdr:rowOff>
    </xdr:from>
    <xdr:to>
      <xdr:col>7</xdr:col>
      <xdr:colOff>695325</xdr:colOff>
      <xdr:row>35</xdr:row>
      <xdr:rowOff>9525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629025" y="8620125"/>
          <a:ext cx="2114550" cy="809625"/>
        </a:xfrm>
        <a:prstGeom prst="roundRect">
          <a:avLst/>
        </a:prstGeom>
        <a:noFill/>
        <a:ln w="25400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33</xdr:row>
      <xdr:rowOff>0</xdr:rowOff>
    </xdr:from>
    <xdr:to>
      <xdr:col>4</xdr:col>
      <xdr:colOff>0</xdr:colOff>
      <xdr:row>35</xdr:row>
      <xdr:rowOff>9525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3638550" y="8620125"/>
          <a:ext cx="2114550" cy="809625"/>
        </a:xfrm>
        <a:prstGeom prst="roundRect">
          <a:avLst/>
        </a:prstGeom>
        <a:noFill/>
        <a:ln w="25400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160897</xdr:colOff>
      <xdr:row>11</xdr:row>
      <xdr:rowOff>0</xdr:rowOff>
    </xdr:from>
    <xdr:to>
      <xdr:col>12</xdr:col>
      <xdr:colOff>17298</xdr:colOff>
      <xdr:row>15</xdr:row>
      <xdr:rowOff>219075</xdr:rowOff>
    </xdr:to>
    <xdr:sp macro="[0]!BL_Fini" textlink="">
      <xdr:nvSpPr>
        <xdr:cNvPr id="11" name="Ellipse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8507540" y="2765146"/>
          <a:ext cx="1407224" cy="1272463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CREER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LE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PDF</a:t>
          </a:r>
        </a:p>
      </xdr:txBody>
    </xdr:sp>
    <xdr:clientData fPrintsWithSheet="0"/>
  </xdr:twoCellAnchor>
  <xdr:twoCellAnchor editAs="oneCell">
    <xdr:from>
      <xdr:col>10</xdr:col>
      <xdr:colOff>141847</xdr:colOff>
      <xdr:row>16</xdr:row>
      <xdr:rowOff>47625</xdr:rowOff>
    </xdr:from>
    <xdr:to>
      <xdr:col>11</xdr:col>
      <xdr:colOff>1314984</xdr:colOff>
      <xdr:row>21</xdr:row>
      <xdr:rowOff>0</xdr:rowOff>
    </xdr:to>
    <xdr:sp macro="[0]!ImpressionBL" textlink="">
      <xdr:nvSpPr>
        <xdr:cNvPr id="12" name="Ellips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8488490" y="4129507"/>
          <a:ext cx="1407224" cy="1269111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IMPRIMER</a:t>
          </a:r>
        </a:p>
      </xdr:txBody>
    </xdr:sp>
    <xdr:clientData fPrintsWithSheet="0"/>
  </xdr:twoCellAnchor>
  <xdr:twoCellAnchor editAs="oneCell">
    <xdr:from>
      <xdr:col>12</xdr:col>
      <xdr:colOff>371475</xdr:colOff>
      <xdr:row>5</xdr:row>
      <xdr:rowOff>133350</xdr:rowOff>
    </xdr:from>
    <xdr:to>
      <xdr:col>15</xdr:col>
      <xdr:colOff>696073</xdr:colOff>
      <xdr:row>8</xdr:row>
      <xdr:rowOff>66945</xdr:rowOff>
    </xdr:to>
    <xdr:pic>
      <xdr:nvPicPr>
        <xdr:cNvPr id="3" name="Image 1" hidden="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8675" y="1628775"/>
          <a:ext cx="1848597" cy="667020"/>
        </a:xfrm>
        <a:prstGeom prst="rect">
          <a:avLst/>
        </a:prstGeom>
      </xdr:spPr>
    </xdr:pic>
    <xdr:clientData/>
  </xdr:twoCellAnchor>
  <xdr:twoCellAnchor editAs="oneCell">
    <xdr:from>
      <xdr:col>12</xdr:col>
      <xdr:colOff>409575</xdr:colOff>
      <xdr:row>5</xdr:row>
      <xdr:rowOff>123825</xdr:rowOff>
    </xdr:from>
    <xdr:to>
      <xdr:col>15</xdr:col>
      <xdr:colOff>734173</xdr:colOff>
      <xdr:row>8</xdr:row>
      <xdr:rowOff>57420</xdr:rowOff>
    </xdr:to>
    <xdr:pic>
      <xdr:nvPicPr>
        <xdr:cNvPr id="13" name="Image 1" hidden="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1200" y="1619250"/>
          <a:ext cx="1848597" cy="6670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758952</xdr:colOff>
      <xdr:row>0</xdr:row>
      <xdr:rowOff>9525</xdr:rowOff>
    </xdr:from>
    <xdr:to>
      <xdr:col>8</xdr:col>
      <xdr:colOff>758952</xdr:colOff>
      <xdr:row>1</xdr:row>
      <xdr:rowOff>9525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977640" y="9525"/>
          <a:ext cx="3095485" cy="731520"/>
        </a:xfrm>
        <a:prstGeom prst="roundRect">
          <a:avLst/>
        </a:prstGeom>
        <a:noFill/>
        <a:ln w="22225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758951</xdr:colOff>
      <xdr:row>1</xdr:row>
      <xdr:rowOff>168250</xdr:rowOff>
    </xdr:from>
    <xdr:to>
      <xdr:col>8</xdr:col>
      <xdr:colOff>761006</xdr:colOff>
      <xdr:row>6</xdr:row>
      <xdr:rowOff>185090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977639" y="899770"/>
          <a:ext cx="3103700" cy="960501"/>
        </a:xfrm>
        <a:prstGeom prst="roundRect">
          <a:avLst/>
        </a:prstGeom>
        <a:noFill/>
        <a:ln w="22225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757558</xdr:colOff>
      <xdr:row>8</xdr:row>
      <xdr:rowOff>2210</xdr:rowOff>
    </xdr:from>
    <xdr:to>
      <xdr:col>8</xdr:col>
      <xdr:colOff>758072</xdr:colOff>
      <xdr:row>10</xdr:row>
      <xdr:rowOff>2210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3976246" y="2057781"/>
          <a:ext cx="3102159" cy="365760"/>
        </a:xfrm>
        <a:prstGeom prst="roundRect">
          <a:avLst/>
        </a:prstGeom>
        <a:noFill/>
        <a:ln w="22225">
          <a:solidFill>
            <a:schemeClr val="accen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176213</xdr:colOff>
      <xdr:row>14</xdr:row>
      <xdr:rowOff>142875</xdr:rowOff>
    </xdr:from>
    <xdr:to>
      <xdr:col>11</xdr:col>
      <xdr:colOff>1462088</xdr:colOff>
      <xdr:row>20</xdr:row>
      <xdr:rowOff>38100</xdr:rowOff>
    </xdr:to>
    <xdr:sp macro="[0]!Avoir_Fini" textlink="">
      <xdr:nvSpPr>
        <xdr:cNvPr id="8" name="Ellipse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891338" y="3781425"/>
          <a:ext cx="1285875" cy="1285875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CREER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LE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PDF</a:t>
          </a:r>
        </a:p>
      </xdr:txBody>
    </xdr:sp>
    <xdr:clientData fPrintsWithSheet="0"/>
  </xdr:twoCellAnchor>
  <xdr:twoCellAnchor editAs="oneCell">
    <xdr:from>
      <xdr:col>11</xdr:col>
      <xdr:colOff>176213</xdr:colOff>
      <xdr:row>20</xdr:row>
      <xdr:rowOff>114300</xdr:rowOff>
    </xdr:from>
    <xdr:to>
      <xdr:col>11</xdr:col>
      <xdr:colOff>1462088</xdr:colOff>
      <xdr:row>27</xdr:row>
      <xdr:rowOff>16154</xdr:rowOff>
    </xdr:to>
    <xdr:sp macro="[0]!ImpressionAvoir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6891338" y="5143500"/>
          <a:ext cx="1285875" cy="1285875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IMPRIMER</a:t>
          </a:r>
        </a:p>
      </xdr:txBody>
    </xdr:sp>
    <xdr:clientData fPrintsWithSheet="0"/>
  </xdr:twoCellAnchor>
  <xdr:twoCellAnchor editAs="oneCell">
    <xdr:from>
      <xdr:col>11</xdr:col>
      <xdr:colOff>176213</xdr:colOff>
      <xdr:row>9</xdr:row>
      <xdr:rowOff>142875</xdr:rowOff>
    </xdr:from>
    <xdr:to>
      <xdr:col>11</xdr:col>
      <xdr:colOff>1462088</xdr:colOff>
      <xdr:row>14</xdr:row>
      <xdr:rowOff>47625</xdr:rowOff>
    </xdr:to>
    <xdr:sp macro="[0]!Saisir_Le_Montant_Avoir" textlink="">
      <xdr:nvSpPr>
        <xdr:cNvPr id="14" name="Ellips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6891338" y="2400300"/>
          <a:ext cx="1285875" cy="1285875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 b="1">
              <a:solidFill>
                <a:schemeClr val="bg1"/>
              </a:solidFill>
            </a:rPr>
            <a:t>SAISIR LE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MONTANT</a:t>
          </a:r>
          <a:br>
            <a:rPr lang="fr-FR" sz="1600" b="1">
              <a:solidFill>
                <a:schemeClr val="bg1"/>
              </a:solidFill>
            </a:rPr>
          </a:br>
          <a:r>
            <a:rPr lang="fr-FR" sz="1600" b="1">
              <a:solidFill>
                <a:schemeClr val="bg1"/>
              </a:solidFill>
            </a:rPr>
            <a:t>TTC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177927</xdr:colOff>
      <xdr:row>0</xdr:row>
      <xdr:rowOff>0</xdr:rowOff>
    </xdr:from>
    <xdr:to>
      <xdr:col>10</xdr:col>
      <xdr:colOff>739902</xdr:colOff>
      <xdr:row>1</xdr:row>
      <xdr:rowOff>0</xdr:rowOff>
    </xdr:to>
    <xdr:sp macro="[0]!TrierRaisonSocia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1253140" y="0"/>
          <a:ext cx="561975" cy="1901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/>
            <a:t>TRIER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ACTURE/DONNE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MIN"/>
      <sheetName val="DONNEES"/>
    </sheetNames>
    <definedNames>
      <definedName name="Categorie" refersTo="='CHEMIN'!$E$4:$E$7"/>
    </definedNames>
    <sheetDataSet>
      <sheetData sheetId="0">
        <row r="3">
          <cell r="E3" t="str">
            <v>Catégorie</v>
          </cell>
          <cell r="F3" t="str">
            <v>Lot</v>
          </cell>
          <cell r="G3" t="str">
            <v>Date</v>
          </cell>
        </row>
        <row r="4">
          <cell r="E4" t="str">
            <v>Caillettes</v>
          </cell>
          <cell r="F4">
            <v>146</v>
          </cell>
          <cell r="G4">
            <v>44758</v>
          </cell>
        </row>
        <row r="5">
          <cell r="C5" t="str">
            <v>C:\FACTURE\PDF\BL\</v>
          </cell>
          <cell r="E5" t="str">
            <v>Viande</v>
          </cell>
          <cell r="F5">
            <v>147</v>
          </cell>
          <cell r="G5">
            <v>44758</v>
          </cell>
        </row>
        <row r="6">
          <cell r="C6" t="str">
            <v>C:\FACTURE\PDF\FACTURES\</v>
          </cell>
          <cell r="E6" t="str">
            <v>Godiveaux</v>
          </cell>
          <cell r="F6">
            <v>148</v>
          </cell>
          <cell r="G6">
            <v>44758</v>
          </cell>
        </row>
        <row r="7">
          <cell r="C7" t="str">
            <v>C:\FACTURE\FACTURES EN COURS\</v>
          </cell>
          <cell r="E7" t="str">
            <v>Saucisson</v>
          </cell>
          <cell r="F7">
            <v>149</v>
          </cell>
          <cell r="G7">
            <v>44803</v>
          </cell>
        </row>
        <row r="8">
          <cell r="C8" t="str">
            <v>C:\FACTURE\PDF\AVOIR\</v>
          </cell>
        </row>
        <row r="14">
          <cell r="C14" t="str">
            <v>C:\FACTURE\MODELES\FACTURES EN COURS.XLSM</v>
          </cell>
        </row>
        <row r="16">
          <cell r="C16" t="str">
            <v>C:\FACTURE\MODELES\SUIVI DES FACTURES.XLSM</v>
          </cell>
        </row>
        <row r="21">
          <cell r="C21">
            <v>0.78979999999999995</v>
          </cell>
        </row>
        <row r="22">
          <cell r="C22">
            <v>0.9</v>
          </cell>
        </row>
        <row r="23">
          <cell r="C23">
            <v>5.5E-2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B82DE6-B21D-472E-BABC-5EB8BE0FE484}" name="Tableau14" displayName="Tableau14" comment="Tableau CLIENTS" ref="A1:J40" totalsRowShown="0" headerRowDxfId="8">
  <autoFilter ref="A1:J40" xr:uid="{37CFAEFB-E19C-4DF2-9449-2E310E51C3CF}"/>
  <sortState xmlns:xlrd2="http://schemas.microsoft.com/office/spreadsheetml/2017/richdata2" ref="A2:J40">
    <sortCondition ref="B2:B36"/>
    <sortCondition ref="B2:B37"/>
    <sortCondition ref="B2:B38"/>
    <sortCondition ref="B2:B39"/>
    <sortCondition ref="B2:B40"/>
  </sortState>
  <tableColumns count="10">
    <tableColumn id="1" xr3:uid="{5B948ADD-68BA-4BD6-93A5-48A64804E3A2}" name="ID" dataDxfId="7"/>
    <tableColumn id="3" xr3:uid="{F55C807C-51E9-4748-8264-FC372B0D9DEE}" name="RAISON SOCIALE"/>
    <tableColumn id="2" xr3:uid="{33A97607-34DE-41A9-8941-4A765D50F419}" name="CODE" dataDxfId="6"/>
    <tableColumn id="4" xr3:uid="{EA935897-7985-48D1-8825-C1E3602A5B54}" name="ADRESSE1"/>
    <tableColumn id="5" xr3:uid="{F86FDDC4-D663-4B7C-B74E-14E08EC58AD1}" name="ADRESSE2"/>
    <tableColumn id="7" xr3:uid="{C979193D-F9D0-4695-B1F8-92072E40D347}" name="TELEPHONE" dataDxfId="5"/>
    <tableColumn id="6" xr3:uid="{F7146102-16FF-4031-B466-C094576F1D65}" name="EMAIL" dataDxfId="4"/>
    <tableColumn id="8" xr3:uid="{B441F17D-9F7B-4E99-BAD6-382F6619F619}" name="SUP '">
      <calculatedColumnFormula>SUBSTITUTE(B2,"'","")</calculatedColumnFormula>
    </tableColumn>
    <tableColumn id="9" xr3:uid="{50F54573-457C-4852-8F04-58F0C76DA7B1}" name="SUP Espace">
      <calculatedColumnFormula>SUBSTITUTE(H2," ","")</calculatedColumnFormula>
    </tableColumn>
    <tableColumn id="10" xr3:uid="{8A179447-D411-40AF-8DC5-C997BFD5D543}" name="12 caractères" dataDxfId="3">
      <calculatedColumnFormula>MID(I2,1,12)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C52074-C34A-4B70-8D15-80E3259772DC}" name="Tableau2" displayName="Tableau2" comment="FACTURE Feuille TARIF" ref="A1:B60" totalsRowShown="0" tableBorderDxfId="2">
  <sortState xmlns:xlrd2="http://schemas.microsoft.com/office/spreadsheetml/2017/richdata2" ref="A2:B60">
    <sortCondition ref="A2:A55"/>
    <sortCondition ref="A2:A56"/>
    <sortCondition ref="A2:A57"/>
    <sortCondition ref="A2:A58"/>
    <sortCondition ref="A2:A59"/>
    <sortCondition ref="A2:A60"/>
  </sortState>
  <tableColumns count="2">
    <tableColumn id="1" xr3:uid="{A1B4A4D9-0709-461E-8891-AE4C64B78A16}" name="PRODUIT" dataDxfId="1"/>
    <tableColumn id="2" xr3:uid="{05ADE759-F11A-4F65-B651-3BE0BD778350}" name="PRIX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webextensions/webextension1.xml><?xml version="1.0" encoding="utf-8"?>
<we:webextension xmlns:we="http://schemas.microsoft.com/office/webextensions/webextension/2010/11" id="{00000000-0008-0000-0000-000002000000}">
  <we:reference id="wa102957665" version="1.3.0.0" store="fr-FR" storeType="OMEX"/>
  <we:alternateReferences>
    <we:reference id="wa102957665" version="1.3.0.0" store="wa102957665" storeType="OMEX"/>
  </we:alternateReferences>
  <we:properties>
    <we:property name="opt_cal_sys" value="1"/>
    <we:property name="opt_size" value="0"/>
    <we:property name="opt_theme" value="1"/>
    <we:property name="opt_wn" value="true"/>
    <we:property name="opt_month" value="&quot;2022-12-01&quot;"/>
  </we:properties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5E372-9D05-48F8-B348-7D95AFE95D0E}">
  <sheetPr codeName="Feuil1">
    <tabColor rgb="FFCCFF99"/>
  </sheetPr>
  <dimension ref="A1:S57"/>
  <sheetViews>
    <sheetView showGridLines="0" tabSelected="1" zoomScaleNormal="100" workbookViewId="0">
      <selection activeCell="A37" sqref="A37:C37"/>
    </sheetView>
  </sheetViews>
  <sheetFormatPr baseColWidth="10" defaultRowHeight="14.4"/>
  <cols>
    <col min="1" max="1" width="26.69921875" customWidth="1"/>
    <col min="2" max="7" width="9.69921875" customWidth="1"/>
    <col min="8" max="8" width="11.296875" customWidth="1"/>
    <col min="9" max="9" width="3.3984375" style="149" customWidth="1"/>
    <col min="10" max="10" width="20.69921875" customWidth="1"/>
    <col min="11" max="11" width="17.8984375" customWidth="1"/>
    <col min="12" max="12" width="2.3984375" customWidth="1"/>
    <col min="13" max="13" width="2.59765625" hidden="1" customWidth="1"/>
    <col min="14" max="14" width="28.3984375" hidden="1" customWidth="1"/>
    <col min="15" max="19" width="6.69921875" customWidth="1"/>
  </cols>
  <sheetData>
    <row r="1" spans="1:19" ht="55.3" customHeight="1">
      <c r="A1" s="150"/>
      <c r="B1" s="149"/>
      <c r="C1" s="149"/>
      <c r="D1" s="149"/>
      <c r="E1" s="69" t="s">
        <v>9</v>
      </c>
      <c r="F1" s="70"/>
      <c r="G1" s="70"/>
      <c r="H1" s="70"/>
      <c r="J1" s="5"/>
      <c r="N1" s="111" t="str">
        <f>[1]CHEMIN!$C$6</f>
        <v>C:\FACTURE\PDF\FACTURES\</v>
      </c>
    </row>
    <row r="2" spans="1:19" ht="8.25" customHeight="1">
      <c r="K2" s="12"/>
      <c r="N2" s="61" t="str">
        <f>[1]CHEMIN!$C$7</f>
        <v>C:\FACTURE\FACTURES EN COURS\</v>
      </c>
    </row>
    <row r="3" spans="1:19" ht="15" customHeight="1">
      <c r="E3" s="71" t="s">
        <v>21</v>
      </c>
      <c r="F3" s="72" t="s">
        <v>253</v>
      </c>
      <c r="G3" s="70"/>
      <c r="H3" s="70"/>
      <c r="N3" s="62" t="str">
        <f>[1]CHEMIN!$C$16</f>
        <v>C:\FACTURE\MODELES\SUIVI DES FACTURES.XLSM</v>
      </c>
      <c r="O3" s="1"/>
    </row>
    <row r="4" spans="1:19" ht="15" customHeight="1" thickBot="1">
      <c r="A4" s="164"/>
      <c r="B4" s="164"/>
      <c r="C4" s="164"/>
      <c r="D4" s="164"/>
      <c r="E4" s="71" t="s">
        <v>19</v>
      </c>
      <c r="F4" s="135" t="s">
        <v>147</v>
      </c>
      <c r="G4" s="136"/>
      <c r="H4" s="136"/>
      <c r="K4" s="12"/>
      <c r="L4" s="9"/>
      <c r="N4" s="63" t="s">
        <v>23</v>
      </c>
      <c r="O4" s="48"/>
    </row>
    <row r="5" spans="1:19" ht="15" customHeight="1">
      <c r="A5" s="165"/>
      <c r="B5" s="165"/>
      <c r="C5" s="165"/>
      <c r="D5" s="165"/>
      <c r="E5" s="71" t="s">
        <v>16</v>
      </c>
      <c r="F5" s="72" t="s">
        <v>148</v>
      </c>
      <c r="G5" s="70"/>
      <c r="H5" s="70"/>
      <c r="J5" s="46" t="s">
        <v>8</v>
      </c>
      <c r="N5" s="140" t="str">
        <f>F4</f>
        <v>DIPED LES ALANIERS</v>
      </c>
    </row>
    <row r="6" spans="1:19" ht="15" customHeight="1" thickBot="1">
      <c r="A6" s="166"/>
      <c r="B6" s="166"/>
      <c r="C6" s="166"/>
      <c r="D6" s="166"/>
      <c r="E6" s="71" t="s">
        <v>17</v>
      </c>
      <c r="F6" s="72" t="s">
        <v>149</v>
      </c>
      <c r="G6" s="70"/>
      <c r="H6" s="70"/>
      <c r="J6" s="47">
        <f>G37</f>
        <v>0</v>
      </c>
      <c r="K6" s="66"/>
      <c r="N6" s="60" t="s">
        <v>153</v>
      </c>
    </row>
    <row r="7" spans="1:19" ht="15" customHeight="1">
      <c r="A7" s="167"/>
      <c r="B7" s="167"/>
      <c r="C7" s="167"/>
      <c r="D7" s="167"/>
      <c r="E7" s="71" t="s">
        <v>18</v>
      </c>
      <c r="F7" s="73" t="s">
        <v>150</v>
      </c>
      <c r="G7" s="134"/>
      <c r="H7" s="134"/>
      <c r="N7" s="60" t="str">
        <f ca="1">"FAC - "&amp;F3&amp;" - "&amp;N5&amp;" - S"&amp;N9&amp;" - " &amp;N8</f>
        <v>FAC - 39 - DIPED LES ALANIERS - S1 - 2023</v>
      </c>
    </row>
    <row r="8" spans="1:19" ht="11.25" customHeight="1">
      <c r="A8" s="168"/>
      <c r="B8" s="168"/>
      <c r="C8" s="168"/>
      <c r="D8" s="168"/>
      <c r="N8" s="60">
        <f ca="1">YEAR(TODAY())</f>
        <v>2023</v>
      </c>
    </row>
    <row r="9" spans="1:19">
      <c r="E9" s="71" t="s">
        <v>13</v>
      </c>
      <c r="F9" s="74"/>
      <c r="G9" s="75">
        <v>44933.690532407411</v>
      </c>
      <c r="H9" s="76"/>
      <c r="N9" s="60">
        <f>_xlfn.ISOWEEKNUM(G9)</f>
        <v>1</v>
      </c>
    </row>
    <row r="10" spans="1:19">
      <c r="E10" s="71" t="s">
        <v>14</v>
      </c>
      <c r="F10" s="77"/>
      <c r="G10" s="78" t="str">
        <f ca="1">"FAC-"&amp;F3&amp;"-S"&amp;N9&amp;"-"&amp;N5&amp;"-"&amp;N8</f>
        <v>FAC-39-S1-DIPED LES ALANIERS-2023</v>
      </c>
      <c r="H10" s="79"/>
      <c r="J10" s="5"/>
      <c r="N10" s="124" t="str">
        <f>[1]CHEMIN!$C$14</f>
        <v>C:\FACTURE\MODELES\FACTURES EN COURS.XLSM</v>
      </c>
    </row>
    <row r="11" spans="1:19" ht="7.2" customHeight="1" thickBot="1">
      <c r="H11" s="2"/>
      <c r="J11" s="5"/>
      <c r="N11" s="9"/>
    </row>
    <row r="12" spans="1:19" ht="21.05" customHeight="1">
      <c r="A12" s="4" t="s">
        <v>57</v>
      </c>
      <c r="B12" s="4" t="s">
        <v>23</v>
      </c>
      <c r="C12" s="4" t="s">
        <v>24</v>
      </c>
      <c r="D12" s="4" t="s">
        <v>25</v>
      </c>
      <c r="E12" s="4" t="s">
        <v>26</v>
      </c>
      <c r="F12" s="4" t="s">
        <v>27</v>
      </c>
      <c r="G12" s="4" t="s">
        <v>6</v>
      </c>
      <c r="H12" s="4" t="s">
        <v>5</v>
      </c>
      <c r="J12" s="147"/>
      <c r="K12" s="148"/>
      <c r="N12" s="9"/>
      <c r="O12" s="89" t="s">
        <v>23</v>
      </c>
      <c r="P12" s="90" t="s">
        <v>24</v>
      </c>
      <c r="Q12" s="91" t="s">
        <v>25</v>
      </c>
      <c r="R12" s="91" t="s">
        <v>26</v>
      </c>
      <c r="S12" s="92" t="s">
        <v>27</v>
      </c>
    </row>
    <row r="13" spans="1:19" s="6" customFormat="1" ht="21.05" customHeight="1" thickBot="1">
      <c r="A13" s="51"/>
      <c r="B13" s="45"/>
      <c r="C13" s="45"/>
      <c r="D13" s="45"/>
      <c r="E13" s="45"/>
      <c r="F13" s="45"/>
      <c r="G13" s="67" t="str">
        <f>IFERROR(VLOOKUP(A13,Tableau2[],2,FALSE),"")</f>
        <v/>
      </c>
      <c r="H13" s="3" t="str">
        <f t="shared" ref="H13:H32" si="0">IFERROR(SUM(B13+C13+D13+E13+F13)*(G13),"")</f>
        <v/>
      </c>
      <c r="I13" s="149"/>
      <c r="J13" s="147"/>
      <c r="K13" s="148"/>
      <c r="N13" s="9"/>
      <c r="O13" s="93">
        <f>COUNTA(B13:B32)</f>
        <v>0</v>
      </c>
      <c r="P13" s="94">
        <f>COUNTA(C13:C32)</f>
        <v>0</v>
      </c>
      <c r="Q13" s="94">
        <f>COUNTA(D13:D32)</f>
        <v>0</v>
      </c>
      <c r="R13" s="94">
        <f>COUNTA(E13:E32)</f>
        <v>0</v>
      </c>
      <c r="S13" s="94">
        <f>COUNTA(F13:F32)</f>
        <v>0</v>
      </c>
    </row>
    <row r="14" spans="1:19" ht="21.05" customHeight="1">
      <c r="A14" s="80"/>
      <c r="B14" s="81"/>
      <c r="C14" s="81"/>
      <c r="D14" s="81"/>
      <c r="E14" s="81"/>
      <c r="F14" s="81"/>
      <c r="G14" s="82" t="str">
        <f>IFERROR(VLOOKUP(A14,Tableau2[],2,FALSE),"")</f>
        <v/>
      </c>
      <c r="H14" s="83" t="str">
        <f t="shared" si="0"/>
        <v/>
      </c>
      <c r="J14" s="147"/>
      <c r="K14" s="148"/>
      <c r="N14" s="9"/>
    </row>
    <row r="15" spans="1:19" ht="21.05" customHeight="1">
      <c r="A15" s="51"/>
      <c r="B15" s="45"/>
      <c r="C15" s="45"/>
      <c r="D15" s="45"/>
      <c r="E15" s="45"/>
      <c r="F15" s="45"/>
      <c r="G15" s="67" t="str">
        <f>IFERROR(VLOOKUP(A15,Tableau2[],2,FALSE),"")</f>
        <v/>
      </c>
      <c r="H15" s="3" t="str">
        <f t="shared" si="0"/>
        <v/>
      </c>
      <c r="J15" s="147"/>
      <c r="K15" s="148"/>
      <c r="N15" s="9"/>
    </row>
    <row r="16" spans="1:19" ht="21.05" customHeight="1">
      <c r="A16" s="80"/>
      <c r="B16" s="81"/>
      <c r="C16" s="81"/>
      <c r="D16" s="81"/>
      <c r="E16" s="81"/>
      <c r="F16" s="81"/>
      <c r="G16" s="82" t="str">
        <f>IFERROR(VLOOKUP(A16,Tableau2[],2,FALSE),"")</f>
        <v/>
      </c>
      <c r="H16" s="83" t="str">
        <f t="shared" si="0"/>
        <v/>
      </c>
      <c r="J16" s="147"/>
      <c r="K16" s="148"/>
      <c r="N16" s="9"/>
    </row>
    <row r="17" spans="1:14" ht="21.05" customHeight="1">
      <c r="A17" s="51"/>
      <c r="B17" s="45"/>
      <c r="C17" s="45"/>
      <c r="D17" s="45"/>
      <c r="E17" s="45"/>
      <c r="F17" s="45"/>
      <c r="G17" s="67" t="str">
        <f>IFERROR(VLOOKUP(A17,Tableau2[],2,FALSE),"")</f>
        <v/>
      </c>
      <c r="H17" s="3" t="str">
        <f t="shared" si="0"/>
        <v/>
      </c>
      <c r="K17" s="148"/>
      <c r="N17" s="9"/>
    </row>
    <row r="18" spans="1:14" ht="21.05" customHeight="1">
      <c r="A18" s="80"/>
      <c r="B18" s="81"/>
      <c r="C18" s="81"/>
      <c r="D18" s="81"/>
      <c r="E18" s="81"/>
      <c r="F18" s="81"/>
      <c r="G18" s="82" t="str">
        <f>IFERROR(VLOOKUP(A18,Tableau2[],2,FALSE),"")</f>
        <v/>
      </c>
      <c r="H18" s="83" t="str">
        <f t="shared" si="0"/>
        <v/>
      </c>
      <c r="K18" s="148"/>
      <c r="N18" s="9"/>
    </row>
    <row r="19" spans="1:14" ht="21.05" customHeight="1">
      <c r="A19" s="51"/>
      <c r="B19" s="45"/>
      <c r="C19" s="45"/>
      <c r="D19" s="45"/>
      <c r="E19" s="45"/>
      <c r="F19" s="45"/>
      <c r="G19" s="67" t="str">
        <f>IFERROR(VLOOKUP(A19,Tableau2[],2,FALSE),"")</f>
        <v/>
      </c>
      <c r="H19" s="3" t="str">
        <f t="shared" si="0"/>
        <v/>
      </c>
      <c r="K19" s="148"/>
      <c r="N19" s="9"/>
    </row>
    <row r="20" spans="1:14" ht="21.05" customHeight="1">
      <c r="A20" s="80"/>
      <c r="B20" s="81"/>
      <c r="C20" s="81"/>
      <c r="D20" s="81"/>
      <c r="E20" s="81"/>
      <c r="F20" s="81"/>
      <c r="G20" s="82" t="str">
        <f>IFERROR(VLOOKUP(A20,Tableau2[],2,FALSE),"")</f>
        <v/>
      </c>
      <c r="H20" s="83" t="str">
        <f t="shared" si="0"/>
        <v/>
      </c>
      <c r="K20" s="148"/>
      <c r="N20" s="9"/>
    </row>
    <row r="21" spans="1:14" ht="21.05" customHeight="1">
      <c r="A21" s="51"/>
      <c r="B21" s="45"/>
      <c r="C21" s="45"/>
      <c r="D21" s="45"/>
      <c r="E21" s="45"/>
      <c r="F21" s="45"/>
      <c r="G21" s="67" t="str">
        <f>IFERROR(VLOOKUP(A21,Tableau2[],2,FALSE),"")</f>
        <v/>
      </c>
      <c r="H21" s="3" t="str">
        <f t="shared" si="0"/>
        <v/>
      </c>
      <c r="K21" s="148"/>
      <c r="N21" s="9"/>
    </row>
    <row r="22" spans="1:14" ht="21.05" customHeight="1">
      <c r="A22" s="80"/>
      <c r="B22" s="81"/>
      <c r="C22" s="81"/>
      <c r="D22" s="81"/>
      <c r="E22" s="81"/>
      <c r="F22" s="81"/>
      <c r="G22" s="82" t="str">
        <f>IFERROR(VLOOKUP(A22,Tableau2[],2,FALSE),"")</f>
        <v/>
      </c>
      <c r="H22" s="83" t="str">
        <f t="shared" si="0"/>
        <v/>
      </c>
      <c r="J22" s="148"/>
      <c r="N22" s="9"/>
    </row>
    <row r="23" spans="1:14" ht="21.05" customHeight="1">
      <c r="A23" s="51"/>
      <c r="B23" s="45"/>
      <c r="C23" s="45"/>
      <c r="D23" s="45"/>
      <c r="E23" s="45"/>
      <c r="F23" s="45"/>
      <c r="G23" s="67" t="str">
        <f>IFERROR(VLOOKUP(A23,Tableau2[],2,FALSE),"")</f>
        <v/>
      </c>
      <c r="H23" s="3" t="str">
        <f t="shared" si="0"/>
        <v/>
      </c>
      <c r="J23" s="148"/>
      <c r="N23" s="112"/>
    </row>
    <row r="24" spans="1:14" ht="21.05" customHeight="1">
      <c r="A24" s="80"/>
      <c r="B24" s="81"/>
      <c r="C24" s="81"/>
      <c r="D24" s="81"/>
      <c r="E24" s="81"/>
      <c r="F24" s="81"/>
      <c r="G24" s="82" t="str">
        <f>IFERROR(VLOOKUP(A24,Tableau2[],2,FALSE),"")</f>
        <v/>
      </c>
      <c r="H24" s="83" t="str">
        <f t="shared" si="0"/>
        <v/>
      </c>
      <c r="J24" s="148"/>
      <c r="N24" s="113"/>
    </row>
    <row r="25" spans="1:14" ht="21.05" customHeight="1">
      <c r="A25" s="51"/>
      <c r="B25" s="45"/>
      <c r="C25" s="45"/>
      <c r="D25" s="45"/>
      <c r="E25" s="45"/>
      <c r="F25" s="45"/>
      <c r="G25" s="67" t="str">
        <f>IFERROR(VLOOKUP(A25,Tableau2[],2,FALSE),"")</f>
        <v/>
      </c>
      <c r="H25" s="3" t="str">
        <f t="shared" si="0"/>
        <v/>
      </c>
      <c r="J25" s="148"/>
      <c r="N25" s="9"/>
    </row>
    <row r="26" spans="1:14" ht="21.05" customHeight="1">
      <c r="A26" s="80"/>
      <c r="B26" s="81"/>
      <c r="C26" s="81"/>
      <c r="D26" s="81"/>
      <c r="E26" s="81"/>
      <c r="F26" s="81"/>
      <c r="G26" s="82" t="str">
        <f>IFERROR(VLOOKUP(A26,Tableau2[],2,FALSE),"")</f>
        <v/>
      </c>
      <c r="H26" s="83" t="str">
        <f t="shared" si="0"/>
        <v/>
      </c>
      <c r="J26" s="148"/>
    </row>
    <row r="27" spans="1:14" ht="21.05" customHeight="1">
      <c r="A27" s="51"/>
      <c r="B27" s="45"/>
      <c r="C27" s="45"/>
      <c r="D27" s="45"/>
      <c r="E27" s="45"/>
      <c r="F27" s="45"/>
      <c r="G27" s="67" t="str">
        <f>IFERROR(VLOOKUP(A27,Tableau2[],2,FALSE),"")</f>
        <v/>
      </c>
      <c r="H27" s="3" t="str">
        <f t="shared" si="0"/>
        <v/>
      </c>
      <c r="J27" s="148"/>
    </row>
    <row r="28" spans="1:14" ht="21.05" customHeight="1">
      <c r="A28" s="80"/>
      <c r="B28" s="81"/>
      <c r="C28" s="81"/>
      <c r="D28" s="81"/>
      <c r="E28" s="81"/>
      <c r="F28" s="81"/>
      <c r="G28" s="82" t="str">
        <f>IFERROR(VLOOKUP(A28,Tableau2[],2,FALSE),"")</f>
        <v/>
      </c>
      <c r="H28" s="83" t="str">
        <f t="shared" si="0"/>
        <v/>
      </c>
      <c r="J28" s="5"/>
    </row>
    <row r="29" spans="1:14" ht="21.05" customHeight="1">
      <c r="A29" s="51"/>
      <c r="B29" s="45"/>
      <c r="C29" s="45"/>
      <c r="D29" s="45"/>
      <c r="E29" s="45"/>
      <c r="F29" s="45"/>
      <c r="G29" s="67" t="str">
        <f>IFERROR(VLOOKUP(A29,Tableau2[],2,FALSE),"")</f>
        <v/>
      </c>
      <c r="H29" s="3" t="str">
        <f t="shared" si="0"/>
        <v/>
      </c>
      <c r="J29" s="5"/>
    </row>
    <row r="30" spans="1:14" ht="21.05" customHeight="1">
      <c r="A30" s="80"/>
      <c r="B30" s="81"/>
      <c r="C30" s="81"/>
      <c r="D30" s="81"/>
      <c r="E30" s="81"/>
      <c r="F30" s="81"/>
      <c r="G30" s="82" t="str">
        <f>IFERROR(VLOOKUP(A30,Tableau2[],2,FALSE),"")</f>
        <v/>
      </c>
      <c r="H30" s="83" t="str">
        <f t="shared" si="0"/>
        <v/>
      </c>
    </row>
    <row r="31" spans="1:14" ht="21.05" customHeight="1">
      <c r="A31" s="51"/>
      <c r="B31" s="45"/>
      <c r="C31" s="45"/>
      <c r="D31" s="45"/>
      <c r="E31" s="45"/>
      <c r="F31" s="45"/>
      <c r="G31" s="67" t="str">
        <f>IFERROR(VLOOKUP(A31,Tableau2[],2,FALSE),"")</f>
        <v/>
      </c>
      <c r="H31" s="3" t="str">
        <f t="shared" si="0"/>
        <v/>
      </c>
    </row>
    <row r="32" spans="1:14" ht="21.05" customHeight="1">
      <c r="A32" s="80"/>
      <c r="B32" s="81"/>
      <c r="C32" s="81"/>
      <c r="D32" s="81"/>
      <c r="E32" s="81"/>
      <c r="F32" s="81"/>
      <c r="G32" s="82" t="str">
        <f>IFERROR(VLOOKUP(A32,Tableau2[],2,FALSE),"")</f>
        <v/>
      </c>
      <c r="H32" s="83" t="str">
        <f t="shared" si="0"/>
        <v/>
      </c>
    </row>
    <row r="33" spans="1:8" ht="5.2" customHeight="1" thickBot="1">
      <c r="A33" s="1"/>
      <c r="B33" s="1"/>
      <c r="F33" s="1"/>
      <c r="G33" s="1"/>
      <c r="H33" s="1"/>
    </row>
    <row r="34" spans="1:8" ht="16.149999999999999">
      <c r="A34" s="173" t="s">
        <v>15</v>
      </c>
      <c r="B34" s="174"/>
      <c r="C34" s="175"/>
      <c r="E34" s="157" t="s">
        <v>7</v>
      </c>
      <c r="F34" s="158"/>
      <c r="G34" s="151">
        <f>SUM(H13:H32)</f>
        <v>0</v>
      </c>
      <c r="H34" s="152"/>
    </row>
    <row r="35" spans="1:8" ht="16.149999999999999">
      <c r="A35" s="176"/>
      <c r="B35" s="177"/>
      <c r="C35" s="178"/>
      <c r="E35" s="159" t="s">
        <v>50</v>
      </c>
      <c r="F35" s="160"/>
      <c r="G35" s="153">
        <f>SUM(G34*[1]CHEMIN!$C$23)</f>
        <v>0</v>
      </c>
      <c r="H35" s="154"/>
    </row>
    <row r="36" spans="1:8" ht="16.149999999999999">
      <c r="A36" s="179"/>
      <c r="B36" s="180"/>
      <c r="C36" s="181"/>
      <c r="E36" s="143" t="s">
        <v>156</v>
      </c>
      <c r="F36" s="144"/>
      <c r="G36" s="145">
        <f>IFERROR(SUM(G34-B54),"0,00€")</f>
        <v>0</v>
      </c>
      <c r="H36" s="146"/>
    </row>
    <row r="37" spans="1:8" ht="14.4" customHeight="1" thickBot="1">
      <c r="A37" s="169"/>
      <c r="B37" s="170"/>
      <c r="C37" s="171"/>
      <c r="E37" s="161" t="s">
        <v>8</v>
      </c>
      <c r="F37" s="162"/>
      <c r="G37" s="155">
        <f>IFERROR(SUM((G34+G35)-G36),"0,00€")</f>
        <v>0</v>
      </c>
      <c r="H37" s="156"/>
    </row>
    <row r="38" spans="1:8" ht="5.2" customHeight="1" thickBot="1">
      <c r="C38" s="18"/>
      <c r="D38" s="8"/>
    </row>
    <row r="39" spans="1:8" ht="15" thickBot="1">
      <c r="A39" s="131" t="s">
        <v>30</v>
      </c>
      <c r="B39" s="20"/>
      <c r="C39" s="19"/>
      <c r="D39" s="163" t="s">
        <v>121</v>
      </c>
      <c r="E39" s="172"/>
      <c r="F39" s="172"/>
      <c r="G39" s="172"/>
      <c r="H39" s="172"/>
    </row>
    <row r="40" spans="1:8" ht="11.95" customHeight="1">
      <c r="A40" s="125"/>
      <c r="B40" s="126"/>
      <c r="C40" s="16"/>
      <c r="D40" s="163" t="str" cm="1">
        <f t="array" ref="D40">IFERROR(ChiffreLettre(G37),"")</f>
        <v/>
      </c>
      <c r="E40" s="163"/>
      <c r="F40" s="163"/>
      <c r="G40" s="163"/>
      <c r="H40" s="163"/>
    </row>
    <row r="41" spans="1:8" ht="11.95" customHeight="1">
      <c r="A41" s="127"/>
      <c r="B41" s="128"/>
      <c r="C41" s="16"/>
      <c r="D41" s="15"/>
    </row>
    <row r="42" spans="1:8" ht="11.95" customHeight="1">
      <c r="A42" s="127"/>
      <c r="B42" s="128"/>
      <c r="C42" s="16"/>
      <c r="D42" s="119" t="s">
        <v>12</v>
      </c>
      <c r="E42" s="117"/>
      <c r="F42" s="116"/>
      <c r="G42" s="116"/>
      <c r="H42" s="116"/>
    </row>
    <row r="43" spans="1:8" ht="11.95" customHeight="1">
      <c r="A43" s="127"/>
      <c r="B43" s="128"/>
      <c r="D43" s="119" t="s">
        <v>11</v>
      </c>
      <c r="E43" s="118"/>
      <c r="F43" s="116"/>
      <c r="G43" s="116"/>
      <c r="H43" s="116"/>
    </row>
    <row r="44" spans="1:8" ht="11.95" customHeight="1" thickBot="1">
      <c r="A44" s="129"/>
      <c r="B44" s="130"/>
      <c r="C44" s="1"/>
      <c r="D44" s="7"/>
      <c r="E44" s="1"/>
      <c r="F44" s="1"/>
      <c r="G44" s="1"/>
      <c r="H44" s="1"/>
    </row>
    <row r="45" spans="1:8">
      <c r="A45" s="1"/>
      <c r="B45" s="1"/>
      <c r="C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</row>
    <row r="48" spans="1:8">
      <c r="A48" s="1"/>
      <c r="B48" s="1"/>
      <c r="C48" s="1"/>
      <c r="D48" s="1"/>
      <c r="E48" s="1"/>
      <c r="F48" s="1"/>
    </row>
    <row r="49" spans="1:10" hidden="1">
      <c r="A49" s="137">
        <f ca="1">N8</f>
        <v>2023</v>
      </c>
      <c r="B49" s="121"/>
      <c r="C49" s="1"/>
      <c r="D49" s="1"/>
      <c r="E49" s="1"/>
      <c r="F49" s="1"/>
      <c r="G49" s="1"/>
      <c r="H49" s="1"/>
    </row>
    <row r="50" spans="1:10" hidden="1">
      <c r="A50" s="138" t="str" cm="1">
        <f t="array" aca="1" ref="A50" ca="1">RIGHT(LEFT(CELL("nomfichier",A1),FIND("]",CELL("nomfichier",A1),1)-1),FIND("]",CELL("nomfichier",A1),1)-FIND("[",CELL("nomfichier",A1),1)-1)</f>
        <v>FAC - 39 - DIPED LES ALANIERS - S1 - 2023.xlsm</v>
      </c>
      <c r="B50" s="139"/>
      <c r="C50" s="1"/>
      <c r="D50" s="1"/>
      <c r="E50" s="1"/>
      <c r="F50" s="1"/>
      <c r="G50" s="1"/>
      <c r="H50" s="1"/>
    </row>
    <row r="51" spans="1:10" hidden="1">
      <c r="A51" s="122" t="str" cm="1">
        <f t="array" aca="1" ref="A51" ca="1">SUBSTITUTE(LEFT(CELL("filename",B2),FIND("]",CELL("filename",B2))-1), "[","")</f>
        <v>C:\Users\peopl\Desktop\FAC - 39 - DIPED LES ALANIERS - S1 - 2023.xlsm</v>
      </c>
      <c r="B51" s="123"/>
      <c r="C51" s="1"/>
      <c r="D51" s="1"/>
      <c r="E51" s="1"/>
      <c r="F51" s="1"/>
      <c r="G51" s="1"/>
      <c r="H51" s="1"/>
    </row>
    <row r="52" spans="1:10" hidden="1">
      <c r="A52" s="1"/>
      <c r="B52" s="1"/>
      <c r="D52" s="1"/>
      <c r="E52" s="1"/>
      <c r="F52" s="1"/>
      <c r="G52" s="1"/>
      <c r="H52" s="1"/>
    </row>
    <row r="53" spans="1:10" ht="6.35" hidden="1" customHeight="1">
      <c r="A53" s="1"/>
      <c r="C53" s="14"/>
    </row>
    <row r="54" spans="1:10" ht="16.7" hidden="1" customHeight="1">
      <c r="A54" s="1" t="s">
        <v>158</v>
      </c>
      <c r="B54" s="142" cm="1">
        <f t="array" ref="B54">IFERROR(_xlfn.IFS(N6="RS",(G34*[1]CHEMIN!$C$22),N6="RV",(G34*[1]CHEMIN!$C$21),N6="P",G34),"")</f>
        <v>0</v>
      </c>
      <c r="C54" s="142"/>
      <c r="D54" s="48"/>
      <c r="E54" s="102"/>
      <c r="F54" s="102"/>
      <c r="G54" s="102"/>
      <c r="H54" s="12"/>
    </row>
    <row r="55" spans="1:10" ht="17.850000000000001" hidden="1" customHeight="1">
      <c r="A55" t="s">
        <v>154</v>
      </c>
      <c r="B55" s="1"/>
      <c r="C55" s="7"/>
      <c r="D55" s="1"/>
      <c r="E55" s="1"/>
      <c r="F55" s="1"/>
      <c r="G55" s="1"/>
      <c r="H55" s="1"/>
    </row>
    <row r="56" spans="1:10" ht="16.7" hidden="1" customHeight="1">
      <c r="A56" s="7" t="s">
        <v>36</v>
      </c>
      <c r="B56" s="7" t="s">
        <v>59</v>
      </c>
      <c r="C56" s="103" t="s">
        <v>60</v>
      </c>
      <c r="D56" s="7" t="s">
        <v>61</v>
      </c>
      <c r="E56" s="7" t="s">
        <v>51</v>
      </c>
      <c r="F56" s="7" t="s">
        <v>62</v>
      </c>
      <c r="G56" s="7" t="s">
        <v>63</v>
      </c>
      <c r="H56" s="7" t="s">
        <v>64</v>
      </c>
      <c r="J56" s="9" t="s">
        <v>40</v>
      </c>
    </row>
    <row r="57" spans="1:10" s="1" customFormat="1" ht="18.45" hidden="1" customHeight="1">
      <c r="A57" s="107" t="str">
        <f>F3</f>
        <v>39</v>
      </c>
      <c r="B57" s="107" t="str">
        <f>F4</f>
        <v>DIPED LES ALANIERS</v>
      </c>
      <c r="C57" s="108">
        <f>G9</f>
        <v>44933.690532407411</v>
      </c>
      <c r="D57" s="107" t="str">
        <f ca="1">G10</f>
        <v>FAC-39-S1-DIPED LES ALANIERS-2023</v>
      </c>
      <c r="E57" s="109">
        <f>G34</f>
        <v>0</v>
      </c>
      <c r="F57" s="109">
        <f>G35</f>
        <v>0</v>
      </c>
      <c r="G57" s="109">
        <f>G37</f>
        <v>0</v>
      </c>
      <c r="H57" s="107" t="s">
        <v>40</v>
      </c>
      <c r="I57" s="149"/>
      <c r="J57" s="106" t="s">
        <v>41</v>
      </c>
    </row>
  </sheetData>
  <mergeCells count="26">
    <mergeCell ref="A37:C37"/>
    <mergeCell ref="D39:H39"/>
    <mergeCell ref="A34:C34"/>
    <mergeCell ref="A35:C35"/>
    <mergeCell ref="A36:C36"/>
    <mergeCell ref="A4:D4"/>
    <mergeCell ref="A5:D5"/>
    <mergeCell ref="A6:D6"/>
    <mergeCell ref="A7:D7"/>
    <mergeCell ref="A8:D8"/>
    <mergeCell ref="B54:C54"/>
    <mergeCell ref="E36:F36"/>
    <mergeCell ref="G36:H36"/>
    <mergeCell ref="J12:J16"/>
    <mergeCell ref="K12:K16"/>
    <mergeCell ref="K17:K21"/>
    <mergeCell ref="J22:J27"/>
    <mergeCell ref="I1:I1048576"/>
    <mergeCell ref="A1:D1"/>
    <mergeCell ref="G34:H34"/>
    <mergeCell ref="G35:H35"/>
    <mergeCell ref="G37:H37"/>
    <mergeCell ref="E34:F34"/>
    <mergeCell ref="E35:F35"/>
    <mergeCell ref="E37:F37"/>
    <mergeCell ref="D40:H40"/>
  </mergeCells>
  <phoneticPr fontId="11" type="noConversion"/>
  <dataValidations count="5">
    <dataValidation type="list" allowBlank="1" showInputMessage="1" sqref="H57" xr:uid="{4B6025E2-5681-4D8E-A003-A73333E9F3A0}">
      <formula1>$J$56:$J$57</formula1>
    </dataValidation>
    <dataValidation type="list" allowBlank="1" showInputMessage="1" sqref="H54" xr:uid="{CF1D1899-01C3-42F4-A1D6-B87D20D52167}">
      <formula1>#REF!</formula1>
    </dataValidation>
    <dataValidation type="custom" allowBlank="1" showInputMessage="1" showErrorMessage="1" errorTitle="ATTENTION" error="Veuillez saisir des chiffres et virgule pour les poids." sqref="B13:B32" xr:uid="{C569C5FC-D588-4353-A38C-F80B63EB8FAC}">
      <formula1>B13=1*TEXT(B13,"# ##0,000")</formula1>
    </dataValidation>
    <dataValidation type="custom" allowBlank="1" showInputMessage="1" showErrorMessage="1" errorTitle="ATTENTION" error="Veuillez saisir des chiffres et virgule pour le poids" sqref="C13:C32" xr:uid="{A5367A2E-C2D4-4920-AB68-5925A135F76D}">
      <formula1>C13=1*TEXT(C13,"# ##0,000")</formula1>
    </dataValidation>
    <dataValidation type="custom" allowBlank="1" showInputMessage="1" showErrorMessage="1" errorTitle="ATTENTION" error="Veuillez saisir des chiffres et virgule pour le poids." sqref="D13:F32" xr:uid="{376DDDA6-74DE-44C0-9455-A93A774177AC}">
      <formula1>D13=1*TEXT(D13,"# ##0,000")</formula1>
    </dataValidation>
  </dataValidations>
  <pageMargins left="0.39370078740157483" right="0.31496062992125984" top="0.35433070866141736" bottom="0.35433070866141736" header="0.31496062992125984" footer="0.31496062992125984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r:id="rId5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1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B3AAD-9597-4E26-984A-C8EFE7D38F7E}">
  <sheetPr codeName="Feuil2">
    <tabColor theme="7" tint="0.59999389629810485"/>
  </sheetPr>
  <dimension ref="A1:P35"/>
  <sheetViews>
    <sheetView showGridLines="0" showZeros="0" zoomScaleNormal="100" workbookViewId="0">
      <selection activeCell="A4" sqref="A4:E8"/>
    </sheetView>
  </sheetViews>
  <sheetFormatPr baseColWidth="10" defaultColWidth="11.3984375" defaultRowHeight="14.4"/>
  <cols>
    <col min="1" max="1" width="11.3984375" style="21" customWidth="1"/>
    <col min="2" max="2" width="11.3984375" style="21"/>
    <col min="3" max="9" width="10.59765625" style="21" customWidth="1"/>
    <col min="10" max="10" width="17.09765625" style="21" customWidth="1"/>
    <col min="11" max="11" width="3.19921875" style="21" customWidth="1"/>
    <col min="12" max="12" width="18" style="21" customWidth="1"/>
    <col min="13" max="13" width="11.3984375" style="21"/>
    <col min="14" max="14" width="19.3984375" style="21" hidden="1" customWidth="1"/>
    <col min="15" max="15" width="11.3984375" style="21" customWidth="1"/>
    <col min="16" max="16" width="11.3984375" style="23" customWidth="1"/>
    <col min="17" max="17" width="8.09765625" style="21" customWidth="1"/>
    <col min="18" max="16384" width="11.3984375" style="21"/>
  </cols>
  <sheetData>
    <row r="1" spans="1:16" ht="57.75" customHeight="1">
      <c r="A1" s="195"/>
      <c r="B1" s="191"/>
      <c r="C1" s="191"/>
      <c r="D1" s="191"/>
      <c r="F1" s="196" t="s">
        <v>4</v>
      </c>
      <c r="G1" s="197"/>
      <c r="H1" s="197"/>
      <c r="I1" s="197"/>
      <c r="K1" s="22"/>
      <c r="N1" s="115" t="str">
        <f>[1]CHEMIN!$C$5</f>
        <v>C:\FACTURE\PDF\BL\</v>
      </c>
    </row>
    <row r="2" spans="1:16">
      <c r="F2"/>
      <c r="G2"/>
      <c r="H2"/>
      <c r="I2"/>
      <c r="N2" s="65">
        <f>_xlfn.ISOWEEKNUM(H9)</f>
        <v>52</v>
      </c>
    </row>
    <row r="3" spans="1:16" ht="15" customHeight="1">
      <c r="A3" s="201"/>
      <c r="B3" s="191"/>
      <c r="C3" s="191"/>
      <c r="D3" s="191"/>
      <c r="E3" s="191"/>
      <c r="F3" s="96" t="s">
        <v>22</v>
      </c>
      <c r="G3" s="198" t="str">
        <f>FACTURE!F3</f>
        <v>39</v>
      </c>
      <c r="H3" s="199"/>
      <c r="I3" s="199"/>
      <c r="O3" s="23"/>
    </row>
    <row r="4" spans="1:16" ht="15" customHeight="1">
      <c r="A4" s="201"/>
      <c r="B4" s="191"/>
      <c r="C4" s="191"/>
      <c r="D4" s="191"/>
      <c r="E4" s="191"/>
      <c r="F4" s="96" t="s">
        <v>19</v>
      </c>
      <c r="G4" s="200" t="str">
        <f>FACTURE!F4</f>
        <v>DIPED LES ALANIERS</v>
      </c>
      <c r="H4" s="199"/>
      <c r="I4" s="199"/>
      <c r="K4" s="22"/>
      <c r="O4" s="49"/>
      <c r="P4" s="49"/>
    </row>
    <row r="5" spans="1:16" ht="15" customHeight="1">
      <c r="A5" s="202"/>
      <c r="B5" s="191"/>
      <c r="C5" s="191"/>
      <c r="D5" s="191"/>
      <c r="E5" s="191"/>
      <c r="F5" s="96" t="s">
        <v>16</v>
      </c>
      <c r="G5" s="198" t="str">
        <f>FACTURE!F5</f>
        <v>5 Chemin de la Providence</v>
      </c>
      <c r="H5" s="198"/>
      <c r="I5" s="198"/>
    </row>
    <row r="6" spans="1:16" ht="15" customHeight="1" thickBot="1">
      <c r="A6" s="190"/>
      <c r="B6" s="191"/>
      <c r="C6" s="191"/>
      <c r="D6" s="191"/>
      <c r="E6" s="191"/>
      <c r="F6" s="96" t="s">
        <v>20</v>
      </c>
      <c r="G6" s="198" t="str">
        <f>FACTURE!F6</f>
        <v>01000 BOURG EN BRESSE</v>
      </c>
      <c r="H6" s="198"/>
      <c r="I6" s="198"/>
    </row>
    <row r="7" spans="1:16" ht="15" customHeight="1" thickBot="1">
      <c r="A7" s="192"/>
      <c r="B7" s="191"/>
      <c r="C7" s="191"/>
      <c r="D7" s="191"/>
      <c r="E7" s="191"/>
      <c r="F7" s="96" t="s">
        <v>18</v>
      </c>
      <c r="G7" s="203" t="str">
        <f>FACTURE!F7</f>
        <v>06 98 21 73 13</v>
      </c>
      <c r="H7" s="204"/>
      <c r="I7" s="204"/>
      <c r="L7" s="59" t="s">
        <v>56</v>
      </c>
    </row>
    <row r="8" spans="1:16" ht="27.95" customHeight="1" thickBot="1">
      <c r="A8" s="193"/>
      <c r="B8" s="194"/>
      <c r="C8" s="194"/>
      <c r="D8" s="194"/>
      <c r="E8" s="194"/>
      <c r="F8"/>
      <c r="G8"/>
      <c r="H8"/>
      <c r="I8"/>
      <c r="L8" s="58" t="s">
        <v>23</v>
      </c>
      <c r="N8" s="23"/>
    </row>
    <row r="9" spans="1:16">
      <c r="F9" s="96" t="s">
        <v>13</v>
      </c>
      <c r="G9" s="97" t="s">
        <v>58</v>
      </c>
      <c r="H9" s="68"/>
      <c r="I9" s="98"/>
    </row>
    <row r="10" spans="1:16">
      <c r="F10" s="96" t="s">
        <v>14</v>
      </c>
      <c r="G10" s="95"/>
      <c r="H10" s="99" t="str">
        <f ca="1">"BL-S"&amp;N2&amp;"-"&amp;FACTURE!N5&amp;"-"&amp;FACTURE!N8</f>
        <v>BL-S52-DIPED LES ALANIERS-2023</v>
      </c>
      <c r="I10" s="100"/>
    </row>
    <row r="11" spans="1:16">
      <c r="H11" s="24"/>
    </row>
    <row r="12" spans="1:16" ht="21.05" customHeight="1">
      <c r="A12" s="208" t="s">
        <v>0</v>
      </c>
      <c r="B12" s="209"/>
      <c r="C12" s="210"/>
      <c r="D12" s="211" t="s">
        <v>1</v>
      </c>
      <c r="E12" s="212"/>
      <c r="F12" s="211" t="s">
        <v>3</v>
      </c>
      <c r="G12" s="212"/>
      <c r="H12" s="211" t="s">
        <v>2</v>
      </c>
      <c r="I12" s="213"/>
      <c r="J12" s="105" t="s">
        <v>152</v>
      </c>
      <c r="N12" s="114"/>
    </row>
    <row r="13" spans="1:16" ht="21.05" customHeight="1">
      <c r="A13" s="184" t="str" cm="1">
        <f t="array" aca="1" ref="A13" ca="1">IF(COUNTA(SEMAINES)&gt;=ROWS($11:11),INDEX(FACTURE!$A$13:$A$36,SMALL(IF(SEMAINES&gt;0,ROW(SEMAINES)-12),ROWS($11:11))),"")</f>
        <v/>
      </c>
      <c r="B13" s="185"/>
      <c r="C13" s="186"/>
      <c r="D13" s="214" t="str" cm="1">
        <f t="array" aca="1" ref="D13" ca="1">IF(A13="","",INDEX(SEMAINES,SMALL(IF(SEMAINES&gt;0,ROW(SEMAINES)-12),ROWS($11:11))))</f>
        <v/>
      </c>
      <c r="E13" s="214"/>
      <c r="F13" s="215" t="str">
        <f>IFERROR(_xlfn.XLOOKUP(J13,[1]CHEMIN!$E$3:$E$7,[1]CHEMIN!$F$3:$F$7),"")</f>
        <v/>
      </c>
      <c r="G13" s="216"/>
      <c r="H13" s="221" t="str">
        <f>IFERROR(_xlfn.XLOOKUP(J13,[1]CHEMIN!$E$3:$E$7,[1]CHEMIN!$G$3:$G$7),"")</f>
        <v/>
      </c>
      <c r="I13" s="222"/>
      <c r="J13" s="104"/>
      <c r="O13" s="23"/>
      <c r="P13" s="21"/>
    </row>
    <row r="14" spans="1:16" ht="21.05" customHeight="1">
      <c r="A14" s="205" t="str" cm="1">
        <f t="array" aca="1" ref="A14" ca="1">IF(COUNTA(SEMAINES)&gt;=ROWS($11:12),INDEX(FACTURE!$A$13:$A$36,SMALL(IF(SEMAINES&gt;0,ROW(SEMAINES)-12),ROWS($11:12))),"")</f>
        <v/>
      </c>
      <c r="B14" s="206"/>
      <c r="C14" s="207"/>
      <c r="D14" s="217" t="str" cm="1">
        <f t="array" aca="1" ref="D14" ca="1">IF(A14="","",INDEX(SEMAINES,SMALL(IF(SEMAINES&gt;0,ROW(SEMAINES)-12),ROWS($11:12))))</f>
        <v/>
      </c>
      <c r="E14" s="217"/>
      <c r="F14" s="219" t="str">
        <f>IFERROR(_xlfn.XLOOKUP(J14,[1]CHEMIN!$E$3:$E$7,[1]CHEMIN!$F$3:$F$7),"")</f>
        <v/>
      </c>
      <c r="G14" s="220"/>
      <c r="H14" s="223" t="str">
        <f>IFERROR(_xlfn.XLOOKUP(J14,[1]CHEMIN!$E$3:$E$7,[1]CHEMIN!$G$3:$G$7),"")</f>
        <v/>
      </c>
      <c r="I14" s="224"/>
      <c r="J14" s="104"/>
    </row>
    <row r="15" spans="1:16" ht="21.05" customHeight="1">
      <c r="A15" s="184" t="str" cm="1">
        <f t="array" aca="1" ref="A15" ca="1">IF(COUNTA(SEMAINES)&gt;=ROWS($11:13),INDEX(FACTURE!$A$13:$A$36,SMALL(IF(SEMAINES&gt;0,ROW(SEMAINES)-12),ROWS($11:13))),"")</f>
        <v/>
      </c>
      <c r="B15" s="185"/>
      <c r="C15" s="186"/>
      <c r="D15" s="218" t="str" cm="1">
        <f t="array" aca="1" ref="D15" ca="1">IF(A15="","",INDEX(SEMAINES,SMALL(IF(SEMAINES&gt;0,ROW(SEMAINES)-12),ROWS($11:13))))</f>
        <v/>
      </c>
      <c r="E15" s="218"/>
      <c r="F15" s="215" t="str">
        <f>IFERROR(_xlfn.XLOOKUP(J15,[1]CHEMIN!$E$3:$E$7,[1]CHEMIN!$F$3:$F$7),"")</f>
        <v/>
      </c>
      <c r="G15" s="216"/>
      <c r="H15" s="221" t="str">
        <f>IFERROR(_xlfn.XLOOKUP(J15,[1]CHEMIN!$E$3:$E$7,[1]CHEMIN!$G$3:$G$7),"")</f>
        <v/>
      </c>
      <c r="I15" s="222"/>
      <c r="J15" s="104"/>
    </row>
    <row r="16" spans="1:16" ht="21.05" customHeight="1">
      <c r="A16" s="205" t="str" cm="1">
        <f t="array" aca="1" ref="A16" ca="1">IF(COUNTA(SEMAINES)&gt;=ROWS($11:14),INDEX(FACTURE!$A$13:$A$36,SMALL(IF(SEMAINES&gt;0,ROW(SEMAINES)-12),ROWS($11:14))),"")</f>
        <v/>
      </c>
      <c r="B16" s="206"/>
      <c r="C16" s="207"/>
      <c r="D16" s="217" t="str" cm="1">
        <f t="array" aca="1" ref="D16" ca="1">IF(A16="","",INDEX(SEMAINES,SMALL(IF(SEMAINES&gt;0,ROW(SEMAINES)-12),ROWS($11:14))))</f>
        <v/>
      </c>
      <c r="E16" s="217"/>
      <c r="F16" s="219" t="str">
        <f>IFERROR(_xlfn.XLOOKUP(J16,[1]CHEMIN!$E$3:$E$7,[1]CHEMIN!$F$3:$F$7),"")</f>
        <v/>
      </c>
      <c r="G16" s="220"/>
      <c r="H16" s="223" t="str">
        <f>IFERROR(_xlfn.XLOOKUP(J16,[1]CHEMIN!$E$3:$E$7,[1]CHEMIN!$G$3:$G$7),"")</f>
        <v/>
      </c>
      <c r="I16" s="224"/>
      <c r="J16" s="104"/>
    </row>
    <row r="17" spans="1:10" ht="21.05" customHeight="1">
      <c r="A17" s="184" t="str" cm="1">
        <f t="array" aca="1" ref="A17" ca="1">IF(COUNTA(SEMAINES)&gt;=ROWS($11:15),INDEX(FACTURE!$A$13:$A$36,SMALL(IF(SEMAINES&gt;0,ROW(SEMAINES)-12),ROWS($11:15))),"")</f>
        <v/>
      </c>
      <c r="B17" s="185"/>
      <c r="C17" s="186"/>
      <c r="D17" s="218" t="str" cm="1">
        <f t="array" aca="1" ref="D17" ca="1">IF(A17="","",INDEX(SEMAINES,SMALL(IF(SEMAINES&gt;0,ROW(SEMAINES)-12),ROWS($11:15))))</f>
        <v/>
      </c>
      <c r="E17" s="218"/>
      <c r="F17" s="215" t="str">
        <f>IFERROR(_xlfn.XLOOKUP(J17,[1]CHEMIN!$E$3:$E$7,[1]CHEMIN!$F$3:$F$7),"")</f>
        <v/>
      </c>
      <c r="G17" s="216"/>
      <c r="H17" s="221" t="str">
        <f>IFERROR(_xlfn.XLOOKUP(J17,[1]CHEMIN!$E$3:$E$7,[1]CHEMIN!$G$3:$G$7),"")</f>
        <v/>
      </c>
      <c r="I17" s="222"/>
      <c r="J17" s="104"/>
    </row>
    <row r="18" spans="1:10" ht="21.05" customHeight="1">
      <c r="A18" s="205" t="str" cm="1">
        <f t="array" aca="1" ref="A18" ca="1">IF(COUNTA(SEMAINES)&gt;=ROWS($11:16),INDEX(FACTURE!$A$13:$A$36,SMALL(IF(SEMAINES&gt;0,ROW(SEMAINES)-12),ROWS($11:16))),"")</f>
        <v/>
      </c>
      <c r="B18" s="206"/>
      <c r="C18" s="207"/>
      <c r="D18" s="217" t="str" cm="1">
        <f t="array" aca="1" ref="D18" ca="1">IF(A18="","",INDEX(SEMAINES,SMALL(IF(SEMAINES&gt;0,ROW(SEMAINES)-12),ROWS($11:16))))</f>
        <v/>
      </c>
      <c r="E18" s="217"/>
      <c r="F18" s="219" t="str">
        <f>IFERROR(_xlfn.XLOOKUP(J18,[1]CHEMIN!$E$3:$E$7,[1]CHEMIN!$F$3:$F$7),"")</f>
        <v/>
      </c>
      <c r="G18" s="220"/>
      <c r="H18" s="223" t="str">
        <f>IFERROR(_xlfn.XLOOKUP(J18,[1]CHEMIN!$E$3:$E$7,[1]CHEMIN!$G$3:$G$7),"")</f>
        <v/>
      </c>
      <c r="I18" s="224"/>
      <c r="J18" s="104"/>
    </row>
    <row r="19" spans="1:10" ht="21.05" customHeight="1">
      <c r="A19" s="184" t="str" cm="1">
        <f t="array" aca="1" ref="A19" ca="1">IF(COUNTA(SEMAINES)&gt;=ROWS($11:17),INDEX(FACTURE!$A$13:$A$36,SMALL(IF(SEMAINES&gt;0,ROW(SEMAINES)-12),ROWS($11:17))),"")</f>
        <v/>
      </c>
      <c r="B19" s="185"/>
      <c r="C19" s="186"/>
      <c r="D19" s="218" t="str" cm="1">
        <f t="array" aca="1" ref="D19" ca="1">IF(A19="","",INDEX(SEMAINES,SMALL(IF(SEMAINES&gt;0,ROW(SEMAINES)-12),ROWS($11:17))))</f>
        <v/>
      </c>
      <c r="E19" s="218"/>
      <c r="F19" s="215" t="str">
        <f>IFERROR(_xlfn.XLOOKUP(J19,[1]CHEMIN!$E$3:$E$7,[1]CHEMIN!$F$3:$F$7),"")</f>
        <v/>
      </c>
      <c r="G19" s="216"/>
      <c r="H19" s="221" t="str">
        <f>IFERROR(_xlfn.XLOOKUP(J19,[1]CHEMIN!$E$3:$E$7,[1]CHEMIN!$G$3:$G$7),"")</f>
        <v/>
      </c>
      <c r="I19" s="222"/>
      <c r="J19" s="104"/>
    </row>
    <row r="20" spans="1:10" ht="21.05" customHeight="1">
      <c r="A20" s="205" t="str" cm="1">
        <f t="array" aca="1" ref="A20" ca="1">IF(COUNTA(SEMAINES)&gt;=ROWS($11:18),INDEX(FACTURE!$A$13:$A$36,SMALL(IF(SEMAINES&gt;0,ROW(SEMAINES)-12),ROWS($11:18))),"")</f>
        <v/>
      </c>
      <c r="B20" s="206"/>
      <c r="C20" s="207"/>
      <c r="D20" s="217" t="str" cm="1">
        <f t="array" aca="1" ref="D20" ca="1">IF(A20="","",INDEX(SEMAINES,SMALL(IF(SEMAINES&gt;0,ROW(SEMAINES)-12),ROWS($11:18))))</f>
        <v/>
      </c>
      <c r="E20" s="217"/>
      <c r="F20" s="219" t="str">
        <f>IFERROR(_xlfn.XLOOKUP(J20,[1]CHEMIN!$E$3:$E$7,[1]CHEMIN!$F$3:$F$7),"")</f>
        <v/>
      </c>
      <c r="G20" s="220"/>
      <c r="H20" s="223" t="str">
        <f>IFERROR(_xlfn.XLOOKUP(J20,[1]CHEMIN!$E$3:$E$7,[1]CHEMIN!$G$3:$G$7),"")</f>
        <v/>
      </c>
      <c r="I20" s="224"/>
      <c r="J20" s="104"/>
    </row>
    <row r="21" spans="1:10" ht="21.05" customHeight="1">
      <c r="A21" s="184" t="str" cm="1">
        <f t="array" aca="1" ref="A21" ca="1">IF(COUNTA(SEMAINES)&gt;=ROWS($11:19),INDEX(FACTURE!$A$13:$A$36,SMALL(IF(SEMAINES&gt;0,ROW(SEMAINES)-12),ROWS($11:19))),"")</f>
        <v/>
      </c>
      <c r="B21" s="185"/>
      <c r="C21" s="186"/>
      <c r="D21" s="218" t="str" cm="1">
        <f t="array" aca="1" ref="D21" ca="1">IF(A21="","",INDEX(SEMAINES,SMALL(IF(SEMAINES&gt;0,ROW(SEMAINES)-12),ROWS($11:19))))</f>
        <v/>
      </c>
      <c r="E21" s="218"/>
      <c r="F21" s="215" t="str">
        <f>IFERROR(_xlfn.XLOOKUP(J21,[1]CHEMIN!$E$3:$E$7,[1]CHEMIN!$F$3:$F$7),"")</f>
        <v/>
      </c>
      <c r="G21" s="216"/>
      <c r="H21" s="221" t="str">
        <f>IFERROR(_xlfn.XLOOKUP(J21,[1]CHEMIN!$E$3:$E$7,[1]CHEMIN!$G$3:$G$7),"")</f>
        <v/>
      </c>
      <c r="I21" s="222"/>
      <c r="J21" s="104"/>
    </row>
    <row r="22" spans="1:10" ht="21.05" customHeight="1">
      <c r="A22" s="205" t="str" cm="1">
        <f t="array" aca="1" ref="A22" ca="1">IF(COUNTA(SEMAINES)&gt;=ROWS($11:20),INDEX(FACTURE!$A$13:$A$36,SMALL(IF(SEMAINES&gt;0,ROW(SEMAINES)-12),ROWS($11:20))),"")</f>
        <v/>
      </c>
      <c r="B22" s="206"/>
      <c r="C22" s="207"/>
      <c r="D22" s="217" t="str" cm="1">
        <f t="array" aca="1" ref="D22" ca="1">IF(A22="","",INDEX(SEMAINES,SMALL(IF(SEMAINES&gt;0,ROW(SEMAINES)-12),ROWS($11:20))))</f>
        <v/>
      </c>
      <c r="E22" s="217"/>
      <c r="F22" s="219" t="str">
        <f>IFERROR(_xlfn.XLOOKUP(J22,[1]CHEMIN!$E$3:$E$7,[1]CHEMIN!$F$3:$F$7),"")</f>
        <v/>
      </c>
      <c r="G22" s="220"/>
      <c r="H22" s="223" t="str">
        <f>IFERROR(_xlfn.XLOOKUP(J22,[1]CHEMIN!$E$3:$E$7,[1]CHEMIN!$G$3:$G$7),"")</f>
        <v/>
      </c>
      <c r="I22" s="224"/>
      <c r="J22" s="104"/>
    </row>
    <row r="23" spans="1:10" ht="21.05" customHeight="1">
      <c r="A23" s="184" t="str" cm="1">
        <f t="array" aca="1" ref="A23" ca="1">IF(COUNTA(SEMAINES)&gt;=ROWS($11:21),INDEX(FACTURE!$A$13:$A$36,SMALL(IF(SEMAINES&gt;0,ROW(SEMAINES)-12),ROWS($11:21))),"")</f>
        <v/>
      </c>
      <c r="B23" s="185"/>
      <c r="C23" s="186"/>
      <c r="D23" s="218" t="str" cm="1">
        <f t="array" aca="1" ref="D23" ca="1">IF(A23="","",INDEX(SEMAINES,SMALL(IF(SEMAINES&gt;0,ROW(SEMAINES)-12),ROWS($11:21))))</f>
        <v/>
      </c>
      <c r="E23" s="218"/>
      <c r="F23" s="215" t="str">
        <f>IFERROR(_xlfn.XLOOKUP(J23,[1]CHEMIN!$E$3:$E$7,[1]CHEMIN!$F$3:$F$7),"")</f>
        <v/>
      </c>
      <c r="G23" s="216"/>
      <c r="H23" s="221" t="str">
        <f>IFERROR(_xlfn.XLOOKUP(J23,[1]CHEMIN!$E$3:$E$7,[1]CHEMIN!$G$3:$G$7),"")</f>
        <v/>
      </c>
      <c r="I23" s="222"/>
      <c r="J23" s="104"/>
    </row>
    <row r="24" spans="1:10" ht="21.05" customHeight="1">
      <c r="A24" s="205" t="str" cm="1">
        <f t="array" aca="1" ref="A24" ca="1">IF(COUNTA(SEMAINES)&gt;=ROWS($11:22),INDEX(FACTURE!$A$13:$A$36,SMALL(IF(SEMAINES&gt;0,ROW(SEMAINES)-12),ROWS($11:22))),"")</f>
        <v/>
      </c>
      <c r="B24" s="206"/>
      <c r="C24" s="207"/>
      <c r="D24" s="217" t="str" cm="1">
        <f t="array" aca="1" ref="D24" ca="1">IF(A24="","",INDEX(SEMAINES,SMALL(IF(SEMAINES&gt;0,ROW(SEMAINES)-12),ROWS($11:22))))</f>
        <v/>
      </c>
      <c r="E24" s="217"/>
      <c r="F24" s="219" t="str">
        <f>IFERROR(_xlfn.XLOOKUP(J24,[1]CHEMIN!$E$3:$E$7,[1]CHEMIN!$F$3:$F$7),"")</f>
        <v/>
      </c>
      <c r="G24" s="220"/>
      <c r="H24" s="223" t="str">
        <f>IFERROR(_xlfn.XLOOKUP(J24,[1]CHEMIN!$E$3:$E$7,[1]CHEMIN!$G$3:$G$7),"")</f>
        <v/>
      </c>
      <c r="I24" s="224"/>
      <c r="J24" s="104"/>
    </row>
    <row r="25" spans="1:10" ht="21.05" customHeight="1">
      <c r="A25" s="184" t="str" cm="1">
        <f t="array" aca="1" ref="A25" ca="1">IF(COUNTA(SEMAINES)&gt;=ROWS($11:23),INDEX(FACTURE!$A$13:$A$36,SMALL(IF(SEMAINES&gt;0,ROW(SEMAINES)-12),ROWS($11:23))),"")</f>
        <v/>
      </c>
      <c r="B25" s="185"/>
      <c r="C25" s="186"/>
      <c r="D25" s="218" t="str" cm="1">
        <f t="array" aca="1" ref="D25" ca="1">IF(A25="","",INDEX(SEMAINES,SMALL(IF(SEMAINES&gt;0,ROW(SEMAINES)-12),ROWS($11:23))))</f>
        <v/>
      </c>
      <c r="E25" s="218"/>
      <c r="F25" s="215" t="str">
        <f>IFERROR(_xlfn.XLOOKUP(J25,[1]CHEMIN!$E$3:$E$7,[1]CHEMIN!$F$3:$F$7),"")</f>
        <v/>
      </c>
      <c r="G25" s="216"/>
      <c r="H25" s="221" t="str">
        <f>IFERROR(_xlfn.XLOOKUP(J25,[1]CHEMIN!$E$3:$E$7,[1]CHEMIN!$G$3:$G$7),"")</f>
        <v/>
      </c>
      <c r="I25" s="222"/>
      <c r="J25" s="104"/>
    </row>
    <row r="26" spans="1:10" ht="21.05" customHeight="1">
      <c r="A26" s="205" t="str" cm="1">
        <f t="array" aca="1" ref="A26" ca="1">IF(COUNTA(SEMAINES)&gt;=ROWS($11:24),INDEX(FACTURE!$A$13:$A$36,SMALL(IF(SEMAINES&gt;0,ROW(SEMAINES)-12),ROWS($11:24))),"")</f>
        <v/>
      </c>
      <c r="B26" s="206"/>
      <c r="C26" s="207"/>
      <c r="D26" s="217" t="str" cm="1">
        <f t="array" aca="1" ref="D26" ca="1">IF(A26="","",INDEX(SEMAINES,SMALL(IF(SEMAINES&gt;0,ROW(SEMAINES)-12),ROWS($11:24))))</f>
        <v/>
      </c>
      <c r="E26" s="217"/>
      <c r="F26" s="219" t="str">
        <f>IFERROR(_xlfn.XLOOKUP(J26,[1]CHEMIN!$E$3:$E$7,[1]CHEMIN!$F$3:$F$7),"")</f>
        <v/>
      </c>
      <c r="G26" s="220"/>
      <c r="H26" s="223" t="str">
        <f>IFERROR(_xlfn.XLOOKUP(J26,[1]CHEMIN!$E$3:$E$7,[1]CHEMIN!$G$3:$G$7),"")</f>
        <v/>
      </c>
      <c r="I26" s="224"/>
      <c r="J26" s="104"/>
    </row>
    <row r="27" spans="1:10" ht="21.05" customHeight="1">
      <c r="A27" s="184" t="str" cm="1">
        <f t="array" aca="1" ref="A27" ca="1">IF(COUNTA(SEMAINES)&gt;=ROWS($11:25),INDEX(FACTURE!$A$13:$A$36,SMALL(IF(SEMAINES&gt;0,ROW(SEMAINES)-12),ROWS($11:25))),"")</f>
        <v/>
      </c>
      <c r="B27" s="185"/>
      <c r="C27" s="186"/>
      <c r="D27" s="218" t="str" cm="1">
        <f t="array" aca="1" ref="D27" ca="1">IF(A27="","",INDEX(SEMAINES,SMALL(IF(SEMAINES&gt;0,ROW(SEMAINES)-12),ROWS($11:25))))</f>
        <v/>
      </c>
      <c r="E27" s="218"/>
      <c r="F27" s="215" t="str">
        <f>IFERROR(_xlfn.XLOOKUP(J27,[1]CHEMIN!$E$3:$E$7,[1]CHEMIN!$F$3:$F$7),"")</f>
        <v/>
      </c>
      <c r="G27" s="216"/>
      <c r="H27" s="221" t="str">
        <f>IFERROR(_xlfn.XLOOKUP(J27,[1]CHEMIN!$E$3:$E$7,[1]CHEMIN!$G$3:$G$7),"")</f>
        <v/>
      </c>
      <c r="I27" s="222"/>
      <c r="J27" s="104"/>
    </row>
    <row r="28" spans="1:10" ht="21.05" customHeight="1">
      <c r="A28" s="205" t="str" cm="1">
        <f t="array" aca="1" ref="A28" ca="1">IF(COUNTA(SEMAINES)&gt;=ROWS($11:26),INDEX(FACTURE!$A$13:$A$36,SMALL(IF(SEMAINES&gt;0,ROW(SEMAINES)-12),ROWS($11:26))),"")</f>
        <v/>
      </c>
      <c r="B28" s="206"/>
      <c r="C28" s="207"/>
      <c r="D28" s="217" t="str" cm="1">
        <f t="array" aca="1" ref="D28" ca="1">IF(A28="","",INDEX(SEMAINES,SMALL(IF(SEMAINES&gt;0,ROW(SEMAINES)-12),ROWS($11:26))))</f>
        <v/>
      </c>
      <c r="E28" s="217"/>
      <c r="F28" s="219" t="str">
        <f>IFERROR(_xlfn.XLOOKUP(J28,[1]CHEMIN!$E$3:$E$7,[1]CHEMIN!$F$3:$F$7),"")</f>
        <v/>
      </c>
      <c r="G28" s="220"/>
      <c r="H28" s="223" t="str">
        <f>IFERROR(_xlfn.XLOOKUP(J28,[1]CHEMIN!$E$3:$E$7,[1]CHEMIN!$G$3:$G$7),"")</f>
        <v/>
      </c>
      <c r="I28" s="224"/>
      <c r="J28" s="104"/>
    </row>
    <row r="29" spans="1:10" ht="21.05" customHeight="1">
      <c r="A29" s="184" t="str" cm="1">
        <f t="array" aca="1" ref="A29" ca="1">IF(COUNTA(SEMAINES)&gt;=ROWS($11:27),INDEX(FACTURE!$A$13:$A$36,SMALL(IF(SEMAINES&gt;0,ROW(SEMAINES)-12),ROWS($11:27))),"")</f>
        <v/>
      </c>
      <c r="B29" s="185"/>
      <c r="C29" s="186"/>
      <c r="D29" s="218" t="str" cm="1">
        <f t="array" aca="1" ref="D29" ca="1">IF(A29="","",INDEX(SEMAINES,SMALL(IF(SEMAINES&gt;0,ROW(SEMAINES)-12),ROWS($11:27))))</f>
        <v/>
      </c>
      <c r="E29" s="218"/>
      <c r="F29" s="215" t="str">
        <f>IFERROR(_xlfn.XLOOKUP(J29,[1]CHEMIN!$E$3:$E$7,[1]CHEMIN!$F$3:$F$7),"")</f>
        <v/>
      </c>
      <c r="G29" s="216"/>
      <c r="H29" s="221" t="str">
        <f>IFERROR(_xlfn.XLOOKUP(J29,[1]CHEMIN!$E$3:$E$7,[1]CHEMIN!$G$3:$G$7),"")</f>
        <v/>
      </c>
      <c r="I29" s="222"/>
      <c r="J29" s="104"/>
    </row>
    <row r="30" spans="1:10" ht="21.05" customHeight="1">
      <c r="A30" s="205" t="str" cm="1">
        <f t="array" aca="1" ref="A30" ca="1">IF(COUNTA(SEMAINES)&gt;=ROWS($11:28),INDEX(FACTURE!$A$13:$A$36,SMALL(IF(SEMAINES&gt;0,ROW(SEMAINES)-12),ROWS($11:28))),"")</f>
        <v/>
      </c>
      <c r="B30" s="206"/>
      <c r="C30" s="207"/>
      <c r="D30" s="217" t="str" cm="1">
        <f t="array" aca="1" ref="D30" ca="1">IF(A30="","",INDEX(SEMAINES,SMALL(IF(SEMAINES&gt;0,ROW(SEMAINES)-12),ROWS($11:28))))</f>
        <v/>
      </c>
      <c r="E30" s="217"/>
      <c r="F30" s="219" t="str">
        <f>IFERROR(_xlfn.XLOOKUP(J30,[1]CHEMIN!$E$3:$E$7,[1]CHEMIN!$F$3:$F$7),"")</f>
        <v/>
      </c>
      <c r="G30" s="220"/>
      <c r="H30" s="223" t="str">
        <f>IFERROR(_xlfn.XLOOKUP(J30,[1]CHEMIN!$E$3:$E$7,[1]CHEMIN!$G$3:$G$7),"")</f>
        <v/>
      </c>
      <c r="I30" s="224"/>
      <c r="J30" s="104"/>
    </row>
    <row r="31" spans="1:10" ht="21.05" customHeight="1">
      <c r="A31" s="184" t="str" cm="1">
        <f t="array" aca="1" ref="A31" ca="1">IF(COUNTA(SEMAINES)&gt;=ROWS($11:29),INDEX(FACTURE!$A$13:$A$36,SMALL(IF(SEMAINES&gt;0,ROW(SEMAINES)-12),ROWS($11:29))),"")</f>
        <v/>
      </c>
      <c r="B31" s="185"/>
      <c r="C31" s="186"/>
      <c r="D31" s="218" t="str" cm="1">
        <f t="array" aca="1" ref="D31" ca="1">IF(A31="","",INDEX(SEMAINES,SMALL(IF(SEMAINES&gt;0,ROW(SEMAINES)-12),ROWS($11:29))))</f>
        <v/>
      </c>
      <c r="E31" s="218"/>
      <c r="F31" s="215" t="str">
        <f>IFERROR(_xlfn.XLOOKUP(J31,[1]CHEMIN!$E$3:$E$7,[1]CHEMIN!$F$3:$F$7),"")</f>
        <v/>
      </c>
      <c r="G31" s="216"/>
      <c r="H31" s="221" t="str">
        <f>IFERROR(_xlfn.XLOOKUP(J31,[1]CHEMIN!$E$3:$E$7,[1]CHEMIN!$G$3:$G$7),"")</f>
        <v/>
      </c>
      <c r="I31" s="222"/>
      <c r="J31" s="104"/>
    </row>
    <row r="32" spans="1:10" ht="21.05" customHeight="1">
      <c r="A32" s="205" t="str" cm="1">
        <f t="array" aca="1" ref="A32" ca="1">IF(COUNTA(SEMAINES)&gt;=ROWS($11:30),INDEX(FACTURE!$A$13:$A$36,SMALL(IF(SEMAINES&gt;0,ROW(SEMAINES)-12),ROWS($11:30))),"")</f>
        <v/>
      </c>
      <c r="B32" s="206"/>
      <c r="C32" s="207"/>
      <c r="D32" s="217" t="str" cm="1">
        <f t="array" aca="1" ref="D32" ca="1">IF(A32="","",INDEX(SEMAINES,SMALL(IF(SEMAINES&gt;0,ROW(SEMAINES)-12),ROWS($11:30))))</f>
        <v/>
      </c>
      <c r="E32" s="217"/>
      <c r="F32" s="219" t="str">
        <f>IFERROR(_xlfn.XLOOKUP(J32,[1]CHEMIN!$E$3:$E$7,[1]CHEMIN!$F$3:$F$7),"")</f>
        <v/>
      </c>
      <c r="G32" s="220"/>
      <c r="H32" s="223" t="str">
        <f>IFERROR(_xlfn.XLOOKUP(J32,[1]CHEMIN!$E$3:$E$7,[1]CHEMIN!$G$3:$G$7),"")</f>
        <v/>
      </c>
      <c r="I32" s="224"/>
      <c r="J32" s="104"/>
    </row>
    <row r="33" spans="2:8" ht="29.95" customHeight="1"/>
    <row r="34" spans="2:8" ht="31.55" customHeight="1">
      <c r="B34" s="187" t="s">
        <v>28</v>
      </c>
      <c r="C34" s="187"/>
      <c r="D34" s="188"/>
      <c r="F34" s="187" t="s">
        <v>10</v>
      </c>
      <c r="G34" s="187"/>
      <c r="H34" s="188"/>
    </row>
    <row r="35" spans="2:8" ht="31.55" customHeight="1">
      <c r="B35" s="189">
        <f>COUNTA(J13:J32)</f>
        <v>0</v>
      </c>
      <c r="C35" s="189"/>
      <c r="D35" s="189"/>
      <c r="F35" s="182">
        <f ca="1">SUM(D13:E32)</f>
        <v>0</v>
      </c>
      <c r="G35" s="183"/>
      <c r="H35" s="101" t="s">
        <v>29</v>
      </c>
    </row>
  </sheetData>
  <mergeCells count="101">
    <mergeCell ref="F26:G26"/>
    <mergeCell ref="F27:G27"/>
    <mergeCell ref="D22:E22"/>
    <mergeCell ref="D23:E23"/>
    <mergeCell ref="D24:E24"/>
    <mergeCell ref="D25:E25"/>
    <mergeCell ref="D26:E26"/>
    <mergeCell ref="H32:I32"/>
    <mergeCell ref="F34:H34"/>
    <mergeCell ref="H26:I26"/>
    <mergeCell ref="H27:I27"/>
    <mergeCell ref="H28:I28"/>
    <mergeCell ref="H29:I29"/>
    <mergeCell ref="H30:I30"/>
    <mergeCell ref="H31:I31"/>
    <mergeCell ref="F28:G28"/>
    <mergeCell ref="F29:G29"/>
    <mergeCell ref="F30:G30"/>
    <mergeCell ref="F31:G31"/>
    <mergeCell ref="F32:G32"/>
    <mergeCell ref="D28:E28"/>
    <mergeCell ref="D29:E29"/>
    <mergeCell ref="F20:G20"/>
    <mergeCell ref="H19:I19"/>
    <mergeCell ref="F22:G22"/>
    <mergeCell ref="F23:G23"/>
    <mergeCell ref="F24:G24"/>
    <mergeCell ref="F25:G25"/>
    <mergeCell ref="F21:G21"/>
    <mergeCell ref="H14:I14"/>
    <mergeCell ref="H15:I15"/>
    <mergeCell ref="H16:I16"/>
    <mergeCell ref="H17:I17"/>
    <mergeCell ref="H18:I18"/>
    <mergeCell ref="H20:I20"/>
    <mergeCell ref="H21:I21"/>
    <mergeCell ref="H22:I22"/>
    <mergeCell ref="H23:I23"/>
    <mergeCell ref="H24:I24"/>
    <mergeCell ref="H25:I25"/>
    <mergeCell ref="F16:G16"/>
    <mergeCell ref="F17:G17"/>
    <mergeCell ref="F18:G18"/>
    <mergeCell ref="F19:G19"/>
    <mergeCell ref="A28:C28"/>
    <mergeCell ref="A29:C29"/>
    <mergeCell ref="A30:C30"/>
    <mergeCell ref="A31:C31"/>
    <mergeCell ref="A32:C32"/>
    <mergeCell ref="D27:E27"/>
    <mergeCell ref="D16:E16"/>
    <mergeCell ref="D17:E17"/>
    <mergeCell ref="D18:E18"/>
    <mergeCell ref="D19:E19"/>
    <mergeCell ref="D20:E20"/>
    <mergeCell ref="D21:E21"/>
    <mergeCell ref="D30:E30"/>
    <mergeCell ref="D31:E31"/>
    <mergeCell ref="D32:E32"/>
    <mergeCell ref="A22:C22"/>
    <mergeCell ref="A21:C21"/>
    <mergeCell ref="A16:C16"/>
    <mergeCell ref="A17:C17"/>
    <mergeCell ref="A18:C18"/>
    <mergeCell ref="A19:C19"/>
    <mergeCell ref="A20:C20"/>
    <mergeCell ref="F12:G12"/>
    <mergeCell ref="H12:I12"/>
    <mergeCell ref="D13:E13"/>
    <mergeCell ref="F13:G13"/>
    <mergeCell ref="A14:C14"/>
    <mergeCell ref="A15:C15"/>
    <mergeCell ref="D14:E14"/>
    <mergeCell ref="D15:E15"/>
    <mergeCell ref="F14:G14"/>
    <mergeCell ref="F15:G15"/>
    <mergeCell ref="H13:I13"/>
    <mergeCell ref="F35:G35"/>
    <mergeCell ref="A13:C13"/>
    <mergeCell ref="B34:D34"/>
    <mergeCell ref="B35:D35"/>
    <mergeCell ref="A6:E6"/>
    <mergeCell ref="A7:E7"/>
    <mergeCell ref="A8:E8"/>
    <mergeCell ref="A1:D1"/>
    <mergeCell ref="F1:I1"/>
    <mergeCell ref="G5:I5"/>
    <mergeCell ref="G3:I3"/>
    <mergeCell ref="G4:I4"/>
    <mergeCell ref="A3:E3"/>
    <mergeCell ref="A4:E4"/>
    <mergeCell ref="A5:E5"/>
    <mergeCell ref="A27:C27"/>
    <mergeCell ref="G6:I6"/>
    <mergeCell ref="G7:I7"/>
    <mergeCell ref="A23:C23"/>
    <mergeCell ref="A24:C24"/>
    <mergeCell ref="A25:C25"/>
    <mergeCell ref="A26:C26"/>
    <mergeCell ref="A12:C12"/>
    <mergeCell ref="D12:E12"/>
  </mergeCells>
  <dataValidations count="2">
    <dataValidation type="list" allowBlank="1" showInputMessage="1" showErrorMessage="1" sqref="L8" xr:uid="{CEA1CB2C-E8D9-442C-8E9C-115D6AD05613}">
      <formula1>"BL1,BL2,BL3,BL4,BL5"</formula1>
    </dataValidation>
    <dataValidation type="list" allowBlank="1" showInputMessage="1" sqref="J13:J32" xr:uid="{F133FBDA-7780-4CF2-A1E4-DDCB61B4615D}">
      <formula1>Categorie</formula1>
    </dataValidation>
  </dataValidations>
  <pageMargins left="0.31496062992125984" right="0.31496062992125984" top="0.35433070866141736" bottom="0.35433070866141736" header="0.31496062992125984" footer="0.31496062992125984"/>
  <pageSetup paperSize="9" orientation="portrait" horizontalDpi="0" verticalDpi="0" r:id="rId1"/>
  <ignoredErrors>
    <ignoredError sqref="G3:I3 A14:E32 G5:I7 F13:G32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F8C39-1F39-4923-AA5F-89B2C24DFD2B}">
  <sheetPr codeName="Feuil3">
    <tabColor rgb="FFFF0000"/>
  </sheetPr>
  <dimension ref="A1:O28"/>
  <sheetViews>
    <sheetView showZeros="0" zoomScaleNormal="100" workbookViewId="0">
      <selection activeCell="E24" sqref="E24:I24"/>
    </sheetView>
  </sheetViews>
  <sheetFormatPr baseColWidth="10" defaultColWidth="11.3984375" defaultRowHeight="14.4"/>
  <cols>
    <col min="1" max="1" width="11.3984375" style="21" customWidth="1"/>
    <col min="2" max="2" width="11.3984375" style="21"/>
    <col min="3" max="9" width="10.59765625" style="21" customWidth="1"/>
    <col min="10" max="10" width="3.8984375" style="21" customWidth="1"/>
    <col min="11" max="11" width="2.8984375" style="21" customWidth="1"/>
    <col min="12" max="12" width="23.09765625" style="21" customWidth="1"/>
    <col min="13" max="13" width="5.69921875" style="21" customWidth="1"/>
    <col min="14" max="14" width="8.3984375" style="23" hidden="1" customWidth="1"/>
    <col min="15" max="15" width="10.59765625" style="23" customWidth="1"/>
    <col min="16" max="16" width="9.8984375" style="21" customWidth="1"/>
    <col min="17" max="17" width="8.09765625" style="21" customWidth="1"/>
    <col min="18" max="16384" width="11.3984375" style="21"/>
  </cols>
  <sheetData>
    <row r="1" spans="1:15" ht="57.75" customHeight="1">
      <c r="A1" s="195"/>
      <c r="B1" s="191"/>
      <c r="C1" s="191"/>
      <c r="D1" s="191"/>
      <c r="F1" s="233" t="s">
        <v>46</v>
      </c>
      <c r="G1" s="234"/>
      <c r="H1" s="234"/>
      <c r="I1" s="234"/>
      <c r="K1" s="22"/>
      <c r="N1" s="64" t="str">
        <f>[1]CHEMIN!$C$8</f>
        <v>C:\FACTURE\PDF\AVOIR\</v>
      </c>
    </row>
    <row r="2" spans="1:15">
      <c r="N2" s="65">
        <f>_xlfn.ISOWEEKNUM(H9)</f>
        <v>52</v>
      </c>
    </row>
    <row r="3" spans="1:15" ht="15" customHeight="1">
      <c r="A3" s="201"/>
      <c r="B3" s="191"/>
      <c r="C3" s="191"/>
      <c r="D3" s="191"/>
      <c r="E3" s="191"/>
      <c r="F3" s="84" t="s">
        <v>22</v>
      </c>
      <c r="G3" s="230" t="str">
        <f>FACTURE!F3</f>
        <v>39</v>
      </c>
      <c r="H3" s="235"/>
      <c r="I3" s="235"/>
    </row>
    <row r="4" spans="1:15" ht="15" customHeight="1">
      <c r="A4" s="201"/>
      <c r="B4" s="191"/>
      <c r="C4" s="191"/>
      <c r="D4" s="191"/>
      <c r="E4" s="191"/>
      <c r="F4" s="84" t="s">
        <v>19</v>
      </c>
      <c r="G4" s="230" t="str">
        <f>FACTURE!F4</f>
        <v>DIPED LES ALANIERS</v>
      </c>
      <c r="H4" s="230"/>
      <c r="I4" s="230"/>
      <c r="K4" s="22"/>
      <c r="O4" s="49"/>
    </row>
    <row r="5" spans="1:15" ht="15" customHeight="1">
      <c r="A5" s="202"/>
      <c r="B5" s="191"/>
      <c r="C5" s="191"/>
      <c r="D5" s="191"/>
      <c r="E5" s="191"/>
      <c r="F5" s="84" t="s">
        <v>16</v>
      </c>
      <c r="G5" s="230" t="str">
        <f>FACTURE!F5</f>
        <v>5 Chemin de la Providence</v>
      </c>
      <c r="H5" s="230"/>
      <c r="I5" s="230"/>
    </row>
    <row r="6" spans="1:15" ht="15" customHeight="1">
      <c r="A6" s="190"/>
      <c r="B6" s="191"/>
      <c r="C6" s="191"/>
      <c r="D6" s="191"/>
      <c r="E6" s="191"/>
      <c r="F6" s="84" t="s">
        <v>20</v>
      </c>
      <c r="G6" s="230" t="str">
        <f>FACTURE!F6</f>
        <v>01000 BOURG EN BRESSE</v>
      </c>
      <c r="H6" s="230"/>
      <c r="I6" s="230"/>
    </row>
    <row r="7" spans="1:15" ht="15" customHeight="1">
      <c r="A7" s="192"/>
      <c r="B7" s="191"/>
      <c r="C7" s="191"/>
      <c r="D7" s="191"/>
      <c r="E7" s="191"/>
      <c r="F7" s="84" t="s">
        <v>18</v>
      </c>
      <c r="G7" s="231" t="str">
        <f>FACTURE!F7</f>
        <v>06 98 21 73 13</v>
      </c>
      <c r="H7" s="232"/>
      <c r="I7" s="232"/>
    </row>
    <row r="8" spans="1:15" ht="15" customHeight="1">
      <c r="A8" s="229"/>
      <c r="B8" s="191"/>
      <c r="C8" s="191"/>
      <c r="D8" s="191"/>
      <c r="E8" s="191"/>
    </row>
    <row r="9" spans="1:15">
      <c r="F9" s="84" t="s">
        <v>13</v>
      </c>
      <c r="G9" s="85"/>
      <c r="H9" s="75"/>
      <c r="I9" s="86"/>
    </row>
    <row r="10" spans="1:15">
      <c r="F10" s="84" t="s">
        <v>14</v>
      </c>
      <c r="G10" s="87"/>
      <c r="H10" s="88" t="str">
        <f ca="1">"AV-S"&amp;N2&amp;"-"&amp;FACTURE!N5&amp;"-"&amp;FACTURE!N8</f>
        <v>AV-S52-DIPED LES ALANIERS-2023</v>
      </c>
      <c r="I10" s="86"/>
    </row>
    <row r="11" spans="1:15" ht="23.2" customHeight="1">
      <c r="H11" s="24"/>
      <c r="N11" s="25" t="s">
        <v>50</v>
      </c>
    </row>
    <row r="12" spans="1:15" ht="21.05" customHeight="1" thickBot="1">
      <c r="H12" s="24"/>
      <c r="N12" s="26">
        <v>5.5E-2</v>
      </c>
    </row>
    <row r="13" spans="1:15" ht="26.25" customHeight="1" thickBot="1">
      <c r="A13" s="225" t="str">
        <f ca="1">"Avoir sur la facture n° "&amp;FACTURE!G10&amp;" du"</f>
        <v>Avoir sur la facture n° FAC-39-S1-DIPED LES ALANIERS-2023 du</v>
      </c>
      <c r="B13" s="226"/>
      <c r="C13" s="226"/>
      <c r="D13" s="226"/>
      <c r="E13" s="226"/>
      <c r="F13" s="226"/>
      <c r="G13" s="226"/>
      <c r="H13" s="227">
        <f>FACTURE!G9</f>
        <v>44933.690532407411</v>
      </c>
      <c r="I13" s="228"/>
      <c r="N13" s="27" t="s">
        <v>54</v>
      </c>
    </row>
    <row r="14" spans="1:15" ht="23.2" customHeight="1">
      <c r="H14" s="24"/>
      <c r="N14" s="25" t="s">
        <v>52</v>
      </c>
    </row>
    <row r="15" spans="1:15" ht="21.05" customHeight="1">
      <c r="A15" s="208" t="s">
        <v>47</v>
      </c>
      <c r="B15" s="209"/>
      <c r="C15" s="209"/>
      <c r="D15" s="209"/>
      <c r="E15" s="209"/>
      <c r="F15" s="210"/>
      <c r="G15" s="28" t="s">
        <v>49</v>
      </c>
      <c r="H15" s="29" t="s">
        <v>50</v>
      </c>
      <c r="I15" s="30" t="s">
        <v>51</v>
      </c>
      <c r="N15" s="17">
        <v>100</v>
      </c>
    </row>
    <row r="16" spans="1:15" ht="21.05" customHeight="1">
      <c r="A16" s="236" t="s">
        <v>48</v>
      </c>
      <c r="B16" s="237"/>
      <c r="C16" s="237"/>
      <c r="D16" s="237"/>
      <c r="E16" s="237"/>
      <c r="F16" s="238"/>
      <c r="G16" s="43">
        <v>1</v>
      </c>
      <c r="H16" s="44">
        <v>5.5E-2</v>
      </c>
      <c r="I16" s="110">
        <v>0</v>
      </c>
      <c r="N16" s="31" t="s">
        <v>53</v>
      </c>
    </row>
    <row r="17" spans="1:15" ht="21.05" customHeight="1">
      <c r="A17" s="32">
        <f>FACTURE!A14</f>
        <v>0</v>
      </c>
      <c r="B17" s="32"/>
      <c r="C17" s="32"/>
      <c r="D17" s="33">
        <f>FACTURE!B14</f>
        <v>0</v>
      </c>
      <c r="E17" s="33"/>
      <c r="F17" s="34"/>
      <c r="G17" s="34"/>
      <c r="H17" s="35"/>
      <c r="I17" s="35"/>
      <c r="N17" s="36">
        <f>N15/(N12+1)</f>
        <v>94.786729857819907</v>
      </c>
    </row>
    <row r="18" spans="1:15" ht="15" thickBot="1"/>
    <row r="19" spans="1:15" ht="16.149999999999999">
      <c r="A19" s="251" t="s">
        <v>15</v>
      </c>
      <c r="B19" s="252"/>
      <c r="C19" s="253"/>
      <c r="F19" s="239" t="s">
        <v>7</v>
      </c>
      <c r="G19" s="240"/>
      <c r="H19" s="254" t="str">
        <f>I16&amp;" €"</f>
        <v>0 €</v>
      </c>
      <c r="I19" s="254"/>
    </row>
    <row r="20" spans="1:15">
      <c r="A20" s="248"/>
      <c r="B20" s="249"/>
      <c r="C20" s="250"/>
      <c r="F20" s="35"/>
      <c r="G20" s="37"/>
      <c r="I20" s="35"/>
    </row>
    <row r="21" spans="1:15" ht="16.149999999999999">
      <c r="A21" s="242"/>
      <c r="B21" s="243"/>
      <c r="C21" s="244"/>
      <c r="F21" s="239" t="s">
        <v>50</v>
      </c>
      <c r="G21" s="240"/>
      <c r="H21" s="241">
        <f>SUM(H19*5.5%)</f>
        <v>0</v>
      </c>
      <c r="I21" s="241"/>
    </row>
    <row r="22" spans="1:15" ht="15" thickBot="1">
      <c r="A22" s="245"/>
      <c r="B22" s="246"/>
      <c r="C22" s="247"/>
      <c r="F22" s="35"/>
      <c r="G22" s="24"/>
      <c r="I22" s="35"/>
      <c r="O22" s="50"/>
    </row>
    <row r="23" spans="1:15" ht="16.149999999999999">
      <c r="D23" s="38"/>
      <c r="E23" s="38"/>
      <c r="F23" s="239" t="s">
        <v>8</v>
      </c>
      <c r="G23" s="240"/>
      <c r="H23" s="241">
        <f>SUM(H19+H21)</f>
        <v>0</v>
      </c>
      <c r="I23" s="241"/>
    </row>
    <row r="24" spans="1:15">
      <c r="A24" s="39"/>
      <c r="B24" s="40"/>
      <c r="C24" s="41"/>
      <c r="D24" s="42"/>
      <c r="E24" s="166" t="s">
        <v>121</v>
      </c>
      <c r="F24" s="148"/>
      <c r="G24" s="148"/>
      <c r="H24" s="148"/>
      <c r="I24" s="148"/>
    </row>
    <row r="25" spans="1:15">
      <c r="A25" s="39"/>
      <c r="B25" s="40"/>
      <c r="C25" s="41"/>
      <c r="D25" s="41"/>
      <c r="E25" s="163" t="str" cm="1">
        <f t="array" ref="E25">ChiffreLettre(H23)</f>
        <v/>
      </c>
      <c r="F25" s="163"/>
      <c r="G25" s="163"/>
      <c r="H25" s="163"/>
      <c r="I25" s="163"/>
    </row>
    <row r="26" spans="1:15">
      <c r="A26" s="39"/>
      <c r="B26" s="40"/>
      <c r="C26" s="41"/>
      <c r="D26" s="41"/>
    </row>
    <row r="27" spans="1:15" ht="16.149999999999999">
      <c r="A27" s="39"/>
      <c r="B27" s="40"/>
      <c r="C27" s="41"/>
      <c r="D27" s="41"/>
      <c r="E27" s="120" t="s">
        <v>55</v>
      </c>
      <c r="F27" s="57"/>
      <c r="G27" s="56"/>
      <c r="H27" s="56"/>
      <c r="I27" s="56"/>
    </row>
    <row r="28" spans="1:15" ht="16.149999999999999">
      <c r="A28" s="39"/>
      <c r="B28" s="40"/>
      <c r="C28" s="41"/>
      <c r="D28" s="41"/>
      <c r="E28" s="120" t="s">
        <v>11</v>
      </c>
      <c r="F28" s="57"/>
      <c r="G28" s="56"/>
      <c r="H28" s="56"/>
      <c r="I28" s="56"/>
    </row>
  </sheetData>
  <mergeCells count="29">
    <mergeCell ref="E24:I24"/>
    <mergeCell ref="E25:I25"/>
    <mergeCell ref="A20:C20"/>
    <mergeCell ref="A19:C19"/>
    <mergeCell ref="F19:G19"/>
    <mergeCell ref="H19:I19"/>
    <mergeCell ref="A15:F15"/>
    <mergeCell ref="A16:F16"/>
    <mergeCell ref="F23:G23"/>
    <mergeCell ref="H23:I23"/>
    <mergeCell ref="A21:C21"/>
    <mergeCell ref="F21:G21"/>
    <mergeCell ref="H21:I21"/>
    <mergeCell ref="A22:C22"/>
    <mergeCell ref="A1:D1"/>
    <mergeCell ref="F1:I1"/>
    <mergeCell ref="A3:E3"/>
    <mergeCell ref="G3:I3"/>
    <mergeCell ref="A4:E4"/>
    <mergeCell ref="G4:I4"/>
    <mergeCell ref="A13:G13"/>
    <mergeCell ref="H13:I13"/>
    <mergeCell ref="A8:E8"/>
    <mergeCell ref="A5:E5"/>
    <mergeCell ref="G5:I5"/>
    <mergeCell ref="A6:E6"/>
    <mergeCell ref="G6:I6"/>
    <mergeCell ref="A7:E7"/>
    <mergeCell ref="G7:I7"/>
  </mergeCells>
  <pageMargins left="0.31496062992125984" right="0.31496062992125984" top="0.35433070866141736" bottom="0.35433070866141736" header="0.31496062992125984" footer="0.31496062992125984"/>
  <pageSetup paperSize="9" orientation="portrait" horizontalDpi="0" verticalDpi="0" r:id="rId1"/>
  <ignoredErrors>
    <ignoredError xmlns:x16r3="http://schemas.microsoft.com/office/spreadsheetml/2018/08/main" sqref="G4" x16r3:misleadingFormat="1"/>
    <ignoredError sqref="A17 D17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FF411-16D2-4583-B0D6-356FB91058A2}">
  <sheetPr codeName="Feuil6"/>
  <dimension ref="A1:O40"/>
  <sheetViews>
    <sheetView showGridLines="0" workbookViewId="0">
      <selection activeCell="A4" sqref="A4"/>
    </sheetView>
  </sheetViews>
  <sheetFormatPr baseColWidth="10" defaultRowHeight="14.4"/>
  <cols>
    <col min="1" max="1" width="6.8984375" bestFit="1" customWidth="1"/>
    <col min="2" max="2" width="39.8984375" bestFit="1" customWidth="1"/>
    <col min="3" max="3" width="11.8984375" bestFit="1" customWidth="1"/>
    <col min="4" max="4" width="21.296875" bestFit="1" customWidth="1"/>
    <col min="5" max="5" width="26.69921875" bestFit="1" customWidth="1"/>
    <col min="6" max="6" width="14.296875" bestFit="1" customWidth="1"/>
    <col min="7" max="7" width="10.09765625" bestFit="1" customWidth="1"/>
    <col min="8" max="8" width="11.59765625" hidden="1" customWidth="1"/>
    <col min="9" max="9" width="29.3984375" hidden="1" customWidth="1"/>
    <col min="10" max="10" width="15.8984375" bestFit="1" customWidth="1"/>
    <col min="11" max="11" width="13.09765625" customWidth="1"/>
    <col min="12" max="12" width="15.8984375" bestFit="1" customWidth="1"/>
    <col min="13" max="13" width="12.09765625" customWidth="1"/>
    <col min="14" max="14" width="7.69921875" customWidth="1"/>
    <col min="15" max="15" width="6.296875" style="9" hidden="1" customWidth="1"/>
  </cols>
  <sheetData>
    <row r="1" spans="1:15" ht="15" thickBot="1">
      <c r="A1" s="9" t="s">
        <v>159</v>
      </c>
      <c r="B1" s="9" t="s">
        <v>31</v>
      </c>
      <c r="C1" s="9" t="s">
        <v>32</v>
      </c>
      <c r="D1" s="9" t="s">
        <v>33</v>
      </c>
      <c r="E1" s="9" t="s">
        <v>34</v>
      </c>
      <c r="F1" s="9" t="s">
        <v>35</v>
      </c>
      <c r="G1" s="9" t="s">
        <v>160</v>
      </c>
      <c r="H1" s="9" t="s">
        <v>161</v>
      </c>
      <c r="I1" s="9" t="s">
        <v>162</v>
      </c>
      <c r="J1" s="9" t="s">
        <v>163</v>
      </c>
      <c r="L1" s="132" t="s">
        <v>36</v>
      </c>
      <c r="M1" s="133">
        <v>39</v>
      </c>
      <c r="O1" s="9" t="s">
        <v>153</v>
      </c>
    </row>
    <row r="2" spans="1:15">
      <c r="A2" s="9" t="s">
        <v>155</v>
      </c>
      <c r="B2" t="s">
        <v>217</v>
      </c>
      <c r="C2" s="1">
        <v>23</v>
      </c>
      <c r="D2" t="s">
        <v>218</v>
      </c>
      <c r="E2" t="s">
        <v>182</v>
      </c>
      <c r="F2" s="10" t="s">
        <v>219</v>
      </c>
      <c r="H2" t="str">
        <f t="shared" ref="H2:H40" si="0">SUBSTITUTE(B2,"'","")</f>
        <v>ABC</v>
      </c>
      <c r="I2" t="str">
        <f t="shared" ref="I2:I40" si="1">SUBSTITUTE(H2," ","")</f>
        <v>ABC</v>
      </c>
      <c r="J2" s="1" t="str">
        <f t="shared" ref="J2:J40" si="2">MID(I2,1,12)</f>
        <v>ABC</v>
      </c>
      <c r="O2" s="9" t="s">
        <v>155</v>
      </c>
    </row>
    <row r="3" spans="1:15">
      <c r="A3" s="9" t="s">
        <v>153</v>
      </c>
      <c r="B3" t="s">
        <v>127</v>
      </c>
      <c r="C3" s="1">
        <v>33</v>
      </c>
      <c r="D3" t="s">
        <v>139</v>
      </c>
      <c r="E3" t="s">
        <v>128</v>
      </c>
      <c r="F3" s="10" t="s">
        <v>129</v>
      </c>
      <c r="H3" t="str">
        <f t="shared" si="0"/>
        <v>ACCA DE BEAURIERES</v>
      </c>
      <c r="I3" t="str">
        <f t="shared" si="1"/>
        <v>ACCADEBEAURIERES</v>
      </c>
      <c r="J3" s="1" t="str">
        <f t="shared" si="2"/>
        <v>ACCADEBEAURI</v>
      </c>
      <c r="O3" s="9" t="s">
        <v>157</v>
      </c>
    </row>
    <row r="4" spans="1:15">
      <c r="A4" s="9" t="s">
        <v>155</v>
      </c>
      <c r="B4" t="s">
        <v>211</v>
      </c>
      <c r="C4" s="1">
        <v>21</v>
      </c>
      <c r="D4" t="s">
        <v>212</v>
      </c>
      <c r="E4" t="s">
        <v>187</v>
      </c>
      <c r="F4" s="10" t="s">
        <v>213</v>
      </c>
      <c r="H4" t="str">
        <f t="shared" si="0"/>
        <v>AUBERGE LE DOMANIAL</v>
      </c>
      <c r="I4" t="str">
        <f t="shared" si="1"/>
        <v>AUBERGELEDOMANIAL</v>
      </c>
      <c r="J4" s="1" t="str">
        <f t="shared" si="2"/>
        <v>AUBERGELEDOM</v>
      </c>
    </row>
    <row r="5" spans="1:15">
      <c r="A5" s="9" t="s">
        <v>155</v>
      </c>
      <c r="B5" t="s">
        <v>214</v>
      </c>
      <c r="C5" s="1">
        <v>22</v>
      </c>
      <c r="D5" t="s">
        <v>215</v>
      </c>
      <c r="E5" t="s">
        <v>38</v>
      </c>
      <c r="F5" s="10" t="s">
        <v>216</v>
      </c>
      <c r="H5" t="str">
        <f t="shared" si="0"/>
        <v>AUX BONS PASSANT</v>
      </c>
      <c r="I5" t="str">
        <f t="shared" si="1"/>
        <v>AUXBONSPASSANT</v>
      </c>
      <c r="J5" s="1" t="str">
        <f t="shared" si="2"/>
        <v>AUXBONSPASSA</v>
      </c>
    </row>
    <row r="6" spans="1:15">
      <c r="A6" s="9" t="s">
        <v>155</v>
      </c>
      <c r="B6" t="s">
        <v>169</v>
      </c>
      <c r="C6" s="1">
        <v>24</v>
      </c>
      <c r="D6" t="s">
        <v>170</v>
      </c>
      <c r="E6" t="s">
        <v>194</v>
      </c>
      <c r="F6" s="10" t="s">
        <v>220</v>
      </c>
      <c r="H6" t="str">
        <f t="shared" si="0"/>
        <v>CAFE DE LA MAIRIE</v>
      </c>
      <c r="I6" t="str">
        <f t="shared" si="1"/>
        <v>CAFEDELAMAIRIE</v>
      </c>
      <c r="J6" s="1" t="str">
        <f t="shared" si="2"/>
        <v>CAFEDELAMAIR</v>
      </c>
    </row>
    <row r="7" spans="1:15">
      <c r="A7" s="9" t="s">
        <v>157</v>
      </c>
      <c r="B7" t="s">
        <v>169</v>
      </c>
      <c r="C7" s="1">
        <v>4</v>
      </c>
      <c r="D7" t="s">
        <v>170</v>
      </c>
      <c r="E7" t="s">
        <v>171</v>
      </c>
      <c r="F7" s="10" t="s">
        <v>220</v>
      </c>
      <c r="H7" t="str">
        <f t="shared" si="0"/>
        <v>CAFE DE LA MAIRIE</v>
      </c>
      <c r="I7" t="str">
        <f t="shared" si="1"/>
        <v>CAFEDELAMAIRIE</v>
      </c>
      <c r="J7" s="1" t="str">
        <f t="shared" si="2"/>
        <v>CAFEDELAMAIR</v>
      </c>
    </row>
    <row r="8" spans="1:15">
      <c r="A8" s="9" t="s">
        <v>155</v>
      </c>
      <c r="B8" t="s">
        <v>225</v>
      </c>
      <c r="C8" s="1">
        <v>27</v>
      </c>
      <c r="D8" t="s">
        <v>226</v>
      </c>
      <c r="E8" t="s">
        <v>227</v>
      </c>
      <c r="F8" s="10" t="s">
        <v>228</v>
      </c>
      <c r="H8" t="str">
        <f t="shared" si="0"/>
        <v>CAMPING LES ACCACIAS</v>
      </c>
      <c r="I8" t="str">
        <f t="shared" si="1"/>
        <v>CAMPINGLESACCACIAS</v>
      </c>
      <c r="J8" s="1" t="str">
        <f t="shared" si="2"/>
        <v>CAMPINGLESAC</v>
      </c>
    </row>
    <row r="9" spans="1:15">
      <c r="A9" s="9" t="s">
        <v>155</v>
      </c>
      <c r="B9" t="s">
        <v>205</v>
      </c>
      <c r="C9" s="1">
        <v>18</v>
      </c>
      <c r="D9" t="s">
        <v>206</v>
      </c>
      <c r="E9" t="s">
        <v>38</v>
      </c>
      <c r="F9" s="10" t="s">
        <v>239</v>
      </c>
      <c r="H9" t="str">
        <f t="shared" si="0"/>
        <v>CHEZ CHRISTINE</v>
      </c>
      <c r="I9" t="str">
        <f t="shared" si="1"/>
        <v>CHEZCHRISTINE</v>
      </c>
      <c r="J9" s="1" t="str">
        <f t="shared" si="2"/>
        <v>CHEZCHRISTIN</v>
      </c>
    </row>
    <row r="10" spans="1:15">
      <c r="A10" s="9" t="s">
        <v>157</v>
      </c>
      <c r="B10" t="s">
        <v>188</v>
      </c>
      <c r="C10" s="1">
        <v>11</v>
      </c>
      <c r="D10" t="s">
        <v>189</v>
      </c>
      <c r="E10" t="s">
        <v>190</v>
      </c>
      <c r="F10" s="9" t="s">
        <v>191</v>
      </c>
      <c r="H10" t="str">
        <f t="shared" si="0"/>
        <v>COMPTOIR PLUS</v>
      </c>
      <c r="I10" t="str">
        <f t="shared" si="1"/>
        <v>COMPTOIRPLUS</v>
      </c>
      <c r="J10" s="1" t="str">
        <f t="shared" si="2"/>
        <v>COMPTOIRPLUS</v>
      </c>
    </row>
    <row r="11" spans="1:15">
      <c r="A11" s="9" t="s">
        <v>153</v>
      </c>
      <c r="B11" t="s">
        <v>236</v>
      </c>
      <c r="C11" s="1">
        <v>37</v>
      </c>
      <c r="D11" t="s">
        <v>141</v>
      </c>
      <c r="E11" t="s">
        <v>142</v>
      </c>
      <c r="F11" s="10" t="s">
        <v>143</v>
      </c>
      <c r="H11" t="str">
        <f t="shared" si="0"/>
        <v>COOPÉRATIVE PLANTES AROMATIQUES DU DIOIS</v>
      </c>
      <c r="I11" t="str">
        <f t="shared" si="1"/>
        <v>COOPÉRATIVEPLANTESAROMATIQUESDUDIOIS</v>
      </c>
      <c r="J11" s="1" t="str">
        <f t="shared" si="2"/>
        <v>COOPÉRATIVEP</v>
      </c>
    </row>
    <row r="12" spans="1:15">
      <c r="A12" s="9" t="s">
        <v>155</v>
      </c>
      <c r="B12" t="s">
        <v>236</v>
      </c>
      <c r="C12" s="1">
        <v>30</v>
      </c>
      <c r="D12" t="s">
        <v>141</v>
      </c>
      <c r="E12" t="s">
        <v>142</v>
      </c>
      <c r="F12" s="10" t="s">
        <v>143</v>
      </c>
      <c r="H12" t="str">
        <f t="shared" si="0"/>
        <v>COOPÉRATIVE PLANTES AROMATIQUES DU DIOIS</v>
      </c>
      <c r="I12" t="str">
        <f t="shared" si="1"/>
        <v>COOPÉRATIVEPLANTESAROMATIQUESDUDIOIS</v>
      </c>
      <c r="J12" s="1" t="str">
        <f t="shared" si="2"/>
        <v>COOPÉRATIVEP</v>
      </c>
    </row>
    <row r="13" spans="1:15">
      <c r="A13" s="9" t="s">
        <v>155</v>
      </c>
      <c r="B13" t="s">
        <v>237</v>
      </c>
      <c r="C13" s="1">
        <v>31</v>
      </c>
      <c r="D13" t="s">
        <v>208</v>
      </c>
      <c r="E13" t="s">
        <v>38</v>
      </c>
      <c r="F13" s="10" t="s">
        <v>238</v>
      </c>
      <c r="H13" t="str">
        <f t="shared" si="0"/>
        <v>DEMURGER LESLIE</v>
      </c>
      <c r="I13" t="str">
        <f t="shared" si="1"/>
        <v>DEMURGERLESLIE</v>
      </c>
      <c r="J13" s="1" t="str">
        <f t="shared" si="2"/>
        <v>DEMURGERLESL</v>
      </c>
    </row>
    <row r="14" spans="1:15">
      <c r="A14" s="9" t="s">
        <v>153</v>
      </c>
      <c r="B14" t="s">
        <v>138</v>
      </c>
      <c r="C14" s="1">
        <v>36</v>
      </c>
      <c r="D14" t="s">
        <v>139</v>
      </c>
      <c r="E14" t="s">
        <v>38</v>
      </c>
      <c r="F14" s="10" t="s">
        <v>140</v>
      </c>
      <c r="H14" t="str">
        <f t="shared" si="0"/>
        <v>DIOT PASCAL</v>
      </c>
      <c r="I14" t="str">
        <f t="shared" si="1"/>
        <v>DIOTPASCAL</v>
      </c>
      <c r="J14" s="1" t="str">
        <f t="shared" si="2"/>
        <v>DIOTPASCAL</v>
      </c>
    </row>
    <row r="15" spans="1:15">
      <c r="A15" s="9" t="s">
        <v>153</v>
      </c>
      <c r="B15" t="s">
        <v>147</v>
      </c>
      <c r="C15" s="1">
        <v>39</v>
      </c>
      <c r="D15" t="s">
        <v>148</v>
      </c>
      <c r="E15" t="s">
        <v>149</v>
      </c>
      <c r="F15" s="10" t="s">
        <v>150</v>
      </c>
      <c r="H15" t="str">
        <f t="shared" si="0"/>
        <v>DIPED LES ALANIERS</v>
      </c>
      <c r="I15" t="str">
        <f t="shared" si="1"/>
        <v>DIPEDLESALANIERS</v>
      </c>
      <c r="J15" s="1" t="str">
        <f t="shared" si="2"/>
        <v>DIPEDLESALAN</v>
      </c>
    </row>
    <row r="16" spans="1:15">
      <c r="A16" s="9" t="s">
        <v>157</v>
      </c>
      <c r="B16" t="s">
        <v>192</v>
      </c>
      <c r="C16" s="1">
        <v>12</v>
      </c>
      <c r="D16" t="s">
        <v>193</v>
      </c>
      <c r="E16" t="s">
        <v>194</v>
      </c>
      <c r="F16" s="10" t="s">
        <v>195</v>
      </c>
      <c r="H16" t="str">
        <f t="shared" si="0"/>
        <v>DOMAINE DU MAUPAS</v>
      </c>
      <c r="I16" t="str">
        <f t="shared" si="1"/>
        <v>DOMAINEDUMAUPAS</v>
      </c>
      <c r="J16" s="1" t="str">
        <f t="shared" si="2"/>
        <v>DOMAINEDUMAU</v>
      </c>
    </row>
    <row r="17" spans="1:10">
      <c r="A17" s="9" t="s">
        <v>153</v>
      </c>
      <c r="B17" t="s">
        <v>144</v>
      </c>
      <c r="C17" s="1">
        <v>38</v>
      </c>
      <c r="D17" t="s">
        <v>151</v>
      </c>
      <c r="E17" t="s">
        <v>145</v>
      </c>
      <c r="F17" s="10" t="s">
        <v>146</v>
      </c>
      <c r="H17" t="str">
        <f t="shared" si="0"/>
        <v>EARL VERTACOCHON</v>
      </c>
      <c r="I17" t="str">
        <f t="shared" si="1"/>
        <v>EARLVERTACOCHON</v>
      </c>
      <c r="J17" s="1" t="str">
        <f t="shared" si="2"/>
        <v>EARLVERTACOC</v>
      </c>
    </row>
    <row r="18" spans="1:10">
      <c r="A18" s="9" t="s">
        <v>157</v>
      </c>
      <c r="B18" t="s">
        <v>167</v>
      </c>
      <c r="C18" s="1">
        <v>3</v>
      </c>
      <c r="D18" t="s">
        <v>168</v>
      </c>
      <c r="E18" t="s">
        <v>38</v>
      </c>
      <c r="F18" s="10" t="s">
        <v>240</v>
      </c>
      <c r="H18" t="str">
        <f t="shared" si="0"/>
        <v>FROMAGERIE DE DIE</v>
      </c>
      <c r="I18" t="str">
        <f t="shared" si="1"/>
        <v>FROMAGERIEDEDIE</v>
      </c>
      <c r="J18" s="1" t="str">
        <f t="shared" si="2"/>
        <v>FROMAGERIEDE</v>
      </c>
    </row>
    <row r="19" spans="1:10">
      <c r="A19" s="9" t="s">
        <v>157</v>
      </c>
      <c r="B19" t="s">
        <v>164</v>
      </c>
      <c r="C19" s="1">
        <v>1</v>
      </c>
      <c r="D19" t="s">
        <v>165</v>
      </c>
      <c r="E19" t="s">
        <v>38</v>
      </c>
      <c r="F19" s="10" t="s">
        <v>241</v>
      </c>
      <c r="H19" t="str">
        <f t="shared" si="0"/>
        <v>INTERMARCHE BOUCHERIE</v>
      </c>
      <c r="I19" t="str">
        <f t="shared" si="1"/>
        <v>INTERMARCHEBOUCHERIE</v>
      </c>
      <c r="J19" s="1" t="str">
        <f t="shared" si="2"/>
        <v>INTERMARCHEB</v>
      </c>
    </row>
    <row r="20" spans="1:10">
      <c r="A20" s="9" t="s">
        <v>157</v>
      </c>
      <c r="B20" t="s">
        <v>166</v>
      </c>
      <c r="C20" s="1">
        <v>2</v>
      </c>
      <c r="D20" t="s">
        <v>165</v>
      </c>
      <c r="E20" t="s">
        <v>38</v>
      </c>
      <c r="F20" s="10" t="s">
        <v>241</v>
      </c>
      <c r="H20" t="str">
        <f t="shared" si="0"/>
        <v>INTERMARCHE CHARCUTERIE</v>
      </c>
      <c r="I20" t="str">
        <f t="shared" si="1"/>
        <v>INTERMARCHECHARCUTERIE</v>
      </c>
      <c r="J20" s="1" t="str">
        <f t="shared" si="2"/>
        <v>INTERMARCHEC</v>
      </c>
    </row>
    <row r="21" spans="1:10">
      <c r="A21" s="9" t="s">
        <v>157</v>
      </c>
      <c r="B21" t="s">
        <v>174</v>
      </c>
      <c r="C21" s="1">
        <v>6</v>
      </c>
      <c r="D21" t="s">
        <v>175</v>
      </c>
      <c r="E21" t="s">
        <v>176</v>
      </c>
      <c r="F21" s="10" t="s">
        <v>242</v>
      </c>
      <c r="H21" t="str">
        <f t="shared" si="0"/>
        <v>LA RAVIOLE DIOIS</v>
      </c>
      <c r="I21" t="str">
        <f t="shared" si="1"/>
        <v>LARAVIOLEDIOIS</v>
      </c>
      <c r="J21" s="1" t="str">
        <f t="shared" si="2"/>
        <v>LARAVIOLEDIO</v>
      </c>
    </row>
    <row r="22" spans="1:10">
      <c r="A22" s="9" t="s">
        <v>155</v>
      </c>
      <c r="B22" t="s">
        <v>232</v>
      </c>
      <c r="C22" s="1">
        <v>29</v>
      </c>
      <c r="D22" t="s">
        <v>233</v>
      </c>
      <c r="E22" t="s">
        <v>234</v>
      </c>
      <c r="F22" s="10" t="s">
        <v>235</v>
      </c>
      <c r="H22" t="str">
        <f t="shared" si="0"/>
        <v>LE BARABOCK</v>
      </c>
      <c r="I22" t="str">
        <f t="shared" si="1"/>
        <v>LEBARABOCK</v>
      </c>
      <c r="J22" s="1" t="str">
        <f t="shared" si="2"/>
        <v>LEBARABOCK</v>
      </c>
    </row>
    <row r="23" spans="1:10">
      <c r="A23" s="9" t="s">
        <v>157</v>
      </c>
      <c r="B23" t="s">
        <v>185</v>
      </c>
      <c r="C23" s="1">
        <v>10</v>
      </c>
      <c r="D23" t="s">
        <v>186</v>
      </c>
      <c r="E23" t="s">
        <v>187</v>
      </c>
      <c r="F23" s="10" t="s">
        <v>213</v>
      </c>
      <c r="H23" t="str">
        <f t="shared" si="0"/>
        <v>LE DOMANIAL</v>
      </c>
      <c r="I23" t="str">
        <f t="shared" si="1"/>
        <v>LEDOMANIAL</v>
      </c>
      <c r="J23" s="1" t="str">
        <f t="shared" si="2"/>
        <v>LEDOMANIAL</v>
      </c>
    </row>
    <row r="24" spans="1:10">
      <c r="A24" s="9" t="s">
        <v>157</v>
      </c>
      <c r="B24" t="s">
        <v>177</v>
      </c>
      <c r="C24" s="1">
        <v>7</v>
      </c>
      <c r="D24" t="s">
        <v>178</v>
      </c>
      <c r="E24" t="s">
        <v>179</v>
      </c>
      <c r="F24" s="10" t="s">
        <v>243</v>
      </c>
      <c r="H24" t="str">
        <f t="shared" si="0"/>
        <v>LE MAS DAMBANNE</v>
      </c>
      <c r="I24" t="str">
        <f t="shared" si="1"/>
        <v>LEMASDAMBANNE</v>
      </c>
      <c r="J24" s="1" t="str">
        <f t="shared" si="2"/>
        <v>LEMASDAMBANN</v>
      </c>
    </row>
    <row r="25" spans="1:10">
      <c r="A25" s="9" t="s">
        <v>155</v>
      </c>
      <c r="B25" t="s">
        <v>202</v>
      </c>
      <c r="C25" s="1">
        <v>16</v>
      </c>
      <c r="D25" t="s">
        <v>203</v>
      </c>
      <c r="E25" t="s">
        <v>38</v>
      </c>
      <c r="F25" s="10" t="s">
        <v>244</v>
      </c>
      <c r="H25" t="str">
        <f t="shared" si="0"/>
        <v>LE MAZEL</v>
      </c>
      <c r="I25" t="str">
        <f t="shared" si="1"/>
        <v>LEMAZEL</v>
      </c>
      <c r="J25" s="1" t="str">
        <f t="shared" si="2"/>
        <v>LEMAZEL</v>
      </c>
    </row>
    <row r="26" spans="1:10">
      <c r="A26" s="9" t="s">
        <v>155</v>
      </c>
      <c r="B26" t="s">
        <v>198</v>
      </c>
      <c r="C26" s="1">
        <v>14</v>
      </c>
      <c r="D26" t="s">
        <v>199</v>
      </c>
      <c r="E26" t="s">
        <v>38</v>
      </c>
      <c r="F26" s="10" t="s">
        <v>245</v>
      </c>
      <c r="H26" t="str">
        <f t="shared" si="0"/>
        <v>LE REPERE</v>
      </c>
      <c r="I26" t="str">
        <f t="shared" si="1"/>
        <v>LEREPERE</v>
      </c>
      <c r="J26" s="1" t="str">
        <f t="shared" si="2"/>
        <v>LEREPERE</v>
      </c>
    </row>
    <row r="27" spans="1:10">
      <c r="A27" s="9" t="s">
        <v>155</v>
      </c>
      <c r="B27" t="s">
        <v>198</v>
      </c>
      <c r="C27" s="1">
        <v>25</v>
      </c>
      <c r="D27" t="s">
        <v>199</v>
      </c>
      <c r="E27" t="s">
        <v>38</v>
      </c>
      <c r="F27" s="10" t="s">
        <v>221</v>
      </c>
      <c r="H27" t="str">
        <f t="shared" si="0"/>
        <v>LE REPERE</v>
      </c>
      <c r="I27" t="str">
        <f t="shared" si="1"/>
        <v>LEREPERE</v>
      </c>
      <c r="J27" s="1" t="str">
        <f t="shared" si="2"/>
        <v>LEREPERE</v>
      </c>
    </row>
    <row r="28" spans="1:10">
      <c r="A28" s="9" t="s">
        <v>155</v>
      </c>
      <c r="B28" t="s">
        <v>209</v>
      </c>
      <c r="C28" s="1">
        <v>20</v>
      </c>
      <c r="D28" t="s">
        <v>210</v>
      </c>
      <c r="E28" t="s">
        <v>38</v>
      </c>
      <c r="F28" s="10" t="s">
        <v>246</v>
      </c>
      <c r="H28" t="str">
        <f t="shared" si="0"/>
        <v>LE SAULE REVEUR</v>
      </c>
      <c r="I28" t="str">
        <f t="shared" si="1"/>
        <v>LESAULEREVEUR</v>
      </c>
      <c r="J28" s="1" t="str">
        <f t="shared" si="2"/>
        <v>LESAULEREVEU</v>
      </c>
    </row>
    <row r="29" spans="1:10">
      <c r="A29" s="9" t="s">
        <v>155</v>
      </c>
      <c r="B29" t="s">
        <v>229</v>
      </c>
      <c r="C29" s="1">
        <v>28</v>
      </c>
      <c r="D29" t="s">
        <v>139</v>
      </c>
      <c r="E29" t="s">
        <v>230</v>
      </c>
      <c r="F29" s="10" t="s">
        <v>231</v>
      </c>
      <c r="H29" t="str">
        <f t="shared" si="0"/>
        <v>LES TATINES</v>
      </c>
      <c r="I29" t="str">
        <f t="shared" si="1"/>
        <v>LESTATINES</v>
      </c>
      <c r="J29" s="1" t="str">
        <f t="shared" si="2"/>
        <v>LESTATINES</v>
      </c>
    </row>
    <row r="30" spans="1:10">
      <c r="A30" s="9" t="s">
        <v>157</v>
      </c>
      <c r="B30" t="s">
        <v>180</v>
      </c>
      <c r="C30" s="1">
        <v>8</v>
      </c>
      <c r="D30" t="s">
        <v>181</v>
      </c>
      <c r="E30" t="s">
        <v>182</v>
      </c>
      <c r="F30" s="10" t="s">
        <v>247</v>
      </c>
      <c r="H30" t="str">
        <f t="shared" si="0"/>
        <v>LOISEAU BLEU DU GLANDASSE</v>
      </c>
      <c r="I30" t="str">
        <f t="shared" si="1"/>
        <v>LOISEAUBLEUDUGLANDASSE</v>
      </c>
      <c r="J30" s="1" t="str">
        <f t="shared" si="2"/>
        <v>LOISEAUBLEUD</v>
      </c>
    </row>
    <row r="31" spans="1:10">
      <c r="A31" s="9" t="s">
        <v>155</v>
      </c>
      <c r="B31" t="s">
        <v>200</v>
      </c>
      <c r="C31" s="1">
        <v>15</v>
      </c>
      <c r="D31" t="s">
        <v>201</v>
      </c>
      <c r="E31" t="s">
        <v>38</v>
      </c>
      <c r="F31" s="10" t="s">
        <v>248</v>
      </c>
      <c r="H31" t="str">
        <f t="shared" si="0"/>
        <v>MEYROS PUB</v>
      </c>
      <c r="I31" t="str">
        <f t="shared" si="1"/>
        <v>MEYROSPUB</v>
      </c>
      <c r="J31" s="1" t="str">
        <f t="shared" si="2"/>
        <v>MEYROSPUB</v>
      </c>
    </row>
    <row r="32" spans="1:10">
      <c r="A32" s="9" t="s">
        <v>157</v>
      </c>
      <c r="B32" t="s">
        <v>196</v>
      </c>
      <c r="C32" s="1">
        <v>13</v>
      </c>
      <c r="D32" t="s">
        <v>197</v>
      </c>
      <c r="E32" t="s">
        <v>128</v>
      </c>
      <c r="F32" s="10" t="s">
        <v>249</v>
      </c>
      <c r="H32" t="str">
        <f t="shared" si="0"/>
        <v>MULTICOMMERCE</v>
      </c>
      <c r="I32" t="str">
        <f t="shared" si="1"/>
        <v>MULTICOMMERCE</v>
      </c>
      <c r="J32" s="1" t="str">
        <f t="shared" si="2"/>
        <v>MULTICOMMERC</v>
      </c>
    </row>
    <row r="33" spans="1:10">
      <c r="A33" s="9" t="s">
        <v>155</v>
      </c>
      <c r="B33" t="s">
        <v>222</v>
      </c>
      <c r="C33" s="1">
        <v>26</v>
      </c>
      <c r="D33" t="s">
        <v>139</v>
      </c>
      <c r="E33" t="s">
        <v>223</v>
      </c>
      <c r="F33" s="10" t="s">
        <v>224</v>
      </c>
      <c r="H33" t="str">
        <f t="shared" si="0"/>
        <v>NOUVEAU MONASTERE</v>
      </c>
      <c r="I33" t="str">
        <f t="shared" si="1"/>
        <v>NOUVEAUMONASTERE</v>
      </c>
      <c r="J33" s="1" t="str">
        <f t="shared" si="2"/>
        <v>NOUVEAUMONAS</v>
      </c>
    </row>
    <row r="34" spans="1:10">
      <c r="A34" s="9" t="s">
        <v>153</v>
      </c>
      <c r="B34" t="s">
        <v>42</v>
      </c>
      <c r="C34" s="1">
        <v>32</v>
      </c>
      <c r="D34" t="s">
        <v>37</v>
      </c>
      <c r="E34" t="s">
        <v>38</v>
      </c>
      <c r="F34" s="10" t="s">
        <v>238</v>
      </c>
      <c r="H34" t="str">
        <f t="shared" si="0"/>
        <v>PERREE Lucie</v>
      </c>
      <c r="I34" t="str">
        <f t="shared" si="1"/>
        <v>PERREELucie</v>
      </c>
      <c r="J34" s="1" t="str">
        <f t="shared" si="2"/>
        <v>PERREELucie</v>
      </c>
    </row>
    <row r="35" spans="1:10">
      <c r="A35" s="9" t="s">
        <v>153</v>
      </c>
      <c r="B35" t="s">
        <v>134</v>
      </c>
      <c r="C35" s="1">
        <v>35</v>
      </c>
      <c r="D35" t="s">
        <v>135</v>
      </c>
      <c r="E35" t="s">
        <v>136</v>
      </c>
      <c r="F35" s="10" t="s">
        <v>137</v>
      </c>
      <c r="H35" t="str">
        <f t="shared" si="0"/>
        <v>REFECO +</v>
      </c>
      <c r="I35" t="str">
        <f t="shared" si="1"/>
        <v>REFECO+</v>
      </c>
      <c r="J35" s="1" t="str">
        <f t="shared" si="2"/>
        <v>REFECO+</v>
      </c>
    </row>
    <row r="36" spans="1:10">
      <c r="A36" s="9" t="s">
        <v>155</v>
      </c>
      <c r="B36" t="s">
        <v>207</v>
      </c>
      <c r="C36" s="1">
        <v>19</v>
      </c>
      <c r="D36" t="s">
        <v>208</v>
      </c>
      <c r="E36" t="s">
        <v>171</v>
      </c>
      <c r="F36" s="10" t="s">
        <v>250</v>
      </c>
      <c r="H36" t="str">
        <f t="shared" si="0"/>
        <v>REFUGE DARCHIANE</v>
      </c>
      <c r="I36" t="str">
        <f t="shared" si="1"/>
        <v>REFUGEDARCHIANE</v>
      </c>
      <c r="J36" s="1" t="str">
        <f t="shared" si="2"/>
        <v>REFUGEDARCHI</v>
      </c>
    </row>
    <row r="37" spans="1:10">
      <c r="A37" s="9" t="s">
        <v>157</v>
      </c>
      <c r="B37" t="s">
        <v>172</v>
      </c>
      <c r="C37" s="1">
        <v>5</v>
      </c>
      <c r="D37" t="s">
        <v>173</v>
      </c>
      <c r="E37" t="s">
        <v>38</v>
      </c>
      <c r="F37" s="10" t="s">
        <v>251</v>
      </c>
      <c r="H37" t="str">
        <f t="shared" si="0"/>
        <v>U EXPRESS</v>
      </c>
      <c r="I37" t="str">
        <f t="shared" si="1"/>
        <v>UEXPRESS</v>
      </c>
      <c r="J37" s="1" t="str">
        <f t="shared" si="2"/>
        <v>UEXPRESS</v>
      </c>
    </row>
    <row r="38" spans="1:10">
      <c r="A38" s="9" t="s">
        <v>153</v>
      </c>
      <c r="B38" t="s">
        <v>131</v>
      </c>
      <c r="C38" s="1">
        <v>34</v>
      </c>
      <c r="D38" t="s">
        <v>132</v>
      </c>
      <c r="E38" t="s">
        <v>38</v>
      </c>
      <c r="F38" s="10" t="s">
        <v>133</v>
      </c>
      <c r="H38" t="str">
        <f t="shared" si="0"/>
        <v>VENOUIL VALERIE</v>
      </c>
      <c r="I38" t="str">
        <f t="shared" si="1"/>
        <v>VENOUILVALERIE</v>
      </c>
      <c r="J38" s="1" t="str">
        <f t="shared" si="2"/>
        <v>VENOUILVALER</v>
      </c>
    </row>
    <row r="39" spans="1:10">
      <c r="A39" s="9" t="s">
        <v>155</v>
      </c>
      <c r="B39" t="s">
        <v>204</v>
      </c>
      <c r="C39" s="1">
        <v>17</v>
      </c>
      <c r="D39" t="s">
        <v>184</v>
      </c>
      <c r="E39" t="s">
        <v>38</v>
      </c>
      <c r="F39" s="10" t="s">
        <v>252</v>
      </c>
      <c r="H39" t="str">
        <f t="shared" si="0"/>
        <v>YAMANEKO</v>
      </c>
      <c r="I39" t="str">
        <f t="shared" si="1"/>
        <v>YAMANEKO</v>
      </c>
      <c r="J39" s="1" t="str">
        <f t="shared" si="2"/>
        <v>YAMANEKO</v>
      </c>
    </row>
    <row r="40" spans="1:10">
      <c r="A40" s="9" t="s">
        <v>157</v>
      </c>
      <c r="B40" t="s">
        <v>183</v>
      </c>
      <c r="C40" s="1">
        <v>9</v>
      </c>
      <c r="D40" t="s">
        <v>184</v>
      </c>
      <c r="E40" t="s">
        <v>38</v>
      </c>
      <c r="F40" s="10" t="s">
        <v>252</v>
      </c>
      <c r="H40" t="str">
        <f t="shared" si="0"/>
        <v>YAMANEKO ESTAMINETTE</v>
      </c>
      <c r="I40" t="str">
        <f t="shared" si="1"/>
        <v>YAMANEKOESTAMINETTE</v>
      </c>
      <c r="J40" s="1" t="str">
        <f t="shared" si="2"/>
        <v>YAMANEKOESTA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10E1A-64AB-4EDA-A35D-3FDB0B04CF9A}">
  <sheetPr codeName="Feuil5">
    <tabColor theme="4" tint="0.39997558519241921"/>
  </sheetPr>
  <dimension ref="A1:D60"/>
  <sheetViews>
    <sheetView showGridLines="0" workbookViewId="0">
      <selection activeCell="E3" sqref="E3"/>
    </sheetView>
  </sheetViews>
  <sheetFormatPr baseColWidth="10" defaultRowHeight="14.4"/>
  <cols>
    <col min="1" max="1" width="31.59765625" customWidth="1"/>
    <col min="2" max="2" width="9.69921875" style="9" customWidth="1"/>
    <col min="3" max="3" width="8" customWidth="1"/>
    <col min="4" max="4" width="6.296875" customWidth="1"/>
  </cols>
  <sheetData>
    <row r="1" spans="1:4">
      <c r="A1" s="52" t="s">
        <v>57</v>
      </c>
      <c r="B1" s="11" t="s">
        <v>39</v>
      </c>
      <c r="D1" s="141">
        <v>0.26500000000000001</v>
      </c>
    </row>
    <row r="2" spans="1:4">
      <c r="A2" s="53" t="s">
        <v>65</v>
      </c>
      <c r="B2" s="54">
        <v>25.5</v>
      </c>
    </row>
    <row r="3" spans="1:4">
      <c r="A3" s="53" t="s">
        <v>66</v>
      </c>
      <c r="B3" s="54">
        <v>25.5</v>
      </c>
    </row>
    <row r="4" spans="1:4">
      <c r="A4" s="53" t="s">
        <v>67</v>
      </c>
      <c r="B4" s="54">
        <v>15.07</v>
      </c>
    </row>
    <row r="5" spans="1:4">
      <c r="A5" s="53" t="s">
        <v>68</v>
      </c>
      <c r="B5" s="54">
        <v>15.07</v>
      </c>
      <c r="C5" s="13"/>
      <c r="D5" s="13"/>
    </row>
    <row r="6" spans="1:4">
      <c r="A6" s="53" t="s">
        <v>69</v>
      </c>
      <c r="B6" s="54">
        <v>10.43</v>
      </c>
      <c r="C6" s="13"/>
      <c r="D6" s="13"/>
    </row>
    <row r="7" spans="1:4">
      <c r="A7" s="53" t="s">
        <v>70</v>
      </c>
      <c r="B7" s="54">
        <v>12.23</v>
      </c>
      <c r="C7" s="13"/>
      <c r="D7" s="13"/>
    </row>
    <row r="8" spans="1:4">
      <c r="A8" s="53" t="s">
        <v>71</v>
      </c>
      <c r="B8" s="54">
        <v>12.23</v>
      </c>
    </row>
    <row r="9" spans="1:4">
      <c r="A9" s="53" t="s">
        <v>72</v>
      </c>
      <c r="B9" s="54">
        <v>9.76</v>
      </c>
    </row>
    <row r="10" spans="1:4">
      <c r="A10" s="53" t="s">
        <v>123</v>
      </c>
      <c r="B10" s="54" t="s">
        <v>124</v>
      </c>
    </row>
    <row r="11" spans="1:4">
      <c r="A11" s="53" t="s">
        <v>73</v>
      </c>
      <c r="B11" s="54">
        <v>3.79</v>
      </c>
    </row>
    <row r="12" spans="1:4">
      <c r="A12" s="53" t="s">
        <v>74</v>
      </c>
      <c r="B12" s="54">
        <v>14.12</v>
      </c>
    </row>
    <row r="13" spans="1:4">
      <c r="A13" s="55" t="s">
        <v>75</v>
      </c>
      <c r="B13" s="54">
        <v>9.3800000000000008</v>
      </c>
    </row>
    <row r="14" spans="1:4">
      <c r="A14" s="53" t="s">
        <v>76</v>
      </c>
      <c r="B14" s="54">
        <v>16.02</v>
      </c>
    </row>
    <row r="15" spans="1:4">
      <c r="A15" s="53" t="s">
        <v>77</v>
      </c>
      <c r="B15" s="54">
        <v>20.76</v>
      </c>
    </row>
    <row r="16" spans="1:4">
      <c r="A16" s="53" t="s">
        <v>119</v>
      </c>
      <c r="B16" s="54" t="s">
        <v>120</v>
      </c>
    </row>
    <row r="17" spans="1:2">
      <c r="A17" s="53" t="s">
        <v>78</v>
      </c>
      <c r="B17" s="54">
        <v>16.02</v>
      </c>
    </row>
    <row r="18" spans="1:2">
      <c r="A18" s="53" t="s">
        <v>79</v>
      </c>
      <c r="B18" s="54">
        <v>16.02</v>
      </c>
    </row>
    <row r="19" spans="1:2">
      <c r="A19" s="53" t="s">
        <v>80</v>
      </c>
      <c r="B19" s="54">
        <v>16.97</v>
      </c>
    </row>
    <row r="20" spans="1:2">
      <c r="A20" s="53" t="s">
        <v>130</v>
      </c>
      <c r="B20" s="54" t="s">
        <v>45</v>
      </c>
    </row>
    <row r="21" spans="1:2">
      <c r="A21" s="53" t="s">
        <v>81</v>
      </c>
      <c r="B21" s="54">
        <v>14.12</v>
      </c>
    </row>
    <row r="22" spans="1:2">
      <c r="A22" s="53" t="s">
        <v>82</v>
      </c>
      <c r="B22" s="54">
        <v>16.97</v>
      </c>
    </row>
    <row r="23" spans="1:2">
      <c r="A23" s="53" t="s">
        <v>125</v>
      </c>
      <c r="B23" s="54" t="s">
        <v>126</v>
      </c>
    </row>
    <row r="24" spans="1:2">
      <c r="A24" s="53" t="s">
        <v>83</v>
      </c>
      <c r="B24" s="54">
        <v>3.79</v>
      </c>
    </row>
    <row r="25" spans="1:2">
      <c r="A25" s="53" t="s">
        <v>84</v>
      </c>
      <c r="B25" s="54">
        <v>16.97</v>
      </c>
    </row>
    <row r="26" spans="1:2">
      <c r="A26" s="53" t="s">
        <v>85</v>
      </c>
      <c r="B26" s="54">
        <v>0.95</v>
      </c>
    </row>
    <row r="27" spans="1:2">
      <c r="A27" s="53" t="s">
        <v>86</v>
      </c>
      <c r="B27" s="54">
        <v>25.5</v>
      </c>
    </row>
    <row r="28" spans="1:2">
      <c r="A28" s="53" t="s">
        <v>87</v>
      </c>
      <c r="B28" s="54">
        <v>27.39</v>
      </c>
    </row>
    <row r="29" spans="1:2">
      <c r="A29" s="55" t="s">
        <v>88</v>
      </c>
      <c r="B29" s="54">
        <v>8.06</v>
      </c>
    </row>
    <row r="30" spans="1:2">
      <c r="A30" s="53" t="s">
        <v>89</v>
      </c>
      <c r="B30" s="54">
        <v>7.11</v>
      </c>
    </row>
    <row r="31" spans="1:2">
      <c r="A31" s="53" t="s">
        <v>90</v>
      </c>
      <c r="B31" s="54">
        <v>8.06</v>
      </c>
    </row>
    <row r="32" spans="1:2">
      <c r="A32" s="53" t="s">
        <v>91</v>
      </c>
      <c r="B32" s="54">
        <v>17.91</v>
      </c>
    </row>
    <row r="33" spans="1:2">
      <c r="A33" s="55" t="s">
        <v>92</v>
      </c>
      <c r="B33" s="54">
        <v>11.28</v>
      </c>
    </row>
    <row r="34" spans="1:2">
      <c r="A34" s="53" t="s">
        <v>93</v>
      </c>
      <c r="B34" s="54">
        <v>15.07</v>
      </c>
    </row>
    <row r="35" spans="1:2">
      <c r="A35" s="53" t="s">
        <v>94</v>
      </c>
      <c r="B35" s="54">
        <v>15.07</v>
      </c>
    </row>
    <row r="36" spans="1:2">
      <c r="A36" s="53" t="s">
        <v>95</v>
      </c>
      <c r="B36" s="54">
        <v>5.9</v>
      </c>
    </row>
    <row r="37" spans="1:2">
      <c r="A37" s="53" t="s">
        <v>96</v>
      </c>
      <c r="B37" s="54">
        <v>0.95</v>
      </c>
    </row>
    <row r="38" spans="1:2">
      <c r="A38" s="53" t="s">
        <v>97</v>
      </c>
      <c r="B38" s="54">
        <v>23.6</v>
      </c>
    </row>
    <row r="39" spans="1:2">
      <c r="A39" s="53" t="s">
        <v>98</v>
      </c>
      <c r="B39" s="54">
        <v>23.6</v>
      </c>
    </row>
    <row r="40" spans="1:2">
      <c r="A40" s="53" t="s">
        <v>122</v>
      </c>
      <c r="B40" s="54">
        <v>14.12</v>
      </c>
    </row>
    <row r="41" spans="1:2">
      <c r="A41" s="53" t="s">
        <v>99</v>
      </c>
      <c r="B41" s="54">
        <v>0.95</v>
      </c>
    </row>
    <row r="42" spans="1:2">
      <c r="A42" s="53" t="s">
        <v>100</v>
      </c>
      <c r="B42" s="54">
        <v>12.23</v>
      </c>
    </row>
    <row r="43" spans="1:2">
      <c r="A43" s="53" t="s">
        <v>101</v>
      </c>
      <c r="B43" s="54">
        <v>13.18</v>
      </c>
    </row>
    <row r="44" spans="1:2">
      <c r="A44" s="53" t="s">
        <v>102</v>
      </c>
      <c r="B44" s="54">
        <v>3.79</v>
      </c>
    </row>
    <row r="45" spans="1:2">
      <c r="A45" s="53" t="s">
        <v>103</v>
      </c>
      <c r="B45" s="54">
        <v>0.95</v>
      </c>
    </row>
    <row r="46" spans="1:2">
      <c r="A46" s="53" t="s">
        <v>104</v>
      </c>
      <c r="B46" s="54">
        <v>14.12</v>
      </c>
    </row>
    <row r="47" spans="1:2">
      <c r="A47" s="53" t="s">
        <v>105</v>
      </c>
      <c r="B47" s="54">
        <v>14.12</v>
      </c>
    </row>
    <row r="48" spans="1:2">
      <c r="A48" s="53" t="s">
        <v>106</v>
      </c>
      <c r="B48" s="54">
        <v>16.02</v>
      </c>
    </row>
    <row r="49" spans="1:2">
      <c r="A49" s="53" t="s">
        <v>107</v>
      </c>
      <c r="B49" s="54">
        <v>17.91</v>
      </c>
    </row>
    <row r="50" spans="1:2">
      <c r="A50" s="53" t="s">
        <v>108</v>
      </c>
      <c r="B50" s="54">
        <v>14.12</v>
      </c>
    </row>
    <row r="51" spans="1:2">
      <c r="A51" s="53" t="s">
        <v>109</v>
      </c>
      <c r="B51" s="54" t="s">
        <v>44</v>
      </c>
    </row>
    <row r="52" spans="1:2">
      <c r="A52" s="53" t="s">
        <v>110</v>
      </c>
      <c r="B52" s="54">
        <v>16.97</v>
      </c>
    </row>
    <row r="53" spans="1:2">
      <c r="A53" s="53" t="s">
        <v>111</v>
      </c>
      <c r="B53" s="54" t="s">
        <v>45</v>
      </c>
    </row>
    <row r="54" spans="1:2">
      <c r="A54" s="53" t="s">
        <v>112</v>
      </c>
      <c r="B54" s="54">
        <v>14.12</v>
      </c>
    </row>
    <row r="55" spans="1:2">
      <c r="A55" s="53" t="s">
        <v>113</v>
      </c>
      <c r="B55" s="54">
        <v>16.02</v>
      </c>
    </row>
    <row r="56" spans="1:2">
      <c r="A56" s="53" t="s">
        <v>114</v>
      </c>
      <c r="B56" s="54" t="s">
        <v>43</v>
      </c>
    </row>
    <row r="57" spans="1:2">
      <c r="A57" s="53" t="s">
        <v>115</v>
      </c>
      <c r="B57" s="54">
        <v>29.29</v>
      </c>
    </row>
    <row r="58" spans="1:2">
      <c r="A58" s="53" t="s">
        <v>116</v>
      </c>
      <c r="B58" s="54">
        <v>12.23</v>
      </c>
    </row>
    <row r="59" spans="1:2">
      <c r="A59" s="53" t="s">
        <v>117</v>
      </c>
      <c r="B59" s="54">
        <v>16.97</v>
      </c>
    </row>
    <row r="60" spans="1:2">
      <c r="A60" s="53" t="s">
        <v>118</v>
      </c>
      <c r="B60" s="54">
        <v>8.82</v>
      </c>
    </row>
  </sheetData>
  <pageMargins left="0.7" right="0.7" top="0.75" bottom="0.75" header="0.3" footer="0.3"/>
  <pageSetup paperSize="9" orientation="portrait" horizontalDpi="0" verticalDpi="0" r:id="rId1"/>
  <ignoredErrors>
    <ignoredError sqref="B10:B60" numberStoredAsText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FACTURE</vt:lpstr>
      <vt:lpstr>BL</vt:lpstr>
      <vt:lpstr>AVOIR</vt:lpstr>
      <vt:lpstr>CLIENTS</vt:lpstr>
      <vt:lpstr>TARIF</vt:lpstr>
      <vt:lpstr>BLDate</vt:lpstr>
      <vt:lpstr>BLNumero</vt:lpstr>
      <vt:lpstr>ChoixBL</vt:lpstr>
      <vt:lpstr>BL!Zone_d_impression</vt:lpstr>
      <vt:lpstr>FACTURE!Zone_d_impression</vt:lpstr>
      <vt:lpstr>ZoneBL1</vt:lpstr>
      <vt:lpstr>ZoneBL2</vt:lpstr>
      <vt:lpstr>ZoneBL3</vt:lpstr>
      <vt:lpstr>ZoneBL4</vt:lpstr>
      <vt:lpstr>ZoneBL5</vt:lpstr>
      <vt:lpstr>ZoneBlDate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Philippe PIGNEAU</cp:lastModifiedBy>
  <cp:lastPrinted>2023-01-07T15:34:24Z</cp:lastPrinted>
  <dcterms:created xsi:type="dcterms:W3CDTF">2015-06-05T18:19:34Z</dcterms:created>
  <dcterms:modified xsi:type="dcterms:W3CDTF">2023-01-07T16:00:44Z</dcterms:modified>
</cp:coreProperties>
</file>