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webextensions/webextension1.xml" ContentType="application/vnd.ms-office.webextension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omments2.xml" ContentType="application/vnd.openxmlformats-officedocument.spreadsheetml.comments+xml"/>
  <Override PartName="/xl/webextensions/webextension2.xml" ContentType="application/vnd.ms-office.webextension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peopl\Desktop\"/>
    </mc:Choice>
  </mc:AlternateContent>
  <xr:revisionPtr revIDLastSave="0" documentId="13_ncr:1_{1F901650-592D-4C45-AB33-19C532EBA240}" xr6:coauthVersionLast="47" xr6:coauthVersionMax="47" xr10:uidLastSave="{00000000-0000-0000-0000-000000000000}"/>
  <bookViews>
    <workbookView showHorizontalScroll="0" showVerticalScroll="0" xWindow="3030" yWindow="735" windowWidth="21300" windowHeight="15060" tabRatio="761" xr2:uid="{00000000-000D-0000-FFFF-FFFF00000000}"/>
  </bookViews>
  <sheets>
    <sheet name="PARTICULIER" sheetId="3" r:id="rId1"/>
    <sheet name="BL" sheetId="4" r:id="rId2"/>
    <sheet name="AVOIR" sheetId="18" r:id="rId3"/>
    <sheet name="FEVRIER_2022" sheetId="47" r:id="rId4"/>
    <sheet name="DATELOT" sheetId="20" state="hidden" r:id="rId5"/>
    <sheet name="CLIENT" sheetId="16" state="hidden" r:id="rId6"/>
    <sheet name="TARIF" sheetId="17" state="hidden" r:id="rId7"/>
  </sheets>
  <functionGroups builtInGroupCount="19"/>
  <externalReferences>
    <externalReference r:id="rId8"/>
    <externalReference r:id="rId9"/>
    <externalReference r:id="rId10"/>
  </externalReferences>
  <definedNames>
    <definedName name="BLDate">BL!$H$9</definedName>
    <definedName name="BLNumero">BL!$H$10</definedName>
    <definedName name="ChoixBL">BL!$L$8</definedName>
    <definedName name="Formule_DateLot" localSheetId="4">OFFSET(P_DateLot,0,0,COUNTA(L_DateLot),1)</definedName>
    <definedName name="Formule_DateLot">OFFSET(P_DateLot,0,0,COUNTA(L_DateLot),1)</definedName>
    <definedName name="Formule_Produit" localSheetId="4">OFFSET(DATELOT!P_Produit,0,0,COUNTA(DATELOT!L_Produit),1)</definedName>
    <definedName name="Formule_Produit">OFFSET(P_Produit,0,0,COUNTA(L_Produit),1)</definedName>
    <definedName name="Formule_Raison_Sociale" localSheetId="4">OFFSET(DATELOT!P_Raison,0,0,COUNTA(DATELOT!L_Raison),1)</definedName>
    <definedName name="Formule_Raison_Sociale" localSheetId="3">OFFSET(FEVRIER_2022!P_Raison,0,0,COUNTA(L_Raison),1)</definedName>
    <definedName name="Formule_Raison_Sociale">OFFSET(P_Raison,0,0,COUNTA(L_Raison),1)</definedName>
    <definedName name="L_DateLot">DATELOT!$A:$A</definedName>
    <definedName name="L_Produit" localSheetId="4">TARIF!$A:$A</definedName>
    <definedName name="L_Produit">TARIF!$A:$A</definedName>
    <definedName name="L_Raison" localSheetId="4">CLIENT!$A:$A</definedName>
    <definedName name="L_Raison">CLIENT!$A:$A</definedName>
    <definedName name="ListeDateBL">[1]!L_Date_BL</definedName>
    <definedName name="ListeLot">[1]!L_Lot_BL</definedName>
    <definedName name="P_DateLot">DATELOT!$A$2</definedName>
    <definedName name="P_Produit" localSheetId="4">TARIF!$A$2</definedName>
    <definedName name="P_Produit">TARIF!$A$2</definedName>
    <definedName name="P_Raison" localSheetId="4">Tableau1[RAISON SOCIALE]</definedName>
    <definedName name="P_Raison" localSheetId="3">Tableau1[RAISON SOCIALE]</definedName>
    <definedName name="P_Raison">Tableau1[RAISON SOCIALE]</definedName>
    <definedName name="SEMAINES" localSheetId="4">OFFSET(PARTICULIER!$A$13,,MATCH(BL!$L$8,PARTICULIER!$B$12:$F$12,0),20)</definedName>
    <definedName name="SEMAINES" localSheetId="3">OFFSET(FEVRIER_2022!$A$13,,MATCH(BL!$L$8,FEVRIER_2022!$B$12:$F$12,0),20)</definedName>
    <definedName name="SEMAINES">OFFSET(PARTICULIER!$A$13,,MATCH(BL!$L$8,PARTICULIER!$B$12:$F$12,0),20)</definedName>
    <definedName name="_xlnm.Print_Area" localSheetId="2">AVOIR!$A$1:$I$25</definedName>
    <definedName name="_xlnm.Print_Area" localSheetId="1">BL!$A$1:$I$40</definedName>
    <definedName name="_xlnm.Print_Area" localSheetId="5">CLIENT!$A$1:$E$55</definedName>
    <definedName name="_xlnm.Print_Area" localSheetId="3">FEVRIER_2022!$A$1:$H$45</definedName>
    <definedName name="_xlnm.Print_Area" localSheetId="0">PARTICULIER!$A$1:$H$45</definedName>
    <definedName name="ZoneBL1" localSheetId="3">FEVRIER_2022!$A$40</definedName>
    <definedName name="ZoneBL1">PARTICULIER!$A$40</definedName>
    <definedName name="ZoneBL2" localSheetId="3">FEVRIER_2022!$A$41</definedName>
    <definedName name="ZoneBL2">PARTICULIER!$A$41</definedName>
    <definedName name="ZoneBL3" localSheetId="3">FEVRIER_2022!$A$42</definedName>
    <definedName name="ZoneBL3">PARTICULIER!$A$42</definedName>
    <definedName name="ZoneBL4" localSheetId="3">FEVRIER_2022!$A$43</definedName>
    <definedName name="ZoneBL4">PARTICULIER!$A$43</definedName>
    <definedName name="ZoneBL5" localSheetId="3">FEVRIER_2022!$A$44</definedName>
    <definedName name="ZoneBL5">PARTICULIER!$A$44</definedName>
    <definedName name="ZoneBlDate" localSheetId="3">FEVRIER_2022!$K$6</definedName>
    <definedName name="ZoneBlDate">PARTICULIER!$K$6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7" i="47" l="1"/>
  <c r="B57" i="47"/>
  <c r="G32" i="47"/>
  <c r="H32" i="47" s="1"/>
  <c r="G31" i="47"/>
  <c r="H31" i="47" s="1"/>
  <c r="G30" i="47"/>
  <c r="H30" i="47" s="1"/>
  <c r="G29" i="47"/>
  <c r="H29" i="47" s="1"/>
  <c r="G28" i="47"/>
  <c r="H28" i="47" s="1"/>
  <c r="G27" i="47"/>
  <c r="H27" i="47" s="1"/>
  <c r="G26" i="47"/>
  <c r="H26" i="47" s="1"/>
  <c r="G25" i="47"/>
  <c r="H25" i="47" s="1"/>
  <c r="G24" i="47"/>
  <c r="H24" i="47" s="1"/>
  <c r="G23" i="47"/>
  <c r="H23" i="47" s="1"/>
  <c r="G22" i="47"/>
  <c r="H22" i="47" s="1"/>
  <c r="G21" i="47"/>
  <c r="H21" i="47" s="1"/>
  <c r="G20" i="47"/>
  <c r="H20" i="47" s="1"/>
  <c r="G19" i="47"/>
  <c r="H19" i="47" s="1"/>
  <c r="G18" i="47"/>
  <c r="H18" i="47" s="1"/>
  <c r="G17" i="47"/>
  <c r="H17" i="47" s="1"/>
  <c r="G16" i="47"/>
  <c r="H16" i="47" s="1"/>
  <c r="G15" i="47"/>
  <c r="H15" i="47" s="1"/>
  <c r="G14" i="47"/>
  <c r="H14" i="47" s="1"/>
  <c r="G13" i="47"/>
  <c r="H13" i="47" s="1"/>
  <c r="F7" i="47"/>
  <c r="F6" i="47"/>
  <c r="K5" i="47"/>
  <c r="F5" i="47"/>
  <c r="O4" i="47"/>
  <c r="K4" i="47"/>
  <c r="O3" i="47"/>
  <c r="F3" i="47"/>
  <c r="K2" i="47"/>
  <c r="K1" i="47"/>
  <c r="G10" i="47" l="1"/>
  <c r="D57" i="47" s="1"/>
  <c r="G34" i="47"/>
  <c r="A57" i="47"/>
  <c r="K7" i="47"/>
  <c r="C57" i="3"/>
  <c r="B57" i="3"/>
  <c r="E57" i="47" l="1"/>
  <c r="G36" i="47"/>
  <c r="F57" i="47" s="1"/>
  <c r="A5" i="20"/>
  <c r="A4" i="20"/>
  <c r="A3" i="20"/>
  <c r="A2" i="20"/>
  <c r="G38" i="47" l="1"/>
  <c r="H27" i="4"/>
  <c r="H28" i="4"/>
  <c r="H29" i="4"/>
  <c r="H14" i="4"/>
  <c r="H30" i="4"/>
  <c r="H21" i="4"/>
  <c r="H15" i="4"/>
  <c r="H31" i="4"/>
  <c r="H16" i="4"/>
  <c r="H32" i="4"/>
  <c r="H25" i="4"/>
  <c r="H17" i="4"/>
  <c r="H13" i="4"/>
  <c r="H18" i="4"/>
  <c r="H19" i="4"/>
  <c r="H20" i="4"/>
  <c r="H26" i="4"/>
  <c r="H22" i="4"/>
  <c r="H23" i="4"/>
  <c r="H24" i="4"/>
  <c r="K5" i="3"/>
  <c r="K4" i="3"/>
  <c r="D39" i="47" a="1"/>
  <c r="D39" i="47" l="1"/>
  <c r="G57" i="47"/>
  <c r="M6" i="47"/>
  <c r="O4" i="18"/>
  <c r="O3" i="18"/>
  <c r="O4" i="4"/>
  <c r="O3" i="4"/>
  <c r="O4" i="3"/>
  <c r="O3" i="3"/>
  <c r="H13" i="18"/>
  <c r="K1" i="18"/>
  <c r="K1" i="4"/>
  <c r="K2" i="3"/>
  <c r="K1" i="3"/>
  <c r="B35" i="4"/>
  <c r="A14" i="4" l="1" a="1"/>
  <c r="A14" i="4" s="1"/>
  <c r="D14" i="4" s="1" a="1"/>
  <c r="D14" i="4" s="1"/>
  <c r="A15" i="4" a="1"/>
  <c r="A15" i="4" s="1"/>
  <c r="D15" i="4" s="1" a="1"/>
  <c r="D15" i="4" s="1"/>
  <c r="A16" i="4" a="1"/>
  <c r="A16" i="4" s="1"/>
  <c r="D16" i="4" s="1" a="1"/>
  <c r="D16" i="4" s="1"/>
  <c r="A17" i="4" a="1"/>
  <c r="A17" i="4" s="1"/>
  <c r="D17" i="4" s="1" a="1"/>
  <c r="D17" i="4" s="1"/>
  <c r="A18" i="4" a="1"/>
  <c r="A18" i="4" s="1"/>
  <c r="D18" i="4" s="1" a="1"/>
  <c r="D18" i="4" s="1"/>
  <c r="A19" i="4" a="1"/>
  <c r="A19" i="4" s="1"/>
  <c r="D19" i="4" s="1" a="1"/>
  <c r="D19" i="4" s="1"/>
  <c r="A20" i="4" a="1"/>
  <c r="A20" i="4" s="1"/>
  <c r="D20" i="4" s="1" a="1"/>
  <c r="D20" i="4" s="1"/>
  <c r="A21" i="4" a="1"/>
  <c r="A21" i="4" s="1"/>
  <c r="D21" i="4" s="1" a="1"/>
  <c r="D21" i="4" s="1"/>
  <c r="A22" i="4" a="1"/>
  <c r="A22" i="4" s="1"/>
  <c r="D22" i="4" s="1" a="1"/>
  <c r="D22" i="4" s="1"/>
  <c r="A23" i="4" a="1"/>
  <c r="A23" i="4" s="1"/>
  <c r="D23" i="4" s="1" a="1"/>
  <c r="D23" i="4" s="1"/>
  <c r="A24" i="4" a="1"/>
  <c r="A24" i="4" s="1"/>
  <c r="D24" i="4" s="1" a="1"/>
  <c r="D24" i="4" s="1"/>
  <c r="A25" i="4" a="1"/>
  <c r="A25" i="4" s="1"/>
  <c r="D25" i="4" s="1" a="1"/>
  <c r="D25" i="4" s="1"/>
  <c r="A26" i="4" a="1"/>
  <c r="A26" i="4" s="1"/>
  <c r="D26" i="4" s="1" a="1"/>
  <c r="D26" i="4" s="1"/>
  <c r="A27" i="4" a="1"/>
  <c r="A27" i="4" s="1"/>
  <c r="D27" i="4" s="1" a="1"/>
  <c r="D27" i="4" s="1"/>
  <c r="A28" i="4" a="1"/>
  <c r="A28" i="4" s="1"/>
  <c r="D28" i="4" s="1" a="1"/>
  <c r="D28" i="4" s="1"/>
  <c r="A29" i="4" a="1"/>
  <c r="A29" i="4" s="1"/>
  <c r="D29" i="4" s="1" a="1"/>
  <c r="D29" i="4" s="1"/>
  <c r="A30" i="4" a="1"/>
  <c r="A30" i="4" s="1"/>
  <c r="D30" i="4" s="1" a="1"/>
  <c r="D30" i="4" s="1"/>
  <c r="A31" i="4" a="1"/>
  <c r="A31" i="4" s="1"/>
  <c r="D31" i="4" s="1" a="1"/>
  <c r="D31" i="4" s="1"/>
  <c r="A32" i="4" a="1"/>
  <c r="A32" i="4" s="1"/>
  <c r="D32" i="4" s="1" a="1"/>
  <c r="D32" i="4" s="1"/>
  <c r="A13" i="4" a="1"/>
  <c r="A13" i="4" s="1"/>
  <c r="D13" i="4" s="1" a="1"/>
  <c r="D13" i="4" s="1"/>
  <c r="H19" i="18" l="1"/>
  <c r="O17" i="18"/>
  <c r="H21" i="18" l="1"/>
  <c r="H23" i="18" s="1"/>
  <c r="H2" i="16"/>
  <c r="G2" i="16"/>
  <c r="F2" i="16"/>
  <c r="D17" i="18"/>
  <c r="A17" i="18"/>
  <c r="G4" i="18"/>
  <c r="K4" i="18" s="1"/>
  <c r="H10" i="18" s="1"/>
  <c r="G4" i="4"/>
  <c r="K4" i="4" s="1"/>
  <c r="H10" i="4" s="1"/>
  <c r="G32" i="3"/>
  <c r="H32" i="3" s="1"/>
  <c r="G31" i="3"/>
  <c r="H31" i="3" s="1"/>
  <c r="G30" i="3"/>
  <c r="H30" i="3" s="1"/>
  <c r="G29" i="3"/>
  <c r="H29" i="3" s="1"/>
  <c r="G28" i="3"/>
  <c r="H28" i="3" s="1"/>
  <c r="G27" i="3"/>
  <c r="H27" i="3" s="1"/>
  <c r="G26" i="3"/>
  <c r="H26" i="3" s="1"/>
  <c r="G25" i="3"/>
  <c r="H25" i="3" s="1"/>
  <c r="G24" i="3"/>
  <c r="H24" i="3" s="1"/>
  <c r="G23" i="3"/>
  <c r="H23" i="3" s="1"/>
  <c r="G22" i="3"/>
  <c r="H22" i="3" s="1"/>
  <c r="G21" i="3"/>
  <c r="H21" i="3" s="1"/>
  <c r="G20" i="3"/>
  <c r="H20" i="3" s="1"/>
  <c r="G19" i="3"/>
  <c r="H19" i="3" s="1"/>
  <c r="G18" i="3"/>
  <c r="H18" i="3" s="1"/>
  <c r="G17" i="3"/>
  <c r="H17" i="3" s="1"/>
  <c r="G16" i="3"/>
  <c r="H16" i="3" s="1"/>
  <c r="G15" i="3"/>
  <c r="H15" i="3" s="1"/>
  <c r="G14" i="3"/>
  <c r="H14" i="3" s="1"/>
  <c r="G13" i="3"/>
  <c r="H13" i="3" s="1"/>
  <c r="F7" i="3"/>
  <c r="F6" i="3"/>
  <c r="F5" i="3"/>
  <c r="F3" i="3"/>
  <c r="E25" i="18" a="1"/>
  <c r="K7" i="3" l="1"/>
  <c r="A57" i="3"/>
  <c r="E25" i="18"/>
  <c r="G3" i="18"/>
  <c r="G10" i="3"/>
  <c r="F35" i="4"/>
  <c r="G34" i="3"/>
  <c r="E57" i="3" s="1"/>
  <c r="G6" i="4"/>
  <c r="G7" i="4"/>
  <c r="G5" i="18"/>
  <c r="G6" i="18"/>
  <c r="G7" i="18"/>
  <c r="G5" i="4"/>
  <c r="G3" i="4"/>
  <c r="A13" i="18" l="1"/>
  <c r="D57" i="3"/>
  <c r="G36" i="3"/>
  <c r="F57" i="3" s="1"/>
  <c r="G38" i="3" l="1"/>
  <c r="G57" i="3" s="1"/>
  <c r="D39" i="3" a="1"/>
  <c r="D39" i="3" l="1"/>
  <c r="M6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Philippe PIGNEAU</author>
  </authors>
  <commentList>
    <comment ref="J1" authorId="0" shapeId="0" xr:uid="{095E8AF6-CB31-46C5-88B5-93C796A11D8D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Créer ou afficher les clients.</t>
        </r>
      </text>
    </comment>
    <comment ref="M1" authorId="0" shapeId="0" xr:uid="{7FA4F650-D6EF-4C92-9AC8-8604303EC823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Créer ou afficher les tarifs ou prduits.</t>
        </r>
      </text>
    </comment>
    <comment ref="J9" authorId="0" shapeId="0" xr:uid="{068D9CD7-1FD8-48F1-85E1-4421C136440D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Lorsque la facture est finie cliquer sur ce bouton pour la transférer dans le fichier RECAPITULATIF.</t>
        </r>
      </text>
    </comment>
    <comment ref="M9" authorId="0" shapeId="0" xr:uid="{07AAA7BF-286A-430D-9DC8-C131C8DEE6F3}">
      <text>
        <r>
          <rPr>
            <b/>
            <u/>
            <sz val="9"/>
            <color indexed="14"/>
            <rFont val="Tahoma"/>
            <family val="2"/>
          </rPr>
          <t xml:space="preserve">Aux Cochons d'Ausson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Pour vider la facture sans sauvegarde.</t>
        </r>
      </text>
    </comment>
    <comment ref="J15" authorId="0" shapeId="0" xr:uid="{4245C988-6C05-41ED-AE12-5C8A9AF6FD3C}">
      <text>
        <r>
          <rPr>
            <b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Pour une copie de la facture et du BL1.</t>
        </r>
      </text>
    </comment>
    <comment ref="M15" authorId="0" shapeId="0" xr:uid="{4E9890F5-DED1-4D1B-A0E5-7721ABB8E537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Pour sauver les données à partir du BL2.</t>
        </r>
      </text>
    </comment>
    <comment ref="M20" authorId="0" shapeId="0" xr:uid="{9AE3B905-EBBA-4CE9-9E20-0B905BA7D7C0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Pour fermer la facture sans la sauvegarder.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Philippe PIGNEAU</author>
  </authors>
  <commentList>
    <comment ref="J1" authorId="0" shapeId="0" xr:uid="{4D2906D1-9DE2-4E51-B181-B2698B310414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Créer ou afficher les clients.</t>
        </r>
      </text>
    </comment>
    <comment ref="M1" authorId="0" shapeId="0" xr:uid="{7869C126-94D3-4A77-9424-4524E87CDA1D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Créer ou afficher les tarifs ou prduits.</t>
        </r>
      </text>
    </comment>
    <comment ref="J9" authorId="0" shapeId="0" xr:uid="{9E8E6306-213A-4C00-950B-024DFC11C81A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Lorsque la facture est finie cliquer sur ce bouton pour la transférer dans le fichier RECAPITULATIF.</t>
        </r>
      </text>
    </comment>
    <comment ref="M9" authorId="0" shapeId="0" xr:uid="{3EB36296-CC34-438C-A307-1D14AD2F61DE}">
      <text>
        <r>
          <rPr>
            <b/>
            <u/>
            <sz val="9"/>
            <color indexed="14"/>
            <rFont val="Tahoma"/>
            <family val="2"/>
          </rPr>
          <t xml:space="preserve">Aux Cochons d'Ausson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Pour vider la facture sans sauvegarde.</t>
        </r>
      </text>
    </comment>
    <comment ref="J15" authorId="0" shapeId="0" xr:uid="{741B5909-BA16-449D-80A0-ED93DC51A9E4}">
      <text>
        <r>
          <rPr>
            <b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Pour une copie de la facture et du BL1.</t>
        </r>
      </text>
    </comment>
    <comment ref="M15" authorId="0" shapeId="0" xr:uid="{B6812223-0C56-4A63-BCCB-A3EF2EAA9BA0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Pour sauver les données à partir du BL2.</t>
        </r>
      </text>
    </comment>
    <comment ref="M20" authorId="0" shapeId="0" xr:uid="{BC0419DC-180C-4EAF-A791-D9EAB9B756E2}">
      <text>
        <r>
          <rPr>
            <b/>
            <u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Pour fermer la facture sans la sauvegarder.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<sst xmlns="http://schemas.openxmlformats.org/spreadsheetml/2006/main" count="242" uniqueCount="151">
  <si>
    <t>SIRET : 812 657 492 000 11     –     N° TVA FR 968 126 574 92</t>
  </si>
  <si>
    <t>Téléphone :  06 71 48 15 30</t>
  </si>
  <si>
    <t>Email : auxcochonsdausson@gmail.com</t>
  </si>
  <si>
    <t>DESIGNATION DU PRODUIT</t>
  </si>
  <si>
    <t>POIDS</t>
  </si>
  <si>
    <t>DLC</t>
  </si>
  <si>
    <t>LOT</t>
  </si>
  <si>
    <t>Steeve et Clémence MARCE</t>
  </si>
  <si>
    <t>240 B Chemin de Barral – 26150 DIE</t>
  </si>
  <si>
    <t>L I V R A I S O N</t>
  </si>
  <si>
    <t>Prix TT - HT</t>
  </si>
  <si>
    <t>Prix au Kg</t>
  </si>
  <si>
    <t>TOTAL HT</t>
  </si>
  <si>
    <t>TOTAL TTC</t>
  </si>
  <si>
    <t>TOTAL TVA</t>
  </si>
  <si>
    <t>F A C T U R E</t>
  </si>
  <si>
    <t>POIDS TOTAL</t>
  </si>
  <si>
    <t>Cordialement.</t>
  </si>
  <si>
    <t>En votre aimable règlement,</t>
  </si>
  <si>
    <t>Date :</t>
  </si>
  <si>
    <t>Numéro :</t>
  </si>
  <si>
    <t>Coordonnées bancaires</t>
  </si>
  <si>
    <t>Adresse :</t>
  </si>
  <si>
    <t>CP - VILLE :</t>
  </si>
  <si>
    <t>Téléphone :</t>
  </si>
  <si>
    <t>Destinataire :</t>
  </si>
  <si>
    <t>CP -  VILLE</t>
  </si>
  <si>
    <t xml:space="preserve">N° CLIENT : </t>
  </si>
  <si>
    <t>N° de CLIENT :</t>
  </si>
  <si>
    <t>BL1</t>
  </si>
  <si>
    <t>BL2</t>
  </si>
  <si>
    <t>BL3</t>
  </si>
  <si>
    <t>BL4</t>
  </si>
  <si>
    <t>BL5</t>
  </si>
  <si>
    <t>NOMBRE DE PRODUIT</t>
  </si>
  <si>
    <t>Kg(s)</t>
  </si>
  <si>
    <r>
      <rPr>
        <u/>
        <sz val="8"/>
        <color theme="1"/>
        <rFont val="Calibri"/>
        <family val="2"/>
        <scheme val="minor"/>
      </rPr>
      <t>Banque :</t>
    </r>
    <r>
      <rPr>
        <b/>
        <sz val="8"/>
        <color theme="1"/>
        <rFont val="Calibri"/>
        <family val="2"/>
        <scheme val="minor"/>
      </rPr>
      <t xml:space="preserve"> CREDIT AGRICOLE</t>
    </r>
  </si>
  <si>
    <t>Liste des bordereaux de livraison</t>
  </si>
  <si>
    <r>
      <rPr>
        <u/>
        <sz val="8"/>
        <color theme="1"/>
        <rFont val="Calibri"/>
        <family val="2"/>
        <scheme val="minor"/>
      </rPr>
      <t>BIC :</t>
    </r>
    <r>
      <rPr>
        <sz val="8"/>
        <color theme="1"/>
        <rFont val="Calibri"/>
        <family val="2"/>
        <scheme val="minor"/>
      </rPr>
      <t xml:space="preserve"> </t>
    </r>
    <r>
      <rPr>
        <b/>
        <sz val="8"/>
        <color theme="1"/>
        <rFont val="Calibri"/>
        <family val="2"/>
        <scheme val="minor"/>
      </rPr>
      <t>AGRIFRPP839</t>
    </r>
  </si>
  <si>
    <r>
      <rPr>
        <u/>
        <sz val="8"/>
        <color theme="1"/>
        <rFont val="Calibri"/>
        <family val="2"/>
        <scheme val="minor"/>
      </rPr>
      <t>IBAN :</t>
    </r>
    <r>
      <rPr>
        <sz val="8"/>
        <color theme="1"/>
        <rFont val="Calibri"/>
        <family val="2"/>
        <scheme val="minor"/>
      </rPr>
      <t xml:space="preserve"> </t>
    </r>
    <r>
      <rPr>
        <b/>
        <sz val="8"/>
        <color theme="1"/>
        <rFont val="Calibri"/>
        <family val="2"/>
        <scheme val="minor"/>
      </rPr>
      <t>FR76 1390 6001 2685 0398 7336 807</t>
    </r>
  </si>
  <si>
    <t>RAISON SOCIALE</t>
  </si>
  <si>
    <t>CODE</t>
  </si>
  <si>
    <t>ADRESSE1</t>
  </si>
  <si>
    <t>ADRESSE2</t>
  </si>
  <si>
    <t>TELEPHONE</t>
  </si>
  <si>
    <t>Sup '</t>
  </si>
  <si>
    <t>Sup Espace</t>
  </si>
  <si>
    <t>N° Client</t>
  </si>
  <si>
    <t>PRIX</t>
  </si>
  <si>
    <t>12 Caractères</t>
  </si>
  <si>
    <t>NON PAYEE</t>
  </si>
  <si>
    <t>PAYEE</t>
  </si>
  <si>
    <t>PERREE Lucie</t>
  </si>
  <si>
    <t>23,60</t>
  </si>
  <si>
    <t>14,12</t>
  </si>
  <si>
    <t>15,07</t>
  </si>
  <si>
    <t>A V O I R</t>
  </si>
  <si>
    <t>PRESTATION</t>
  </si>
  <si>
    <t>Avoir sur la facture mentionnée ci-dessus</t>
  </si>
  <si>
    <t>Qté</t>
  </si>
  <si>
    <t>TVA</t>
  </si>
  <si>
    <t>TT HT</t>
  </si>
  <si>
    <t>Saisir le montant TTC</t>
  </si>
  <si>
    <t>Montant HT</t>
  </si>
  <si>
    <t>Aide au calcul du HT</t>
  </si>
  <si>
    <t>En votre aimable réception,</t>
  </si>
  <si>
    <t>Choisir le BL</t>
  </si>
  <si>
    <t>PRODUIT</t>
  </si>
  <si>
    <t xml:space="preserve"> </t>
  </si>
  <si>
    <t>Ligne pour sauvegarder dans le fichier RECAPITULATIF les informations de la facture</t>
  </si>
  <si>
    <t>Client</t>
  </si>
  <si>
    <t>Date</t>
  </si>
  <si>
    <t>N° Facture</t>
  </si>
  <si>
    <t>TT TVA</t>
  </si>
  <si>
    <t>TT TTC</t>
  </si>
  <si>
    <t>Etat</t>
  </si>
  <si>
    <t>00036</t>
  </si>
  <si>
    <t>00037</t>
  </si>
  <si>
    <t>00220</t>
  </si>
  <si>
    <t>00250</t>
  </si>
  <si>
    <t>DATE</t>
  </si>
  <si>
    <t>PATE</t>
  </si>
  <si>
    <t>4,80</t>
  </si>
  <si>
    <t>ARAIGNEE</t>
  </si>
  <si>
    <t>BAVETTE</t>
  </si>
  <si>
    <t>BOUDIN</t>
  </si>
  <si>
    <t>CAILLETTES</t>
  </si>
  <si>
    <t>CAISSETTE DE VIANDE 15 KG</t>
  </si>
  <si>
    <t>CHAIR A SAUCISSE</t>
  </si>
  <si>
    <t>COTE DE PORC</t>
  </si>
  <si>
    <t>COTIS SALE</t>
  </si>
  <si>
    <t>DEMI PORC</t>
  </si>
  <si>
    <t>ECHINE DE PORC</t>
  </si>
  <si>
    <t>EPAULE ENTIERE 3D</t>
  </si>
  <si>
    <t>ESCALOPE DE PORC</t>
  </si>
  <si>
    <t>FILET MIGNON DE PORC</t>
  </si>
  <si>
    <t>FROMAGE DE TETE</t>
  </si>
  <si>
    <t>GODIVEAUX AUX HERBES</t>
  </si>
  <si>
    <t>GODIVEAUX AUX OLIVES NYONS</t>
  </si>
  <si>
    <t>GODIVEAUX NATURE</t>
  </si>
  <si>
    <t>GODIVEAUX PICODON AOC</t>
  </si>
  <si>
    <t>GORGES DE PORC</t>
  </si>
  <si>
    <t>GRILLADE PARISIENNE</t>
  </si>
  <si>
    <t>GROIN</t>
  </si>
  <si>
    <t>HAMPES</t>
  </si>
  <si>
    <t>JAMBON CUIT</t>
  </si>
  <si>
    <t>JAMBON ENTIER</t>
  </si>
  <si>
    <t>JARRET DE PORC</t>
  </si>
  <si>
    <t>JARRET DEMI SEL</t>
  </si>
  <si>
    <t>JOUES</t>
  </si>
  <si>
    <t>LONGE ENTIERE</t>
  </si>
  <si>
    <t>MERGUEZ DE PORC</t>
  </si>
  <si>
    <t>MURSON</t>
  </si>
  <si>
    <t>MURSON VERRINE</t>
  </si>
  <si>
    <t>OREILLES</t>
  </si>
  <si>
    <t>PATE CROUTE</t>
  </si>
  <si>
    <t>PATE DE CAMPAGNE</t>
  </si>
  <si>
    <t>PIED  DE PORC</t>
  </si>
  <si>
    <t>POITRINE DE PORC</t>
  </si>
  <si>
    <t>POITRINE DEMI SEL</t>
  </si>
  <si>
    <t>PORC ENTIER</t>
  </si>
  <si>
    <t>QUEUE</t>
  </si>
  <si>
    <t>ROTI DE PORC (EPAULE)</t>
  </si>
  <si>
    <t>ROTI DE PORC (FILET)</t>
  </si>
  <si>
    <t>ROTI ECHINE</t>
  </si>
  <si>
    <t>ROTI FARCI</t>
  </si>
  <si>
    <t>ROUELLE DE PORC</t>
  </si>
  <si>
    <t>SAUCISSE A CUIRE NATURE</t>
  </si>
  <si>
    <t>SAUCISSE A CUIRE OLIVES NYONS</t>
  </si>
  <si>
    <t>SAUCISSE A GRILLER HERBES</t>
  </si>
  <si>
    <t>SAUCISSE A GRILLER NATURE</t>
  </si>
  <si>
    <t>SAUCISSE AUX HERBES</t>
  </si>
  <si>
    <t>SAUCISSON BRIOCHE</t>
  </si>
  <si>
    <t>SAUCISSON SEC PUR PORC</t>
  </si>
  <si>
    <t>SAUTE DE PORC</t>
  </si>
  <si>
    <t>SURPRISE</t>
  </si>
  <si>
    <t>TRAVERS DE PORC</t>
  </si>
  <si>
    <t xml:space="preserve"> 0,00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</si>
  <si>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</si>
  <si>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</si>
  <si>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</si>
  <si>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</si>
  <si>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</si>
  <si>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</si>
  <si>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</si>
  <si>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</si>
  <si>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</si>
  <si>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</si>
  <si>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</si>
  <si>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</si>
  <si>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FEVRIER_2022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</si>
</sst>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0#&quot; &quot;##&quot; &quot;##&quot; &quot;##&quot; &quot;##"/>
    <numFmt numFmtId="166" formatCode="#,##0.00\ &quot;€&quot;"/>
    <numFmt numFmtId="167" formatCode="0.000"/>
    <numFmt numFmtId="168" formatCode="0.0%"/>
    <numFmt numFmtId="169" formatCode="#,##0.000"/>
  </numFmts>
  <fonts count="3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3399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b/>
      <sz val="10"/>
      <color theme="8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9"/>
      <name val="Arial"/>
      <family val="2"/>
    </font>
    <font>
      <sz val="11"/>
      <color theme="1"/>
      <name val="Calibri"/>
      <family val="2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9"/>
      <color indexed="14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indexed="14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-0.2499465926084170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E5FFCB"/>
        <bgColor indexed="64"/>
      </patternFill>
    </fill>
    <fill>
      <patternFill patternType="solid">
        <fgColor rgb="FFFFF1C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164" fontId="29" fillId="0" borderId="0" applyFont="0" applyFill="0" applyBorder="0" applyAlignment="0" applyProtection="0"/>
  </cellStyleXfs>
  <cellXfs count="24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right"/>
    </xf>
    <xf numFmtId="166" fontId="10" fillId="0" borderId="1" xfId="0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66" fontId="10" fillId="5" borderId="1" xfId="0" applyNumberFormat="1" applyFont="1" applyFill="1" applyBorder="1" applyAlignment="1">
      <alignment horizontal="center" vertical="center"/>
    </xf>
    <xf numFmtId="167" fontId="0" fillId="0" borderId="0" xfId="0" applyNumberFormat="1"/>
    <xf numFmtId="0" fontId="20" fillId="5" borderId="0" xfId="0" applyFont="1" applyFill="1" applyBorder="1" applyAlignment="1">
      <alignment horizontal="right" vertical="center"/>
    </xf>
    <xf numFmtId="166" fontId="21" fillId="5" borderId="1" xfId="0" applyNumberFormat="1" applyFont="1" applyFill="1" applyBorder="1" applyAlignment="1">
      <alignment horizontal="center" vertical="center"/>
    </xf>
    <xf numFmtId="166" fontId="21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10" borderId="13" xfId="0" applyFont="1" applyFill="1" applyBorder="1" applyAlignment="1">
      <alignment horizontal="center" vertical="center"/>
    </xf>
    <xf numFmtId="0" fontId="1" fillId="10" borderId="14" xfId="0" applyFont="1" applyFill="1" applyBorder="1" applyAlignment="1">
      <alignment horizontal="center" vertical="center"/>
    </xf>
    <xf numFmtId="165" fontId="1" fillId="10" borderId="14" xfId="0" applyNumberFormat="1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" fillId="4" borderId="1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Border="1"/>
    <xf numFmtId="0" fontId="26" fillId="0" borderId="0" xfId="0" applyFont="1" applyBorder="1" applyAlignment="1">
      <alignment horizontal="center"/>
    </xf>
    <xf numFmtId="0" fontId="27" fillId="5" borderId="0" xfId="0" applyFont="1" applyFill="1" applyBorder="1" applyAlignment="1">
      <alignment horizontal="center"/>
    </xf>
    <xf numFmtId="0" fontId="0" fillId="5" borderId="0" xfId="0" applyFill="1"/>
    <xf numFmtId="0" fontId="0" fillId="5" borderId="0" xfId="0" applyFont="1" applyFill="1" applyAlignment="1">
      <alignment horizontal="center"/>
    </xf>
    <xf numFmtId="14" fontId="0" fillId="0" borderId="0" xfId="0" applyNumberFormat="1" applyAlignment="1">
      <alignment wrapText="1"/>
    </xf>
    <xf numFmtId="166" fontId="0" fillId="0" borderId="0" xfId="0" applyNumberFormat="1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8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 wrapText="1"/>
    </xf>
    <xf numFmtId="2" fontId="16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49" fontId="0" fillId="0" borderId="1" xfId="0" applyNumberFormat="1" applyBorder="1" applyAlignment="1" applyProtection="1">
      <alignment horizontal="center" vertical="center"/>
    </xf>
    <xf numFmtId="0" fontId="0" fillId="0" borderId="0" xfId="0" applyAlignment="1"/>
    <xf numFmtId="14" fontId="4" fillId="5" borderId="0" xfId="0" applyNumberFormat="1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Continuous" vertical="center"/>
    </xf>
    <xf numFmtId="0" fontId="0" fillId="5" borderId="0" xfId="0" applyFill="1" applyBorder="1" applyAlignment="1">
      <alignment horizontal="centerContinuous" vertical="center"/>
    </xf>
    <xf numFmtId="0" fontId="4" fillId="5" borderId="0" xfId="0" applyFont="1" applyFill="1" applyBorder="1" applyAlignment="1">
      <alignment horizontal="centerContinuous" vertical="center"/>
    </xf>
    <xf numFmtId="0" fontId="0" fillId="5" borderId="0" xfId="0" applyFill="1" applyAlignment="1">
      <alignment horizontal="centerContinuous"/>
    </xf>
    <xf numFmtId="165" fontId="4" fillId="5" borderId="0" xfId="0" applyNumberFormat="1" applyFont="1" applyFill="1" applyBorder="1" applyAlignment="1">
      <alignment horizontal="centerContinuous" vertical="center"/>
    </xf>
    <xf numFmtId="165" fontId="0" fillId="5" borderId="0" xfId="0" applyNumberFormat="1" applyFill="1" applyAlignment="1">
      <alignment horizontal="centerContinuous"/>
    </xf>
    <xf numFmtId="0" fontId="10" fillId="5" borderId="0" xfId="0" applyFont="1" applyFill="1" applyAlignment="1" applyProtection="1">
      <alignment horizontal="center"/>
    </xf>
    <xf numFmtId="14" fontId="0" fillId="6" borderId="0" xfId="0" applyNumberFormat="1" applyFill="1" applyAlignment="1" applyProtection="1">
      <alignment vertical="center"/>
    </xf>
    <xf numFmtId="0" fontId="0" fillId="0" borderId="6" xfId="0" applyBorder="1" applyAlignment="1"/>
    <xf numFmtId="0" fontId="28" fillId="0" borderId="0" xfId="0" applyFont="1" applyFill="1" applyBorder="1" applyAlignment="1" applyProtection="1">
      <alignment vertical="center"/>
    </xf>
    <xf numFmtId="0" fontId="28" fillId="3" borderId="5" xfId="0" applyFont="1" applyFill="1" applyBorder="1" applyAlignment="1" applyProtection="1">
      <alignment horizontal="centerContinuous" vertical="center"/>
    </xf>
    <xf numFmtId="0" fontId="28" fillId="3" borderId="7" xfId="0" applyFont="1" applyFill="1" applyBorder="1" applyAlignment="1" applyProtection="1">
      <alignment horizontal="centerContinuous" vertical="center"/>
    </xf>
    <xf numFmtId="0" fontId="4" fillId="0" borderId="20" xfId="0" applyFont="1" applyBorder="1" applyAlignment="1">
      <alignment horizontal="centerContinuous"/>
    </xf>
    <xf numFmtId="0" fontId="0" fillId="0" borderId="22" xfId="0" applyBorder="1" applyAlignment="1" applyProtection="1">
      <alignment horizontal="centerContinuous"/>
    </xf>
    <xf numFmtId="0" fontId="4" fillId="3" borderId="9" xfId="0" applyFont="1" applyFill="1" applyBorder="1" applyAlignment="1" applyProtection="1">
      <alignment horizontal="centerContinuous" vertical="center" wrapText="1"/>
    </xf>
    <xf numFmtId="0" fontId="4" fillId="3" borderId="8" xfId="0" applyFont="1" applyFill="1" applyBorder="1" applyAlignment="1" applyProtection="1">
      <alignment horizontal="centerContinuous" vertical="center" wrapText="1"/>
    </xf>
    <xf numFmtId="0" fontId="0" fillId="0" borderId="0" xfId="0" applyProtection="1">
      <protection locked="0"/>
    </xf>
    <xf numFmtId="0" fontId="0" fillId="0" borderId="0" xfId="0" applyAlignment="1" applyProtection="1"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Alignment="1" applyProtection="1">
      <alignment horizontal="center"/>
      <protection locked="0"/>
    </xf>
    <xf numFmtId="0" fontId="20" fillId="5" borderId="0" xfId="0" applyFont="1" applyFill="1" applyBorder="1" applyAlignment="1" applyProtection="1">
      <alignment horizontal="right" vertical="center"/>
      <protection locked="0"/>
    </xf>
    <xf numFmtId="0" fontId="0" fillId="0" borderId="0" xfId="0" applyAlignment="1" applyProtection="1">
      <alignment horizontal="right" vertical="center"/>
      <protection locked="0"/>
    </xf>
    <xf numFmtId="0" fontId="0" fillId="11" borderId="1" xfId="0" applyFill="1" applyBorder="1" applyAlignment="1" applyProtection="1">
      <alignment horizontal="center" vertical="center"/>
      <protection locked="0"/>
    </xf>
    <xf numFmtId="168" fontId="0" fillId="0" borderId="1" xfId="0" applyNumberFormat="1" applyBorder="1" applyAlignment="1" applyProtection="1">
      <alignment horizontal="center" vertical="center"/>
      <protection locked="0"/>
    </xf>
    <xf numFmtId="0" fontId="10" fillId="3" borderId="1" xfId="0" applyFont="1" applyFill="1" applyBorder="1" applyAlignment="1" applyProtection="1">
      <alignment horizontal="center" vertical="center"/>
      <protection locked="0"/>
    </xf>
    <xf numFmtId="0" fontId="14" fillId="2" borderId="2" xfId="0" applyFont="1" applyFill="1" applyBorder="1" applyAlignment="1" applyProtection="1">
      <alignment horizontal="center" vertical="center"/>
      <protection locked="0"/>
    </xf>
    <xf numFmtId="0" fontId="14" fillId="2" borderId="1" xfId="0" applyFont="1" applyFill="1" applyBorder="1" applyAlignment="1" applyProtection="1">
      <alignment horizontal="center" vertical="center"/>
      <protection locked="0"/>
    </xf>
    <xf numFmtId="0" fontId="14" fillId="4" borderId="1" xfId="0" applyFont="1" applyFill="1" applyBorder="1" applyAlignment="1" applyProtection="1">
      <alignment horizontal="center" vertical="center"/>
      <protection locked="0"/>
    </xf>
    <xf numFmtId="0" fontId="10" fillId="11" borderId="1" xfId="0" applyFont="1" applyFill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 applyProtection="1">
      <alignment horizontal="center" vertical="center"/>
      <protection locked="0"/>
    </xf>
    <xf numFmtId="167" fontId="18" fillId="0" borderId="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2" fontId="12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/>
      <protection locked="0"/>
    </xf>
    <xf numFmtId="0" fontId="24" fillId="0" borderId="0" xfId="0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vertical="center" wrapText="1"/>
      <protection locked="0"/>
    </xf>
    <xf numFmtId="0" fontId="28" fillId="0" borderId="0" xfId="0" applyFont="1" applyFill="1" applyBorder="1" applyAlignment="1" applyProtection="1">
      <alignment horizontal="left" vertical="center"/>
      <protection locked="0"/>
    </xf>
    <xf numFmtId="0" fontId="28" fillId="0" borderId="0" xfId="0" applyFont="1" applyFill="1" applyBorder="1" applyAlignment="1" applyProtection="1">
      <alignment horizontal="center" vertical="center"/>
      <protection locked="0"/>
    </xf>
    <xf numFmtId="0" fontId="28" fillId="0" borderId="0" xfId="0" applyFont="1" applyFill="1" applyBorder="1" applyProtection="1">
      <protection locked="0"/>
    </xf>
    <xf numFmtId="0" fontId="27" fillId="5" borderId="0" xfId="0" applyFont="1" applyFill="1" applyAlignment="1" applyProtection="1">
      <alignment horizontal="center" vertical="center"/>
      <protection hidden="1"/>
    </xf>
    <xf numFmtId="0" fontId="0" fillId="0" borderId="1" xfId="0" applyNumberFormat="1" applyBorder="1" applyAlignment="1" applyProtection="1">
      <alignment horizontal="center" vertical="center"/>
      <protection hidden="1"/>
    </xf>
    <xf numFmtId="168" fontId="0" fillId="0" borderId="1" xfId="0" applyNumberFormat="1" applyBorder="1" applyAlignment="1" applyProtection="1">
      <alignment horizontal="center" vertical="center"/>
      <protection hidden="1"/>
    </xf>
    <xf numFmtId="14" fontId="4" fillId="5" borderId="0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Fill="1" applyAlignment="1" applyProtection="1">
      <alignment horizontal="center" vertical="center"/>
      <protection hidden="1"/>
    </xf>
    <xf numFmtId="0" fontId="4" fillId="5" borderId="0" xfId="0" applyFont="1" applyFill="1" applyBorder="1" applyAlignment="1" applyProtection="1">
      <alignment horizontal="center" vertical="center"/>
      <protection hidden="1"/>
    </xf>
    <xf numFmtId="0" fontId="23" fillId="9" borderId="0" xfId="0" applyFont="1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167" fontId="0" fillId="0" borderId="0" xfId="0" applyNumberFormat="1" applyFill="1" applyBorder="1"/>
    <xf numFmtId="0" fontId="0" fillId="0" borderId="0" xfId="0" quotePrefix="1" applyFill="1" applyBorder="1"/>
    <xf numFmtId="169" fontId="12" fillId="0" borderId="1" xfId="0" applyNumberFormat="1" applyFont="1" applyBorder="1" applyAlignment="1" applyProtection="1">
      <alignment horizontal="center" vertical="center"/>
      <protection locked="0"/>
    </xf>
    <xf numFmtId="169" fontId="12" fillId="5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24" xfId="0" applyFont="1" applyFill="1" applyBorder="1" applyAlignment="1">
      <alignment horizontal="center" vertical="center"/>
    </xf>
    <xf numFmtId="166" fontId="10" fillId="0" borderId="17" xfId="0" applyNumberFormat="1" applyFont="1" applyBorder="1" applyAlignment="1">
      <alignment horizontal="center" vertical="center"/>
    </xf>
    <xf numFmtId="14" fontId="19" fillId="5" borderId="0" xfId="0" applyNumberFormat="1" applyFont="1" applyFill="1" applyAlignment="1" applyProtection="1">
      <alignment horizontal="center" vertical="center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  <protection locked="0"/>
    </xf>
    <xf numFmtId="2" fontId="0" fillId="0" borderId="0" xfId="0" applyNumberFormat="1" applyAlignment="1" applyProtection="1">
      <alignment horizontal="center"/>
      <protection locked="0"/>
    </xf>
    <xf numFmtId="14" fontId="0" fillId="9" borderId="25" xfId="0" applyNumberFormat="1" applyFill="1" applyBorder="1" applyAlignment="1">
      <alignment horizontal="center"/>
    </xf>
    <xf numFmtId="14" fontId="0" fillId="9" borderId="3" xfId="0" applyNumberFormat="1" applyFill="1" applyBorder="1" applyAlignment="1">
      <alignment horizontal="center"/>
    </xf>
    <xf numFmtId="1" fontId="0" fillId="9" borderId="26" xfId="0" applyNumberFormat="1" applyFill="1" applyBorder="1" applyAlignment="1">
      <alignment horizontal="center"/>
    </xf>
    <xf numFmtId="1" fontId="0" fillId="9" borderId="2" xfId="0" applyNumberFormat="1" applyFill="1" applyBorder="1" applyAlignment="1">
      <alignment horizontal="center"/>
    </xf>
    <xf numFmtId="14" fontId="0" fillId="9" borderId="27" xfId="0" applyNumberFormat="1" applyFill="1" applyBorder="1" applyAlignment="1">
      <alignment horizontal="center"/>
    </xf>
    <xf numFmtId="1" fontId="0" fillId="9" borderId="19" xfId="0" applyNumberFormat="1" applyFill="1" applyBorder="1" applyAlignment="1">
      <alignment horizontal="center"/>
    </xf>
    <xf numFmtId="14" fontId="0" fillId="4" borderId="25" xfId="0" applyNumberFormat="1" applyFill="1" applyBorder="1" applyAlignment="1">
      <alignment horizontal="center"/>
    </xf>
    <xf numFmtId="1" fontId="0" fillId="4" borderId="26" xfId="0" applyNumberFormat="1" applyFill="1" applyBorder="1" applyAlignment="1">
      <alignment horizontal="center"/>
    </xf>
    <xf numFmtId="0" fontId="4" fillId="0" borderId="1" xfId="0" applyFont="1" applyBorder="1" applyAlignment="1" applyProtection="1">
      <alignment vertical="center"/>
      <protection locked="0"/>
    </xf>
    <xf numFmtId="0" fontId="4" fillId="5" borderId="1" xfId="0" applyFont="1" applyFill="1" applyBorder="1" applyAlignment="1" applyProtection="1">
      <alignment vertical="center"/>
      <protection locked="0"/>
    </xf>
    <xf numFmtId="0" fontId="1" fillId="4" borderId="28" xfId="0" applyFont="1" applyFill="1" applyBorder="1" applyAlignment="1">
      <alignment horizontal="center"/>
    </xf>
    <xf numFmtId="0" fontId="25" fillId="0" borderId="0" xfId="0" applyFont="1" applyBorder="1"/>
    <xf numFmtId="2" fontId="25" fillId="0" borderId="0" xfId="0" applyNumberFormat="1" applyFont="1" applyBorder="1" applyAlignment="1">
      <alignment horizontal="center"/>
    </xf>
    <xf numFmtId="0" fontId="25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20" fillId="6" borderId="0" xfId="0" applyFont="1" applyFill="1" applyBorder="1" applyAlignment="1" applyProtection="1">
      <alignment horizontal="right" vertical="center"/>
      <protection locked="0"/>
    </xf>
    <xf numFmtId="0" fontId="28" fillId="0" borderId="0" xfId="0" applyFont="1" applyAlignment="1" applyProtection="1">
      <alignment horizontal="centerContinuous"/>
      <protection locked="0"/>
    </xf>
    <xf numFmtId="0" fontId="2" fillId="0" borderId="0" xfId="0" applyFont="1" applyBorder="1" applyAlignment="1" applyProtection="1">
      <alignment horizontal="centerContinuous" vertical="center"/>
      <protection hidden="1"/>
    </xf>
    <xf numFmtId="0" fontId="0" fillId="0" borderId="0" xfId="0" applyAlignment="1" applyProtection="1">
      <alignment horizontal="centerContinuous"/>
      <protection locked="0"/>
    </xf>
    <xf numFmtId="14" fontId="4" fillId="6" borderId="0" xfId="0" applyNumberFormat="1" applyFont="1" applyFill="1" applyBorder="1" applyAlignment="1" applyProtection="1">
      <alignment vertical="center"/>
      <protection locked="0"/>
    </xf>
    <xf numFmtId="14" fontId="19" fillId="6" borderId="0" xfId="0" applyNumberFormat="1" applyFont="1" applyFill="1" applyAlignment="1" applyProtection="1">
      <alignment horizontal="center" vertical="center"/>
      <protection locked="0"/>
    </xf>
    <xf numFmtId="0" fontId="0" fillId="6" borderId="0" xfId="0" applyFill="1" applyAlignment="1" applyProtection="1">
      <alignment vertical="center"/>
      <protection locked="0"/>
    </xf>
    <xf numFmtId="0" fontId="4" fillId="6" borderId="0" xfId="0" applyFont="1" applyFill="1" applyBorder="1" applyAlignment="1" applyProtection="1">
      <alignment horizontal="center" vertical="center"/>
      <protection locked="0"/>
    </xf>
    <xf numFmtId="0" fontId="27" fillId="6" borderId="0" xfId="0" applyFont="1" applyFill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0" fontId="16" fillId="0" borderId="23" xfId="0" applyFont="1" applyBorder="1" applyAlignment="1" applyProtection="1">
      <alignment horizontal="center" vertical="center"/>
      <protection locked="0"/>
    </xf>
    <xf numFmtId="0" fontId="14" fillId="4" borderId="2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5" fillId="0" borderId="0" xfId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/>
    <xf numFmtId="0" fontId="6" fillId="0" borderId="0" xfId="0" applyFont="1" applyBorder="1" applyAlignment="1">
      <alignment horizontal="center" vertical="center" wrapText="1"/>
    </xf>
    <xf numFmtId="0" fontId="0" fillId="0" borderId="0" xfId="0" applyBorder="1" applyAlignment="1"/>
    <xf numFmtId="0" fontId="2" fillId="0" borderId="0" xfId="0" applyFont="1" applyBorder="1" applyAlignment="1">
      <alignment horizontal="center" vertical="center"/>
    </xf>
    <xf numFmtId="166" fontId="13" fillId="4" borderId="1" xfId="0" applyNumberFormat="1" applyFont="1" applyFill="1" applyBorder="1" applyAlignment="1">
      <alignment horizontal="center"/>
    </xf>
    <xf numFmtId="166" fontId="13" fillId="4" borderId="1" xfId="0" applyNumberFormat="1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14" fontId="4" fillId="5" borderId="0" xfId="0" applyNumberFormat="1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Border="1" applyAlignment="1" applyProtection="1">
      <alignment horizontal="center" vertical="center"/>
      <protection locked="0"/>
    </xf>
    <xf numFmtId="0" fontId="3" fillId="0" borderId="10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28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7" fillId="0" borderId="5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3" fillId="0" borderId="8" xfId="0" applyFont="1" applyBorder="1" applyAlignment="1"/>
    <xf numFmtId="0" fontId="3" fillId="0" borderId="0" xfId="0" applyFont="1" applyBorder="1" applyAlignment="1"/>
    <xf numFmtId="0" fontId="3" fillId="0" borderId="9" xfId="0" applyFont="1" applyBorder="1" applyAlignment="1"/>
    <xf numFmtId="0" fontId="3" fillId="0" borderId="8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167" fontId="0" fillId="0" borderId="0" xfId="0" applyNumberFormat="1" applyAlignment="1">
      <alignment horizontal="center"/>
    </xf>
    <xf numFmtId="14" fontId="0" fillId="6" borderId="2" xfId="0" applyNumberFormat="1" applyFill="1" applyBorder="1" applyAlignment="1" applyProtection="1">
      <alignment horizontal="center" vertical="center"/>
      <protection locked="0"/>
    </xf>
    <xf numFmtId="14" fontId="0" fillId="6" borderId="3" xfId="0" applyNumberFormat="1" applyFill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14" fontId="0" fillId="0" borderId="3" xfId="0" applyNumberFormat="1" applyBorder="1" applyAlignment="1" applyProtection="1">
      <alignment horizontal="center" vertical="center"/>
      <protection locked="0"/>
    </xf>
    <xf numFmtId="167" fontId="18" fillId="6" borderId="1" xfId="0" applyNumberFormat="1" applyFont="1" applyFill="1" applyBorder="1" applyAlignment="1" applyProtection="1">
      <alignment horizontal="center" vertical="center"/>
    </xf>
    <xf numFmtId="167" fontId="18" fillId="7" borderId="1" xfId="0" applyNumberFormat="1" applyFont="1" applyFill="1" applyBorder="1" applyAlignment="1" applyProtection="1">
      <alignment horizontal="center" vertical="center"/>
    </xf>
    <xf numFmtId="0" fontId="0" fillId="6" borderId="4" xfId="0" applyFill="1" applyBorder="1" applyAlignment="1" applyProtection="1">
      <alignment horizontal="center" vertical="center"/>
    </xf>
    <xf numFmtId="0" fontId="0" fillId="6" borderId="3" xfId="0" applyFill="1" applyBorder="1" applyAlignment="1" applyProtection="1">
      <alignment horizontal="center" vertical="center"/>
    </xf>
    <xf numFmtId="0" fontId="16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protection locked="0"/>
    </xf>
    <xf numFmtId="0" fontId="0" fillId="0" borderId="4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18" fillId="6" borderId="2" xfId="0" applyNumberFormat="1" applyFont="1" applyFill="1" applyBorder="1" applyAlignment="1" applyProtection="1">
      <alignment horizontal="left" vertical="center"/>
    </xf>
    <xf numFmtId="0" fontId="18" fillId="6" borderId="4" xfId="0" applyNumberFormat="1" applyFont="1" applyFill="1" applyBorder="1" applyAlignment="1" applyProtection="1">
      <alignment horizontal="left" vertical="center"/>
    </xf>
    <xf numFmtId="0" fontId="18" fillId="6" borderId="3" xfId="0" applyNumberFormat="1" applyFont="1" applyFill="1" applyBorder="1" applyAlignment="1" applyProtection="1">
      <alignment horizontal="left" vertical="center"/>
    </xf>
    <xf numFmtId="0" fontId="18" fillId="0" borderId="2" xfId="0" applyNumberFormat="1" applyFont="1" applyBorder="1" applyAlignment="1" applyProtection="1">
      <alignment horizontal="left" vertical="center"/>
    </xf>
    <xf numFmtId="0" fontId="18" fillId="0" borderId="4" xfId="0" applyNumberFormat="1" applyFont="1" applyBorder="1" applyAlignment="1" applyProtection="1">
      <alignment horizontal="left" vertical="center"/>
    </xf>
    <xf numFmtId="0" fontId="18" fillId="0" borderId="3" xfId="0" applyNumberFormat="1" applyFont="1" applyBorder="1" applyAlignment="1" applyProtection="1">
      <alignment horizontal="left" vertical="center"/>
    </xf>
    <xf numFmtId="0" fontId="14" fillId="2" borderId="1" xfId="0" applyFont="1" applyFill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167" fontId="22" fillId="9" borderId="0" xfId="0" applyNumberFormat="1" applyFont="1" applyFill="1" applyBorder="1" applyAlignment="1" applyProtection="1">
      <alignment horizontal="right" vertical="center"/>
    </xf>
    <xf numFmtId="0" fontId="0" fillId="0" borderId="0" xfId="0" applyAlignment="1" applyProtection="1">
      <alignment horizontal="right" vertical="center"/>
    </xf>
    <xf numFmtId="1" fontId="22" fillId="9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5" fillId="0" borderId="0" xfId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top"/>
      <protection locked="0"/>
    </xf>
    <xf numFmtId="0" fontId="0" fillId="0" borderId="0" xfId="0" applyAlignment="1" applyProtection="1">
      <alignment horizontal="center" vertical="top"/>
      <protection locked="0"/>
    </xf>
    <xf numFmtId="0" fontId="6" fillId="0" borderId="0" xfId="0" applyFont="1" applyBorder="1" applyAlignment="1" applyProtection="1">
      <alignment horizontal="center" vertical="center" wrapText="1"/>
      <protection locked="0"/>
    </xf>
    <xf numFmtId="0" fontId="7" fillId="6" borderId="0" xfId="0" applyFont="1" applyFill="1" applyBorder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horizontal="center" vertical="center"/>
      <protection locked="0"/>
    </xf>
    <xf numFmtId="0" fontId="4" fillId="6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4" fillId="8" borderId="0" xfId="0" applyFont="1" applyFill="1" applyBorder="1" applyAlignment="1" applyProtection="1">
      <alignment horizontal="center" vertical="center"/>
    </xf>
    <xf numFmtId="0" fontId="0" fillId="8" borderId="0" xfId="0" applyFill="1" applyAlignment="1" applyProtection="1">
      <alignment horizontal="center"/>
    </xf>
    <xf numFmtId="0" fontId="9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165" fontId="4" fillId="6" borderId="0" xfId="0" applyNumberFormat="1" applyFont="1" applyFill="1" applyBorder="1" applyAlignment="1" applyProtection="1">
      <alignment horizontal="center" vertical="center"/>
    </xf>
    <xf numFmtId="165" fontId="0" fillId="0" borderId="0" xfId="0" applyNumberFormat="1" applyAlignment="1" applyProtection="1">
      <alignment horizontal="center"/>
    </xf>
    <xf numFmtId="0" fontId="14" fillId="2" borderId="2" xfId="0" applyFont="1" applyFill="1" applyBorder="1" applyAlignment="1" applyProtection="1">
      <alignment horizontal="center" vertical="center"/>
      <protection locked="0"/>
    </xf>
    <xf numFmtId="0" fontId="14" fillId="2" borderId="4" xfId="0" applyFont="1" applyFill="1" applyBorder="1" applyAlignment="1" applyProtection="1">
      <alignment horizontal="center" vertical="center"/>
      <protection locked="0"/>
    </xf>
    <xf numFmtId="0" fontId="14" fillId="2" borderId="3" xfId="0" applyFont="1" applyFill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protection hidden="1"/>
    </xf>
    <xf numFmtId="0" fontId="3" fillId="0" borderId="0" xfId="0" applyFont="1" applyBorder="1" applyAlignment="1" applyProtection="1">
      <protection hidden="1"/>
    </xf>
    <xf numFmtId="0" fontId="3" fillId="0" borderId="9" xfId="0" applyFont="1" applyBorder="1" applyAlignment="1" applyProtection="1">
      <protection hidden="1"/>
    </xf>
    <xf numFmtId="0" fontId="17" fillId="0" borderId="5" xfId="0" applyFont="1" applyBorder="1" applyAlignment="1" applyProtection="1">
      <alignment horizontal="center" vertical="center"/>
      <protection hidden="1"/>
    </xf>
    <xf numFmtId="0" fontId="17" fillId="0" borderId="6" xfId="0" applyFont="1" applyBorder="1" applyAlignment="1" applyProtection="1">
      <alignment horizontal="center" vertical="center"/>
      <protection hidden="1"/>
    </xf>
    <xf numFmtId="0" fontId="17" fillId="0" borderId="7" xfId="0" applyFont="1" applyBorder="1" applyAlignment="1" applyProtection="1">
      <alignment horizontal="center" vertical="center"/>
      <protection hidden="1"/>
    </xf>
    <xf numFmtId="0" fontId="8" fillId="3" borderId="2" xfId="0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 applyProtection="1">
      <alignment horizontal="center" vertical="center"/>
      <protection locked="0"/>
    </xf>
    <xf numFmtId="166" fontId="13" fillId="4" borderId="1" xfId="2" applyNumberFormat="1" applyFont="1" applyFill="1" applyBorder="1" applyAlignment="1" applyProtection="1">
      <alignment horizontal="center"/>
      <protection hidden="1"/>
    </xf>
    <xf numFmtId="0" fontId="18" fillId="0" borderId="2" xfId="0" applyNumberFormat="1" applyFont="1" applyBorder="1" applyAlignment="1" applyProtection="1">
      <alignment horizontal="center" vertical="center"/>
      <protection hidden="1"/>
    </xf>
    <xf numFmtId="0" fontId="18" fillId="0" borderId="4" xfId="0" applyNumberFormat="1" applyFont="1" applyBorder="1" applyAlignment="1" applyProtection="1">
      <alignment horizontal="center" vertical="center"/>
      <protection hidden="1"/>
    </xf>
    <xf numFmtId="0" fontId="18" fillId="0" borderId="3" xfId="0" applyNumberFormat="1" applyFont="1" applyBorder="1" applyAlignment="1" applyProtection="1">
      <alignment horizontal="center" vertical="center"/>
      <protection hidden="1"/>
    </xf>
    <xf numFmtId="166" fontId="13" fillId="4" borderId="1" xfId="0" applyNumberFormat="1" applyFont="1" applyFill="1" applyBorder="1" applyAlignment="1" applyProtection="1">
      <alignment horizontal="center" vertical="center"/>
      <protection hidden="1"/>
    </xf>
    <xf numFmtId="0" fontId="3" fillId="0" borderId="8" xfId="0" applyFont="1" applyBorder="1" applyAlignment="1" applyProtection="1">
      <alignment horizontal="left" vertical="center"/>
      <protection hidden="1"/>
    </xf>
    <xf numFmtId="0" fontId="3" fillId="0" borderId="0" xfId="0" applyFont="1" applyBorder="1" applyAlignment="1" applyProtection="1">
      <alignment horizontal="left" vertical="center"/>
      <protection hidden="1"/>
    </xf>
    <xf numFmtId="0" fontId="3" fillId="0" borderId="9" xfId="0" applyFont="1" applyBorder="1" applyAlignment="1" applyProtection="1">
      <alignment horizontal="left" vertical="center"/>
      <protection hidden="1"/>
    </xf>
    <xf numFmtId="0" fontId="3" fillId="0" borderId="10" xfId="0" applyFont="1" applyBorder="1" applyAlignment="1" applyProtection="1">
      <alignment horizontal="left" vertical="center"/>
      <protection hidden="1"/>
    </xf>
    <xf numFmtId="0" fontId="3" fillId="0" borderId="11" xfId="0" applyFont="1" applyBorder="1" applyAlignment="1" applyProtection="1">
      <alignment horizontal="left" vertical="center"/>
      <protection hidden="1"/>
    </xf>
    <xf numFmtId="0" fontId="3" fillId="0" borderId="12" xfId="0" applyFont="1" applyBorder="1" applyAlignment="1" applyProtection="1">
      <alignment horizontal="left" vertical="center"/>
      <protection hidden="1"/>
    </xf>
    <xf numFmtId="0" fontId="7" fillId="5" borderId="0" xfId="0" applyFont="1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4" fillId="5" borderId="0" xfId="0" applyFont="1" applyFill="1" applyBorder="1" applyAlignment="1" applyProtection="1">
      <alignment horizontal="center" vertical="center"/>
      <protection hidden="1"/>
    </xf>
    <xf numFmtId="0" fontId="0" fillId="5" borderId="0" xfId="0" applyFill="1" applyAlignment="1" applyProtection="1">
      <alignment horizontal="center"/>
      <protection hidden="1"/>
    </xf>
    <xf numFmtId="14" fontId="9" fillId="0" borderId="20" xfId="0" applyNumberFormat="1" applyFont="1" applyFill="1" applyBorder="1" applyAlignment="1" applyProtection="1">
      <alignment horizontal="right" vertical="center"/>
      <protection hidden="1"/>
    </xf>
    <xf numFmtId="14" fontId="9" fillId="0" borderId="21" xfId="0" applyNumberFormat="1" applyFont="1" applyFill="1" applyBorder="1" applyAlignment="1" applyProtection="1">
      <alignment horizontal="right" vertical="center"/>
      <protection hidden="1"/>
    </xf>
    <xf numFmtId="14" fontId="9" fillId="0" borderId="21" xfId="0" applyNumberFormat="1" applyFont="1" applyFill="1" applyBorder="1" applyAlignment="1" applyProtection="1">
      <alignment horizontal="left" vertical="center"/>
      <protection hidden="1"/>
    </xf>
    <xf numFmtId="14" fontId="9" fillId="0" borderId="22" xfId="0" applyNumberFormat="1" applyFont="1" applyFill="1" applyBorder="1" applyAlignment="1" applyProtection="1">
      <alignment horizontal="left" vertical="center"/>
      <protection hidden="1"/>
    </xf>
    <xf numFmtId="0" fontId="3" fillId="0" borderId="0" xfId="0" applyFont="1" applyAlignment="1" applyProtection="1">
      <alignment horizontal="center"/>
      <protection locked="0"/>
    </xf>
    <xf numFmtId="165" fontId="4" fillId="5" borderId="0" xfId="0" applyNumberFormat="1" applyFont="1" applyFill="1" applyBorder="1" applyAlignment="1" applyProtection="1">
      <alignment horizontal="center" vertical="center"/>
      <protection hidden="1"/>
    </xf>
    <xf numFmtId="165" fontId="0" fillId="5" borderId="0" xfId="0" applyNumberFormat="1" applyFill="1" applyAlignment="1" applyProtection="1">
      <alignment horizontal="center"/>
      <protection hidden="1"/>
    </xf>
    <xf numFmtId="0" fontId="4" fillId="3" borderId="8" xfId="0" applyFont="1" applyFill="1" applyBorder="1" applyAlignment="1" applyProtection="1">
      <alignment horizontal="center" vertical="center" wrapText="1"/>
    </xf>
    <xf numFmtId="0" fontId="4" fillId="3" borderId="9" xfId="0" applyFont="1" applyFill="1" applyBorder="1" applyAlignment="1" applyProtection="1">
      <alignment horizontal="center" vertical="center" wrapText="1"/>
    </xf>
    <xf numFmtId="0" fontId="4" fillId="3" borderId="10" xfId="0" applyFont="1" applyFill="1" applyBorder="1" applyAlignment="1" applyProtection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</dxf>
    <dxf>
      <border outline="0">
        <top style="medium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 tint="-0.249977111117893"/>
        </patternFill>
      </fill>
    </dxf>
  </dxfs>
  <tableStyles count="0" defaultTableStyle="TableStyleMedium2" defaultPivotStyle="PivotStyleLight16"/>
  <colors>
    <mruColors>
      <color rgb="FFFFF1C5"/>
      <color rgb="FFE5FFCB"/>
      <color rgb="FFFFFFCC"/>
      <color rgb="FFCCFF99"/>
      <color rgb="FFFF5050"/>
      <color rgb="FFCCFFCC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microsoft.com/office/2011/relationships/webextension" Target="../webextensions/webextension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microsoft.com/office/2011/relationships/webextension" Target="../webextensions/webextension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1004</xdr:colOff>
      <xdr:row>2</xdr:row>
      <xdr:rowOff>9525</xdr:rowOff>
    </xdr:from>
    <xdr:to>
      <xdr:col>7</xdr:col>
      <xdr:colOff>742912</xdr:colOff>
      <xdr:row>7</xdr:row>
      <xdr:rowOff>19050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590425" y="846722"/>
          <a:ext cx="2682000" cy="962025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1003</xdr:colOff>
      <xdr:row>0</xdr:row>
      <xdr:rowOff>9525</xdr:rowOff>
    </xdr:from>
    <xdr:to>
      <xdr:col>7</xdr:col>
      <xdr:colOff>742911</xdr:colOff>
      <xdr:row>1</xdr:row>
      <xdr:rowOff>9525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590424" y="9525"/>
          <a:ext cx="2682000" cy="731921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1003</xdr:colOff>
      <xdr:row>8</xdr:row>
      <xdr:rowOff>0</xdr:rowOff>
    </xdr:from>
    <xdr:to>
      <xdr:col>7</xdr:col>
      <xdr:colOff>742911</xdr:colOff>
      <xdr:row>10</xdr:row>
      <xdr:rowOff>28575</xdr:rowOff>
    </xdr:to>
    <xdr:sp macro="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3590424" y="1935079"/>
          <a:ext cx="2682000" cy="409575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0</xdr:rowOff>
        </xdr:from>
        <xdr:to>
          <xdr:col>1</xdr:col>
          <xdr:colOff>0</xdr:colOff>
          <xdr:row>14</xdr:row>
          <xdr:rowOff>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12</xdr:col>
      <xdr:colOff>381000</xdr:colOff>
      <xdr:row>0</xdr:row>
      <xdr:rowOff>104775</xdr:rowOff>
    </xdr:from>
    <xdr:to>
      <xdr:col>12</xdr:col>
      <xdr:colOff>1209675</xdr:colOff>
      <xdr:row>2</xdr:row>
      <xdr:rowOff>147637</xdr:rowOff>
    </xdr:to>
    <xdr:sp macro="[0]!Affiche_Feuille_Client" textlink="">
      <xdr:nvSpPr>
        <xdr:cNvPr id="24" name="Ellipse 8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7029450" y="104775"/>
          <a:ext cx="828675" cy="881062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CLIENT</a:t>
          </a:r>
        </a:p>
      </xdr:txBody>
    </xdr:sp>
    <xdr:clientData fPrintsWithSheet="0"/>
  </xdr:twoCellAnchor>
  <xdr:twoCellAnchor editAs="absolute">
    <xdr:from>
      <xdr:col>13</xdr:col>
      <xdr:colOff>581025</xdr:colOff>
      <xdr:row>0</xdr:row>
      <xdr:rowOff>104775</xdr:rowOff>
    </xdr:from>
    <xdr:to>
      <xdr:col>16</xdr:col>
      <xdr:colOff>647700</xdr:colOff>
      <xdr:row>2</xdr:row>
      <xdr:rowOff>147637</xdr:rowOff>
    </xdr:to>
    <xdr:sp macro="[0]!Affiche_Feuille_Tarif" textlink="">
      <xdr:nvSpPr>
        <xdr:cNvPr id="25" name="Ellipse 7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8667750" y="104775"/>
          <a:ext cx="828675" cy="881062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TARIF</a:t>
          </a:r>
        </a:p>
      </xdr:txBody>
    </xdr:sp>
    <xdr:clientData fPrintsWithSheet="0"/>
  </xdr:twoCellAnchor>
  <xdr:twoCellAnchor editAs="absolute">
    <xdr:from>
      <xdr:col>12</xdr:col>
      <xdr:colOff>161925</xdr:colOff>
      <xdr:row>19</xdr:row>
      <xdr:rowOff>120421</xdr:rowOff>
    </xdr:from>
    <xdr:to>
      <xdr:col>13</xdr:col>
      <xdr:colOff>38100</xdr:colOff>
      <xdr:row>24</xdr:row>
      <xdr:rowOff>72796</xdr:rowOff>
    </xdr:to>
    <xdr:sp macro="[0]!Impression" textlink="">
      <xdr:nvSpPr>
        <xdr:cNvPr id="27" name="Ellipse 5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6810375" y="4701946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IMPRIMER</a:t>
          </a:r>
        </a:p>
      </xdr:txBody>
    </xdr:sp>
    <xdr:clientData fPrintsWithSheet="0"/>
  </xdr:twoCellAnchor>
  <xdr:twoCellAnchor editAs="absolute">
    <xdr:from>
      <xdr:col>13</xdr:col>
      <xdr:colOff>352425</xdr:colOff>
      <xdr:row>19</xdr:row>
      <xdr:rowOff>120421</xdr:rowOff>
    </xdr:from>
    <xdr:to>
      <xdr:col>17</xdr:col>
      <xdr:colOff>114300</xdr:colOff>
      <xdr:row>24</xdr:row>
      <xdr:rowOff>72796</xdr:rowOff>
    </xdr:to>
    <xdr:sp macro="[0]!Ferme_Facture_Sans_Sauvegarde" textlink="">
      <xdr:nvSpPr>
        <xdr:cNvPr id="28" name="Ellipse 6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8439150" y="4701946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FERMER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LA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FACTURE</a:t>
          </a:r>
        </a:p>
      </xdr:txBody>
    </xdr:sp>
    <xdr:clientData fPrintsWithSheet="0"/>
  </xdr:twoCellAnchor>
  <xdr:twoCellAnchor editAs="absolute">
    <xdr:from>
      <xdr:col>12</xdr:col>
      <xdr:colOff>152400</xdr:colOff>
      <xdr:row>14</xdr:row>
      <xdr:rowOff>76200</xdr:rowOff>
    </xdr:from>
    <xdr:to>
      <xdr:col>13</xdr:col>
      <xdr:colOff>28575</xdr:colOff>
      <xdr:row>19</xdr:row>
      <xdr:rowOff>28575</xdr:rowOff>
    </xdr:to>
    <xdr:sp macro="[0]!ENREGISTRE_COPIE_FACTURE" textlink="">
      <xdr:nvSpPr>
        <xdr:cNvPr id="29" name="Ellipse 3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6800850" y="3324225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SAUVER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BL1</a:t>
          </a:r>
        </a:p>
      </xdr:txBody>
    </xdr:sp>
    <xdr:clientData fPrintsWithSheet="0"/>
  </xdr:twoCellAnchor>
  <xdr:twoCellAnchor editAs="absolute">
    <xdr:from>
      <xdr:col>13</xdr:col>
      <xdr:colOff>352425</xdr:colOff>
      <xdr:row>14</xdr:row>
      <xdr:rowOff>76200</xdr:rowOff>
    </xdr:from>
    <xdr:to>
      <xdr:col>17</xdr:col>
      <xdr:colOff>114300</xdr:colOff>
      <xdr:row>19</xdr:row>
      <xdr:rowOff>28575</xdr:rowOff>
    </xdr:to>
    <xdr:sp macro="[0]!Enregistre_Saisies" textlink="">
      <xdr:nvSpPr>
        <xdr:cNvPr id="30" name="Ellipse 4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8439150" y="3324225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SAUVER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BL 2, 3,</a:t>
          </a:r>
          <a:r>
            <a:rPr lang="fr-FR" sz="1600" b="1" baseline="0">
              <a:solidFill>
                <a:schemeClr val="bg1"/>
              </a:solidFill>
            </a:rPr>
            <a:t> ...</a:t>
          </a:r>
          <a:endParaRPr lang="fr-FR" sz="1600" b="1">
            <a:solidFill>
              <a:schemeClr val="bg1"/>
            </a:solidFill>
          </a:endParaRPr>
        </a:p>
      </xdr:txBody>
    </xdr:sp>
    <xdr:clientData fPrintsWithSheet="0"/>
  </xdr:twoCellAnchor>
  <xdr:twoCellAnchor editAs="absolute">
    <xdr:from>
      <xdr:col>13</xdr:col>
      <xdr:colOff>352425</xdr:colOff>
      <xdr:row>8</xdr:row>
      <xdr:rowOff>0</xdr:rowOff>
    </xdr:from>
    <xdr:to>
      <xdr:col>17</xdr:col>
      <xdr:colOff>114300</xdr:colOff>
      <xdr:row>13</xdr:row>
      <xdr:rowOff>238125</xdr:rowOff>
    </xdr:to>
    <xdr:sp macro="[0]!Effacer" textlink="">
      <xdr:nvSpPr>
        <xdr:cNvPr id="31" name="Ellipse 2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8439150" y="1933575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REMISE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A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ZERO</a:t>
          </a:r>
        </a:p>
      </xdr:txBody>
    </xdr:sp>
    <xdr:clientData fPrintsWithSheet="0"/>
  </xdr:twoCellAnchor>
  <xdr:twoCellAnchor editAs="absolute">
    <xdr:from>
      <xdr:col>12</xdr:col>
      <xdr:colOff>152400</xdr:colOff>
      <xdr:row>8</xdr:row>
      <xdr:rowOff>0</xdr:rowOff>
    </xdr:from>
    <xdr:to>
      <xdr:col>13</xdr:col>
      <xdr:colOff>28575</xdr:colOff>
      <xdr:row>13</xdr:row>
      <xdr:rowOff>238125</xdr:rowOff>
    </xdr:to>
    <xdr:sp macro="[0]!Facture_Finie" textlink="">
      <xdr:nvSpPr>
        <xdr:cNvPr id="32" name="Ellipse 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6800850" y="1933575"/>
          <a:ext cx="1285875" cy="1285875"/>
        </a:xfrm>
        <a:prstGeom prst="ellipse">
          <a:avLst/>
        </a:prstGeom>
        <a:gradFill>
          <a:gsLst>
            <a:gs pos="0">
              <a:srgbClr val="F9775D"/>
            </a:gs>
            <a:gs pos="50000">
              <a:schemeClr val="accent6">
                <a:lumMod val="105000"/>
                <a:satMod val="103000"/>
                <a:tint val="73000"/>
              </a:schemeClr>
            </a:gs>
            <a:gs pos="100000">
              <a:schemeClr val="accent6">
                <a:lumMod val="105000"/>
                <a:satMod val="109000"/>
                <a:tint val="81000"/>
              </a:schemeClr>
            </a:gs>
          </a:gsLst>
        </a:gra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-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REGLEMENT</a:t>
          </a:r>
          <a:endParaRPr lang="fr-FR" sz="1600" b="1">
            <a:solidFill>
              <a:schemeClr val="bg1"/>
            </a:solidFill>
          </a:endParaRPr>
        </a:p>
      </xdr:txBody>
    </xdr:sp>
    <xdr:clientData fPrintsWithSheet="0"/>
  </xdr:twoCellAnchor>
  <xdr:twoCellAnchor>
    <xdr:from>
      <xdr:col>18</xdr:col>
      <xdr:colOff>9524</xdr:colOff>
      <xdr:row>10</xdr:row>
      <xdr:rowOff>9524</xdr:rowOff>
    </xdr:from>
    <xdr:to>
      <xdr:col>20</xdr:col>
      <xdr:colOff>123825</xdr:colOff>
      <xdr:row>17</xdr:row>
      <xdr:rowOff>142875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428625</xdr:colOff>
      <xdr:row>0</xdr:row>
      <xdr:rowOff>219075</xdr:rowOff>
    </xdr:from>
    <xdr:to>
      <xdr:col>4</xdr:col>
      <xdr:colOff>333375</xdr:colOff>
      <xdr:row>1</xdr:row>
      <xdr:rowOff>171450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8625" y="219075"/>
          <a:ext cx="2838450" cy="685800"/>
        </a:xfrm>
        <a:prstGeom prst="rect">
          <a:avLst/>
        </a:prstGeom>
      </xdr:spPr>
    </xdr:pic>
    <xdr:clientData/>
  </xdr:twoCellAnchor>
  <xdr:twoCellAnchor>
    <xdr:from>
      <xdr:col>4</xdr:col>
      <xdr:colOff>685800</xdr:colOff>
      <xdr:row>0</xdr:row>
      <xdr:rowOff>9525</xdr:rowOff>
    </xdr:from>
    <xdr:to>
      <xdr:col>8</xdr:col>
      <xdr:colOff>685800</xdr:colOff>
      <xdr:row>1</xdr:row>
      <xdr:rowOff>9525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619500" y="9525"/>
          <a:ext cx="2819400" cy="7334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685800</xdr:colOff>
      <xdr:row>2</xdr:row>
      <xdr:rowOff>0</xdr:rowOff>
    </xdr:from>
    <xdr:to>
      <xdr:col>8</xdr:col>
      <xdr:colOff>685800</xdr:colOff>
      <xdr:row>7</xdr:row>
      <xdr:rowOff>9525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619500" y="923925"/>
          <a:ext cx="2819400" cy="9620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685800</xdr:colOff>
      <xdr:row>8</xdr:row>
      <xdr:rowOff>9526</xdr:rowOff>
    </xdr:from>
    <xdr:to>
      <xdr:col>8</xdr:col>
      <xdr:colOff>685800</xdr:colOff>
      <xdr:row>10</xdr:row>
      <xdr:rowOff>9526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619500" y="2076451"/>
          <a:ext cx="2819400" cy="381000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695325</xdr:colOff>
      <xdr:row>33</xdr:row>
      <xdr:rowOff>0</xdr:rowOff>
    </xdr:from>
    <xdr:to>
      <xdr:col>7</xdr:col>
      <xdr:colOff>695325</xdr:colOff>
      <xdr:row>35</xdr:row>
      <xdr:rowOff>9525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629025" y="8620125"/>
          <a:ext cx="2114550" cy="8096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33</xdr:row>
      <xdr:rowOff>0</xdr:rowOff>
    </xdr:from>
    <xdr:to>
      <xdr:col>4</xdr:col>
      <xdr:colOff>0</xdr:colOff>
      <xdr:row>35</xdr:row>
      <xdr:rowOff>9525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3638550" y="8620125"/>
          <a:ext cx="2114550" cy="8096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4763</xdr:colOff>
      <xdr:row>11</xdr:row>
      <xdr:rowOff>0</xdr:rowOff>
    </xdr:from>
    <xdr:to>
      <xdr:col>12</xdr:col>
      <xdr:colOff>90488</xdr:colOff>
      <xdr:row>15</xdr:row>
      <xdr:rowOff>219075</xdr:rowOff>
    </xdr:to>
    <xdr:sp macro="[0]!BL_Fini" textlink="">
      <xdr:nvSpPr>
        <xdr:cNvPr id="11" name="Ellipse 1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6872288" y="2638425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CREER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LE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PDF</a:t>
          </a:r>
        </a:p>
      </xdr:txBody>
    </xdr:sp>
    <xdr:clientData fPrintsWithSheet="0"/>
  </xdr:twoCellAnchor>
  <xdr:twoCellAnchor editAs="oneCell">
    <xdr:from>
      <xdr:col>10</xdr:col>
      <xdr:colOff>4763</xdr:colOff>
      <xdr:row>16</xdr:row>
      <xdr:rowOff>28575</xdr:rowOff>
    </xdr:from>
    <xdr:to>
      <xdr:col>12</xdr:col>
      <xdr:colOff>90488</xdr:colOff>
      <xdr:row>20</xdr:row>
      <xdr:rowOff>247650</xdr:rowOff>
    </xdr:to>
    <xdr:sp macro="[0]!Impression" textlink="">
      <xdr:nvSpPr>
        <xdr:cNvPr id="12" name="Ellips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6872288" y="4000500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IMPRIMER</a:t>
          </a:r>
        </a:p>
      </xdr:txBody>
    </xdr:sp>
    <xdr:clientData fPrintsWithSheet="0"/>
  </xdr:twoCellAnchor>
  <xdr:twoCellAnchor editAs="oneCell">
    <xdr:from>
      <xdr:col>12</xdr:col>
      <xdr:colOff>371475</xdr:colOff>
      <xdr:row>5</xdr:row>
      <xdr:rowOff>133350</xdr:rowOff>
    </xdr:from>
    <xdr:to>
      <xdr:col>15</xdr:col>
      <xdr:colOff>696072</xdr:colOff>
      <xdr:row>8</xdr:row>
      <xdr:rowOff>66945</xdr:rowOff>
    </xdr:to>
    <xdr:pic>
      <xdr:nvPicPr>
        <xdr:cNvPr id="3" name="Image 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48675" y="1628775"/>
          <a:ext cx="1848597" cy="66702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428625</xdr:colOff>
      <xdr:row>0</xdr:row>
      <xdr:rowOff>219075</xdr:rowOff>
    </xdr:from>
    <xdr:to>
      <xdr:col>4</xdr:col>
      <xdr:colOff>333375</xdr:colOff>
      <xdr:row>1</xdr:row>
      <xdr:rowOff>171450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8625" y="219075"/>
          <a:ext cx="2838450" cy="685800"/>
        </a:xfrm>
        <a:prstGeom prst="rect">
          <a:avLst/>
        </a:prstGeom>
      </xdr:spPr>
    </xdr:pic>
    <xdr:clientData/>
  </xdr:twoCellAnchor>
  <xdr:twoCellAnchor>
    <xdr:from>
      <xdr:col>4</xdr:col>
      <xdr:colOff>685800</xdr:colOff>
      <xdr:row>0</xdr:row>
      <xdr:rowOff>9525</xdr:rowOff>
    </xdr:from>
    <xdr:to>
      <xdr:col>8</xdr:col>
      <xdr:colOff>685800</xdr:colOff>
      <xdr:row>1</xdr:row>
      <xdr:rowOff>9525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619500" y="9525"/>
          <a:ext cx="2819400" cy="7334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685800</xdr:colOff>
      <xdr:row>2</xdr:row>
      <xdr:rowOff>0</xdr:rowOff>
    </xdr:from>
    <xdr:to>
      <xdr:col>8</xdr:col>
      <xdr:colOff>685800</xdr:colOff>
      <xdr:row>7</xdr:row>
      <xdr:rowOff>9525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3619500" y="923925"/>
          <a:ext cx="2819400" cy="962025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685800</xdr:colOff>
      <xdr:row>8</xdr:row>
      <xdr:rowOff>9526</xdr:rowOff>
    </xdr:from>
    <xdr:to>
      <xdr:col>8</xdr:col>
      <xdr:colOff>685800</xdr:colOff>
      <xdr:row>10</xdr:row>
      <xdr:rowOff>9526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3619500" y="2076451"/>
          <a:ext cx="2819400" cy="381000"/>
        </a:xfrm>
        <a:prstGeom prst="roundRect">
          <a:avLst/>
        </a:prstGeom>
        <a:noFill/>
        <a:ln w="2540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176213</xdr:colOff>
      <xdr:row>14</xdr:row>
      <xdr:rowOff>142875</xdr:rowOff>
    </xdr:from>
    <xdr:to>
      <xdr:col>11</xdr:col>
      <xdr:colOff>1462088</xdr:colOff>
      <xdr:row>20</xdr:row>
      <xdr:rowOff>38100</xdr:rowOff>
    </xdr:to>
    <xdr:sp macro="[0]!Avoir_Fini" textlink="">
      <xdr:nvSpPr>
        <xdr:cNvPr id="8" name="Ellipse 1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891338" y="3781425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CREER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LE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PDF</a:t>
          </a:r>
        </a:p>
      </xdr:txBody>
    </xdr:sp>
    <xdr:clientData fPrintsWithSheet="0"/>
  </xdr:twoCellAnchor>
  <xdr:twoCellAnchor editAs="oneCell">
    <xdr:from>
      <xdr:col>11</xdr:col>
      <xdr:colOff>176213</xdr:colOff>
      <xdr:row>20</xdr:row>
      <xdr:rowOff>114300</xdr:rowOff>
    </xdr:from>
    <xdr:to>
      <xdr:col>11</xdr:col>
      <xdr:colOff>1462088</xdr:colOff>
      <xdr:row>27</xdr:row>
      <xdr:rowOff>38100</xdr:rowOff>
    </xdr:to>
    <xdr:sp macro="[0]!Impression" textlink="">
      <xdr:nvSpPr>
        <xdr:cNvPr id="11" name="Ellips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6891338" y="5143500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IMPRIMER</a:t>
          </a:r>
        </a:p>
      </xdr:txBody>
    </xdr:sp>
    <xdr:clientData fPrintsWithSheet="0"/>
  </xdr:twoCellAnchor>
  <xdr:twoCellAnchor editAs="oneCell">
    <xdr:from>
      <xdr:col>11</xdr:col>
      <xdr:colOff>176213</xdr:colOff>
      <xdr:row>9</xdr:row>
      <xdr:rowOff>142875</xdr:rowOff>
    </xdr:from>
    <xdr:to>
      <xdr:col>11</xdr:col>
      <xdr:colOff>1462088</xdr:colOff>
      <xdr:row>14</xdr:row>
      <xdr:rowOff>47625</xdr:rowOff>
    </xdr:to>
    <xdr:sp macro="[0]!Saisir_Le_Montant_Avoir" textlink="">
      <xdr:nvSpPr>
        <xdr:cNvPr id="14" name="Ellips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6891338" y="2400300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SAISIR LE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MONTANT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TTC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1004</xdr:colOff>
      <xdr:row>2</xdr:row>
      <xdr:rowOff>9525</xdr:rowOff>
    </xdr:from>
    <xdr:to>
      <xdr:col>7</xdr:col>
      <xdr:colOff>742912</xdr:colOff>
      <xdr:row>7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5E47BD6-4D19-42D8-A190-A21378FD9C3D}"/>
            </a:ext>
          </a:extLst>
        </xdr:cNvPr>
        <xdr:cNvSpPr/>
      </xdr:nvSpPr>
      <xdr:spPr>
        <a:xfrm>
          <a:off x="3725279" y="847725"/>
          <a:ext cx="2685008" cy="962025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1003</xdr:colOff>
      <xdr:row>0</xdr:row>
      <xdr:rowOff>9525</xdr:rowOff>
    </xdr:from>
    <xdr:to>
      <xdr:col>7</xdr:col>
      <xdr:colOff>742911</xdr:colOff>
      <xdr:row>1</xdr:row>
      <xdr:rowOff>9525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2FA28A7-26C0-44F0-86A6-7AE4B15833B4}"/>
            </a:ext>
          </a:extLst>
        </xdr:cNvPr>
        <xdr:cNvSpPr/>
      </xdr:nvSpPr>
      <xdr:spPr>
        <a:xfrm>
          <a:off x="3725278" y="9525"/>
          <a:ext cx="2685008" cy="733425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1003</xdr:colOff>
      <xdr:row>8</xdr:row>
      <xdr:rowOff>0</xdr:rowOff>
    </xdr:from>
    <xdr:to>
      <xdr:col>7</xdr:col>
      <xdr:colOff>742911</xdr:colOff>
      <xdr:row>10</xdr:row>
      <xdr:rowOff>28575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C833E756-74E9-49DE-A546-112C618F8F68}"/>
            </a:ext>
          </a:extLst>
        </xdr:cNvPr>
        <xdr:cNvSpPr/>
      </xdr:nvSpPr>
      <xdr:spPr>
        <a:xfrm>
          <a:off x="3725278" y="1933575"/>
          <a:ext cx="2685008" cy="409575"/>
        </a:xfrm>
        <a:prstGeom prst="roundRect">
          <a:avLst/>
        </a:prstGeom>
        <a:noFill/>
        <a:ln w="19050">
          <a:solidFill>
            <a:schemeClr val="accen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0</xdr:rowOff>
        </xdr:from>
        <xdr:to>
          <xdr:col>1</xdr:col>
          <xdr:colOff>0</xdr:colOff>
          <xdr:row>14</xdr:row>
          <xdr:rowOff>0</xdr:rowOff>
        </xdr:to>
        <xdr:sp macro="" textlink="">
          <xdr:nvSpPr>
            <xdr:cNvPr id="30721" name="ComboBox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48961FEB-D247-4A61-9E66-73B63D38CE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12</xdr:col>
      <xdr:colOff>381000</xdr:colOff>
      <xdr:row>0</xdr:row>
      <xdr:rowOff>104775</xdr:rowOff>
    </xdr:from>
    <xdr:to>
      <xdr:col>12</xdr:col>
      <xdr:colOff>1209675</xdr:colOff>
      <xdr:row>2</xdr:row>
      <xdr:rowOff>147637</xdr:rowOff>
    </xdr:to>
    <xdr:sp macro="[0]!Affiche_Feuille_Client" textlink="">
      <xdr:nvSpPr>
        <xdr:cNvPr id="6" name="Ellipse 8" hidden="1">
          <a:extLst>
            <a:ext uri="{FF2B5EF4-FFF2-40B4-BE49-F238E27FC236}">
              <a16:creationId xmlns:a16="http://schemas.microsoft.com/office/drawing/2014/main" id="{25202ABA-0E65-47B3-8220-CD274C07287B}"/>
            </a:ext>
          </a:extLst>
        </xdr:cNvPr>
        <xdr:cNvSpPr/>
      </xdr:nvSpPr>
      <xdr:spPr>
        <a:xfrm>
          <a:off x="7029450" y="104775"/>
          <a:ext cx="828675" cy="881062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CLIENT</a:t>
          </a:r>
        </a:p>
      </xdr:txBody>
    </xdr:sp>
    <xdr:clientData fPrintsWithSheet="0"/>
  </xdr:twoCellAnchor>
  <xdr:twoCellAnchor editAs="absolute">
    <xdr:from>
      <xdr:col>13</xdr:col>
      <xdr:colOff>581025</xdr:colOff>
      <xdr:row>0</xdr:row>
      <xdr:rowOff>104775</xdr:rowOff>
    </xdr:from>
    <xdr:to>
      <xdr:col>16</xdr:col>
      <xdr:colOff>647700</xdr:colOff>
      <xdr:row>2</xdr:row>
      <xdr:rowOff>147637</xdr:rowOff>
    </xdr:to>
    <xdr:sp macro="[0]!Affiche_Feuille_Tarif" textlink="">
      <xdr:nvSpPr>
        <xdr:cNvPr id="7" name="Ellipse 7" hidden="1">
          <a:extLst>
            <a:ext uri="{FF2B5EF4-FFF2-40B4-BE49-F238E27FC236}">
              <a16:creationId xmlns:a16="http://schemas.microsoft.com/office/drawing/2014/main" id="{6411B685-3E64-40D4-88C6-152D0B96BB4C}"/>
            </a:ext>
          </a:extLst>
        </xdr:cNvPr>
        <xdr:cNvSpPr/>
      </xdr:nvSpPr>
      <xdr:spPr>
        <a:xfrm>
          <a:off x="8639175" y="104775"/>
          <a:ext cx="828675" cy="881062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TARIF</a:t>
          </a:r>
        </a:p>
      </xdr:txBody>
    </xdr:sp>
    <xdr:clientData fPrintsWithSheet="0"/>
  </xdr:twoCellAnchor>
  <xdr:twoCellAnchor editAs="absolute">
    <xdr:from>
      <xdr:col>12</xdr:col>
      <xdr:colOff>161925</xdr:colOff>
      <xdr:row>19</xdr:row>
      <xdr:rowOff>120421</xdr:rowOff>
    </xdr:from>
    <xdr:to>
      <xdr:col>13</xdr:col>
      <xdr:colOff>38100</xdr:colOff>
      <xdr:row>24</xdr:row>
      <xdr:rowOff>72796</xdr:rowOff>
    </xdr:to>
    <xdr:sp macro="[0]!Impression" textlink="">
      <xdr:nvSpPr>
        <xdr:cNvPr id="8" name="Ellipse 5" hidden="1">
          <a:extLst>
            <a:ext uri="{FF2B5EF4-FFF2-40B4-BE49-F238E27FC236}">
              <a16:creationId xmlns:a16="http://schemas.microsoft.com/office/drawing/2014/main" id="{06DC289F-2669-45C5-8C70-DF2F93625611}"/>
            </a:ext>
          </a:extLst>
        </xdr:cNvPr>
        <xdr:cNvSpPr/>
      </xdr:nvSpPr>
      <xdr:spPr>
        <a:xfrm>
          <a:off x="6810375" y="4701946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IMPRIMER</a:t>
          </a:r>
        </a:p>
      </xdr:txBody>
    </xdr:sp>
    <xdr:clientData fPrintsWithSheet="0"/>
  </xdr:twoCellAnchor>
  <xdr:twoCellAnchor editAs="absolute">
    <xdr:from>
      <xdr:col>13</xdr:col>
      <xdr:colOff>352425</xdr:colOff>
      <xdr:row>19</xdr:row>
      <xdr:rowOff>120421</xdr:rowOff>
    </xdr:from>
    <xdr:to>
      <xdr:col>17</xdr:col>
      <xdr:colOff>114300</xdr:colOff>
      <xdr:row>24</xdr:row>
      <xdr:rowOff>72796</xdr:rowOff>
    </xdr:to>
    <xdr:sp macro="[0]!Ferme_Facture_Sans_Sauvegarde" textlink="">
      <xdr:nvSpPr>
        <xdr:cNvPr id="9" name="Ellipse 6" hidden="1">
          <a:extLst>
            <a:ext uri="{FF2B5EF4-FFF2-40B4-BE49-F238E27FC236}">
              <a16:creationId xmlns:a16="http://schemas.microsoft.com/office/drawing/2014/main" id="{C9616F60-04C5-440E-A555-25C61C2B1D7D}"/>
            </a:ext>
          </a:extLst>
        </xdr:cNvPr>
        <xdr:cNvSpPr/>
      </xdr:nvSpPr>
      <xdr:spPr>
        <a:xfrm>
          <a:off x="8410575" y="4701946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FERMER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LA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FACTURE</a:t>
          </a:r>
        </a:p>
      </xdr:txBody>
    </xdr:sp>
    <xdr:clientData fPrintsWithSheet="0"/>
  </xdr:twoCellAnchor>
  <xdr:twoCellAnchor editAs="absolute">
    <xdr:from>
      <xdr:col>12</xdr:col>
      <xdr:colOff>152400</xdr:colOff>
      <xdr:row>14</xdr:row>
      <xdr:rowOff>76200</xdr:rowOff>
    </xdr:from>
    <xdr:to>
      <xdr:col>13</xdr:col>
      <xdr:colOff>28575</xdr:colOff>
      <xdr:row>19</xdr:row>
      <xdr:rowOff>28575</xdr:rowOff>
    </xdr:to>
    <xdr:sp macro="[0]!ENREGISTRE_COPIE_FACTURE" textlink="">
      <xdr:nvSpPr>
        <xdr:cNvPr id="10" name="Ellipse 3" hidden="1">
          <a:extLst>
            <a:ext uri="{FF2B5EF4-FFF2-40B4-BE49-F238E27FC236}">
              <a16:creationId xmlns:a16="http://schemas.microsoft.com/office/drawing/2014/main" id="{6F9A7CB9-44AA-4B74-A2E2-896C938F91B6}"/>
            </a:ext>
          </a:extLst>
        </xdr:cNvPr>
        <xdr:cNvSpPr/>
      </xdr:nvSpPr>
      <xdr:spPr>
        <a:xfrm>
          <a:off x="6800850" y="3324225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SAUVER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BL1</a:t>
          </a:r>
        </a:p>
      </xdr:txBody>
    </xdr:sp>
    <xdr:clientData fPrintsWithSheet="0"/>
  </xdr:twoCellAnchor>
  <xdr:twoCellAnchor editAs="absolute">
    <xdr:from>
      <xdr:col>13</xdr:col>
      <xdr:colOff>352425</xdr:colOff>
      <xdr:row>14</xdr:row>
      <xdr:rowOff>76200</xdr:rowOff>
    </xdr:from>
    <xdr:to>
      <xdr:col>17</xdr:col>
      <xdr:colOff>114300</xdr:colOff>
      <xdr:row>19</xdr:row>
      <xdr:rowOff>28575</xdr:rowOff>
    </xdr:to>
    <xdr:sp macro="[0]!Enregistre_Saisies" textlink="">
      <xdr:nvSpPr>
        <xdr:cNvPr id="11" name="Ellipse 4" hidden="1">
          <a:extLst>
            <a:ext uri="{FF2B5EF4-FFF2-40B4-BE49-F238E27FC236}">
              <a16:creationId xmlns:a16="http://schemas.microsoft.com/office/drawing/2014/main" id="{0A73E1CA-0792-42B5-AD31-45A7AC2CF444}"/>
            </a:ext>
          </a:extLst>
        </xdr:cNvPr>
        <xdr:cNvSpPr/>
      </xdr:nvSpPr>
      <xdr:spPr>
        <a:xfrm>
          <a:off x="8410575" y="3324225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SAUVER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BL 2, 3,</a:t>
          </a:r>
          <a:r>
            <a:rPr lang="fr-FR" sz="1600" b="1" baseline="0">
              <a:solidFill>
                <a:schemeClr val="bg1"/>
              </a:solidFill>
            </a:rPr>
            <a:t> ...</a:t>
          </a:r>
          <a:endParaRPr lang="fr-FR" sz="1600" b="1">
            <a:solidFill>
              <a:schemeClr val="bg1"/>
            </a:solidFill>
          </a:endParaRPr>
        </a:p>
      </xdr:txBody>
    </xdr:sp>
    <xdr:clientData fPrintsWithSheet="0"/>
  </xdr:twoCellAnchor>
  <xdr:twoCellAnchor editAs="absolute">
    <xdr:from>
      <xdr:col>13</xdr:col>
      <xdr:colOff>352425</xdr:colOff>
      <xdr:row>8</xdr:row>
      <xdr:rowOff>0</xdr:rowOff>
    </xdr:from>
    <xdr:to>
      <xdr:col>17</xdr:col>
      <xdr:colOff>114300</xdr:colOff>
      <xdr:row>13</xdr:row>
      <xdr:rowOff>238125</xdr:rowOff>
    </xdr:to>
    <xdr:sp macro="[0]!Effacer" textlink="">
      <xdr:nvSpPr>
        <xdr:cNvPr id="12" name="Ellipse 2" hidden="1">
          <a:extLst>
            <a:ext uri="{FF2B5EF4-FFF2-40B4-BE49-F238E27FC236}">
              <a16:creationId xmlns:a16="http://schemas.microsoft.com/office/drawing/2014/main" id="{0D27A958-A00F-4EBA-BF86-6C0783F7CF96}"/>
            </a:ext>
          </a:extLst>
        </xdr:cNvPr>
        <xdr:cNvSpPr/>
      </xdr:nvSpPr>
      <xdr:spPr>
        <a:xfrm>
          <a:off x="8410575" y="1933575"/>
          <a:ext cx="1285875" cy="1285875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REMISE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A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ZERO</a:t>
          </a:r>
        </a:p>
      </xdr:txBody>
    </xdr:sp>
    <xdr:clientData fPrintsWithSheet="0"/>
  </xdr:twoCellAnchor>
  <xdr:twoCellAnchor editAs="absolute">
    <xdr:from>
      <xdr:col>12</xdr:col>
      <xdr:colOff>152400</xdr:colOff>
      <xdr:row>8</xdr:row>
      <xdr:rowOff>0</xdr:rowOff>
    </xdr:from>
    <xdr:to>
      <xdr:col>13</xdr:col>
      <xdr:colOff>28575</xdr:colOff>
      <xdr:row>13</xdr:row>
      <xdr:rowOff>238125</xdr:rowOff>
    </xdr:to>
    <xdr:sp macro="[0]!Facture_Finie" textlink="">
      <xdr:nvSpPr>
        <xdr:cNvPr id="13" name="Ellipse 1" hidden="1">
          <a:extLst>
            <a:ext uri="{FF2B5EF4-FFF2-40B4-BE49-F238E27FC236}">
              <a16:creationId xmlns:a16="http://schemas.microsoft.com/office/drawing/2014/main" id="{D54AD169-E73B-49E5-8E17-65ADA43F481D}"/>
            </a:ext>
          </a:extLst>
        </xdr:cNvPr>
        <xdr:cNvSpPr/>
      </xdr:nvSpPr>
      <xdr:spPr>
        <a:xfrm>
          <a:off x="6800850" y="1933575"/>
          <a:ext cx="1285875" cy="1285875"/>
        </a:xfrm>
        <a:prstGeom prst="ellipse">
          <a:avLst/>
        </a:prstGeom>
        <a:gradFill>
          <a:gsLst>
            <a:gs pos="0">
              <a:srgbClr val="F9775D"/>
            </a:gs>
            <a:gs pos="50000">
              <a:schemeClr val="accent6">
                <a:lumMod val="105000"/>
                <a:satMod val="103000"/>
                <a:tint val="73000"/>
              </a:schemeClr>
            </a:gs>
            <a:gs pos="100000">
              <a:schemeClr val="accent6">
                <a:lumMod val="105000"/>
                <a:satMod val="109000"/>
                <a:tint val="81000"/>
              </a:schemeClr>
            </a:gs>
          </a:gsLst>
        </a:gra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600" b="1">
              <a:solidFill>
                <a:schemeClr val="bg1"/>
              </a:solidFill>
            </a:rPr>
            <a:t>-</a:t>
          </a:r>
          <a:br>
            <a:rPr lang="fr-FR" sz="16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REGLEMENT</a:t>
          </a:r>
          <a:endParaRPr lang="fr-FR" sz="1600" b="1">
            <a:solidFill>
              <a:schemeClr val="bg1"/>
            </a:solidFill>
          </a:endParaRPr>
        </a:p>
      </xdr:txBody>
    </xdr:sp>
    <xdr:clientData fPrintsWithSheet="0"/>
  </xdr:twoCellAnchor>
  <xdr:twoCellAnchor>
    <xdr:from>
      <xdr:col>18</xdr:col>
      <xdr:colOff>9524</xdr:colOff>
      <xdr:row>10</xdr:row>
      <xdr:rowOff>9524</xdr:rowOff>
    </xdr:from>
    <xdr:to>
      <xdr:col>20</xdr:col>
      <xdr:colOff>123825</xdr:colOff>
      <xdr:row>17</xdr:row>
      <xdr:rowOff>142875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14" name="Complément 13" hidden="1" title="Mini Calendar and Date Picker">
              <a:extLst>
                <a:ext uri="{FF2B5EF4-FFF2-40B4-BE49-F238E27FC236}">
                  <a16:creationId xmlns:a16="http://schemas.microsoft.com/office/drawing/2014/main" id="{B8D374D4-6BA8-4556-BFDF-81F747969221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14" name="Complément 13" title="Mini Calendar and Date Picker">
              <a:extLst>
                <a:ext uri="{FF2B5EF4-FFF2-40B4-BE49-F238E27FC236}">
                  <a16:creationId xmlns:a16="http://schemas.microsoft.com/office/drawing/2014/main" id="{B8D374D4-6BA8-4556-BFDF-81F747969221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57151</xdr:colOff>
      <xdr:row>0</xdr:row>
      <xdr:rowOff>66675</xdr:rowOff>
    </xdr:from>
    <xdr:to>
      <xdr:col>11</xdr:col>
      <xdr:colOff>676275</xdr:colOff>
      <xdr:row>1</xdr:row>
      <xdr:rowOff>161925</xdr:rowOff>
    </xdr:to>
    <xdr:sp macro="[0]!LancerFormulaire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1458576" y="66675"/>
          <a:ext cx="1381124" cy="28575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Lancer le Formulaire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114299</xdr:colOff>
      <xdr:row>0</xdr:row>
      <xdr:rowOff>57150</xdr:rowOff>
    </xdr:from>
    <xdr:to>
      <xdr:col>4</xdr:col>
      <xdr:colOff>238124</xdr:colOff>
      <xdr:row>1</xdr:row>
      <xdr:rowOff>133350</xdr:rowOff>
    </xdr:to>
    <xdr:sp macro="[0]!LancerFormulaireSaisieProdui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2609849" y="57150"/>
          <a:ext cx="1419225" cy="2762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Lancer le formulaire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ACTURIER\DONNE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PIE%20SAUVEGARDE\NbLettre\NbLettre.xla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NNE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MIN"/>
    </sheetNames>
    <definedNames>
      <definedName name="L_Date_BL" refersTo="='CHEMIN'!$E$3:$E$6"/>
      <definedName name="L_Lot_BL" refersTo="='CHEMIN'!$F$3:$F$6"/>
    </definedNames>
    <sheetDataSet>
      <sheetData sheetId="0">
        <row r="3">
          <cell r="E3" t="str">
            <v>19/03/2022</v>
          </cell>
          <cell r="F3" t="str">
            <v>00036</v>
          </cell>
        </row>
        <row r="4">
          <cell r="E4" t="str">
            <v>18/03/2022</v>
          </cell>
          <cell r="F4" t="str">
            <v>00037</v>
          </cell>
        </row>
        <row r="5">
          <cell r="C5" t="str">
            <v>D:\PDF\BL\</v>
          </cell>
          <cell r="E5" t="str">
            <v>18/03/2022</v>
          </cell>
          <cell r="F5" t="str">
            <v>00220</v>
          </cell>
        </row>
        <row r="6">
          <cell r="C6" t="str">
            <v>D:\PDF\FACTURES\</v>
          </cell>
          <cell r="E6" t="str">
            <v>18/03/2022</v>
          </cell>
          <cell r="F6" t="str">
            <v>00250</v>
          </cell>
        </row>
        <row r="7">
          <cell r="C7" t="str">
            <v>D:\FACTURES EN COURS\</v>
          </cell>
        </row>
        <row r="8">
          <cell r="C8" t="str">
            <v>D:\PDF\AVOIR\</v>
          </cell>
        </row>
        <row r="9">
          <cell r="C9" t="str">
            <v>D:\FACTURIER\RECAPITULATIF.xlsm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nvNumberLetter"/>
    </definedNames>
    <sheetDataSet>
      <sheetData sheetId="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MIN"/>
    </sheetNames>
    <sheetDataSet>
      <sheetData sheetId="0">
        <row r="4">
          <cell r="E4">
            <v>44837</v>
          </cell>
        </row>
        <row r="5">
          <cell r="E5" t="str">
            <v>17/03/2022</v>
          </cell>
        </row>
        <row r="6">
          <cell r="E6" t="str">
            <v>18/03/2022</v>
          </cell>
        </row>
        <row r="7">
          <cell r="E7" t="str">
            <v>18/03/2022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0B8D043-C5E1-4547-8870-926F16BD0FF9}" name="Tableau3" displayName="Tableau3" ref="A1:B5" totalsRowShown="0" headerRowDxfId="13" headerRowBorderDxfId="12" tableBorderDxfId="11">
  <autoFilter ref="A1:B5" xr:uid="{F14BC6AF-6A43-417A-A6B1-9A652776BA26}"/>
  <tableColumns count="2">
    <tableColumn id="1" xr3:uid="{ECF602B1-82CD-4529-8CDA-9B6AF3CAD8AB}" name="DATE" dataDxfId="10"/>
    <tableColumn id="2" xr3:uid="{89C3EB32-1BD2-4D9A-93AF-515544FF38A3}" name="LOT" dataDxfId="9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885213-61DD-487A-B6A0-17CC8DFCF71F}" name="Tableau1" displayName="Tableau1" ref="A1:H2" totalsRowShown="0" headerRowDxfId="8" headerRowBorderDxfId="7" tableBorderDxfId="6">
  <sortState xmlns:xlrd2="http://schemas.microsoft.com/office/spreadsheetml/2017/richdata2" ref="A2:H2">
    <sortCondition ref="A2"/>
  </sortState>
  <tableColumns count="8">
    <tableColumn id="1" xr3:uid="{D91976F6-70D9-482E-8B60-CD05592B32C0}" name="RAISON SOCIALE"/>
    <tableColumn id="2" xr3:uid="{02D32786-A08F-4970-A4FB-724251CD00C0}" name="CODE" dataDxfId="5"/>
    <tableColumn id="3" xr3:uid="{AF15F648-392A-4BFF-9F1A-28A0C21E7B65}" name="ADRESSE1"/>
    <tableColumn id="4" xr3:uid="{2E928CFF-6118-4D84-8B06-39E1DA56F68B}" name="ADRESSE2"/>
    <tableColumn id="5" xr3:uid="{EB86E1A0-F29F-4C00-8B31-9DBC13A9840B}" name="TELEPHONE" dataDxfId="4"/>
    <tableColumn id="6" xr3:uid="{84B93ED3-981D-4571-929F-C7C2F35E06DF}" name="Sup '">
      <calculatedColumnFormula>SUBSTITUTE(A2,"'","")</calculatedColumnFormula>
    </tableColumn>
    <tableColumn id="7" xr3:uid="{22D7B554-E79C-4B6D-8FB5-4463490F90D6}" name="Sup Espace">
      <calculatedColumnFormula>SUBSTITUTE(F2," ","")</calculatedColumnFormula>
    </tableColumn>
    <tableColumn id="8" xr3:uid="{08C58562-AD12-47B3-9C67-C56A346D1407}" name="12 Caractères" dataDxfId="3">
      <calculatedColumnFormula>MID(G2,1,12)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C52074-C34A-4B70-8D15-80E3259772DC}" name="Tableau2" displayName="Tableau2" ref="A1:B56" totalsRowShown="0" tableBorderDxfId="2">
  <sortState xmlns:xlrd2="http://schemas.microsoft.com/office/spreadsheetml/2017/richdata2" ref="A2:B56">
    <sortCondition ref="A2:A56"/>
  </sortState>
  <tableColumns count="2">
    <tableColumn id="1" xr3:uid="{A1B4A4D9-0709-461E-8891-AE4C64B78A16}" name="PRODUIT" dataDxfId="1"/>
    <tableColumn id="2" xr3:uid="{05ADE759-F11A-4F65-B651-3BE0BD778350}" name="PRIX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webextensions/_rels/webextension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webextensions/webextension1.xml><?xml version="1.0" encoding="utf-8"?>
<we:webextension xmlns:we="http://schemas.microsoft.com/office/webextensions/webextension/2010/11" id="{00000000-0008-0000-0000-000002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1"/>
    <we:property name="opt_wn" value="true"/>
    <we:property name="opt_theme" value="1"/>
    <we:property name="opt_size" value="0"/>
  </we:properties>
  <we:bindings/>
  <we:snapshot xmlns:r="http://schemas.openxmlformats.org/officeDocument/2006/relationships" r:embed="rId1"/>
</we:webextension>
</file>

<file path=xl/webextensions/webextension2.xml><?xml version="1.0" encoding="utf-8"?>
<we:webextension xmlns:we="http://schemas.microsoft.com/office/webextensions/webextension/2010/11" id="{B8D374D4-6BA8-4556-BFDF-81F747969221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1"/>
    <we:property name="opt_wn" value="true"/>
    <we:property name="opt_theme" value="1"/>
    <we:property name="opt_size" value="0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ailtoauxcochonsdausson@g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mailtoauxcochonsdausson@gmail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2.xml"/><Relationship Id="rId5" Type="http://schemas.openxmlformats.org/officeDocument/2006/relationships/image" Target="../media/image5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75E372-9D05-48F8-B348-7D95AFE95D0E}">
  <sheetPr codeName="Feuil1">
    <tabColor rgb="FFCCFF99"/>
  </sheetPr>
  <dimension ref="A1:P57"/>
  <sheetViews>
    <sheetView showGridLines="0" tabSelected="1" zoomScaleNormal="100" workbookViewId="0">
      <selection activeCell="G5" sqref="G5"/>
    </sheetView>
  </sheetViews>
  <sheetFormatPr baseColWidth="10" defaultRowHeight="15" x14ac:dyDescent="0.25"/>
  <cols>
    <col min="1" max="1" width="26.7109375" customWidth="1"/>
    <col min="2" max="7" width="9.7109375" customWidth="1"/>
    <col min="8" max="8" width="11.28515625" customWidth="1"/>
    <col min="9" max="9" width="3.42578125" style="145" customWidth="1"/>
    <col min="10" max="10" width="22.85546875" hidden="1" customWidth="1"/>
    <col min="11" max="11" width="18" hidden="1" customWidth="1"/>
    <col min="12" max="12" width="2.42578125" hidden="1" customWidth="1"/>
    <col min="13" max="13" width="21.140625" customWidth="1"/>
    <col min="15" max="16" width="11.42578125" hidden="1" customWidth="1"/>
  </cols>
  <sheetData>
    <row r="1" spans="1:16" ht="57.75" customHeight="1" x14ac:dyDescent="0.25">
      <c r="A1" s="146"/>
      <c r="B1" s="147"/>
      <c r="C1" s="147"/>
      <c r="D1" s="147"/>
      <c r="E1" s="45" t="s">
        <v>15</v>
      </c>
      <c r="F1" s="46"/>
      <c r="G1" s="46"/>
      <c r="H1" s="46"/>
      <c r="J1" s="9"/>
      <c r="K1" s="27" t="str">
        <f>[1]CHEMIN!$C$6</f>
        <v>D:\PDF\FACTURES\</v>
      </c>
    </row>
    <row r="2" spans="1:16" ht="8.25" customHeight="1" x14ac:dyDescent="0.25">
      <c r="E2" s="2"/>
      <c r="K2" s="27" t="str">
        <f>[1]CHEMIN!$C$7</f>
        <v>D:\FACTURES EN COURS\</v>
      </c>
    </row>
    <row r="3" spans="1:16" ht="15" customHeight="1" x14ac:dyDescent="0.25">
      <c r="E3" s="10" t="s">
        <v>27</v>
      </c>
      <c r="F3" s="47">
        <f>IFERROR(VLOOKUP(F4,Tableau1[],2,FALSE),"")</f>
        <v>300</v>
      </c>
      <c r="G3" s="48"/>
      <c r="H3" s="48"/>
      <c r="K3" s="40"/>
      <c r="O3" s="17">
        <f ca="1">YEAR(TODAY())</f>
        <v>2022</v>
      </c>
      <c r="P3" t="s">
        <v>138</v>
      </c>
    </row>
    <row r="4" spans="1:16" ht="15" customHeight="1" thickBot="1" x14ac:dyDescent="0.3">
      <c r="A4" s="140"/>
      <c r="B4" s="140"/>
      <c r="C4" s="140"/>
      <c r="D4" s="140"/>
      <c r="E4" s="10" t="s">
        <v>25</v>
      </c>
      <c r="F4" s="153" t="s">
        <v>52</v>
      </c>
      <c r="G4" s="154"/>
      <c r="H4" s="154"/>
      <c r="K4" s="27" t="str">
        <f>IFERROR(VLOOKUP(F4,Tableau1[],8,FALSE),"")</f>
        <v>PERREELucie</v>
      </c>
      <c r="L4" s="26"/>
      <c r="O4" s="104">
        <f>_xlfn.ISOWEEKNUM(G9)</f>
        <v>52</v>
      </c>
      <c r="P4" t="s">
        <v>139</v>
      </c>
    </row>
    <row r="5" spans="1:16" ht="15" customHeight="1" x14ac:dyDescent="0.25">
      <c r="A5" s="141"/>
      <c r="B5" s="141"/>
      <c r="C5" s="141"/>
      <c r="D5" s="141"/>
      <c r="E5" s="10" t="s">
        <v>22</v>
      </c>
      <c r="F5" s="47">
        <f>IFERROR(VLOOKUP(F4,Tableau1[],3,FALSE),"")</f>
        <v>0</v>
      </c>
      <c r="G5" s="48"/>
      <c r="H5" s="48"/>
      <c r="K5" t="str">
        <f>[1]CHEMIN!$C$9</f>
        <v>D:\FACTURIER\RECAPITULATIF.xlsm</v>
      </c>
      <c r="M5" s="99" t="s">
        <v>13</v>
      </c>
      <c r="O5" t="s">
        <v>150</v>
      </c>
      <c r="P5" t="s">
        <v>140</v>
      </c>
    </row>
    <row r="6" spans="1:16" ht="15" customHeight="1" thickBot="1" x14ac:dyDescent="0.3">
      <c r="A6" s="142"/>
      <c r="B6" s="142"/>
      <c r="C6" s="142"/>
      <c r="D6" s="142"/>
      <c r="E6" s="10" t="s">
        <v>23</v>
      </c>
      <c r="F6" s="47">
        <f>IFERROR(VLOOKUP(F4,Tableau1[],4,FALSE),"")</f>
        <v>0</v>
      </c>
      <c r="G6" s="48"/>
      <c r="H6" s="48"/>
      <c r="K6" s="52">
        <v>44623</v>
      </c>
      <c r="M6" s="100">
        <f>G38</f>
        <v>272.70695000000001</v>
      </c>
      <c r="P6" t="s">
        <v>141</v>
      </c>
    </row>
    <row r="7" spans="1:16" ht="15" customHeight="1" x14ac:dyDescent="0.25">
      <c r="A7" s="143"/>
      <c r="B7" s="143"/>
      <c r="C7" s="143"/>
      <c r="D7" s="143"/>
      <c r="E7" s="10" t="s">
        <v>24</v>
      </c>
      <c r="F7" s="49">
        <f>IFERROR(VLOOKUP(F4,Tableau1[],5,FALSE),"")</f>
        <v>0</v>
      </c>
      <c r="G7" s="50"/>
      <c r="H7" s="50"/>
      <c r="K7" t="str">
        <f ca="1">"FAC - "&amp;F3&amp;" - "&amp;K4&amp;" - S"&amp;O4&amp;" - " &amp;O3</f>
        <v>FAC - 300 - PERREELucie - S52 - 2022</v>
      </c>
      <c r="P7" t="s">
        <v>142</v>
      </c>
    </row>
    <row r="8" spans="1:16" ht="11.25" customHeight="1" x14ac:dyDescent="0.25">
      <c r="A8" s="144"/>
      <c r="B8" s="144"/>
      <c r="C8" s="144"/>
      <c r="D8" s="144"/>
      <c r="E8" s="42"/>
      <c r="P8" t="s">
        <v>143</v>
      </c>
    </row>
    <row r="9" spans="1:16" x14ac:dyDescent="0.25">
      <c r="E9" s="10" t="s">
        <v>19</v>
      </c>
      <c r="F9" s="43"/>
      <c r="G9" s="101"/>
      <c r="H9" s="51"/>
      <c r="J9" s="159"/>
      <c r="M9" s="159"/>
      <c r="P9" t="s">
        <v>144</v>
      </c>
    </row>
    <row r="10" spans="1:16" x14ac:dyDescent="0.25">
      <c r="E10" s="10" t="s">
        <v>20</v>
      </c>
      <c r="F10" s="31"/>
      <c r="G10" s="30" t="str">
        <f ca="1">"FAC-"&amp;F3&amp;"-S"&amp;O4&amp;"-"&amp;K4&amp;O3</f>
        <v>FAC-300-S52-PERREELucie2022</v>
      </c>
      <c r="H10" s="32"/>
      <c r="J10" s="159"/>
      <c r="M10" s="159"/>
      <c r="P10" t="s">
        <v>145</v>
      </c>
    </row>
    <row r="11" spans="1:16" ht="10.5" customHeight="1" x14ac:dyDescent="0.25">
      <c r="H11" s="3"/>
      <c r="J11" s="159"/>
      <c r="M11" s="159"/>
      <c r="P11" t="s">
        <v>146</v>
      </c>
    </row>
    <row r="12" spans="1:16" ht="21" customHeight="1" x14ac:dyDescent="0.25">
      <c r="A12" s="44" t="s">
        <v>67</v>
      </c>
      <c r="B12" s="7" t="s">
        <v>29</v>
      </c>
      <c r="C12" s="7" t="s">
        <v>30</v>
      </c>
      <c r="D12" s="7" t="s">
        <v>31</v>
      </c>
      <c r="E12" s="7" t="s">
        <v>32</v>
      </c>
      <c r="F12" s="7" t="s">
        <v>33</v>
      </c>
      <c r="G12" s="7" t="s">
        <v>11</v>
      </c>
      <c r="H12" s="7" t="s">
        <v>10</v>
      </c>
      <c r="J12" s="159"/>
      <c r="M12" s="159"/>
      <c r="N12" s="40"/>
      <c r="P12" s="106" t="s">
        <v>147</v>
      </c>
    </row>
    <row r="13" spans="1:16" s="13" customFormat="1" ht="21" customHeight="1" x14ac:dyDescent="0.25">
      <c r="A13" s="117" t="s">
        <v>83</v>
      </c>
      <c r="B13" s="97">
        <v>1</v>
      </c>
      <c r="C13" s="97">
        <v>5</v>
      </c>
      <c r="D13" s="97"/>
      <c r="E13" s="97"/>
      <c r="F13" s="97"/>
      <c r="G13" s="12">
        <f>IFERROR(VLOOKUP(A13,Tableau2[],2,FALSE),"")</f>
        <v>25.5</v>
      </c>
      <c r="H13" s="6">
        <f t="shared" ref="H13:H32" si="0">IFERROR(SUM(B13+C13+D13+E13+F13)*(G13),"")</f>
        <v>153</v>
      </c>
      <c r="I13" s="145"/>
      <c r="J13" s="159"/>
      <c r="K13" s="93"/>
      <c r="L13" s="93"/>
      <c r="M13" s="159"/>
      <c r="O13" s="105"/>
      <c r="P13" s="105" t="s">
        <v>148</v>
      </c>
    </row>
    <row r="14" spans="1:16" ht="21" customHeight="1" x14ac:dyDescent="0.25">
      <c r="A14" s="118" t="s">
        <v>85</v>
      </c>
      <c r="B14" s="98">
        <v>3</v>
      </c>
      <c r="C14" s="98"/>
      <c r="D14" s="98">
        <v>4</v>
      </c>
      <c r="E14" s="98"/>
      <c r="F14" s="98"/>
      <c r="G14" s="11">
        <f>IFERROR(VLOOKUP(A14,Tableau2[],2,FALSE),"")</f>
        <v>15.07</v>
      </c>
      <c r="H14" s="8">
        <f t="shared" si="0"/>
        <v>105.49000000000001</v>
      </c>
      <c r="J14" s="159"/>
      <c r="K14" s="94"/>
      <c r="L14" s="94"/>
      <c r="M14" s="159"/>
      <c r="P14" t="s">
        <v>149</v>
      </c>
    </row>
    <row r="15" spans="1:16" ht="21" customHeight="1" x14ac:dyDescent="0.25">
      <c r="A15" s="117"/>
      <c r="B15" s="97"/>
      <c r="C15" s="97"/>
      <c r="D15" s="97"/>
      <c r="E15" s="97"/>
      <c r="F15" s="97"/>
      <c r="G15" s="12" t="str">
        <f>IFERROR(VLOOKUP(A15,Tableau2[],2,FALSE),"")</f>
        <v/>
      </c>
      <c r="H15" s="6" t="str">
        <f t="shared" si="0"/>
        <v/>
      </c>
      <c r="J15" s="169"/>
      <c r="K15" s="94"/>
      <c r="L15" s="94"/>
      <c r="M15" s="159"/>
    </row>
    <row r="16" spans="1:16" ht="21" customHeight="1" x14ac:dyDescent="0.25">
      <c r="A16" s="118"/>
      <c r="B16" s="98"/>
      <c r="C16" s="98"/>
      <c r="D16" s="98"/>
      <c r="E16" s="98"/>
      <c r="F16" s="98"/>
      <c r="G16" s="11" t="str">
        <f>IFERROR(VLOOKUP(A16,Tableau2[],2,FALSE),"")</f>
        <v/>
      </c>
      <c r="H16" s="8" t="str">
        <f t="shared" si="0"/>
        <v/>
      </c>
      <c r="J16" s="169"/>
      <c r="K16" s="96"/>
      <c r="L16" s="94"/>
      <c r="M16" s="159"/>
    </row>
    <row r="17" spans="1:13" ht="21" customHeight="1" x14ac:dyDescent="0.25">
      <c r="A17" s="117"/>
      <c r="B17" s="97"/>
      <c r="C17" s="97"/>
      <c r="D17" s="97"/>
      <c r="E17" s="97"/>
      <c r="F17" s="97"/>
      <c r="G17" s="12" t="str">
        <f>IFERROR(VLOOKUP(A17,Tableau2[],2,FALSE),"")</f>
        <v/>
      </c>
      <c r="H17" s="6" t="str">
        <f t="shared" si="0"/>
        <v/>
      </c>
      <c r="J17" s="169"/>
      <c r="K17" s="94"/>
      <c r="L17" s="94"/>
      <c r="M17" s="159"/>
    </row>
    <row r="18" spans="1:13" ht="21" customHeight="1" x14ac:dyDescent="0.25">
      <c r="A18" s="118"/>
      <c r="B18" s="98"/>
      <c r="C18" s="98"/>
      <c r="D18" s="98"/>
      <c r="E18" s="98"/>
      <c r="F18" s="98"/>
      <c r="G18" s="11" t="str">
        <f>IFERROR(VLOOKUP(A18,Tableau2[],2,FALSE),"")</f>
        <v/>
      </c>
      <c r="H18" s="8" t="str">
        <f t="shared" si="0"/>
        <v/>
      </c>
      <c r="J18" s="169"/>
      <c r="K18" s="94"/>
      <c r="L18" s="94"/>
      <c r="M18" s="159"/>
    </row>
    <row r="19" spans="1:13" ht="21" customHeight="1" x14ac:dyDescent="0.25">
      <c r="A19" s="117"/>
      <c r="B19" s="97"/>
      <c r="C19" s="97"/>
      <c r="D19" s="97"/>
      <c r="E19" s="97"/>
      <c r="F19" s="97"/>
      <c r="G19" s="12" t="str">
        <f>IFERROR(VLOOKUP(A19,Tableau2[],2,FALSE),"")</f>
        <v/>
      </c>
      <c r="H19" s="6" t="str">
        <f t="shared" si="0"/>
        <v/>
      </c>
      <c r="J19" s="169"/>
      <c r="K19" s="94"/>
      <c r="L19" s="94"/>
      <c r="M19" s="159"/>
    </row>
    <row r="20" spans="1:13" ht="21" customHeight="1" x14ac:dyDescent="0.25">
      <c r="A20" s="118"/>
      <c r="B20" s="98"/>
      <c r="C20" s="98"/>
      <c r="D20" s="98"/>
      <c r="E20" s="98"/>
      <c r="F20" s="98"/>
      <c r="G20" s="11" t="str">
        <f>IFERROR(VLOOKUP(A20,Tableau2[],2,FALSE),"")</f>
        <v/>
      </c>
      <c r="H20" s="8" t="str">
        <f t="shared" si="0"/>
        <v/>
      </c>
      <c r="J20" s="95"/>
      <c r="K20" s="94"/>
      <c r="L20" s="94"/>
      <c r="M20" s="159"/>
    </row>
    <row r="21" spans="1:13" ht="21" customHeight="1" x14ac:dyDescent="0.25">
      <c r="A21" s="117"/>
      <c r="B21" s="97"/>
      <c r="C21" s="97"/>
      <c r="D21" s="97"/>
      <c r="E21" s="97"/>
      <c r="F21" s="97"/>
      <c r="G21" s="12" t="str">
        <f>IFERROR(VLOOKUP(A21,Tableau2[],2,FALSE),"")</f>
        <v/>
      </c>
      <c r="H21" s="6" t="str">
        <f t="shared" si="0"/>
        <v/>
      </c>
      <c r="J21" s="95"/>
      <c r="K21" s="94"/>
      <c r="L21" s="94"/>
      <c r="M21" s="159"/>
    </row>
    <row r="22" spans="1:13" ht="21" customHeight="1" x14ac:dyDescent="0.25">
      <c r="A22" s="118"/>
      <c r="B22" s="98"/>
      <c r="C22" s="98"/>
      <c r="D22" s="98"/>
      <c r="E22" s="98"/>
      <c r="F22" s="98"/>
      <c r="G22" s="11" t="str">
        <f>IFERROR(VLOOKUP(A22,Tableau2[],2,FALSE),"")</f>
        <v/>
      </c>
      <c r="H22" s="8" t="str">
        <f t="shared" si="0"/>
        <v/>
      </c>
      <c r="J22" s="95"/>
      <c r="K22" s="94"/>
      <c r="L22" s="94"/>
      <c r="M22" s="159"/>
    </row>
    <row r="23" spans="1:13" ht="21" customHeight="1" x14ac:dyDescent="0.25">
      <c r="A23" s="117"/>
      <c r="B23" s="97"/>
      <c r="C23" s="97"/>
      <c r="D23" s="97"/>
      <c r="E23" s="97"/>
      <c r="F23" s="97"/>
      <c r="G23" s="12" t="str">
        <f>IFERROR(VLOOKUP(A23,Tableau2[],2,FALSE),"")</f>
        <v/>
      </c>
      <c r="H23" s="6" t="str">
        <f t="shared" si="0"/>
        <v/>
      </c>
      <c r="J23" s="95"/>
      <c r="K23" s="94"/>
      <c r="L23" s="94"/>
      <c r="M23" s="159"/>
    </row>
    <row r="24" spans="1:13" ht="21" customHeight="1" x14ac:dyDescent="0.25">
      <c r="A24" s="118"/>
      <c r="B24" s="98"/>
      <c r="C24" s="98"/>
      <c r="D24" s="98"/>
      <c r="E24" s="98"/>
      <c r="F24" s="98"/>
      <c r="G24" s="11" t="str">
        <f>IFERROR(VLOOKUP(A24,Tableau2[],2,FALSE),"")</f>
        <v/>
      </c>
      <c r="H24" s="8" t="str">
        <f t="shared" si="0"/>
        <v/>
      </c>
      <c r="J24" s="95"/>
      <c r="K24" s="94"/>
      <c r="L24" s="94"/>
      <c r="M24" s="159"/>
    </row>
    <row r="25" spans="1:13" ht="21" customHeight="1" x14ac:dyDescent="0.25">
      <c r="A25" s="117"/>
      <c r="B25" s="97"/>
      <c r="C25" s="97"/>
      <c r="D25" s="97"/>
      <c r="E25" s="97"/>
      <c r="F25" s="97"/>
      <c r="G25" s="12" t="str">
        <f>IFERROR(VLOOKUP(A25,Tableau2[],2,FALSE),"")</f>
        <v/>
      </c>
      <c r="H25" s="6" t="str">
        <f t="shared" si="0"/>
        <v/>
      </c>
      <c r="J25" s="95"/>
      <c r="K25" s="94"/>
      <c r="L25" s="94"/>
      <c r="M25" s="159"/>
    </row>
    <row r="26" spans="1:13" ht="21" customHeight="1" x14ac:dyDescent="0.25">
      <c r="A26" s="118"/>
      <c r="B26" s="98"/>
      <c r="C26" s="98"/>
      <c r="D26" s="98"/>
      <c r="E26" s="98"/>
      <c r="F26" s="98"/>
      <c r="G26" s="11" t="str">
        <f>IFERROR(VLOOKUP(A26,Tableau2[],2,FALSE),"")</f>
        <v/>
      </c>
      <c r="H26" s="8" t="str">
        <f t="shared" si="0"/>
        <v/>
      </c>
      <c r="J26" s="9"/>
    </row>
    <row r="27" spans="1:13" ht="21" customHeight="1" x14ac:dyDescent="0.25">
      <c r="A27" s="117"/>
      <c r="B27" s="97"/>
      <c r="C27" s="97"/>
      <c r="D27" s="97"/>
      <c r="E27" s="97"/>
      <c r="F27" s="97"/>
      <c r="G27" s="12" t="str">
        <f>IFERROR(VLOOKUP(A27,Tableau2[],2,FALSE),"")</f>
        <v/>
      </c>
      <c r="H27" s="6" t="str">
        <f t="shared" si="0"/>
        <v/>
      </c>
      <c r="J27" s="9"/>
    </row>
    <row r="28" spans="1:13" ht="21" customHeight="1" x14ac:dyDescent="0.25">
      <c r="A28" s="118"/>
      <c r="B28" s="98"/>
      <c r="C28" s="98"/>
      <c r="D28" s="98"/>
      <c r="E28" s="98"/>
      <c r="F28" s="98"/>
      <c r="G28" s="11" t="str">
        <f>IFERROR(VLOOKUP(A28,Tableau2[],2,FALSE),"")</f>
        <v/>
      </c>
      <c r="H28" s="8" t="str">
        <f t="shared" si="0"/>
        <v/>
      </c>
      <c r="J28" s="9"/>
    </row>
    <row r="29" spans="1:13" ht="21" customHeight="1" x14ac:dyDescent="0.25">
      <c r="A29" s="117"/>
      <c r="B29" s="97"/>
      <c r="C29" s="97"/>
      <c r="D29" s="97"/>
      <c r="E29" s="97"/>
      <c r="F29" s="97"/>
      <c r="G29" s="12" t="str">
        <f>IFERROR(VLOOKUP(A29,Tableau2[],2,FALSE),"")</f>
        <v/>
      </c>
      <c r="H29" s="6" t="str">
        <f t="shared" si="0"/>
        <v/>
      </c>
      <c r="J29" s="9"/>
    </row>
    <row r="30" spans="1:13" ht="21" customHeight="1" x14ac:dyDescent="0.25">
      <c r="A30" s="118"/>
      <c r="B30" s="98"/>
      <c r="C30" s="98"/>
      <c r="D30" s="98"/>
      <c r="E30" s="98"/>
      <c r="F30" s="98"/>
      <c r="G30" s="11" t="str">
        <f>IFERROR(VLOOKUP(A30,Tableau2[],2,FALSE),"")</f>
        <v/>
      </c>
      <c r="H30" s="8" t="str">
        <f t="shared" si="0"/>
        <v/>
      </c>
    </row>
    <row r="31" spans="1:13" ht="21" customHeight="1" x14ac:dyDescent="0.25">
      <c r="A31" s="117"/>
      <c r="B31" s="97"/>
      <c r="C31" s="97"/>
      <c r="D31" s="97"/>
      <c r="E31" s="97"/>
      <c r="F31" s="97"/>
      <c r="G31" s="12" t="str">
        <f>IFERROR(VLOOKUP(A31,Tableau2[],2,FALSE),"")</f>
        <v/>
      </c>
      <c r="H31" s="6" t="str">
        <f t="shared" si="0"/>
        <v/>
      </c>
    </row>
    <row r="32" spans="1:13" ht="21" customHeight="1" x14ac:dyDescent="0.25">
      <c r="A32" s="118"/>
      <c r="B32" s="98"/>
      <c r="C32" s="98"/>
      <c r="D32" s="98"/>
      <c r="E32" s="98"/>
      <c r="F32" s="98"/>
      <c r="G32" s="11" t="str">
        <f>IFERROR(VLOOKUP(A32,Tableau2[],2,FALSE),"")</f>
        <v/>
      </c>
      <c r="H32" s="8" t="str">
        <f t="shared" si="0"/>
        <v/>
      </c>
    </row>
    <row r="33" spans="1:8" ht="6.75" customHeight="1" thickBot="1" x14ac:dyDescent="0.3">
      <c r="A33" s="4"/>
      <c r="B33" s="4"/>
      <c r="F33" s="1"/>
      <c r="G33" s="1"/>
      <c r="H33" s="1"/>
    </row>
    <row r="34" spans="1:8" ht="15.75" x14ac:dyDescent="0.25">
      <c r="A34" s="160" t="s">
        <v>21</v>
      </c>
      <c r="B34" s="161"/>
      <c r="C34" s="162"/>
      <c r="E34" s="151" t="s">
        <v>12</v>
      </c>
      <c r="F34" s="152"/>
      <c r="G34" s="149">
        <f>SUM(H13:H32)</f>
        <v>258.49</v>
      </c>
      <c r="H34" s="149"/>
    </row>
    <row r="35" spans="1:8" x14ac:dyDescent="0.25">
      <c r="A35" s="163" t="s">
        <v>36</v>
      </c>
      <c r="B35" s="164"/>
      <c r="C35" s="165"/>
      <c r="E35" s="1"/>
      <c r="F35" s="5"/>
      <c r="H35" s="1"/>
    </row>
    <row r="36" spans="1:8" ht="15.75" x14ac:dyDescent="0.25">
      <c r="A36" s="166" t="s">
        <v>39</v>
      </c>
      <c r="B36" s="167"/>
      <c r="C36" s="168"/>
      <c r="E36" s="151" t="s">
        <v>14</v>
      </c>
      <c r="F36" s="152"/>
      <c r="G36" s="150">
        <f>SUM(G34*5.5%)</f>
        <v>14.216950000000001</v>
      </c>
      <c r="H36" s="150"/>
    </row>
    <row r="37" spans="1:8" ht="15.75" thickBot="1" x14ac:dyDescent="0.3">
      <c r="A37" s="155" t="s">
        <v>38</v>
      </c>
      <c r="B37" s="156"/>
      <c r="C37" s="157"/>
      <c r="E37" s="1"/>
      <c r="F37" s="3"/>
      <c r="H37" s="1"/>
    </row>
    <row r="38" spans="1:8" ht="16.5" thickBot="1" x14ac:dyDescent="0.3">
      <c r="C38" s="53"/>
      <c r="D38" s="15"/>
      <c r="E38" s="151" t="s">
        <v>13</v>
      </c>
      <c r="F38" s="152"/>
      <c r="G38" s="150">
        <f>SUM(G34+G36)</f>
        <v>272.70695000000001</v>
      </c>
      <c r="H38" s="150"/>
    </row>
    <row r="39" spans="1:8" ht="15.75" thickBot="1" x14ac:dyDescent="0.3">
      <c r="A39" s="57" t="s">
        <v>37</v>
      </c>
      <c r="B39" s="58"/>
      <c r="C39" s="54"/>
      <c r="D39" s="158" t="str" cm="1">
        <f t="array" ref="D39">[2]!ConvNumberLetter(G38,1,0)</f>
        <v>deux cent soixante-douze Euros soixante et onze Cents</v>
      </c>
      <c r="E39" s="159"/>
      <c r="F39" s="159"/>
      <c r="G39" s="159"/>
      <c r="H39" s="159"/>
    </row>
    <row r="40" spans="1:8" ht="12" customHeight="1" x14ac:dyDescent="0.25">
      <c r="A40" s="55"/>
      <c r="B40" s="56"/>
      <c r="C40" s="38"/>
      <c r="D40" s="37"/>
    </row>
    <row r="41" spans="1:8" ht="12" customHeight="1" x14ac:dyDescent="0.25">
      <c r="A41" s="60"/>
      <c r="B41" s="59"/>
      <c r="C41" s="38"/>
      <c r="D41" s="37"/>
      <c r="E41" s="148" t="s">
        <v>18</v>
      </c>
      <c r="F41" s="148"/>
      <c r="G41" s="148"/>
      <c r="H41" s="148"/>
    </row>
    <row r="42" spans="1:8" ht="12" customHeight="1" x14ac:dyDescent="0.25">
      <c r="A42" s="243"/>
      <c r="B42" s="244"/>
      <c r="C42" s="38"/>
      <c r="D42" s="37"/>
      <c r="E42" s="148" t="s">
        <v>17</v>
      </c>
      <c r="F42" s="148"/>
      <c r="G42" s="148"/>
      <c r="H42" s="148"/>
    </row>
    <row r="43" spans="1:8" ht="12" customHeight="1" x14ac:dyDescent="0.25">
      <c r="A43" s="243"/>
      <c r="B43" s="244"/>
      <c r="C43" s="37"/>
      <c r="D43" s="37"/>
      <c r="F43" s="139"/>
      <c r="G43" s="139"/>
      <c r="H43" s="139"/>
    </row>
    <row r="44" spans="1:8" ht="12" customHeight="1" thickBot="1" x14ac:dyDescent="0.3">
      <c r="A44" s="245"/>
      <c r="B44" s="246"/>
      <c r="D44" s="14"/>
      <c r="E44" s="139"/>
      <c r="F44" s="139"/>
      <c r="G44" s="139"/>
      <c r="H44" s="139"/>
    </row>
    <row r="45" spans="1:8" ht="18.75" customHeight="1" x14ac:dyDescent="0.25">
      <c r="A45" s="139"/>
      <c r="B45" s="139"/>
      <c r="C45" s="139"/>
    </row>
    <row r="46" spans="1:8" ht="15" customHeight="1" x14ac:dyDescent="0.25">
      <c r="A46" s="139"/>
      <c r="B46" s="139"/>
      <c r="C46" s="139"/>
      <c r="D46" s="139"/>
      <c r="E46" s="139"/>
      <c r="F46" s="139"/>
      <c r="G46" s="139"/>
      <c r="H46" s="139"/>
    </row>
    <row r="47" spans="1:8" x14ac:dyDescent="0.25">
      <c r="A47" s="139"/>
      <c r="B47" s="139"/>
      <c r="C47" s="139"/>
      <c r="D47" s="139"/>
      <c r="E47" s="139"/>
      <c r="F47" s="139"/>
      <c r="G47" s="139"/>
      <c r="H47" s="139"/>
    </row>
    <row r="48" spans="1:8" x14ac:dyDescent="0.25">
      <c r="A48" s="139"/>
      <c r="B48" s="139"/>
      <c r="C48" s="139"/>
      <c r="D48" s="139"/>
      <c r="E48" s="139"/>
      <c r="F48" s="139"/>
      <c r="G48" s="139"/>
      <c r="H48" s="139"/>
    </row>
    <row r="49" spans="1:10" x14ac:dyDescent="0.25">
      <c r="A49" s="139"/>
      <c r="B49" s="139"/>
      <c r="C49" s="139"/>
      <c r="D49" s="139"/>
      <c r="E49" s="139"/>
      <c r="F49" s="139"/>
      <c r="G49" s="139"/>
      <c r="H49" s="139"/>
    </row>
    <row r="50" spans="1:10" x14ac:dyDescent="0.25">
      <c r="A50" s="139"/>
      <c r="B50" s="139"/>
      <c r="C50" s="139"/>
      <c r="D50" s="139"/>
      <c r="E50" s="139"/>
      <c r="F50" s="139"/>
      <c r="G50" s="139"/>
      <c r="H50" s="139"/>
    </row>
    <row r="51" spans="1:10" x14ac:dyDescent="0.25">
      <c r="A51" s="139"/>
      <c r="B51" s="139"/>
      <c r="C51" s="139"/>
      <c r="D51" s="139"/>
      <c r="E51" s="139"/>
      <c r="F51" s="139"/>
      <c r="G51" s="139"/>
      <c r="H51" s="139"/>
    </row>
    <row r="52" spans="1:10" x14ac:dyDescent="0.25">
      <c r="A52" s="139"/>
      <c r="B52" s="139"/>
      <c r="C52" s="139"/>
      <c r="D52" s="139"/>
      <c r="E52" s="139"/>
      <c r="F52" s="139"/>
      <c r="G52" s="139"/>
      <c r="H52" s="139"/>
    </row>
    <row r="53" spans="1:10" x14ac:dyDescent="0.25">
      <c r="A53" s="139"/>
    </row>
    <row r="54" spans="1:10" x14ac:dyDescent="0.25">
      <c r="A54" s="139"/>
      <c r="B54" s="27"/>
      <c r="C54" s="33"/>
      <c r="D54" s="27"/>
      <c r="E54" s="34"/>
      <c r="F54" s="34"/>
      <c r="G54" s="34"/>
      <c r="H54" s="27"/>
    </row>
    <row r="55" spans="1:10" ht="15" hidden="1" customHeight="1" x14ac:dyDescent="0.25">
      <c r="A55" t="s">
        <v>69</v>
      </c>
      <c r="B55" s="139"/>
      <c r="C55" s="139"/>
      <c r="D55" s="139"/>
      <c r="E55" s="139"/>
      <c r="F55" s="139"/>
      <c r="G55" s="139"/>
      <c r="H55" s="139"/>
    </row>
    <row r="56" spans="1:10" ht="15" hidden="1" customHeight="1" x14ac:dyDescent="0.25">
      <c r="A56" s="102" t="s">
        <v>47</v>
      </c>
      <c r="B56" s="103" t="s">
        <v>70</v>
      </c>
      <c r="C56" s="103" t="s">
        <v>71</v>
      </c>
      <c r="D56" s="103" t="s">
        <v>72</v>
      </c>
      <c r="E56" s="103" t="s">
        <v>61</v>
      </c>
      <c r="F56" s="103" t="s">
        <v>73</v>
      </c>
      <c r="G56" s="103" t="s">
        <v>74</v>
      </c>
      <c r="H56" s="103" t="s">
        <v>75</v>
      </c>
      <c r="J56" s="35" t="s">
        <v>50</v>
      </c>
    </row>
    <row r="57" spans="1:10" ht="15.75" hidden="1" customHeight="1" x14ac:dyDescent="0.25">
      <c r="A57" s="27">
        <f>F3</f>
        <v>300</v>
      </c>
      <c r="B57" s="27" t="str">
        <f>F4</f>
        <v>PERREE Lucie</v>
      </c>
      <c r="C57" s="33">
        <f>G9</f>
        <v>0</v>
      </c>
      <c r="D57" s="27" t="str">
        <f ca="1">G10</f>
        <v>FAC-300-S52-PERREELucie2022</v>
      </c>
      <c r="E57" s="34">
        <f>G34</f>
        <v>258.49</v>
      </c>
      <c r="F57" s="34">
        <f>G36</f>
        <v>14.216950000000001</v>
      </c>
      <c r="G57" s="34">
        <f>G38</f>
        <v>272.70695000000001</v>
      </c>
      <c r="H57" s="27" t="s">
        <v>50</v>
      </c>
      <c r="J57" s="36" t="s">
        <v>51</v>
      </c>
    </row>
  </sheetData>
  <mergeCells count="26">
    <mergeCell ref="M9:M14"/>
    <mergeCell ref="J15:J19"/>
    <mergeCell ref="M15:M19"/>
    <mergeCell ref="M20:M25"/>
    <mergeCell ref="J9:J14"/>
    <mergeCell ref="I1:I1048576"/>
    <mergeCell ref="A1:D1"/>
    <mergeCell ref="E41:H41"/>
    <mergeCell ref="G34:H34"/>
    <mergeCell ref="G36:H36"/>
    <mergeCell ref="G38:H38"/>
    <mergeCell ref="E34:F34"/>
    <mergeCell ref="E36:F36"/>
    <mergeCell ref="E38:F38"/>
    <mergeCell ref="F4:H4"/>
    <mergeCell ref="A37:C37"/>
    <mergeCell ref="E42:H42"/>
    <mergeCell ref="D39:H39"/>
    <mergeCell ref="A34:C34"/>
    <mergeCell ref="A35:C35"/>
    <mergeCell ref="A36:C36"/>
    <mergeCell ref="A4:D4"/>
    <mergeCell ref="A5:D5"/>
    <mergeCell ref="A6:D6"/>
    <mergeCell ref="A7:D7"/>
    <mergeCell ref="A8:D8"/>
  </mergeCells>
  <phoneticPr fontId="11" type="noConversion"/>
  <dataValidations count="6">
    <dataValidation type="list" allowBlank="1" showInputMessage="1" sqref="H57" xr:uid="{4B6025E2-5681-4D8E-A003-A73333E9F3A0}">
      <formula1>$J$56:$J$57</formula1>
    </dataValidation>
    <dataValidation type="list" allowBlank="1" showInputMessage="1" sqref="H54" xr:uid="{CF1D1899-01C3-42F4-A1D6-B87D20D52167}">
      <formula1>#REF!</formula1>
    </dataValidation>
    <dataValidation type="custom" allowBlank="1" showInputMessage="1" showErrorMessage="1" errorTitle="ATTENTION" error="Veuillez saisir des chiffres et virgule pour les poids." sqref="B13:B32" xr:uid="{C569C5FC-D588-4353-A38C-F80B63EB8FAC}">
      <formula1>B13=1*TEXT(B13,"# ##0,000")</formula1>
    </dataValidation>
    <dataValidation type="custom" allowBlank="1" showInputMessage="1" showErrorMessage="1" errorTitle="ATTENTION" error="Veuillez saisir des chiffres et virgule pour le poids" sqref="C13:C32" xr:uid="{A5367A2E-C2D4-4920-AB68-5925A135F76D}">
      <formula1>C13=1*TEXT(C13,"# ##0,000")</formula1>
    </dataValidation>
    <dataValidation type="custom" allowBlank="1" showInputMessage="1" showErrorMessage="1" errorTitle="ATTENTION" error="Veuillez saisir des chiffres et virgule pour le poids." sqref="D13:F32" xr:uid="{376DDDA6-74DE-44C0-9455-A93A774177AC}">
      <formula1>D13=1*TEXT(D13,"# ##0,000")</formula1>
    </dataValidation>
    <dataValidation type="list" allowBlank="1" showInputMessage="1" sqref="F4:H4" xr:uid="{9F6F83DC-3287-446B-AA89-84974F05E5D4}">
      <formula1>IF(F4&lt;&gt;"",OFFSET(Formule_Raison_Sociale,MATCH(F4&amp;"*", Formule_Raison_Sociale,0)-1,,COUNTIF(Formule_Raison_Sociale,F4&amp;"*"),1), Formule_Raison_Sociale)</formula1>
    </dataValidation>
  </dataValidations>
  <pageMargins left="0.39370078740157483" right="0.31496062992125984" top="0.35433070866141736" bottom="0.35433070866141736" header="0.31496062992125984" footer="0.31496062992125984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r:id="rId5">
            <anchor moveWithCells="1">
              <from>
                <xdr:col>0</xdr:col>
                <xdr:colOff>0</xdr:colOff>
                <xdr:row>13</xdr:row>
                <xdr:rowOff>0</xdr:rowOff>
              </from>
              <to>
                <xdr:col>1</xdr:col>
                <xdr:colOff>0</xdr:colOff>
                <xdr:row>14</xdr:row>
                <xdr:rowOff>0</xdr:rowOff>
              </to>
            </anchor>
          </controlPr>
        </control>
      </mc:Choice>
      <mc:Fallback>
        <control shapeId="1026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CB3AAD-9597-4E26-984A-C8EFE7D38F7E}">
  <sheetPr codeName="Feuil2">
    <tabColor theme="7" tint="0.59999389629810485"/>
  </sheetPr>
  <dimension ref="A1:P35"/>
  <sheetViews>
    <sheetView showGridLines="0" showRowColHeaders="0" showZeros="0" zoomScaleNormal="100" workbookViewId="0">
      <selection activeCell="A13" sqref="A13:C13"/>
    </sheetView>
  </sheetViews>
  <sheetFormatPr baseColWidth="10" defaultRowHeight="15" x14ac:dyDescent="0.25"/>
  <cols>
    <col min="1" max="1" width="11.42578125" style="61" customWidth="1"/>
    <col min="2" max="2" width="11.42578125" style="61"/>
    <col min="3" max="9" width="10.5703125" style="61" customWidth="1"/>
    <col min="10" max="10" width="6.28515625" style="61" customWidth="1"/>
    <col min="11" max="11" width="18" style="61" hidden="1" customWidth="1"/>
    <col min="12" max="12" width="18" style="61" customWidth="1"/>
    <col min="13" max="14" width="11.42578125" style="61"/>
    <col min="15" max="15" width="11.42578125" style="61" hidden="1" customWidth="1"/>
    <col min="16" max="16" width="11.42578125" style="64" customWidth="1"/>
    <col min="17" max="17" width="8.140625" style="61" customWidth="1"/>
    <col min="18" max="16384" width="11.42578125" style="61"/>
  </cols>
  <sheetData>
    <row r="1" spans="1:16" ht="57.75" customHeight="1" x14ac:dyDescent="0.25">
      <c r="A1" s="199"/>
      <c r="B1" s="179"/>
      <c r="C1" s="179"/>
      <c r="D1" s="179"/>
      <c r="F1" s="200" t="s">
        <v>9</v>
      </c>
      <c r="G1" s="201"/>
      <c r="H1" s="201"/>
      <c r="I1" s="201"/>
      <c r="J1" s="134"/>
      <c r="K1" s="63" t="str">
        <f>[1]CHEMIN!$C$5</f>
        <v>D:\PDF\BL\</v>
      </c>
    </row>
    <row r="2" spans="1:16" x14ac:dyDescent="0.25">
      <c r="E2" s="134"/>
    </row>
    <row r="3" spans="1:16" ht="15" customHeight="1" x14ac:dyDescent="0.25">
      <c r="A3" s="206"/>
      <c r="B3" s="195"/>
      <c r="C3" s="195"/>
      <c r="D3" s="195"/>
      <c r="E3" s="195"/>
      <c r="F3" s="124" t="s">
        <v>28</v>
      </c>
      <c r="G3" s="202">
        <f>PARTICULIER!F3</f>
        <v>300</v>
      </c>
      <c r="H3" s="203"/>
      <c r="I3" s="203"/>
      <c r="O3" s="64">
        <f ca="1">YEAR(TODAY())</f>
        <v>2022</v>
      </c>
    </row>
    <row r="4" spans="1:16" ht="15" customHeight="1" x14ac:dyDescent="0.25">
      <c r="A4" s="206" t="s">
        <v>7</v>
      </c>
      <c r="B4" s="195"/>
      <c r="C4" s="195"/>
      <c r="D4" s="195"/>
      <c r="E4" s="195"/>
      <c r="F4" s="124" t="s">
        <v>25</v>
      </c>
      <c r="G4" s="204" t="str">
        <f>PARTICULIER!F4</f>
        <v>PERREE Lucie</v>
      </c>
      <c r="H4" s="205"/>
      <c r="I4" s="205"/>
      <c r="K4" s="63" t="str">
        <f>IFERROR(VLOOKUP(G4,Tableau1[],8,FALSE),"")</f>
        <v>PERREELucie</v>
      </c>
      <c r="O4" s="107">
        <f>_xlfn.ISOWEEKNUM(H9)</f>
        <v>52</v>
      </c>
      <c r="P4" s="107"/>
    </row>
    <row r="5" spans="1:16" ht="15" customHeight="1" x14ac:dyDescent="0.25">
      <c r="A5" s="207" t="s">
        <v>8</v>
      </c>
      <c r="B5" s="195"/>
      <c r="C5" s="195"/>
      <c r="D5" s="195"/>
      <c r="E5" s="195"/>
      <c r="F5" s="124" t="s">
        <v>22</v>
      </c>
      <c r="G5" s="202">
        <f>PARTICULIER!F5</f>
        <v>0</v>
      </c>
      <c r="H5" s="202"/>
      <c r="I5" s="202"/>
    </row>
    <row r="6" spans="1:16" ht="15" customHeight="1" thickBot="1" x14ac:dyDescent="0.3">
      <c r="A6" s="194" t="s">
        <v>1</v>
      </c>
      <c r="B6" s="195"/>
      <c r="C6" s="195"/>
      <c r="D6" s="195"/>
      <c r="E6" s="195"/>
      <c r="F6" s="124" t="s">
        <v>26</v>
      </c>
      <c r="G6" s="202">
        <f>PARTICULIER!F6</f>
        <v>0</v>
      </c>
      <c r="H6" s="202"/>
      <c r="I6" s="202"/>
    </row>
    <row r="7" spans="1:16" ht="15" customHeight="1" thickBot="1" x14ac:dyDescent="0.3">
      <c r="A7" s="196" t="s">
        <v>2</v>
      </c>
      <c r="B7" s="195"/>
      <c r="C7" s="195"/>
      <c r="D7" s="195"/>
      <c r="E7" s="195"/>
      <c r="F7" s="124" t="s">
        <v>24</v>
      </c>
      <c r="G7" s="208">
        <f>PARTICULIER!F7</f>
        <v>0</v>
      </c>
      <c r="H7" s="209"/>
      <c r="I7" s="209"/>
      <c r="L7" s="136" t="s">
        <v>66</v>
      </c>
    </row>
    <row r="8" spans="1:16" ht="27.95" customHeight="1" thickBot="1" x14ac:dyDescent="0.3">
      <c r="A8" s="197" t="s">
        <v>0</v>
      </c>
      <c r="B8" s="198"/>
      <c r="C8" s="198"/>
      <c r="D8" s="198"/>
      <c r="E8" s="198"/>
      <c r="L8" s="135" t="s">
        <v>29</v>
      </c>
    </row>
    <row r="9" spans="1:16" x14ac:dyDescent="0.25">
      <c r="F9" s="124" t="s">
        <v>19</v>
      </c>
      <c r="G9" s="128" t="s">
        <v>68</v>
      </c>
      <c r="H9" s="129"/>
      <c r="I9" s="130"/>
    </row>
    <row r="10" spans="1:16" x14ac:dyDescent="0.25">
      <c r="F10" s="124" t="s">
        <v>20</v>
      </c>
      <c r="G10" s="131"/>
      <c r="H10" s="132" t="str">
        <f ca="1">"BL-S"&amp;O4&amp;"-"&amp;K4&amp;O3</f>
        <v>BL-S52-PERREELucie2022</v>
      </c>
      <c r="I10" s="133"/>
    </row>
    <row r="11" spans="1:16" x14ac:dyDescent="0.25">
      <c r="H11" s="66"/>
    </row>
    <row r="12" spans="1:16" ht="21" customHeight="1" x14ac:dyDescent="0.3">
      <c r="A12" s="210" t="s">
        <v>3</v>
      </c>
      <c r="B12" s="211"/>
      <c r="C12" s="212"/>
      <c r="D12" s="188" t="s">
        <v>4</v>
      </c>
      <c r="E12" s="189"/>
      <c r="F12" s="188" t="s">
        <v>5</v>
      </c>
      <c r="G12" s="189"/>
      <c r="H12" s="188" t="s">
        <v>6</v>
      </c>
      <c r="I12" s="190"/>
    </row>
    <row r="13" spans="1:16" ht="21" customHeight="1" x14ac:dyDescent="0.25">
      <c r="A13" s="185" t="str" cm="1">
        <f t="array" aca="1" ref="A13" ca="1">IF(COUNTA(SEMAINES)&gt;=ROWS($11:11),INDEX(PARTICULIER!$A$13:$A$36,SMALL(IF(SEMAINES&gt;0,ROW(SEMAINES)-12),ROWS($11:11))),"")</f>
        <v>ARAIGNEE</v>
      </c>
      <c r="B13" s="186"/>
      <c r="C13" s="187"/>
      <c r="D13" s="175" cm="1">
        <f t="array" aca="1" ref="D13" ca="1">IF(A13="","",INDEX(SEMAINES,SMALL(IF(SEMAINES&gt;0,ROW(SEMAINES)-12),ROWS($11:11))))</f>
        <v>1</v>
      </c>
      <c r="E13" s="175"/>
      <c r="F13" s="172"/>
      <c r="G13" s="173"/>
      <c r="H13" s="180" t="str">
        <f>IFERROR(VLOOKUP(F13,Tableau3[],2,FALSE),"")</f>
        <v/>
      </c>
      <c r="I13" s="181"/>
    </row>
    <row r="14" spans="1:16" ht="21" customHeight="1" x14ac:dyDescent="0.25">
      <c r="A14" s="182" t="str" cm="1">
        <f t="array" aca="1" ref="A14" ca="1">IF(COUNTA(SEMAINES)&gt;=ROWS($11:12),INDEX(PARTICULIER!$A$13:$A$36,SMALL(IF(SEMAINES&gt;0,ROW(SEMAINES)-12),ROWS($11:12))),"")</f>
        <v>BOUDIN</v>
      </c>
      <c r="B14" s="183"/>
      <c r="C14" s="184"/>
      <c r="D14" s="174" cm="1">
        <f t="array" aca="1" ref="D14" ca="1">IF(A14="","",INDEX(SEMAINES,SMALL(IF(SEMAINES&gt;0,ROW(SEMAINES)-12),ROWS($11:12))))</f>
        <v>3</v>
      </c>
      <c r="E14" s="174"/>
      <c r="F14" s="170"/>
      <c r="G14" s="171"/>
      <c r="H14" s="176" t="str">
        <f>IFERROR(VLOOKUP(F14,Tableau3[],2,FALSE),"")</f>
        <v/>
      </c>
      <c r="I14" s="177"/>
    </row>
    <row r="15" spans="1:16" ht="21" customHeight="1" x14ac:dyDescent="0.25">
      <c r="A15" s="185" t="str" cm="1">
        <f t="array" aca="1" ref="A15" ca="1">IF(COUNTA(SEMAINES)&gt;=ROWS($11:13),INDEX(PARTICULIER!$A$13:$A$36,SMALL(IF(SEMAINES&gt;0,ROW(SEMAINES)-12),ROWS($11:13))),"")</f>
        <v/>
      </c>
      <c r="B15" s="186"/>
      <c r="C15" s="187"/>
      <c r="D15" s="175" t="str" cm="1">
        <f t="array" aca="1" ref="D15" ca="1">IF(A15="","",INDEX(SEMAINES,SMALL(IF(SEMAINES&gt;0,ROW(SEMAINES)-12),ROWS($11:13))))</f>
        <v/>
      </c>
      <c r="E15" s="175"/>
      <c r="F15" s="172"/>
      <c r="G15" s="173"/>
      <c r="H15" s="180" t="str">
        <f>IFERROR(VLOOKUP(F15,Tableau3[],2,FALSE),"")</f>
        <v/>
      </c>
      <c r="I15" s="181"/>
    </row>
    <row r="16" spans="1:16" ht="21" customHeight="1" x14ac:dyDescent="0.25">
      <c r="A16" s="182" t="str" cm="1">
        <f t="array" aca="1" ref="A16" ca="1">IF(COUNTA(SEMAINES)&gt;=ROWS($11:14),INDEX(PARTICULIER!$A$13:$A$36,SMALL(IF(SEMAINES&gt;0,ROW(SEMAINES)-12),ROWS($11:14))),"")</f>
        <v/>
      </c>
      <c r="B16" s="183"/>
      <c r="C16" s="184"/>
      <c r="D16" s="174" t="str" cm="1">
        <f t="array" aca="1" ref="D16" ca="1">IF(A16="","",INDEX(SEMAINES,SMALL(IF(SEMAINES&gt;0,ROW(SEMAINES)-12),ROWS($11:14))))</f>
        <v/>
      </c>
      <c r="E16" s="174"/>
      <c r="F16" s="170"/>
      <c r="G16" s="171"/>
      <c r="H16" s="176" t="str">
        <f>IFERROR(VLOOKUP(F16,Tableau3[],2,FALSE),"")</f>
        <v/>
      </c>
      <c r="I16" s="177"/>
    </row>
    <row r="17" spans="1:9" ht="21" customHeight="1" x14ac:dyDescent="0.25">
      <c r="A17" s="185" t="str" cm="1">
        <f t="array" aca="1" ref="A17" ca="1">IF(COUNTA(SEMAINES)&gt;=ROWS($11:15),INDEX(PARTICULIER!$A$13:$A$36,SMALL(IF(SEMAINES&gt;0,ROW(SEMAINES)-12),ROWS($11:15))),"")</f>
        <v/>
      </c>
      <c r="B17" s="186"/>
      <c r="C17" s="187"/>
      <c r="D17" s="175" t="str" cm="1">
        <f t="array" aca="1" ref="D17" ca="1">IF(A17="","",INDEX(SEMAINES,SMALL(IF(SEMAINES&gt;0,ROW(SEMAINES)-12),ROWS($11:15))))</f>
        <v/>
      </c>
      <c r="E17" s="175"/>
      <c r="F17" s="172"/>
      <c r="G17" s="173"/>
      <c r="H17" s="180" t="str">
        <f>IFERROR(VLOOKUP(F17,Tableau3[],2,FALSE),"")</f>
        <v/>
      </c>
      <c r="I17" s="181"/>
    </row>
    <row r="18" spans="1:9" ht="21" customHeight="1" x14ac:dyDescent="0.25">
      <c r="A18" s="182" t="str" cm="1">
        <f t="array" aca="1" ref="A18" ca="1">IF(COUNTA(SEMAINES)&gt;=ROWS($11:16),INDEX(PARTICULIER!$A$13:$A$36,SMALL(IF(SEMAINES&gt;0,ROW(SEMAINES)-12),ROWS($11:16))),"")</f>
        <v/>
      </c>
      <c r="B18" s="183"/>
      <c r="C18" s="184"/>
      <c r="D18" s="174" t="str" cm="1">
        <f t="array" aca="1" ref="D18" ca="1">IF(A18="","",INDEX(SEMAINES,SMALL(IF(SEMAINES&gt;0,ROW(SEMAINES)-12),ROWS($11:16))))</f>
        <v/>
      </c>
      <c r="E18" s="174"/>
      <c r="F18" s="170"/>
      <c r="G18" s="171"/>
      <c r="H18" s="176" t="str">
        <f>IFERROR(VLOOKUP(F18,Tableau3[],2,FALSE),"")</f>
        <v/>
      </c>
      <c r="I18" s="177"/>
    </row>
    <row r="19" spans="1:9" ht="21" customHeight="1" x14ac:dyDescent="0.25">
      <c r="A19" s="185" t="str" cm="1">
        <f t="array" aca="1" ref="A19" ca="1">IF(COUNTA(SEMAINES)&gt;=ROWS($11:17),INDEX(PARTICULIER!$A$13:$A$36,SMALL(IF(SEMAINES&gt;0,ROW(SEMAINES)-12),ROWS($11:17))),"")</f>
        <v/>
      </c>
      <c r="B19" s="186"/>
      <c r="C19" s="187"/>
      <c r="D19" s="175" t="str" cm="1">
        <f t="array" aca="1" ref="D19" ca="1">IF(A19="","",INDEX(SEMAINES,SMALL(IF(SEMAINES&gt;0,ROW(SEMAINES)-12),ROWS($11:17))))</f>
        <v/>
      </c>
      <c r="E19" s="175"/>
      <c r="F19" s="172"/>
      <c r="G19" s="173"/>
      <c r="H19" s="180" t="str">
        <f>IFERROR(VLOOKUP(F19,Tableau3[],2,FALSE),"")</f>
        <v/>
      </c>
      <c r="I19" s="181"/>
    </row>
    <row r="20" spans="1:9" ht="21" customHeight="1" x14ac:dyDescent="0.25">
      <c r="A20" s="182" t="str" cm="1">
        <f t="array" aca="1" ref="A20" ca="1">IF(COUNTA(SEMAINES)&gt;=ROWS($11:18),INDEX(PARTICULIER!$A$13:$A$36,SMALL(IF(SEMAINES&gt;0,ROW(SEMAINES)-12),ROWS($11:18))),"")</f>
        <v/>
      </c>
      <c r="B20" s="183"/>
      <c r="C20" s="184"/>
      <c r="D20" s="174" t="str" cm="1">
        <f t="array" aca="1" ref="D20" ca="1">IF(A20="","",INDEX(SEMAINES,SMALL(IF(SEMAINES&gt;0,ROW(SEMAINES)-12),ROWS($11:18))))</f>
        <v/>
      </c>
      <c r="E20" s="174"/>
      <c r="F20" s="170"/>
      <c r="G20" s="171"/>
      <c r="H20" s="176" t="str">
        <f>IFERROR(VLOOKUP(F20,Tableau3[],2,FALSE),"")</f>
        <v/>
      </c>
      <c r="I20" s="177"/>
    </row>
    <row r="21" spans="1:9" ht="21" customHeight="1" x14ac:dyDescent="0.25">
      <c r="A21" s="185" t="str" cm="1">
        <f t="array" aca="1" ref="A21" ca="1">IF(COUNTA(SEMAINES)&gt;=ROWS($11:19),INDEX(PARTICULIER!$A$13:$A$36,SMALL(IF(SEMAINES&gt;0,ROW(SEMAINES)-12),ROWS($11:19))),"")</f>
        <v/>
      </c>
      <c r="B21" s="186"/>
      <c r="C21" s="187"/>
      <c r="D21" s="175" t="str" cm="1">
        <f t="array" aca="1" ref="D21" ca="1">IF(A21="","",INDEX(SEMAINES,SMALL(IF(SEMAINES&gt;0,ROW(SEMAINES)-12),ROWS($11:19))))</f>
        <v/>
      </c>
      <c r="E21" s="175"/>
      <c r="F21" s="172"/>
      <c r="G21" s="173"/>
      <c r="H21" s="180" t="str">
        <f>IFERROR(VLOOKUP(F21,Tableau3[],2,FALSE),"")</f>
        <v/>
      </c>
      <c r="I21" s="181"/>
    </row>
    <row r="22" spans="1:9" ht="21" customHeight="1" x14ac:dyDescent="0.25">
      <c r="A22" s="182" t="str" cm="1">
        <f t="array" aca="1" ref="A22" ca="1">IF(COUNTA(SEMAINES)&gt;=ROWS($11:20),INDEX(PARTICULIER!$A$13:$A$36,SMALL(IF(SEMAINES&gt;0,ROW(SEMAINES)-12),ROWS($11:20))),"")</f>
        <v/>
      </c>
      <c r="B22" s="183"/>
      <c r="C22" s="184"/>
      <c r="D22" s="174" t="str" cm="1">
        <f t="array" aca="1" ref="D22" ca="1">IF(A22="","",INDEX(SEMAINES,SMALL(IF(SEMAINES&gt;0,ROW(SEMAINES)-12),ROWS($11:20))))</f>
        <v/>
      </c>
      <c r="E22" s="174"/>
      <c r="F22" s="170"/>
      <c r="G22" s="171"/>
      <c r="H22" s="176" t="str">
        <f>IFERROR(VLOOKUP(F22,Tableau3[],2,FALSE),"")</f>
        <v/>
      </c>
      <c r="I22" s="177"/>
    </row>
    <row r="23" spans="1:9" ht="21" customHeight="1" x14ac:dyDescent="0.25">
      <c r="A23" s="185" t="str" cm="1">
        <f t="array" aca="1" ref="A23" ca="1">IF(COUNTA(SEMAINES)&gt;=ROWS($11:21),INDEX(PARTICULIER!$A$13:$A$36,SMALL(IF(SEMAINES&gt;0,ROW(SEMAINES)-12),ROWS($11:21))),"")</f>
        <v/>
      </c>
      <c r="B23" s="186"/>
      <c r="C23" s="187"/>
      <c r="D23" s="175" t="str" cm="1">
        <f t="array" aca="1" ref="D23" ca="1">IF(A23="","",INDEX(SEMAINES,SMALL(IF(SEMAINES&gt;0,ROW(SEMAINES)-12),ROWS($11:21))))</f>
        <v/>
      </c>
      <c r="E23" s="175"/>
      <c r="F23" s="172"/>
      <c r="G23" s="173"/>
      <c r="H23" s="180" t="str">
        <f>IFERROR(VLOOKUP(F23,Tableau3[],2,FALSE),"")</f>
        <v/>
      </c>
      <c r="I23" s="181"/>
    </row>
    <row r="24" spans="1:9" ht="21" customHeight="1" x14ac:dyDescent="0.25">
      <c r="A24" s="182" t="str" cm="1">
        <f t="array" aca="1" ref="A24" ca="1">IF(COUNTA(SEMAINES)&gt;=ROWS($11:22),INDEX(PARTICULIER!$A$13:$A$36,SMALL(IF(SEMAINES&gt;0,ROW(SEMAINES)-12),ROWS($11:22))),"")</f>
        <v/>
      </c>
      <c r="B24" s="183"/>
      <c r="C24" s="184"/>
      <c r="D24" s="174" t="str" cm="1">
        <f t="array" aca="1" ref="D24" ca="1">IF(A24="","",INDEX(SEMAINES,SMALL(IF(SEMAINES&gt;0,ROW(SEMAINES)-12),ROWS($11:22))))</f>
        <v/>
      </c>
      <c r="E24" s="174"/>
      <c r="F24" s="170"/>
      <c r="G24" s="171"/>
      <c r="H24" s="176" t="str">
        <f>IFERROR(VLOOKUP(F24,Tableau3[],2,FALSE),"")</f>
        <v/>
      </c>
      <c r="I24" s="177"/>
    </row>
    <row r="25" spans="1:9" ht="21" customHeight="1" x14ac:dyDescent="0.25">
      <c r="A25" s="185" t="str" cm="1">
        <f t="array" aca="1" ref="A25" ca="1">IF(COUNTA(SEMAINES)&gt;=ROWS($11:23),INDEX(PARTICULIER!$A$13:$A$36,SMALL(IF(SEMAINES&gt;0,ROW(SEMAINES)-12),ROWS($11:23))),"")</f>
        <v/>
      </c>
      <c r="B25" s="186"/>
      <c r="C25" s="187"/>
      <c r="D25" s="175" t="str" cm="1">
        <f t="array" aca="1" ref="D25" ca="1">IF(A25="","",INDEX(SEMAINES,SMALL(IF(SEMAINES&gt;0,ROW(SEMAINES)-12),ROWS($11:23))))</f>
        <v/>
      </c>
      <c r="E25" s="175"/>
      <c r="F25" s="172"/>
      <c r="G25" s="173"/>
      <c r="H25" s="180" t="str">
        <f>IFERROR(VLOOKUP(F25,Tableau3[],2,FALSE),"")</f>
        <v/>
      </c>
      <c r="I25" s="181"/>
    </row>
    <row r="26" spans="1:9" ht="21" customHeight="1" x14ac:dyDescent="0.25">
      <c r="A26" s="182" t="str" cm="1">
        <f t="array" aca="1" ref="A26" ca="1">IF(COUNTA(SEMAINES)&gt;=ROWS($11:24),INDEX(PARTICULIER!$A$13:$A$36,SMALL(IF(SEMAINES&gt;0,ROW(SEMAINES)-12),ROWS($11:24))),"")</f>
        <v/>
      </c>
      <c r="B26" s="183"/>
      <c r="C26" s="184"/>
      <c r="D26" s="174" t="str" cm="1">
        <f t="array" aca="1" ref="D26" ca="1">IF(A26="","",INDEX(SEMAINES,SMALL(IF(SEMAINES&gt;0,ROW(SEMAINES)-12),ROWS($11:24))))</f>
        <v/>
      </c>
      <c r="E26" s="174"/>
      <c r="F26" s="170"/>
      <c r="G26" s="171"/>
      <c r="H26" s="176" t="str">
        <f>IFERROR(VLOOKUP(F26,Tableau3[],2,FALSE),"")</f>
        <v/>
      </c>
      <c r="I26" s="177"/>
    </row>
    <row r="27" spans="1:9" ht="21" customHeight="1" x14ac:dyDescent="0.25">
      <c r="A27" s="185" t="str" cm="1">
        <f t="array" aca="1" ref="A27" ca="1">IF(COUNTA(SEMAINES)&gt;=ROWS($11:25),INDEX(PARTICULIER!$A$13:$A$36,SMALL(IF(SEMAINES&gt;0,ROW(SEMAINES)-12),ROWS($11:25))),"")</f>
        <v/>
      </c>
      <c r="B27" s="186"/>
      <c r="C27" s="187"/>
      <c r="D27" s="175" t="str" cm="1">
        <f t="array" aca="1" ref="D27" ca="1">IF(A27="","",INDEX(SEMAINES,SMALL(IF(SEMAINES&gt;0,ROW(SEMAINES)-12),ROWS($11:25))))</f>
        <v/>
      </c>
      <c r="E27" s="175"/>
      <c r="F27" s="172"/>
      <c r="G27" s="173"/>
      <c r="H27" s="180" t="str">
        <f>IFERROR(VLOOKUP(F27,Tableau3[],2,FALSE),"")</f>
        <v/>
      </c>
      <c r="I27" s="181"/>
    </row>
    <row r="28" spans="1:9" ht="21" customHeight="1" x14ac:dyDescent="0.25">
      <c r="A28" s="182" t="str" cm="1">
        <f t="array" aca="1" ref="A28" ca="1">IF(COUNTA(SEMAINES)&gt;=ROWS($11:26),INDEX(PARTICULIER!$A$13:$A$36,SMALL(IF(SEMAINES&gt;0,ROW(SEMAINES)-12),ROWS($11:26))),"")</f>
        <v/>
      </c>
      <c r="B28" s="183"/>
      <c r="C28" s="184"/>
      <c r="D28" s="174" t="str" cm="1">
        <f t="array" aca="1" ref="D28" ca="1">IF(A28="","",INDEX(SEMAINES,SMALL(IF(SEMAINES&gt;0,ROW(SEMAINES)-12),ROWS($11:26))))</f>
        <v/>
      </c>
      <c r="E28" s="174"/>
      <c r="F28" s="170"/>
      <c r="G28" s="171"/>
      <c r="H28" s="176" t="str">
        <f>IFERROR(VLOOKUP(F28,Tableau3[],2,FALSE),"")</f>
        <v/>
      </c>
      <c r="I28" s="177"/>
    </row>
    <row r="29" spans="1:9" ht="21" customHeight="1" x14ac:dyDescent="0.25">
      <c r="A29" s="185" t="str" cm="1">
        <f t="array" aca="1" ref="A29" ca="1">IF(COUNTA(SEMAINES)&gt;=ROWS($11:27),INDEX(PARTICULIER!$A$13:$A$36,SMALL(IF(SEMAINES&gt;0,ROW(SEMAINES)-12),ROWS($11:27))),"")</f>
        <v/>
      </c>
      <c r="B29" s="186"/>
      <c r="C29" s="187"/>
      <c r="D29" s="175" t="str" cm="1">
        <f t="array" aca="1" ref="D29" ca="1">IF(A29="","",INDEX(SEMAINES,SMALL(IF(SEMAINES&gt;0,ROW(SEMAINES)-12),ROWS($11:27))))</f>
        <v/>
      </c>
      <c r="E29" s="175"/>
      <c r="F29" s="172"/>
      <c r="G29" s="173"/>
      <c r="H29" s="180" t="str">
        <f>IFERROR(VLOOKUP(F29,Tableau3[],2,FALSE),"")</f>
        <v/>
      </c>
      <c r="I29" s="181"/>
    </row>
    <row r="30" spans="1:9" ht="21" customHeight="1" x14ac:dyDescent="0.25">
      <c r="A30" s="182" t="str" cm="1">
        <f t="array" aca="1" ref="A30" ca="1">IF(COUNTA(SEMAINES)&gt;=ROWS($11:28),INDEX(PARTICULIER!$A$13:$A$36,SMALL(IF(SEMAINES&gt;0,ROW(SEMAINES)-12),ROWS($11:28))),"")</f>
        <v/>
      </c>
      <c r="B30" s="183"/>
      <c r="C30" s="184"/>
      <c r="D30" s="174" t="str" cm="1">
        <f t="array" aca="1" ref="D30" ca="1">IF(A30="","",INDEX(SEMAINES,SMALL(IF(SEMAINES&gt;0,ROW(SEMAINES)-12),ROWS($11:28))))</f>
        <v/>
      </c>
      <c r="E30" s="174"/>
      <c r="F30" s="170"/>
      <c r="G30" s="171"/>
      <c r="H30" s="176" t="str">
        <f>IFERROR(VLOOKUP(F30,Tableau3[],2,FALSE),"")</f>
        <v/>
      </c>
      <c r="I30" s="177"/>
    </row>
    <row r="31" spans="1:9" ht="21" customHeight="1" x14ac:dyDescent="0.25">
      <c r="A31" s="185" t="str" cm="1">
        <f t="array" aca="1" ref="A31" ca="1">IF(COUNTA(SEMAINES)&gt;=ROWS($11:29),INDEX(PARTICULIER!$A$13:$A$36,SMALL(IF(SEMAINES&gt;0,ROW(SEMAINES)-12),ROWS($11:29))),"")</f>
        <v/>
      </c>
      <c r="B31" s="186"/>
      <c r="C31" s="187"/>
      <c r="D31" s="175" t="str" cm="1">
        <f t="array" aca="1" ref="D31" ca="1">IF(A31="","",INDEX(SEMAINES,SMALL(IF(SEMAINES&gt;0,ROW(SEMAINES)-12),ROWS($11:29))))</f>
        <v/>
      </c>
      <c r="E31" s="175"/>
      <c r="F31" s="172"/>
      <c r="G31" s="173"/>
      <c r="H31" s="180" t="str">
        <f>IFERROR(VLOOKUP(F31,Tableau3[],2,FALSE),"")</f>
        <v/>
      </c>
      <c r="I31" s="181"/>
    </row>
    <row r="32" spans="1:9" ht="21" customHeight="1" x14ac:dyDescent="0.25">
      <c r="A32" s="182" t="str" cm="1">
        <f t="array" aca="1" ref="A32" ca="1">IF(COUNTA(SEMAINES)&gt;=ROWS($11:30),INDEX(PARTICULIER!$A$13:$A$36,SMALL(IF(SEMAINES&gt;0,ROW(SEMAINES)-12),ROWS($11:30))),"")</f>
        <v/>
      </c>
      <c r="B32" s="183"/>
      <c r="C32" s="184"/>
      <c r="D32" s="174" t="str" cm="1">
        <f t="array" aca="1" ref="D32" ca="1">IF(A32="","",INDEX(SEMAINES,SMALL(IF(SEMAINES&gt;0,ROW(SEMAINES)-12),ROWS($11:30))))</f>
        <v/>
      </c>
      <c r="E32" s="174"/>
      <c r="F32" s="170"/>
      <c r="G32" s="171"/>
      <c r="H32" s="176" t="str">
        <f>IFERROR(VLOOKUP(F32,Tableau3[],2,FALSE),"")</f>
        <v/>
      </c>
      <c r="I32" s="177"/>
    </row>
    <row r="33" spans="2:8" ht="30" customHeight="1" x14ac:dyDescent="0.25"/>
    <row r="34" spans="2:8" ht="31.5" customHeight="1" x14ac:dyDescent="0.25">
      <c r="B34" s="178" t="s">
        <v>34</v>
      </c>
      <c r="C34" s="178"/>
      <c r="D34" s="179"/>
      <c r="F34" s="178" t="s">
        <v>16</v>
      </c>
      <c r="G34" s="178"/>
      <c r="H34" s="179"/>
    </row>
    <row r="35" spans="2:8" ht="31.5" customHeight="1" x14ac:dyDescent="0.25">
      <c r="B35" s="193">
        <f>COUNTA(F13:G32)</f>
        <v>0</v>
      </c>
      <c r="C35" s="193"/>
      <c r="D35" s="193"/>
      <c r="F35" s="191">
        <f ca="1">SUM(D13:E32)</f>
        <v>4</v>
      </c>
      <c r="G35" s="192"/>
      <c r="H35" s="92" t="s">
        <v>35</v>
      </c>
    </row>
  </sheetData>
  <sheetProtection sheet="1" objects="1" scenarios="1"/>
  <mergeCells count="101">
    <mergeCell ref="F35:G35"/>
    <mergeCell ref="A13:C13"/>
    <mergeCell ref="B34:D34"/>
    <mergeCell ref="B35:D35"/>
    <mergeCell ref="A6:E6"/>
    <mergeCell ref="A7:E7"/>
    <mergeCell ref="A8:E8"/>
    <mergeCell ref="A1:D1"/>
    <mergeCell ref="F1:I1"/>
    <mergeCell ref="G5:I5"/>
    <mergeCell ref="G3:I3"/>
    <mergeCell ref="G4:I4"/>
    <mergeCell ref="A3:E3"/>
    <mergeCell ref="A4:E4"/>
    <mergeCell ref="A5:E5"/>
    <mergeCell ref="A27:C27"/>
    <mergeCell ref="G6:I6"/>
    <mergeCell ref="G7:I7"/>
    <mergeCell ref="A23:C23"/>
    <mergeCell ref="A24:C24"/>
    <mergeCell ref="A25:C25"/>
    <mergeCell ref="A26:C26"/>
    <mergeCell ref="A12:C12"/>
    <mergeCell ref="D12:E12"/>
    <mergeCell ref="F12:G12"/>
    <mergeCell ref="H12:I12"/>
    <mergeCell ref="D13:E13"/>
    <mergeCell ref="F13:G13"/>
    <mergeCell ref="A14:C14"/>
    <mergeCell ref="A15:C15"/>
    <mergeCell ref="D14:E14"/>
    <mergeCell ref="D15:E15"/>
    <mergeCell ref="F14:G14"/>
    <mergeCell ref="F15:G15"/>
    <mergeCell ref="H13:I13"/>
    <mergeCell ref="A28:C28"/>
    <mergeCell ref="A29:C29"/>
    <mergeCell ref="A30:C30"/>
    <mergeCell ref="A31:C31"/>
    <mergeCell ref="A32:C32"/>
    <mergeCell ref="D27:E27"/>
    <mergeCell ref="D16:E16"/>
    <mergeCell ref="D17:E17"/>
    <mergeCell ref="D18:E18"/>
    <mergeCell ref="D19:E19"/>
    <mergeCell ref="D20:E20"/>
    <mergeCell ref="D21:E21"/>
    <mergeCell ref="D30:E30"/>
    <mergeCell ref="D31:E31"/>
    <mergeCell ref="D32:E32"/>
    <mergeCell ref="A22:C22"/>
    <mergeCell ref="A21:C21"/>
    <mergeCell ref="A16:C16"/>
    <mergeCell ref="A17:C17"/>
    <mergeCell ref="A18:C18"/>
    <mergeCell ref="A19:C19"/>
    <mergeCell ref="A20:C20"/>
    <mergeCell ref="F20:G20"/>
    <mergeCell ref="H19:I19"/>
    <mergeCell ref="F22:G22"/>
    <mergeCell ref="F23:G23"/>
    <mergeCell ref="F24:G24"/>
    <mergeCell ref="F25:G25"/>
    <mergeCell ref="F21:G21"/>
    <mergeCell ref="H14:I14"/>
    <mergeCell ref="H15:I15"/>
    <mergeCell ref="H16:I16"/>
    <mergeCell ref="H17:I17"/>
    <mergeCell ref="H18:I18"/>
    <mergeCell ref="H20:I20"/>
    <mergeCell ref="H21:I21"/>
    <mergeCell ref="H22:I22"/>
    <mergeCell ref="H23:I23"/>
    <mergeCell ref="H24:I24"/>
    <mergeCell ref="H25:I25"/>
    <mergeCell ref="F16:G16"/>
    <mergeCell ref="F17:G17"/>
    <mergeCell ref="F18:G18"/>
    <mergeCell ref="F19:G19"/>
    <mergeCell ref="F26:G26"/>
    <mergeCell ref="F27:G27"/>
    <mergeCell ref="D22:E22"/>
    <mergeCell ref="D23:E23"/>
    <mergeCell ref="D24:E24"/>
    <mergeCell ref="D25:E25"/>
    <mergeCell ref="D26:E26"/>
    <mergeCell ref="H32:I32"/>
    <mergeCell ref="F34:H34"/>
    <mergeCell ref="H26:I26"/>
    <mergeCell ref="H27:I27"/>
    <mergeCell ref="H28:I28"/>
    <mergeCell ref="H29:I29"/>
    <mergeCell ref="H30:I30"/>
    <mergeCell ref="H31:I31"/>
    <mergeCell ref="F28:G28"/>
    <mergeCell ref="F29:G29"/>
    <mergeCell ref="F30:G30"/>
    <mergeCell ref="F31:G31"/>
    <mergeCell ref="F32:G32"/>
    <mergeCell ref="D28:E28"/>
    <mergeCell ref="D29:E29"/>
  </mergeCells>
  <dataValidations count="2">
    <dataValidation type="list" allowBlank="1" showInputMessage="1" showErrorMessage="1" sqref="L8" xr:uid="{CEA1CB2C-E8D9-442C-8E9C-115D6AD05613}">
      <formula1>"BL1,BL2,BL3,BL4,BL5"</formula1>
    </dataValidation>
    <dataValidation type="list" allowBlank="1" showInputMessage="1" sqref="F13:G32" xr:uid="{8F27AA3F-8BA4-4056-84A0-C0BD79296464}">
      <formula1>IF($F$13&lt;&gt;"",OFFSET(Formule_DateLot,MATCH(F13&amp;"*", Formule_DateLot,0)-1,,COUNTIF(Formule_DateLot,F13&amp;"*"),1), Formule_DateLot)</formula1>
    </dataValidation>
  </dataValidations>
  <hyperlinks>
    <hyperlink ref="A7" r:id="rId1" xr:uid="{B6184251-3BBC-4C53-8B0B-D8D8B2FF3EF7}"/>
  </hyperlinks>
  <pageMargins left="0.31496062992125984" right="0.31496062992125984" top="0.35433070866141736" bottom="0.35433070866141736" header="0.31496062992125984" footer="0.31496062992125984"/>
  <pageSetup paperSize="9" orientation="portrait" horizontalDpi="0" verticalDpi="0" r:id="rId2"/>
  <ignoredErrors>
    <ignoredError sqref="O3:O4 G3:I3 A14:E32 H10 G5:I7 H4:I4 A13:E13 H13:I32" unlockedFormula="1"/>
    <ignoredError xmlns:x16r3="http://schemas.microsoft.com/office/spreadsheetml/2018/08/main" sqref="G4" x16r3:misleadingFormat="1"/>
  </ignoredErrors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F8C39-1F39-4923-AA5F-89B2C24DFD2B}">
  <sheetPr codeName="Feuil3">
    <tabColor rgb="FFFF0000"/>
  </sheetPr>
  <dimension ref="A1:O28"/>
  <sheetViews>
    <sheetView showGridLines="0" showZeros="0" zoomScaleNormal="100" workbookViewId="0">
      <selection activeCell="A3" sqref="A3:E3"/>
    </sheetView>
  </sheetViews>
  <sheetFormatPr baseColWidth="10" defaultRowHeight="15" x14ac:dyDescent="0.25"/>
  <cols>
    <col min="1" max="1" width="11.42578125" style="61" customWidth="1"/>
    <col min="2" max="2" width="11.42578125" style="61"/>
    <col min="3" max="9" width="10.5703125" style="61" customWidth="1"/>
    <col min="10" max="10" width="3.85546875" style="61" customWidth="1"/>
    <col min="11" max="11" width="9" style="61" hidden="1" customWidth="1"/>
    <col min="12" max="12" width="24.140625" style="61" customWidth="1"/>
    <col min="13" max="13" width="5.7109375" style="61" customWidth="1"/>
    <col min="14" max="14" width="9.42578125" style="64" customWidth="1"/>
    <col min="15" max="15" width="21.42578125" style="64" hidden="1" customWidth="1"/>
    <col min="16" max="16" width="11.42578125" style="61"/>
    <col min="17" max="17" width="8.140625" style="61" customWidth="1"/>
    <col min="18" max="16384" width="11.42578125" style="61"/>
  </cols>
  <sheetData>
    <row r="1" spans="1:15" ht="57.75" customHeight="1" x14ac:dyDescent="0.25">
      <c r="A1" s="199"/>
      <c r="B1" s="179"/>
      <c r="C1" s="179"/>
      <c r="D1" s="179"/>
      <c r="F1" s="232" t="s">
        <v>56</v>
      </c>
      <c r="G1" s="233"/>
      <c r="H1" s="233"/>
      <c r="I1" s="233"/>
      <c r="J1" s="62"/>
      <c r="K1" s="63" t="str">
        <f>[1]CHEMIN!$C$8</f>
        <v>D:\PDF\AVOIR\</v>
      </c>
    </row>
    <row r="2" spans="1:15" x14ac:dyDescent="0.25">
      <c r="E2" s="62"/>
    </row>
    <row r="3" spans="1:15" ht="15" customHeight="1" x14ac:dyDescent="0.25">
      <c r="A3" s="206"/>
      <c r="B3" s="195"/>
      <c r="C3" s="195"/>
      <c r="D3" s="195"/>
      <c r="E3" s="195"/>
      <c r="F3" s="65" t="s">
        <v>28</v>
      </c>
      <c r="G3" s="234">
        <f>PARTICULIER!F3</f>
        <v>300</v>
      </c>
      <c r="H3" s="235"/>
      <c r="I3" s="235"/>
      <c r="O3" s="64">
        <f ca="1">YEAR(TODAY())</f>
        <v>2022</v>
      </c>
    </row>
    <row r="4" spans="1:15" ht="15" customHeight="1" x14ac:dyDescent="0.25">
      <c r="A4" s="206" t="s">
        <v>7</v>
      </c>
      <c r="B4" s="195"/>
      <c r="C4" s="195"/>
      <c r="D4" s="195"/>
      <c r="E4" s="195"/>
      <c r="F4" s="65" t="s">
        <v>25</v>
      </c>
      <c r="G4" s="234" t="str">
        <f>PARTICULIER!F4</f>
        <v>PERREE Lucie</v>
      </c>
      <c r="H4" s="234"/>
      <c r="I4" s="234"/>
      <c r="K4" s="63" t="str">
        <f>IFERROR(VLOOKUP(G4,Tableau1[],8,FALSE),"")</f>
        <v>PERREELucie</v>
      </c>
      <c r="O4" s="107">
        <f>_xlfn.ISOWEEKNUM(H9)</f>
        <v>52</v>
      </c>
    </row>
    <row r="5" spans="1:15" ht="15" customHeight="1" x14ac:dyDescent="0.25">
      <c r="A5" s="207" t="s">
        <v>8</v>
      </c>
      <c r="B5" s="195"/>
      <c r="C5" s="195"/>
      <c r="D5" s="195"/>
      <c r="E5" s="195"/>
      <c r="F5" s="65" t="s">
        <v>22</v>
      </c>
      <c r="G5" s="234">
        <f>PARTICULIER!F5</f>
        <v>0</v>
      </c>
      <c r="H5" s="234"/>
      <c r="I5" s="234"/>
    </row>
    <row r="6" spans="1:15" ht="15" customHeight="1" x14ac:dyDescent="0.25">
      <c r="A6" s="194" t="s">
        <v>1</v>
      </c>
      <c r="B6" s="195"/>
      <c r="C6" s="195"/>
      <c r="D6" s="195"/>
      <c r="E6" s="195"/>
      <c r="F6" s="65" t="s">
        <v>26</v>
      </c>
      <c r="G6" s="234">
        <f>PARTICULIER!F6</f>
        <v>0</v>
      </c>
      <c r="H6" s="234"/>
      <c r="I6" s="234"/>
    </row>
    <row r="7" spans="1:15" ht="15" customHeight="1" x14ac:dyDescent="0.25">
      <c r="A7" s="196" t="s">
        <v>2</v>
      </c>
      <c r="B7" s="195"/>
      <c r="C7" s="195"/>
      <c r="D7" s="195"/>
      <c r="E7" s="195"/>
      <c r="F7" s="65" t="s">
        <v>24</v>
      </c>
      <c r="G7" s="241">
        <f>PARTICULIER!F7</f>
        <v>0</v>
      </c>
      <c r="H7" s="242"/>
      <c r="I7" s="242"/>
    </row>
    <row r="8" spans="1:15" ht="15" customHeight="1" x14ac:dyDescent="0.25">
      <c r="A8" s="240" t="s">
        <v>0</v>
      </c>
      <c r="B8" s="195"/>
      <c r="C8" s="195"/>
      <c r="D8" s="195"/>
      <c r="E8" s="195"/>
    </row>
    <row r="9" spans="1:15" x14ac:dyDescent="0.25">
      <c r="F9" s="65" t="s">
        <v>19</v>
      </c>
      <c r="G9" s="89"/>
      <c r="H9" s="101"/>
      <c r="I9" s="90"/>
    </row>
    <row r="10" spans="1:15" x14ac:dyDescent="0.25">
      <c r="F10" s="65" t="s">
        <v>20</v>
      </c>
      <c r="G10" s="91"/>
      <c r="H10" s="86" t="str">
        <f ca="1">"AV-S"&amp;O4&amp;"-"&amp;K4&amp;O3</f>
        <v>AV-S52-PERREELucie2022</v>
      </c>
      <c r="I10" s="90"/>
    </row>
    <row r="11" spans="1:15" ht="23.25" customHeight="1" x14ac:dyDescent="0.25">
      <c r="H11" s="66"/>
      <c r="O11" s="67" t="s">
        <v>60</v>
      </c>
    </row>
    <row r="12" spans="1:15" ht="21" customHeight="1" thickBot="1" x14ac:dyDescent="0.3">
      <c r="H12" s="66"/>
      <c r="O12" s="68">
        <v>5.5E-2</v>
      </c>
    </row>
    <row r="13" spans="1:15" ht="26.25" customHeight="1" thickBot="1" x14ac:dyDescent="0.3">
      <c r="A13" s="236" t="str">
        <f ca="1">"Avoir sur la facture n° "&amp;PARTICULIER!G10&amp;" du"</f>
        <v>Avoir sur la facture n° FAC-300-S52-PERREELucie2022 du</v>
      </c>
      <c r="B13" s="237"/>
      <c r="C13" s="237"/>
      <c r="D13" s="237"/>
      <c r="E13" s="237"/>
      <c r="F13" s="237"/>
      <c r="G13" s="237"/>
      <c r="H13" s="238">
        <f>PARTICULIER!G9</f>
        <v>0</v>
      </c>
      <c r="I13" s="239"/>
      <c r="O13" s="69" t="s">
        <v>64</v>
      </c>
    </row>
    <row r="14" spans="1:15" ht="23.25" customHeight="1" x14ac:dyDescent="0.25">
      <c r="H14" s="66"/>
      <c r="O14" s="67" t="s">
        <v>62</v>
      </c>
    </row>
    <row r="15" spans="1:15" ht="21" customHeight="1" x14ac:dyDescent="0.25">
      <c r="A15" s="210" t="s">
        <v>57</v>
      </c>
      <c r="B15" s="211"/>
      <c r="C15" s="211"/>
      <c r="D15" s="211"/>
      <c r="E15" s="211"/>
      <c r="F15" s="212"/>
      <c r="G15" s="70" t="s">
        <v>59</v>
      </c>
      <c r="H15" s="71" t="s">
        <v>60</v>
      </c>
      <c r="I15" s="72" t="s">
        <v>61</v>
      </c>
      <c r="O15" s="39">
        <v>100</v>
      </c>
    </row>
    <row r="16" spans="1:15" ht="21" customHeight="1" x14ac:dyDescent="0.25">
      <c r="A16" s="222" t="s">
        <v>58</v>
      </c>
      <c r="B16" s="223"/>
      <c r="C16" s="223"/>
      <c r="D16" s="223"/>
      <c r="E16" s="223"/>
      <c r="F16" s="224"/>
      <c r="G16" s="87">
        <v>1</v>
      </c>
      <c r="H16" s="88">
        <v>5.5E-2</v>
      </c>
      <c r="I16" s="41" t="s">
        <v>137</v>
      </c>
      <c r="O16" s="73" t="s">
        <v>63</v>
      </c>
    </row>
    <row r="17" spans="1:15" ht="21" customHeight="1" x14ac:dyDescent="0.25">
      <c r="A17" s="74" t="str">
        <f>PARTICULIER!A14</f>
        <v>BOUDIN</v>
      </c>
      <c r="B17" s="74"/>
      <c r="C17" s="74"/>
      <c r="D17" s="75">
        <f>PARTICULIER!B14</f>
        <v>3</v>
      </c>
      <c r="E17" s="75"/>
      <c r="F17" s="76"/>
      <c r="G17" s="76"/>
      <c r="H17" s="77"/>
      <c r="I17" s="77"/>
      <c r="O17" s="78">
        <f>O15/(O12+1)</f>
        <v>94.786729857819907</v>
      </c>
    </row>
    <row r="18" spans="1:15" ht="15.75" thickBot="1" x14ac:dyDescent="0.3"/>
    <row r="19" spans="1:15" ht="15.75" x14ac:dyDescent="0.25">
      <c r="A19" s="216" t="s">
        <v>21</v>
      </c>
      <c r="B19" s="217"/>
      <c r="C19" s="218"/>
      <c r="F19" s="219" t="s">
        <v>12</v>
      </c>
      <c r="G19" s="220"/>
      <c r="H19" s="221" t="str">
        <f>I16&amp;" €"</f>
        <v xml:space="preserve"> 0,00 €</v>
      </c>
      <c r="I19" s="221"/>
    </row>
    <row r="20" spans="1:15" x14ac:dyDescent="0.25">
      <c r="A20" s="213" t="s">
        <v>36</v>
      </c>
      <c r="B20" s="214"/>
      <c r="C20" s="215"/>
      <c r="F20" s="79"/>
      <c r="G20" s="80"/>
      <c r="I20" s="79"/>
    </row>
    <row r="21" spans="1:15" ht="15.75" x14ac:dyDescent="0.25">
      <c r="A21" s="226" t="s">
        <v>39</v>
      </c>
      <c r="B21" s="227"/>
      <c r="C21" s="228"/>
      <c r="F21" s="219" t="s">
        <v>14</v>
      </c>
      <c r="G21" s="220"/>
      <c r="H21" s="225">
        <f>SUM(H19*5.5%)</f>
        <v>0</v>
      </c>
      <c r="I21" s="225"/>
    </row>
    <row r="22" spans="1:15" ht="15.75" thickBot="1" x14ac:dyDescent="0.3">
      <c r="A22" s="229" t="s">
        <v>38</v>
      </c>
      <c r="B22" s="230"/>
      <c r="C22" s="231"/>
      <c r="F22" s="79"/>
      <c r="G22" s="66"/>
      <c r="I22" s="79"/>
      <c r="O22" s="108"/>
    </row>
    <row r="23" spans="1:15" ht="15.75" x14ac:dyDescent="0.25">
      <c r="D23" s="81"/>
      <c r="E23" s="81"/>
      <c r="F23" s="219" t="s">
        <v>13</v>
      </c>
      <c r="G23" s="220"/>
      <c r="H23" s="225">
        <f>SUM(H19+H21)</f>
        <v>0</v>
      </c>
      <c r="I23" s="225"/>
    </row>
    <row r="24" spans="1:15" x14ac:dyDescent="0.25">
      <c r="A24" s="82"/>
      <c r="B24" s="83"/>
      <c r="C24" s="84"/>
      <c r="D24" s="85"/>
      <c r="F24" s="79"/>
      <c r="G24" s="79"/>
      <c r="H24" s="79"/>
      <c r="I24" s="79"/>
    </row>
    <row r="25" spans="1:15" x14ac:dyDescent="0.25">
      <c r="A25" s="82"/>
      <c r="B25" s="83"/>
      <c r="C25" s="84"/>
      <c r="D25" s="84"/>
      <c r="E25" s="125" t="str" cm="1">
        <f t="array" ref="E25">[2]!ConvNumberLetter(H23,1,0)</f>
        <v xml:space="preserve"> Euro </v>
      </c>
      <c r="F25" s="125"/>
      <c r="G25" s="125"/>
      <c r="H25" s="125"/>
      <c r="I25" s="125"/>
    </row>
    <row r="26" spans="1:15" x14ac:dyDescent="0.25">
      <c r="A26" s="82"/>
      <c r="B26" s="83"/>
      <c r="C26" s="84"/>
      <c r="D26" s="84"/>
    </row>
    <row r="27" spans="1:15" x14ac:dyDescent="0.25">
      <c r="A27" s="82"/>
      <c r="B27" s="83"/>
      <c r="C27" s="84"/>
      <c r="D27" s="84"/>
      <c r="E27" s="126" t="s">
        <v>65</v>
      </c>
      <c r="F27" s="127"/>
      <c r="G27" s="126"/>
      <c r="H27" s="126"/>
      <c r="I27" s="126"/>
    </row>
    <row r="28" spans="1:15" x14ac:dyDescent="0.25">
      <c r="A28" s="82"/>
      <c r="B28" s="83"/>
      <c r="C28" s="84"/>
      <c r="D28" s="84"/>
      <c r="E28" s="126" t="s">
        <v>17</v>
      </c>
      <c r="F28" s="127"/>
      <c r="G28" s="126"/>
      <c r="H28" s="126"/>
      <c r="I28" s="126"/>
    </row>
  </sheetData>
  <mergeCells count="27">
    <mergeCell ref="A13:G13"/>
    <mergeCell ref="H13:I13"/>
    <mergeCell ref="A8:E8"/>
    <mergeCell ref="A5:E5"/>
    <mergeCell ref="G5:I5"/>
    <mergeCell ref="A6:E6"/>
    <mergeCell ref="G6:I6"/>
    <mergeCell ref="A7:E7"/>
    <mergeCell ref="G7:I7"/>
    <mergeCell ref="A1:D1"/>
    <mergeCell ref="F1:I1"/>
    <mergeCell ref="A3:E3"/>
    <mergeCell ref="G3:I3"/>
    <mergeCell ref="A4:E4"/>
    <mergeCell ref="G4:I4"/>
    <mergeCell ref="F23:G23"/>
    <mergeCell ref="H23:I23"/>
    <mergeCell ref="A21:C21"/>
    <mergeCell ref="F21:G21"/>
    <mergeCell ref="H21:I21"/>
    <mergeCell ref="A22:C22"/>
    <mergeCell ref="A20:C20"/>
    <mergeCell ref="A19:C19"/>
    <mergeCell ref="F19:G19"/>
    <mergeCell ref="H19:I19"/>
    <mergeCell ref="A15:F15"/>
    <mergeCell ref="A16:F16"/>
  </mergeCells>
  <hyperlinks>
    <hyperlink ref="A7" r:id="rId1" xr:uid="{833C177C-98DA-4661-BF40-DAA87D35B7DB}"/>
  </hyperlinks>
  <pageMargins left="0.31496062992125984" right="0.31496062992125984" top="0.35433070866141736" bottom="0.35433070866141736" header="0.31496062992125984" footer="0.31496062992125984"/>
  <pageSetup paperSize="9" orientation="portrait" horizontalDpi="0" verticalDpi="0" r:id="rId2"/>
  <ignoredErrors>
    <ignoredError xmlns:x16r3="http://schemas.microsoft.com/office/spreadsheetml/2018/08/main" sqref="G4" x16r3:misleadingFormat="1"/>
    <ignoredError sqref="E25 A17 D17" unlockedFormula="1"/>
  </ignoredErrors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E2AAD8-C3DA-4F4D-B5A4-59C1A899B4AC}">
  <sheetPr codeName="Feuil7">
    <tabColor rgb="FFCCFF99"/>
  </sheetPr>
  <dimension ref="A1:P57"/>
  <sheetViews>
    <sheetView showGridLines="0" zoomScaleNormal="100" workbookViewId="0">
      <selection activeCell="G5" sqref="G5"/>
    </sheetView>
  </sheetViews>
  <sheetFormatPr baseColWidth="10" defaultRowHeight="15" x14ac:dyDescent="0.25"/>
  <cols>
    <col min="1" max="1" width="26.7109375" customWidth="1"/>
    <col min="2" max="7" width="9.7109375" customWidth="1"/>
    <col min="8" max="8" width="11.28515625" customWidth="1"/>
    <col min="9" max="9" width="3.42578125" style="145" customWidth="1"/>
    <col min="10" max="10" width="22.85546875" hidden="1" customWidth="1"/>
    <col min="11" max="11" width="18" hidden="1" customWidth="1"/>
    <col min="12" max="12" width="2.42578125" hidden="1" customWidth="1"/>
    <col min="13" max="13" width="21.140625" customWidth="1"/>
    <col min="15" max="16" width="11.42578125" hidden="1" customWidth="1"/>
  </cols>
  <sheetData>
    <row r="1" spans="1:16" ht="57.75" customHeight="1" x14ac:dyDescent="0.25">
      <c r="A1" s="146"/>
      <c r="B1" s="147"/>
      <c r="C1" s="147"/>
      <c r="D1" s="147"/>
      <c r="E1" s="45" t="s">
        <v>15</v>
      </c>
      <c r="F1" s="46"/>
      <c r="G1" s="46"/>
      <c r="H1" s="46"/>
      <c r="J1" s="9"/>
      <c r="K1" s="27" t="str">
        <f>[1]CHEMIN!$C$6</f>
        <v>D:\PDF\FACTURES\</v>
      </c>
    </row>
    <row r="2" spans="1:16" ht="8.25" customHeight="1" x14ac:dyDescent="0.25">
      <c r="E2" s="138"/>
      <c r="K2" s="27" t="str">
        <f>[1]CHEMIN!$C$7</f>
        <v>D:\FACTURES EN COURS\</v>
      </c>
    </row>
    <row r="3" spans="1:16" ht="15" customHeight="1" x14ac:dyDescent="0.25">
      <c r="E3" s="10" t="s">
        <v>27</v>
      </c>
      <c r="F3" s="47">
        <f>IFERROR(VLOOKUP(F4,Tableau1[],2,FALSE),"")</f>
        <v>300</v>
      </c>
      <c r="G3" s="48"/>
      <c r="H3" s="48"/>
      <c r="K3" s="40"/>
      <c r="O3" s="139">
        <f ca="1">YEAR(TODAY())</f>
        <v>2022</v>
      </c>
      <c r="P3" t="s">
        <v>138</v>
      </c>
    </row>
    <row r="4" spans="1:16" ht="15" customHeight="1" thickBot="1" x14ac:dyDescent="0.3">
      <c r="A4" s="140"/>
      <c r="B4" s="140"/>
      <c r="C4" s="140"/>
      <c r="D4" s="140"/>
      <c r="E4" s="10" t="s">
        <v>25</v>
      </c>
      <c r="F4" s="153" t="s">
        <v>52</v>
      </c>
      <c r="G4" s="154"/>
      <c r="H4" s="154"/>
      <c r="K4" s="27" t="str">
        <f>IFERROR(VLOOKUP(F4,Tableau1[],8,FALSE),"")</f>
        <v>PERREELucie</v>
      </c>
      <c r="L4" s="137"/>
      <c r="O4" s="104">
        <f>_xlfn.ISOWEEKNUM(G9)</f>
        <v>52</v>
      </c>
      <c r="P4" t="s">
        <v>139</v>
      </c>
    </row>
    <row r="5" spans="1:16" ht="15" customHeight="1" x14ac:dyDescent="0.25">
      <c r="A5" s="141"/>
      <c r="B5" s="141"/>
      <c r="C5" s="141"/>
      <c r="D5" s="141"/>
      <c r="E5" s="10" t="s">
        <v>22</v>
      </c>
      <c r="F5" s="47">
        <f>IFERROR(VLOOKUP(F4,Tableau1[],3,FALSE),"")</f>
        <v>0</v>
      </c>
      <c r="G5" s="48"/>
      <c r="H5" s="48"/>
      <c r="K5" t="str">
        <f>[1]CHEMIN!$C$9</f>
        <v>D:\FACTURIER\RECAPITULATIF.xlsm</v>
      </c>
      <c r="M5" s="99" t="s">
        <v>13</v>
      </c>
      <c r="O5" t="s">
        <v>150</v>
      </c>
      <c r="P5" t="s">
        <v>140</v>
      </c>
    </row>
    <row r="6" spans="1:16" ht="15" customHeight="1" thickBot="1" x14ac:dyDescent="0.3">
      <c r="A6" s="142"/>
      <c r="B6" s="142"/>
      <c r="C6" s="142"/>
      <c r="D6" s="142"/>
      <c r="E6" s="10" t="s">
        <v>23</v>
      </c>
      <c r="F6" s="47">
        <f>IFERROR(VLOOKUP(F4,Tableau1[],4,FALSE),"")</f>
        <v>0</v>
      </c>
      <c r="G6" s="48"/>
      <c r="H6" s="48"/>
      <c r="K6" s="52">
        <v>44623</v>
      </c>
      <c r="M6" s="100">
        <f>G38</f>
        <v>272.70695000000001</v>
      </c>
      <c r="P6" t="s">
        <v>141</v>
      </c>
    </row>
    <row r="7" spans="1:16" ht="15" customHeight="1" x14ac:dyDescent="0.25">
      <c r="A7" s="143"/>
      <c r="B7" s="143"/>
      <c r="C7" s="143"/>
      <c r="D7" s="143"/>
      <c r="E7" s="10" t="s">
        <v>24</v>
      </c>
      <c r="F7" s="49">
        <f>IFERROR(VLOOKUP(F4,Tableau1[],5,FALSE),"")</f>
        <v>0</v>
      </c>
      <c r="G7" s="50"/>
      <c r="H7" s="50"/>
      <c r="K7" t="str">
        <f ca="1">"FAC - "&amp;F3&amp;" - "&amp;K4&amp;" - S"&amp;O4&amp;" - " &amp;O3</f>
        <v>FAC - 300 - PERREELucie - S52 - 2022</v>
      </c>
      <c r="P7" t="s">
        <v>142</v>
      </c>
    </row>
    <row r="8" spans="1:16" ht="11.25" customHeight="1" x14ac:dyDescent="0.25">
      <c r="A8" s="144"/>
      <c r="B8" s="144"/>
      <c r="C8" s="144"/>
      <c r="D8" s="144"/>
      <c r="E8" s="138"/>
      <c r="P8" t="s">
        <v>143</v>
      </c>
    </row>
    <row r="9" spans="1:16" x14ac:dyDescent="0.25">
      <c r="E9" s="10" t="s">
        <v>19</v>
      </c>
      <c r="F9" s="43"/>
      <c r="G9" s="101"/>
      <c r="H9" s="51"/>
      <c r="J9" s="159"/>
      <c r="M9" s="159"/>
      <c r="P9" t="s">
        <v>144</v>
      </c>
    </row>
    <row r="10" spans="1:16" x14ac:dyDescent="0.25">
      <c r="E10" s="10" t="s">
        <v>20</v>
      </c>
      <c r="F10" s="31"/>
      <c r="G10" s="30" t="str">
        <f ca="1">"FAC-"&amp;F3&amp;"-S"&amp;O4&amp;"-"&amp;K4&amp;O3</f>
        <v>FAC-300-S52-PERREELucie2022</v>
      </c>
      <c r="H10" s="32"/>
      <c r="J10" s="159"/>
      <c r="M10" s="159"/>
      <c r="P10" t="s">
        <v>145</v>
      </c>
    </row>
    <row r="11" spans="1:16" ht="10.5" customHeight="1" x14ac:dyDescent="0.25">
      <c r="H11" s="3"/>
      <c r="J11" s="159"/>
      <c r="M11" s="159"/>
      <c r="P11" t="s">
        <v>146</v>
      </c>
    </row>
    <row r="12" spans="1:16" ht="21" customHeight="1" x14ac:dyDescent="0.25">
      <c r="A12" s="44" t="s">
        <v>67</v>
      </c>
      <c r="B12" s="44" t="s">
        <v>29</v>
      </c>
      <c r="C12" s="44" t="s">
        <v>30</v>
      </c>
      <c r="D12" s="44" t="s">
        <v>31</v>
      </c>
      <c r="E12" s="44" t="s">
        <v>32</v>
      </c>
      <c r="F12" s="44" t="s">
        <v>33</v>
      </c>
      <c r="G12" s="44" t="s">
        <v>11</v>
      </c>
      <c r="H12" s="44" t="s">
        <v>10</v>
      </c>
      <c r="J12" s="159"/>
      <c r="M12" s="159"/>
      <c r="N12" s="40"/>
      <c r="P12" s="106" t="s">
        <v>147</v>
      </c>
    </row>
    <row r="13" spans="1:16" s="13" customFormat="1" ht="21" customHeight="1" x14ac:dyDescent="0.25">
      <c r="A13" s="117" t="s">
        <v>83</v>
      </c>
      <c r="B13" s="97">
        <v>1</v>
      </c>
      <c r="C13" s="97">
        <v>5</v>
      </c>
      <c r="D13" s="97"/>
      <c r="E13" s="97"/>
      <c r="F13" s="97"/>
      <c r="G13" s="12">
        <f>IFERROR(VLOOKUP(A13,Tableau2[],2,FALSE),"")</f>
        <v>25.5</v>
      </c>
      <c r="H13" s="6">
        <f t="shared" ref="H13:H32" si="0">IFERROR(SUM(B13+C13+D13+E13+F13)*(G13),"")</f>
        <v>153</v>
      </c>
      <c r="I13" s="145"/>
      <c r="J13" s="159"/>
      <c r="K13" s="93"/>
      <c r="L13" s="93"/>
      <c r="M13" s="159"/>
      <c r="O13" s="105"/>
      <c r="P13" s="105" t="s">
        <v>148</v>
      </c>
    </row>
    <row r="14" spans="1:16" ht="21" customHeight="1" x14ac:dyDescent="0.25">
      <c r="A14" s="118" t="s">
        <v>85</v>
      </c>
      <c r="B14" s="98">
        <v>3</v>
      </c>
      <c r="C14" s="98"/>
      <c r="D14" s="98">
        <v>4</v>
      </c>
      <c r="E14" s="98"/>
      <c r="F14" s="98"/>
      <c r="G14" s="11">
        <f>IFERROR(VLOOKUP(A14,Tableau2[],2,FALSE),"")</f>
        <v>15.07</v>
      </c>
      <c r="H14" s="8">
        <f t="shared" si="0"/>
        <v>105.49000000000001</v>
      </c>
      <c r="J14" s="159"/>
      <c r="K14" s="94"/>
      <c r="L14" s="94"/>
      <c r="M14" s="159"/>
      <c r="P14" t="s">
        <v>149</v>
      </c>
    </row>
    <row r="15" spans="1:16" ht="21" customHeight="1" x14ac:dyDescent="0.25">
      <c r="A15" s="117"/>
      <c r="B15" s="97"/>
      <c r="C15" s="97"/>
      <c r="D15" s="97"/>
      <c r="E15" s="97"/>
      <c r="F15" s="97"/>
      <c r="G15" s="12" t="str">
        <f>IFERROR(VLOOKUP(A15,Tableau2[],2,FALSE),"")</f>
        <v/>
      </c>
      <c r="H15" s="6" t="str">
        <f t="shared" si="0"/>
        <v/>
      </c>
      <c r="J15" s="169"/>
      <c r="K15" s="94"/>
      <c r="L15" s="94"/>
      <c r="M15" s="159"/>
    </row>
    <row r="16" spans="1:16" ht="21" customHeight="1" x14ac:dyDescent="0.25">
      <c r="A16" s="118"/>
      <c r="B16" s="98"/>
      <c r="C16" s="98"/>
      <c r="D16" s="98"/>
      <c r="E16" s="98"/>
      <c r="F16" s="98"/>
      <c r="G16" s="11" t="str">
        <f>IFERROR(VLOOKUP(A16,Tableau2[],2,FALSE),"")</f>
        <v/>
      </c>
      <c r="H16" s="8" t="str">
        <f t="shared" si="0"/>
        <v/>
      </c>
      <c r="J16" s="169"/>
      <c r="K16" s="96"/>
      <c r="L16" s="94"/>
      <c r="M16" s="159"/>
    </row>
    <row r="17" spans="1:13" ht="21" customHeight="1" x14ac:dyDescent="0.25">
      <c r="A17" s="117"/>
      <c r="B17" s="97"/>
      <c r="C17" s="97"/>
      <c r="D17" s="97"/>
      <c r="E17" s="97"/>
      <c r="F17" s="97"/>
      <c r="G17" s="12" t="str">
        <f>IFERROR(VLOOKUP(A17,Tableau2[],2,FALSE),"")</f>
        <v/>
      </c>
      <c r="H17" s="6" t="str">
        <f t="shared" si="0"/>
        <v/>
      </c>
      <c r="J17" s="169"/>
      <c r="K17" s="94"/>
      <c r="L17" s="94"/>
      <c r="M17" s="159"/>
    </row>
    <row r="18" spans="1:13" ht="21" customHeight="1" x14ac:dyDescent="0.25">
      <c r="A18" s="118"/>
      <c r="B18" s="98"/>
      <c r="C18" s="98"/>
      <c r="D18" s="98"/>
      <c r="E18" s="98"/>
      <c r="F18" s="98"/>
      <c r="G18" s="11" t="str">
        <f>IFERROR(VLOOKUP(A18,Tableau2[],2,FALSE),"")</f>
        <v/>
      </c>
      <c r="H18" s="8" t="str">
        <f t="shared" si="0"/>
        <v/>
      </c>
      <c r="J18" s="169"/>
      <c r="K18" s="94"/>
      <c r="L18" s="94"/>
      <c r="M18" s="159"/>
    </row>
    <row r="19" spans="1:13" ht="21" customHeight="1" x14ac:dyDescent="0.25">
      <c r="A19" s="117"/>
      <c r="B19" s="97"/>
      <c r="C19" s="97"/>
      <c r="D19" s="97"/>
      <c r="E19" s="97"/>
      <c r="F19" s="97"/>
      <c r="G19" s="12" t="str">
        <f>IFERROR(VLOOKUP(A19,Tableau2[],2,FALSE),"")</f>
        <v/>
      </c>
      <c r="H19" s="6" t="str">
        <f t="shared" si="0"/>
        <v/>
      </c>
      <c r="J19" s="169"/>
      <c r="K19" s="94"/>
      <c r="L19" s="94"/>
      <c r="M19" s="159"/>
    </row>
    <row r="20" spans="1:13" ht="21" customHeight="1" x14ac:dyDescent="0.25">
      <c r="A20" s="118"/>
      <c r="B20" s="98"/>
      <c r="C20" s="98"/>
      <c r="D20" s="98"/>
      <c r="E20" s="98"/>
      <c r="F20" s="98"/>
      <c r="G20" s="11" t="str">
        <f>IFERROR(VLOOKUP(A20,Tableau2[],2,FALSE),"")</f>
        <v/>
      </c>
      <c r="H20" s="8" t="str">
        <f t="shared" si="0"/>
        <v/>
      </c>
      <c r="J20" s="95"/>
      <c r="K20" s="94"/>
      <c r="L20" s="94"/>
      <c r="M20" s="159"/>
    </row>
    <row r="21" spans="1:13" ht="21" customHeight="1" x14ac:dyDescent="0.25">
      <c r="A21" s="117"/>
      <c r="B21" s="97"/>
      <c r="C21" s="97"/>
      <c r="D21" s="97"/>
      <c r="E21" s="97"/>
      <c r="F21" s="97"/>
      <c r="G21" s="12" t="str">
        <f>IFERROR(VLOOKUP(A21,Tableau2[],2,FALSE),"")</f>
        <v/>
      </c>
      <c r="H21" s="6" t="str">
        <f t="shared" si="0"/>
        <v/>
      </c>
      <c r="J21" s="95"/>
      <c r="K21" s="94"/>
      <c r="L21" s="94"/>
      <c r="M21" s="159"/>
    </row>
    <row r="22" spans="1:13" ht="21" customHeight="1" x14ac:dyDescent="0.25">
      <c r="A22" s="118"/>
      <c r="B22" s="98"/>
      <c r="C22" s="98"/>
      <c r="D22" s="98"/>
      <c r="E22" s="98"/>
      <c r="F22" s="98"/>
      <c r="G22" s="11" t="str">
        <f>IFERROR(VLOOKUP(A22,Tableau2[],2,FALSE),"")</f>
        <v/>
      </c>
      <c r="H22" s="8" t="str">
        <f t="shared" si="0"/>
        <v/>
      </c>
      <c r="J22" s="95"/>
      <c r="K22" s="94"/>
      <c r="L22" s="94"/>
      <c r="M22" s="159"/>
    </row>
    <row r="23" spans="1:13" ht="21" customHeight="1" x14ac:dyDescent="0.25">
      <c r="A23" s="117"/>
      <c r="B23" s="97"/>
      <c r="C23" s="97"/>
      <c r="D23" s="97"/>
      <c r="E23" s="97"/>
      <c r="F23" s="97"/>
      <c r="G23" s="12" t="str">
        <f>IFERROR(VLOOKUP(A23,Tableau2[],2,FALSE),"")</f>
        <v/>
      </c>
      <c r="H23" s="6" t="str">
        <f t="shared" si="0"/>
        <v/>
      </c>
      <c r="J23" s="95"/>
      <c r="K23" s="94"/>
      <c r="L23" s="94"/>
      <c r="M23" s="159"/>
    </row>
    <row r="24" spans="1:13" ht="21" customHeight="1" x14ac:dyDescent="0.25">
      <c r="A24" s="118"/>
      <c r="B24" s="98"/>
      <c r="C24" s="98"/>
      <c r="D24" s="98"/>
      <c r="E24" s="98"/>
      <c r="F24" s="98"/>
      <c r="G24" s="11" t="str">
        <f>IFERROR(VLOOKUP(A24,Tableau2[],2,FALSE),"")</f>
        <v/>
      </c>
      <c r="H24" s="8" t="str">
        <f t="shared" si="0"/>
        <v/>
      </c>
      <c r="J24" s="95"/>
      <c r="K24" s="94"/>
      <c r="L24" s="94"/>
      <c r="M24" s="159"/>
    </row>
    <row r="25" spans="1:13" ht="21" customHeight="1" x14ac:dyDescent="0.25">
      <c r="A25" s="117"/>
      <c r="B25" s="97"/>
      <c r="C25" s="97"/>
      <c r="D25" s="97"/>
      <c r="E25" s="97"/>
      <c r="F25" s="97"/>
      <c r="G25" s="12" t="str">
        <f>IFERROR(VLOOKUP(A25,Tableau2[],2,FALSE),"")</f>
        <v/>
      </c>
      <c r="H25" s="6" t="str">
        <f t="shared" si="0"/>
        <v/>
      </c>
      <c r="J25" s="95"/>
      <c r="K25" s="94"/>
      <c r="L25" s="94"/>
      <c r="M25" s="159"/>
    </row>
    <row r="26" spans="1:13" ht="21" customHeight="1" x14ac:dyDescent="0.25">
      <c r="A26" s="118"/>
      <c r="B26" s="98"/>
      <c r="C26" s="98"/>
      <c r="D26" s="98"/>
      <c r="E26" s="98"/>
      <c r="F26" s="98"/>
      <c r="G26" s="11" t="str">
        <f>IFERROR(VLOOKUP(A26,Tableau2[],2,FALSE),"")</f>
        <v/>
      </c>
      <c r="H26" s="8" t="str">
        <f t="shared" si="0"/>
        <v/>
      </c>
      <c r="J26" s="9"/>
    </row>
    <row r="27" spans="1:13" ht="21" customHeight="1" x14ac:dyDescent="0.25">
      <c r="A27" s="117"/>
      <c r="B27" s="97"/>
      <c r="C27" s="97"/>
      <c r="D27" s="97"/>
      <c r="E27" s="97"/>
      <c r="F27" s="97"/>
      <c r="G27" s="12" t="str">
        <f>IFERROR(VLOOKUP(A27,Tableau2[],2,FALSE),"")</f>
        <v/>
      </c>
      <c r="H27" s="6" t="str">
        <f t="shared" si="0"/>
        <v/>
      </c>
      <c r="J27" s="9"/>
    </row>
    <row r="28" spans="1:13" ht="21" customHeight="1" x14ac:dyDescent="0.25">
      <c r="A28" s="118"/>
      <c r="B28" s="98"/>
      <c r="C28" s="98"/>
      <c r="D28" s="98"/>
      <c r="E28" s="98"/>
      <c r="F28" s="98"/>
      <c r="G28" s="11" t="str">
        <f>IFERROR(VLOOKUP(A28,Tableau2[],2,FALSE),"")</f>
        <v/>
      </c>
      <c r="H28" s="8" t="str">
        <f t="shared" si="0"/>
        <v/>
      </c>
      <c r="J28" s="9"/>
    </row>
    <row r="29" spans="1:13" ht="21" customHeight="1" x14ac:dyDescent="0.25">
      <c r="A29" s="117"/>
      <c r="B29" s="97"/>
      <c r="C29" s="97"/>
      <c r="D29" s="97"/>
      <c r="E29" s="97"/>
      <c r="F29" s="97"/>
      <c r="G29" s="12" t="str">
        <f>IFERROR(VLOOKUP(A29,Tableau2[],2,FALSE),"")</f>
        <v/>
      </c>
      <c r="H29" s="6" t="str">
        <f t="shared" si="0"/>
        <v/>
      </c>
      <c r="J29" s="9"/>
    </row>
    <row r="30" spans="1:13" ht="21" customHeight="1" x14ac:dyDescent="0.25">
      <c r="A30" s="118"/>
      <c r="B30" s="98"/>
      <c r="C30" s="98"/>
      <c r="D30" s="98"/>
      <c r="E30" s="98"/>
      <c r="F30" s="98"/>
      <c r="G30" s="11" t="str">
        <f>IFERROR(VLOOKUP(A30,Tableau2[],2,FALSE),"")</f>
        <v/>
      </c>
      <c r="H30" s="8" t="str">
        <f t="shared" si="0"/>
        <v/>
      </c>
    </row>
    <row r="31" spans="1:13" ht="21" customHeight="1" x14ac:dyDescent="0.25">
      <c r="A31" s="117"/>
      <c r="B31" s="97"/>
      <c r="C31" s="97"/>
      <c r="D31" s="97"/>
      <c r="E31" s="97"/>
      <c r="F31" s="97"/>
      <c r="G31" s="12" t="str">
        <f>IFERROR(VLOOKUP(A31,Tableau2[],2,FALSE),"")</f>
        <v/>
      </c>
      <c r="H31" s="6" t="str">
        <f t="shared" si="0"/>
        <v/>
      </c>
    </row>
    <row r="32" spans="1:13" ht="21" customHeight="1" x14ac:dyDescent="0.25">
      <c r="A32" s="118"/>
      <c r="B32" s="98"/>
      <c r="C32" s="98"/>
      <c r="D32" s="98"/>
      <c r="E32" s="98"/>
      <c r="F32" s="98"/>
      <c r="G32" s="11" t="str">
        <f>IFERROR(VLOOKUP(A32,Tableau2[],2,FALSE),"")</f>
        <v/>
      </c>
      <c r="H32" s="8" t="str">
        <f t="shared" si="0"/>
        <v/>
      </c>
    </row>
    <row r="33" spans="1:8" ht="6.75" customHeight="1" thickBot="1" x14ac:dyDescent="0.3">
      <c r="A33" s="4"/>
      <c r="B33" s="4"/>
      <c r="F33" s="139"/>
      <c r="G33" s="139"/>
      <c r="H33" s="139"/>
    </row>
    <row r="34" spans="1:8" ht="15.75" x14ac:dyDescent="0.25">
      <c r="A34" s="160" t="s">
        <v>21</v>
      </c>
      <c r="B34" s="161"/>
      <c r="C34" s="162"/>
      <c r="E34" s="151" t="s">
        <v>12</v>
      </c>
      <c r="F34" s="152"/>
      <c r="G34" s="149">
        <f>SUM(H13:H32)</f>
        <v>258.49</v>
      </c>
      <c r="H34" s="149"/>
    </row>
    <row r="35" spans="1:8" x14ac:dyDescent="0.25">
      <c r="A35" s="163" t="s">
        <v>36</v>
      </c>
      <c r="B35" s="164"/>
      <c r="C35" s="165"/>
      <c r="E35" s="139"/>
      <c r="F35" s="5"/>
      <c r="H35" s="139"/>
    </row>
    <row r="36" spans="1:8" ht="15.75" x14ac:dyDescent="0.25">
      <c r="A36" s="166" t="s">
        <v>39</v>
      </c>
      <c r="B36" s="167"/>
      <c r="C36" s="168"/>
      <c r="E36" s="151" t="s">
        <v>14</v>
      </c>
      <c r="F36" s="152"/>
      <c r="G36" s="150">
        <f>SUM(G34*5.5%)</f>
        <v>14.216950000000001</v>
      </c>
      <c r="H36" s="150"/>
    </row>
    <row r="37" spans="1:8" ht="15.75" thickBot="1" x14ac:dyDescent="0.3">
      <c r="A37" s="155" t="s">
        <v>38</v>
      </c>
      <c r="B37" s="156"/>
      <c r="C37" s="157"/>
      <c r="E37" s="139"/>
      <c r="F37" s="3"/>
      <c r="H37" s="139"/>
    </row>
    <row r="38" spans="1:8" ht="16.5" thickBot="1" x14ac:dyDescent="0.3">
      <c r="C38" s="53"/>
      <c r="D38" s="15"/>
      <c r="E38" s="151" t="s">
        <v>13</v>
      </c>
      <c r="F38" s="152"/>
      <c r="G38" s="150">
        <f>SUM(G34+G36)</f>
        <v>272.70695000000001</v>
      </c>
      <c r="H38" s="150"/>
    </row>
    <row r="39" spans="1:8" ht="15.75" thickBot="1" x14ac:dyDescent="0.3">
      <c r="A39" s="57" t="s">
        <v>37</v>
      </c>
      <c r="B39" s="58"/>
      <c r="C39" s="54"/>
      <c r="D39" s="158" t="str" cm="1">
        <f t="array" ref="D39">[2]!ConvNumberLetter(G38,1,0)</f>
        <v>deux cent soixante-douze Euros soixante et onze Cents</v>
      </c>
      <c r="E39" s="159"/>
      <c r="F39" s="159"/>
      <c r="G39" s="159"/>
      <c r="H39" s="159"/>
    </row>
    <row r="40" spans="1:8" ht="12" customHeight="1" x14ac:dyDescent="0.25">
      <c r="A40" s="55"/>
      <c r="B40" s="56"/>
      <c r="C40" s="38"/>
      <c r="D40" s="37"/>
    </row>
    <row r="41" spans="1:8" ht="12" customHeight="1" x14ac:dyDescent="0.25">
      <c r="A41" s="60"/>
      <c r="B41" s="59"/>
      <c r="C41" s="38"/>
      <c r="D41" s="37"/>
      <c r="E41" s="148" t="s">
        <v>18</v>
      </c>
      <c r="F41" s="148"/>
      <c r="G41" s="148"/>
      <c r="H41" s="148"/>
    </row>
    <row r="42" spans="1:8" ht="12" customHeight="1" x14ac:dyDescent="0.25">
      <c r="A42" s="243"/>
      <c r="B42" s="244"/>
      <c r="C42" s="38"/>
      <c r="D42" s="37"/>
      <c r="E42" s="148" t="s">
        <v>17</v>
      </c>
      <c r="F42" s="148"/>
      <c r="G42" s="148"/>
      <c r="H42" s="148"/>
    </row>
    <row r="43" spans="1:8" ht="12" customHeight="1" x14ac:dyDescent="0.25">
      <c r="A43" s="243"/>
      <c r="B43" s="244"/>
      <c r="C43" s="37"/>
      <c r="D43" s="37"/>
      <c r="F43" s="139"/>
      <c r="G43" s="139"/>
      <c r="H43" s="139"/>
    </row>
    <row r="44" spans="1:8" ht="12" customHeight="1" thickBot="1" x14ac:dyDescent="0.3">
      <c r="A44" s="245"/>
      <c r="B44" s="246"/>
      <c r="D44" s="14"/>
      <c r="E44" s="139"/>
      <c r="F44" s="139"/>
      <c r="G44" s="139"/>
      <c r="H44" s="139"/>
    </row>
    <row r="45" spans="1:8" ht="18.75" customHeight="1" x14ac:dyDescent="0.25">
      <c r="A45" s="139"/>
      <c r="B45" s="139"/>
      <c r="C45" s="139"/>
    </row>
    <row r="46" spans="1:8" ht="15" customHeight="1" x14ac:dyDescent="0.25">
      <c r="A46" s="139"/>
      <c r="B46" s="139"/>
      <c r="C46" s="139"/>
      <c r="D46" s="139"/>
      <c r="E46" s="139"/>
      <c r="F46" s="139"/>
      <c r="G46" s="139"/>
      <c r="H46" s="139"/>
    </row>
    <row r="47" spans="1:8" x14ac:dyDescent="0.25">
      <c r="A47" s="139"/>
      <c r="B47" s="139"/>
      <c r="C47" s="139"/>
      <c r="D47" s="139"/>
      <c r="E47" s="139"/>
      <c r="F47" s="139"/>
      <c r="G47" s="139"/>
      <c r="H47" s="139"/>
    </row>
    <row r="48" spans="1:8" x14ac:dyDescent="0.25">
      <c r="A48" s="139"/>
      <c r="B48" s="139"/>
      <c r="C48" s="139"/>
      <c r="D48" s="139"/>
      <c r="E48" s="139"/>
      <c r="F48" s="139"/>
      <c r="G48" s="139"/>
      <c r="H48" s="139"/>
    </row>
    <row r="49" spans="1:10" x14ac:dyDescent="0.25">
      <c r="A49" s="139"/>
      <c r="B49" s="139"/>
      <c r="C49" s="139"/>
      <c r="D49" s="139"/>
      <c r="E49" s="139"/>
      <c r="F49" s="139"/>
      <c r="G49" s="139"/>
      <c r="H49" s="139"/>
    </row>
    <row r="50" spans="1:10" x14ac:dyDescent="0.25">
      <c r="A50" s="139"/>
      <c r="B50" s="139"/>
      <c r="C50" s="139"/>
      <c r="D50" s="139"/>
      <c r="E50" s="139"/>
      <c r="F50" s="139"/>
      <c r="G50" s="139"/>
      <c r="H50" s="139"/>
    </row>
    <row r="51" spans="1:10" x14ac:dyDescent="0.25">
      <c r="A51" s="139"/>
      <c r="B51" s="139"/>
      <c r="C51" s="139"/>
      <c r="D51" s="139"/>
      <c r="E51" s="139"/>
      <c r="F51" s="139"/>
      <c r="G51" s="139"/>
      <c r="H51" s="139"/>
    </row>
    <row r="52" spans="1:10" x14ac:dyDescent="0.25">
      <c r="A52" s="139"/>
      <c r="B52" s="139"/>
      <c r="C52" s="139"/>
      <c r="D52" s="139"/>
      <c r="E52" s="139"/>
      <c r="F52" s="139"/>
      <c r="G52" s="139"/>
      <c r="H52" s="139"/>
    </row>
    <row r="53" spans="1:10" x14ac:dyDescent="0.25">
      <c r="A53" s="139"/>
    </row>
    <row r="54" spans="1:10" x14ac:dyDescent="0.25">
      <c r="A54" s="139"/>
      <c r="B54" s="27"/>
      <c r="C54" s="33"/>
      <c r="D54" s="27"/>
      <c r="E54" s="34"/>
      <c r="F54" s="34"/>
      <c r="G54" s="34"/>
      <c r="H54" s="27"/>
    </row>
    <row r="55" spans="1:10" ht="15" hidden="1" customHeight="1" x14ac:dyDescent="0.25">
      <c r="A55" t="s">
        <v>69</v>
      </c>
      <c r="B55" s="139"/>
      <c r="C55" s="139"/>
      <c r="D55" s="139"/>
      <c r="E55" s="139"/>
      <c r="F55" s="139"/>
      <c r="G55" s="139"/>
      <c r="H55" s="139"/>
    </row>
    <row r="56" spans="1:10" ht="15" hidden="1" customHeight="1" x14ac:dyDescent="0.25">
      <c r="A56" s="102" t="s">
        <v>47</v>
      </c>
      <c r="B56" s="103" t="s">
        <v>70</v>
      </c>
      <c r="C56" s="103" t="s">
        <v>71</v>
      </c>
      <c r="D56" s="103" t="s">
        <v>72</v>
      </c>
      <c r="E56" s="103" t="s">
        <v>61</v>
      </c>
      <c r="F56" s="103" t="s">
        <v>73</v>
      </c>
      <c r="G56" s="103" t="s">
        <v>74</v>
      </c>
      <c r="H56" s="103" t="s">
        <v>75</v>
      </c>
      <c r="J56" s="35" t="s">
        <v>50</v>
      </c>
    </row>
    <row r="57" spans="1:10" ht="15.75" hidden="1" customHeight="1" x14ac:dyDescent="0.25">
      <c r="A57" s="27">
        <f>F3</f>
        <v>300</v>
      </c>
      <c r="B57" s="27" t="str">
        <f>F4</f>
        <v>PERREE Lucie</v>
      </c>
      <c r="C57" s="33">
        <f>G9</f>
        <v>0</v>
      </c>
      <c r="D57" s="27" t="str">
        <f ca="1">G10</f>
        <v>FAC-300-S52-PERREELucie2022</v>
      </c>
      <c r="E57" s="34">
        <f>G34</f>
        <v>258.49</v>
      </c>
      <c r="F57" s="34">
        <f>G36</f>
        <v>14.216950000000001</v>
      </c>
      <c r="G57" s="34">
        <f>G38</f>
        <v>272.70695000000001</v>
      </c>
      <c r="H57" s="27" t="s">
        <v>50</v>
      </c>
      <c r="J57" s="36" t="s">
        <v>51</v>
      </c>
    </row>
  </sheetData>
  <mergeCells count="26">
    <mergeCell ref="E41:H41"/>
    <mergeCell ref="E42:H42"/>
    <mergeCell ref="E36:F36"/>
    <mergeCell ref="G36:H36"/>
    <mergeCell ref="A37:C37"/>
    <mergeCell ref="E38:F38"/>
    <mergeCell ref="G38:H38"/>
    <mergeCell ref="D39:H39"/>
    <mergeCell ref="J9:J14"/>
    <mergeCell ref="M9:M14"/>
    <mergeCell ref="J15:J19"/>
    <mergeCell ref="M15:M19"/>
    <mergeCell ref="M20:M25"/>
    <mergeCell ref="A34:C34"/>
    <mergeCell ref="E34:F34"/>
    <mergeCell ref="G34:H34"/>
    <mergeCell ref="A1:D1"/>
    <mergeCell ref="I1:I1048576"/>
    <mergeCell ref="A4:D4"/>
    <mergeCell ref="F4:H4"/>
    <mergeCell ref="A5:D5"/>
    <mergeCell ref="A6:D6"/>
    <mergeCell ref="A7:D7"/>
    <mergeCell ref="A8:D8"/>
    <mergeCell ref="A35:C35"/>
    <mergeCell ref="A36:C36"/>
  </mergeCells>
  <dataValidations count="6">
    <dataValidation type="list" allowBlank="1" showInputMessage="1" sqref="F4:H4" xr:uid="{A7778804-85AC-43C4-A2DD-27EF958D6F85}">
      <formula1>IF(F4&lt;&gt;"",OFFSET(Formule_Raison_Sociale,MATCH(F4&amp;"*", Formule_Raison_Sociale,0)-1,,COUNTIF(Formule_Raison_Sociale,F4&amp;"*"),1), Formule_Raison_Sociale)</formula1>
    </dataValidation>
    <dataValidation type="custom" allowBlank="1" showInputMessage="1" showErrorMessage="1" errorTitle="ATTENTION" error="Veuillez saisir des chiffres et virgule pour le poids." sqref="D13:F32" xr:uid="{4C5168B7-2C9A-4742-8E5D-82BF8CBA7EDB}">
      <formula1>D13=1*TEXT(D13,"# ##0,000")</formula1>
    </dataValidation>
    <dataValidation type="custom" allowBlank="1" showInputMessage="1" showErrorMessage="1" errorTitle="ATTENTION" error="Veuillez saisir des chiffres et virgule pour le poids" sqref="C13:C32" xr:uid="{1A2E5A0F-4FEF-47E9-922F-2F4C3B8DCAC8}">
      <formula1>C13=1*TEXT(C13,"# ##0,000")</formula1>
    </dataValidation>
    <dataValidation type="custom" allowBlank="1" showInputMessage="1" showErrorMessage="1" errorTitle="ATTENTION" error="Veuillez saisir des chiffres et virgule pour les poids." sqref="B13:B32" xr:uid="{7C3E3FD6-801C-4D6B-8273-2C2A132AB1EA}">
      <formula1>B13=1*TEXT(B13,"# ##0,000")</formula1>
    </dataValidation>
    <dataValidation type="list" allowBlank="1" showInputMessage="1" sqref="H54" xr:uid="{DD19D7A5-30CA-4199-953E-2320D9D570D1}">
      <formula1>#REF!</formula1>
    </dataValidation>
    <dataValidation type="list" allowBlank="1" showInputMessage="1" sqref="H57" xr:uid="{E3D19EAE-3199-4CCB-85C2-8C5778D9CF35}">
      <formula1>$J$56:$J$57</formula1>
    </dataValidation>
  </dataValidations>
  <pageMargins left="0.39370078740157483" right="0.31496062992125984" top="0.35433070866141736" bottom="0.35433070866141736" header="0.31496062992125984" footer="0.31496062992125984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30721" r:id="rId4" name="ComboBox1">
          <controlPr defaultSize="0" autoLine="0" r:id="rId5">
            <anchor moveWithCells="1">
              <from>
                <xdr:col>0</xdr:col>
                <xdr:colOff>0</xdr:colOff>
                <xdr:row>13</xdr:row>
                <xdr:rowOff>0</xdr:rowOff>
              </from>
              <to>
                <xdr:col>1</xdr:col>
                <xdr:colOff>0</xdr:colOff>
                <xdr:row>14</xdr:row>
                <xdr:rowOff>0</xdr:rowOff>
              </to>
            </anchor>
          </controlPr>
        </control>
      </mc:Choice>
      <mc:Fallback>
        <control shapeId="30721" r:id="rId4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3D5679-6BAB-4296-87FD-DF522DFFE925}">
  <sheetPr codeName="Feuil6"/>
  <dimension ref="A1:B5"/>
  <sheetViews>
    <sheetView workbookViewId="0">
      <selection activeCell="C8" sqref="C8"/>
    </sheetView>
  </sheetViews>
  <sheetFormatPr baseColWidth="10" defaultRowHeight="15" x14ac:dyDescent="0.25"/>
  <cols>
    <col min="1" max="2" width="11.5703125" customWidth="1"/>
  </cols>
  <sheetData>
    <row r="1" spans="1:2" x14ac:dyDescent="0.25">
      <c r="A1" s="115" t="s">
        <v>80</v>
      </c>
      <c r="B1" s="116" t="s">
        <v>6</v>
      </c>
    </row>
    <row r="2" spans="1:2" x14ac:dyDescent="0.25">
      <c r="A2" s="109">
        <f>[3]CHEMIN!$E$4</f>
        <v>44837</v>
      </c>
      <c r="B2" s="111" t="s">
        <v>76</v>
      </c>
    </row>
    <row r="3" spans="1:2" x14ac:dyDescent="0.25">
      <c r="A3" s="110" t="str">
        <f>[3]CHEMIN!$E$5</f>
        <v>17/03/2022</v>
      </c>
      <c r="B3" s="112" t="s">
        <v>77</v>
      </c>
    </row>
    <row r="4" spans="1:2" x14ac:dyDescent="0.25">
      <c r="A4" s="110" t="str">
        <f>[3]CHEMIN!$E$6</f>
        <v>18/03/2022</v>
      </c>
      <c r="B4" s="112" t="s">
        <v>78</v>
      </c>
    </row>
    <row r="5" spans="1:2" x14ac:dyDescent="0.25">
      <c r="A5" s="113" t="str">
        <f>[3]CHEMIN!$E$7</f>
        <v>18/03/2022</v>
      </c>
      <c r="B5" s="114" t="s">
        <v>79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CA526-D60F-40FA-9BB3-12487FD54F11}">
  <sheetPr codeName="Feuil4">
    <tabColor theme="5" tint="0.39997558519241921"/>
  </sheetPr>
  <dimension ref="A1:J2"/>
  <sheetViews>
    <sheetView showGridLines="0" workbookViewId="0">
      <selection activeCell="C6" sqref="C6"/>
    </sheetView>
  </sheetViews>
  <sheetFormatPr baseColWidth="10" defaultRowHeight="15" x14ac:dyDescent="0.25"/>
  <cols>
    <col min="1" max="1" width="25.7109375" customWidth="1"/>
    <col min="2" max="2" width="8" style="17" customWidth="1"/>
    <col min="3" max="3" width="26.7109375" customWidth="1"/>
    <col min="4" max="4" width="22.7109375" customWidth="1"/>
    <col min="5" max="5" width="13.7109375" style="23" customWidth="1"/>
    <col min="6" max="7" width="15.7109375" hidden="1" customWidth="1"/>
    <col min="8" max="8" width="13.85546875" style="17" customWidth="1"/>
  </cols>
  <sheetData>
    <row r="1" spans="1:10" x14ac:dyDescent="0.25">
      <c r="A1" s="18" t="s">
        <v>40</v>
      </c>
      <c r="B1" s="19" t="s">
        <v>41</v>
      </c>
      <c r="C1" s="19" t="s">
        <v>42</v>
      </c>
      <c r="D1" s="19" t="s">
        <v>43</v>
      </c>
      <c r="E1" s="20" t="s">
        <v>44</v>
      </c>
      <c r="F1" s="19" t="s">
        <v>45</v>
      </c>
      <c r="G1" s="19" t="s">
        <v>46</v>
      </c>
      <c r="H1" s="21" t="s">
        <v>49</v>
      </c>
      <c r="J1" s="22" t="s">
        <v>47</v>
      </c>
    </row>
    <row r="2" spans="1:10" ht="15.75" thickBot="1" x14ac:dyDescent="0.3">
      <c r="A2" t="s">
        <v>52</v>
      </c>
      <c r="B2" s="17">
        <v>300</v>
      </c>
      <c r="E2" s="23">
        <v>0</v>
      </c>
      <c r="F2" t="str">
        <f>SUBSTITUTE(A2,"'","")</f>
        <v>PERREE Lucie</v>
      </c>
      <c r="G2" t="str">
        <f>SUBSTITUTE(F2," ","")</f>
        <v>PERREELucie</v>
      </c>
      <c r="H2" s="17" t="str">
        <f>MID(G2,1,12)</f>
        <v>PERREELucie</v>
      </c>
      <c r="J2" s="24">
        <v>300</v>
      </c>
    </row>
  </sheetData>
  <pageMargins left="0.39370078740157483" right="0.19685039370078741" top="0.19685039370078741" bottom="0.19685039370078741" header="0.31496062992125984" footer="0.31496062992125984"/>
  <pageSetup paperSize="9" orientation="portrait" horizontalDpi="0" verticalDpi="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10E1A-64AB-4EDA-A35D-3FDB0B04CF9A}">
  <sheetPr codeName="Feuil5">
    <tabColor theme="4" tint="0.39997558519241921"/>
  </sheetPr>
  <dimension ref="A1:F57"/>
  <sheetViews>
    <sheetView showGridLines="0" workbookViewId="0">
      <selection activeCell="B56" sqref="B56"/>
    </sheetView>
  </sheetViews>
  <sheetFormatPr baseColWidth="10" defaultRowHeight="15" x14ac:dyDescent="0.25"/>
  <cols>
    <col min="1" max="1" width="27.7109375" customWidth="1"/>
    <col min="2" max="2" width="9.7109375" style="16" customWidth="1"/>
    <col min="4" max="4" width="8" customWidth="1"/>
    <col min="5" max="5" width="6.28515625" customWidth="1"/>
  </cols>
  <sheetData>
    <row r="1" spans="1:6" x14ac:dyDescent="0.25">
      <c r="A1" s="119" t="s">
        <v>67</v>
      </c>
      <c r="B1" s="25" t="s">
        <v>48</v>
      </c>
    </row>
    <row r="2" spans="1:6" x14ac:dyDescent="0.25">
      <c r="A2" s="120" t="s">
        <v>83</v>
      </c>
      <c r="B2" s="121">
        <v>25.5</v>
      </c>
    </row>
    <row r="3" spans="1:6" x14ac:dyDescent="0.25">
      <c r="A3" s="120" t="s">
        <v>84</v>
      </c>
      <c r="B3" s="121">
        <v>25.5</v>
      </c>
    </row>
    <row r="4" spans="1:6" x14ac:dyDescent="0.25">
      <c r="A4" s="120" t="s">
        <v>85</v>
      </c>
      <c r="B4" s="121">
        <v>15.07</v>
      </c>
      <c r="D4" s="28"/>
      <c r="E4" s="28"/>
      <c r="F4" s="28"/>
    </row>
    <row r="5" spans="1:6" x14ac:dyDescent="0.25">
      <c r="A5" s="120" t="s">
        <v>86</v>
      </c>
      <c r="B5" s="121">
        <v>15.07</v>
      </c>
      <c r="D5" s="29"/>
      <c r="E5" s="29"/>
      <c r="F5" s="28"/>
    </row>
    <row r="6" spans="1:6" x14ac:dyDescent="0.25">
      <c r="A6" s="120" t="s">
        <v>87</v>
      </c>
      <c r="B6" s="121">
        <v>10.43</v>
      </c>
      <c r="D6" s="29"/>
      <c r="E6" s="29"/>
      <c r="F6" s="28"/>
    </row>
    <row r="7" spans="1:6" x14ac:dyDescent="0.25">
      <c r="A7" s="120" t="s">
        <v>88</v>
      </c>
      <c r="B7" s="121">
        <v>12.23</v>
      </c>
      <c r="D7" s="29"/>
      <c r="E7" s="29"/>
      <c r="F7" s="28"/>
    </row>
    <row r="8" spans="1:6" x14ac:dyDescent="0.25">
      <c r="A8" s="120" t="s">
        <v>89</v>
      </c>
      <c r="B8" s="121">
        <v>12.23</v>
      </c>
      <c r="D8" s="28"/>
      <c r="E8" s="28"/>
      <c r="F8" s="28"/>
    </row>
    <row r="9" spans="1:6" x14ac:dyDescent="0.25">
      <c r="A9" s="120" t="s">
        <v>90</v>
      </c>
      <c r="B9" s="121">
        <v>9.76</v>
      </c>
      <c r="D9" s="28"/>
      <c r="E9" s="28"/>
      <c r="F9" s="28"/>
    </row>
    <row r="10" spans="1:6" x14ac:dyDescent="0.25">
      <c r="A10" s="120" t="s">
        <v>91</v>
      </c>
      <c r="B10" s="121">
        <v>3.79</v>
      </c>
      <c r="D10" s="28"/>
      <c r="E10" s="28"/>
      <c r="F10" s="28"/>
    </row>
    <row r="11" spans="1:6" x14ac:dyDescent="0.25">
      <c r="A11" s="120" t="s">
        <v>92</v>
      </c>
      <c r="B11" s="121">
        <v>14.12</v>
      </c>
    </row>
    <row r="12" spans="1:6" x14ac:dyDescent="0.25">
      <c r="A12" s="122" t="s">
        <v>93</v>
      </c>
      <c r="B12" s="121">
        <v>9.3800000000000008</v>
      </c>
    </row>
    <row r="13" spans="1:6" x14ac:dyDescent="0.25">
      <c r="A13" s="120" t="s">
        <v>94</v>
      </c>
      <c r="B13" s="121">
        <v>16.02</v>
      </c>
    </row>
    <row r="14" spans="1:6" x14ac:dyDescent="0.25">
      <c r="A14" s="120" t="s">
        <v>95</v>
      </c>
      <c r="B14" s="121">
        <v>20.76</v>
      </c>
    </row>
    <row r="15" spans="1:6" x14ac:dyDescent="0.25">
      <c r="A15" s="120" t="s">
        <v>96</v>
      </c>
      <c r="B15" s="121">
        <v>16.02</v>
      </c>
    </row>
    <row r="16" spans="1:6" x14ac:dyDescent="0.25">
      <c r="A16" s="120" t="s">
        <v>97</v>
      </c>
      <c r="B16" s="121">
        <v>16.02</v>
      </c>
    </row>
    <row r="17" spans="1:2" x14ac:dyDescent="0.25">
      <c r="A17" s="120" t="s">
        <v>98</v>
      </c>
      <c r="B17" s="121">
        <v>14.12</v>
      </c>
    </row>
    <row r="18" spans="1:2" x14ac:dyDescent="0.25">
      <c r="A18" s="120" t="s">
        <v>99</v>
      </c>
      <c r="B18" s="121">
        <v>16.97</v>
      </c>
    </row>
    <row r="19" spans="1:2" x14ac:dyDescent="0.25">
      <c r="A19" s="120" t="s">
        <v>100</v>
      </c>
      <c r="B19" s="121">
        <v>16.97</v>
      </c>
    </row>
    <row r="20" spans="1:2" x14ac:dyDescent="0.25">
      <c r="A20" s="120" t="s">
        <v>101</v>
      </c>
      <c r="B20" s="121">
        <v>3.79</v>
      </c>
    </row>
    <row r="21" spans="1:2" x14ac:dyDescent="0.25">
      <c r="A21" s="120" t="s">
        <v>102</v>
      </c>
      <c r="B21" s="121">
        <v>16.97</v>
      </c>
    </row>
    <row r="22" spans="1:2" x14ac:dyDescent="0.25">
      <c r="A22" s="120" t="s">
        <v>103</v>
      </c>
      <c r="B22" s="121">
        <v>0.95</v>
      </c>
    </row>
    <row r="23" spans="1:2" x14ac:dyDescent="0.25">
      <c r="A23" s="120" t="s">
        <v>104</v>
      </c>
      <c r="B23" s="121">
        <v>25.5</v>
      </c>
    </row>
    <row r="24" spans="1:2" x14ac:dyDescent="0.25">
      <c r="A24" s="120" t="s">
        <v>105</v>
      </c>
      <c r="B24" s="121">
        <v>27.39</v>
      </c>
    </row>
    <row r="25" spans="1:2" x14ac:dyDescent="0.25">
      <c r="A25" s="122" t="s">
        <v>106</v>
      </c>
      <c r="B25" s="121">
        <v>8.06</v>
      </c>
    </row>
    <row r="26" spans="1:2" x14ac:dyDescent="0.25">
      <c r="A26" s="120" t="s">
        <v>107</v>
      </c>
      <c r="B26" s="121">
        <v>7.11</v>
      </c>
    </row>
    <row r="27" spans="1:2" x14ac:dyDescent="0.25">
      <c r="A27" s="120" t="s">
        <v>108</v>
      </c>
      <c r="B27" s="121">
        <v>8.06</v>
      </c>
    </row>
    <row r="28" spans="1:2" x14ac:dyDescent="0.25">
      <c r="A28" s="120" t="s">
        <v>109</v>
      </c>
      <c r="B28" s="121">
        <v>17.91</v>
      </c>
    </row>
    <row r="29" spans="1:2" x14ac:dyDescent="0.25">
      <c r="A29" s="122" t="s">
        <v>110</v>
      </c>
      <c r="B29" s="121">
        <v>11.28</v>
      </c>
    </row>
    <row r="30" spans="1:2" x14ac:dyDescent="0.25">
      <c r="A30" s="120" t="s">
        <v>111</v>
      </c>
      <c r="B30" s="121">
        <v>15.07</v>
      </c>
    </row>
    <row r="31" spans="1:2" x14ac:dyDescent="0.25">
      <c r="A31" s="120" t="s">
        <v>112</v>
      </c>
      <c r="B31" s="121">
        <v>15.07</v>
      </c>
    </row>
    <row r="32" spans="1:2" x14ac:dyDescent="0.25">
      <c r="A32" s="120" t="s">
        <v>113</v>
      </c>
      <c r="B32" s="121">
        <v>5.9</v>
      </c>
    </row>
    <row r="33" spans="1:2" x14ac:dyDescent="0.25">
      <c r="A33" s="120" t="s">
        <v>114</v>
      </c>
      <c r="B33" s="121">
        <v>0.95</v>
      </c>
    </row>
    <row r="34" spans="1:2" x14ac:dyDescent="0.25">
      <c r="A34" s="120" t="s">
        <v>81</v>
      </c>
      <c r="B34" s="121" t="s">
        <v>82</v>
      </c>
    </row>
    <row r="35" spans="1:2" x14ac:dyDescent="0.25">
      <c r="A35" s="120" t="s">
        <v>115</v>
      </c>
      <c r="B35" s="121">
        <v>23.6</v>
      </c>
    </row>
    <row r="36" spans="1:2" x14ac:dyDescent="0.25">
      <c r="A36" s="120" t="s">
        <v>116</v>
      </c>
      <c r="B36" s="121">
        <v>23.6</v>
      </c>
    </row>
    <row r="37" spans="1:2" x14ac:dyDescent="0.25">
      <c r="A37" s="120" t="s">
        <v>117</v>
      </c>
      <c r="B37" s="121">
        <v>0.95</v>
      </c>
    </row>
    <row r="38" spans="1:2" x14ac:dyDescent="0.25">
      <c r="A38" s="120" t="s">
        <v>118</v>
      </c>
      <c r="B38" s="121">
        <v>12.23</v>
      </c>
    </row>
    <row r="39" spans="1:2" x14ac:dyDescent="0.25">
      <c r="A39" s="120" t="s">
        <v>119</v>
      </c>
      <c r="B39" s="121">
        <v>13.18</v>
      </c>
    </row>
    <row r="40" spans="1:2" x14ac:dyDescent="0.25">
      <c r="A40" s="120" t="s">
        <v>120</v>
      </c>
      <c r="B40" s="121">
        <v>3.79</v>
      </c>
    </row>
    <row r="41" spans="1:2" x14ac:dyDescent="0.25">
      <c r="A41" s="120" t="s">
        <v>121</v>
      </c>
      <c r="B41" s="121">
        <v>0.95</v>
      </c>
    </row>
    <row r="42" spans="1:2" x14ac:dyDescent="0.25">
      <c r="A42" s="120" t="s">
        <v>122</v>
      </c>
      <c r="B42" s="121">
        <v>14.12</v>
      </c>
    </row>
    <row r="43" spans="1:2" x14ac:dyDescent="0.25">
      <c r="A43" s="120" t="s">
        <v>123</v>
      </c>
      <c r="B43" s="121">
        <v>14.12</v>
      </c>
    </row>
    <row r="44" spans="1:2" x14ac:dyDescent="0.25">
      <c r="A44" s="120" t="s">
        <v>124</v>
      </c>
      <c r="B44" s="121">
        <v>16.02</v>
      </c>
    </row>
    <row r="45" spans="1:2" x14ac:dyDescent="0.25">
      <c r="A45" s="120" t="s">
        <v>125</v>
      </c>
      <c r="B45" s="121">
        <v>17.91</v>
      </c>
    </row>
    <row r="46" spans="1:2" x14ac:dyDescent="0.25">
      <c r="A46" s="120" t="s">
        <v>126</v>
      </c>
      <c r="B46" s="121">
        <v>14.12</v>
      </c>
    </row>
    <row r="47" spans="1:2" x14ac:dyDescent="0.25">
      <c r="A47" s="120" t="s">
        <v>127</v>
      </c>
      <c r="B47" s="121" t="s">
        <v>54</v>
      </c>
    </row>
    <row r="48" spans="1:2" x14ac:dyDescent="0.25">
      <c r="A48" s="120" t="s">
        <v>128</v>
      </c>
      <c r="B48" s="121">
        <v>16.97</v>
      </c>
    </row>
    <row r="49" spans="1:2" x14ac:dyDescent="0.25">
      <c r="A49" s="120" t="s">
        <v>129</v>
      </c>
      <c r="B49" s="121" t="s">
        <v>55</v>
      </c>
    </row>
    <row r="50" spans="1:2" x14ac:dyDescent="0.25">
      <c r="A50" s="120" t="s">
        <v>130</v>
      </c>
      <c r="B50" s="121">
        <v>14.12</v>
      </c>
    </row>
    <row r="51" spans="1:2" x14ac:dyDescent="0.25">
      <c r="A51" s="120" t="s">
        <v>131</v>
      </c>
      <c r="B51" s="121">
        <v>16.02</v>
      </c>
    </row>
    <row r="52" spans="1:2" x14ac:dyDescent="0.25">
      <c r="A52" s="120" t="s">
        <v>132</v>
      </c>
      <c r="B52" s="121" t="s">
        <v>53</v>
      </c>
    </row>
    <row r="53" spans="1:2" x14ac:dyDescent="0.25">
      <c r="A53" s="120" t="s">
        <v>133</v>
      </c>
      <c r="B53" s="121">
        <v>29.29</v>
      </c>
    </row>
    <row r="54" spans="1:2" x14ac:dyDescent="0.25">
      <c r="A54" s="120" t="s">
        <v>134</v>
      </c>
      <c r="B54" s="121">
        <v>12.23</v>
      </c>
    </row>
    <row r="55" spans="1:2" x14ac:dyDescent="0.25">
      <c r="A55" s="120" t="s">
        <v>135</v>
      </c>
      <c r="B55" s="121">
        <v>16.97</v>
      </c>
    </row>
    <row r="56" spans="1:2" x14ac:dyDescent="0.25">
      <c r="A56" s="120" t="s">
        <v>136</v>
      </c>
      <c r="B56" s="121">
        <v>8.82</v>
      </c>
    </row>
    <row r="57" spans="1:2" x14ac:dyDescent="0.25">
      <c r="A57" s="28"/>
      <c r="B57" s="123"/>
    </row>
  </sheetData>
  <pageMargins left="0.7" right="0.7" top="0.75" bottom="0.75" header="0.3" footer="0.3"/>
  <pageSetup paperSize="9" orientation="portrait" horizontalDpi="0" verticalDpi="0" r:id="rId1"/>
  <ignoredErrors>
    <ignoredError sqref="B49 B52 B47 B34" numberStoredAsText="1"/>
  </ignoredError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31</vt:i4>
      </vt:variant>
    </vt:vector>
  </HeadingPairs>
  <TitlesOfParts>
    <vt:vector size="38" baseType="lpstr">
      <vt:lpstr>PARTICULIER</vt:lpstr>
      <vt:lpstr>BL</vt:lpstr>
      <vt:lpstr>AVOIR</vt:lpstr>
      <vt:lpstr>FEVRIER_2022</vt:lpstr>
      <vt:lpstr>DATELOT</vt:lpstr>
      <vt:lpstr>CLIENT</vt:lpstr>
      <vt:lpstr>TARIF</vt:lpstr>
      <vt:lpstr>BLDate</vt:lpstr>
      <vt:lpstr>BLNumero</vt:lpstr>
      <vt:lpstr>ChoixBL</vt:lpstr>
      <vt:lpstr>L_DateLot</vt:lpstr>
      <vt:lpstr>DATELOT!L_Produit</vt:lpstr>
      <vt:lpstr>L_Produit</vt:lpstr>
      <vt:lpstr>DATELOT!L_Raison</vt:lpstr>
      <vt:lpstr>L_Raison</vt:lpstr>
      <vt:lpstr>P_DateLot</vt:lpstr>
      <vt:lpstr>DATELOT!P_Produit</vt:lpstr>
      <vt:lpstr>P_Produit</vt:lpstr>
      <vt:lpstr>DATELOT!P_Raison</vt:lpstr>
      <vt:lpstr>FEVRIER_2022!P_Raison</vt:lpstr>
      <vt:lpstr>P_Raison</vt:lpstr>
      <vt:lpstr>AVOIR!Zone_d_impression</vt:lpstr>
      <vt:lpstr>BL!Zone_d_impression</vt:lpstr>
      <vt:lpstr>CLIENT!Zone_d_impression</vt:lpstr>
      <vt:lpstr>FEVRIER_2022!Zone_d_impression</vt:lpstr>
      <vt:lpstr>PARTICULIER!Zone_d_impression</vt:lpstr>
      <vt:lpstr>FEVRIER_2022!ZoneBL1</vt:lpstr>
      <vt:lpstr>ZoneBL1</vt:lpstr>
      <vt:lpstr>FEVRIER_2022!ZoneBL2</vt:lpstr>
      <vt:lpstr>ZoneBL2</vt:lpstr>
      <vt:lpstr>FEVRIER_2022!ZoneBL3</vt:lpstr>
      <vt:lpstr>ZoneBL3</vt:lpstr>
      <vt:lpstr>FEVRIER_2022!ZoneBL4</vt:lpstr>
      <vt:lpstr>ZoneBL4</vt:lpstr>
      <vt:lpstr>FEVRIER_2022!ZoneBL5</vt:lpstr>
      <vt:lpstr>ZoneBL5</vt:lpstr>
      <vt:lpstr>FEVRIER_2022!ZoneBlDate</vt:lpstr>
      <vt:lpstr>ZoneBlDate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PIGNEAU</dc:creator>
  <cp:lastModifiedBy>Philippe PIGNEAU</cp:lastModifiedBy>
  <cp:lastPrinted>2022-03-21T15:33:28Z</cp:lastPrinted>
  <dcterms:created xsi:type="dcterms:W3CDTF">2015-06-05T18:19:34Z</dcterms:created>
  <dcterms:modified xsi:type="dcterms:W3CDTF">2022-03-26T16:18:23Z</dcterms:modified>
</cp:coreProperties>
</file>