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tables/table7.xml" ContentType="application/vnd.openxmlformats-officedocument.spreadsheetml.table+xml"/>
  <Override PartName="/xl/tables/table8.xml" ContentType="application/vnd.openxmlformats-officedocument.spreadsheetml.table+xml"/>
  <Override PartName="/xl/tables/table9.xml" ContentType="application/vnd.openxmlformats-officedocument.spreadsheetml.table+xml"/>
  <Override PartName="/xl/tables/table10.xml" ContentType="application/vnd.openxmlformats-officedocument.spreadsheetml.table+xml"/>
  <Override PartName="/xl/tables/table11.xml" ContentType="application/vnd.openxmlformats-officedocument.spreadsheetml.table+xml"/>
  <Override PartName="/xl/tables/table12.xml" ContentType="application/vnd.openxmlformats-officedocument.spreadsheetml.table+xml"/>
  <Override PartName="/xl/tables/table13.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codeName="ThisWorkbook" hidePivotFieldList="1"/>
  <mc:AlternateContent xmlns:mc="http://schemas.openxmlformats.org/markup-compatibility/2006">
    <mc:Choice Requires="x15">
      <x15ac:absPath xmlns:x15ac="http://schemas.microsoft.com/office/spreadsheetml/2010/11/ac" url="C:\Users\Aurélio\Downloads\"/>
    </mc:Choice>
  </mc:AlternateContent>
  <xr:revisionPtr revIDLastSave="0" documentId="13_ncr:1_{693DB13B-C286-4C8D-A4FC-5E6FEBA85399}" xr6:coauthVersionLast="45" xr6:coauthVersionMax="45" xr10:uidLastSave="{00000000-0000-0000-0000-000000000000}"/>
  <bookViews>
    <workbookView xWindow="-120" yWindow="-120" windowWidth="29040" windowHeight="15840" tabRatio="686" activeTab="1" xr2:uid="{00000000-000D-0000-FFFF-FFFF00000000}"/>
  </bookViews>
  <sheets>
    <sheet name="Feuil1" sheetId="26" r:id="rId1"/>
    <sheet name="Janvier" sheetId="4" r:id="rId2"/>
    <sheet name="Février" sheetId="5" r:id="rId3"/>
    <sheet name="Mars" sheetId="17" r:id="rId4"/>
    <sheet name="Avril" sheetId="18" r:id="rId5"/>
    <sheet name="Mai" sheetId="19" r:id="rId6"/>
    <sheet name="Juin" sheetId="20" r:id="rId7"/>
    <sheet name="Juillet" sheetId="21" r:id="rId8"/>
    <sheet name="Août" sheetId="22" r:id="rId9"/>
    <sheet name="Septembre" sheetId="23" r:id="rId10"/>
    <sheet name="Octobre" sheetId="24" r:id="rId11"/>
    <sheet name="Novembre" sheetId="25" r:id="rId12"/>
    <sheet name="Décembre" sheetId="15" r:id="rId13"/>
    <sheet name="Noms des employés" sheetId="16" r:id="rId14"/>
  </sheets>
  <definedNames>
    <definedName name="AnnéeCalendrier">Janvier!$AH$4</definedName>
    <definedName name="Bernadette_GONGORA">NomEmployé[Noms des employés]</definedName>
    <definedName name="CléCongé">Janvier!$C$2</definedName>
    <definedName name="CléMaladie">Janvier!$J$2</definedName>
    <definedName name="CléPersonnalisée1">Janvier!$M$2</definedName>
    <definedName name="CléPersonnalisée2">Janvier!$R$2</definedName>
    <definedName name="CléPersonnel">Janvier!$F$2</definedName>
    <definedName name="ÉtiquetteCléCongé">Janvier!$D$2</definedName>
    <definedName name="ÉtiquetteCléMaladie">Janvier!$K$2</definedName>
    <definedName name="ÉtiquetteCléPersonnalisée1">Janvier!$N$2</definedName>
    <definedName name="ÉtiquetteCléPersonnalisée2">Janvier!$S$2</definedName>
    <definedName name="ÉtiquetteCléPersonnel">Janvier!$G$2</definedName>
    <definedName name="_xlnm.Print_Titles" localSheetId="8">Août!$4:$6</definedName>
    <definedName name="_xlnm.Print_Titles" localSheetId="4">Avril!$4:$6</definedName>
    <definedName name="_xlnm.Print_Titles" localSheetId="12">Décembre!$4:$6</definedName>
    <definedName name="_xlnm.Print_Titles" localSheetId="2">Février!$4:$6</definedName>
    <definedName name="_xlnm.Print_Titles" localSheetId="1">Janvier!$4:$6</definedName>
    <definedName name="_xlnm.Print_Titles" localSheetId="7">Juillet!$4:$6</definedName>
    <definedName name="_xlnm.Print_Titles" localSheetId="6">Juin!$4:$6</definedName>
    <definedName name="_xlnm.Print_Titles" localSheetId="5">Mai!$4:$6</definedName>
    <definedName name="_xlnm.Print_Titles" localSheetId="3">Mars!$4:$6</definedName>
    <definedName name="_xlnm.Print_Titles" localSheetId="11">Novembre!$4:$6</definedName>
    <definedName name="_xlnm.Print_Titles" localSheetId="10">Octobre!$4:$6</definedName>
    <definedName name="_xlnm.Print_Titles" localSheetId="9">Septembre!$4:$6</definedName>
    <definedName name="Nom_clé">Janvier!$B$2</definedName>
    <definedName name="NomMois" localSheetId="8">Août!$B$4</definedName>
    <definedName name="NomMois" localSheetId="4">Avril!$B$4</definedName>
    <definedName name="NomMois" localSheetId="12">Décembre!$B$4</definedName>
    <definedName name="NomMois" localSheetId="2">Février!$B$4</definedName>
    <definedName name="NomMois" localSheetId="1">Janvier!$B$4</definedName>
    <definedName name="NomMois" localSheetId="7">Juillet!$B$4</definedName>
    <definedName name="NomMois" localSheetId="6">Juin!$B$4</definedName>
    <definedName name="NomMois" localSheetId="5">Mai!$B$4</definedName>
    <definedName name="NomMois" localSheetId="3">Mars!$B$4</definedName>
    <definedName name="NomMois" localSheetId="11">Novembre!$B$4</definedName>
    <definedName name="NomMois" localSheetId="10">Octobre!$B$4</definedName>
    <definedName name="NomMois" localSheetId="9">Septembre!$B$4</definedName>
    <definedName name="Titre_Absence_Employé">Janvier!$B$1</definedName>
    <definedName name="Titre1">Janvier[[#Headers],[Nom de l’employé]]</definedName>
    <definedName name="Titre10">Octobre[[#Headers],[Nom de l’employé]]</definedName>
    <definedName name="Titre11">Novembre[[#Headers],[Nom de l’employé]]</definedName>
    <definedName name="Titre12">Décembre[[#Headers],[Nom de l’employé]]</definedName>
    <definedName name="Titre2">Février[[#Headers],[Nom de l’employé]]</definedName>
    <definedName name="Titre3">Mars[[#Headers],[Nom de l’employé]]</definedName>
    <definedName name="Titre4">Avril[[#Headers],[Nom de l’employé]]</definedName>
    <definedName name="Titre5">Mai[[#Headers],[Nom de l’employé]]</definedName>
    <definedName name="Titre6">Juin[[#Headers],[Nom de l’employé]]</definedName>
    <definedName name="Titre7">Juillet[[#Headers],[Nom de l’employé]]</definedName>
    <definedName name="Titre8">Août[[#Headers],[Nom de l’employé]]</definedName>
    <definedName name="Titre9">Septembre[[#Headers],[Nom de l’employé]]</definedName>
    <definedName name="TitreColonne13">NomEmployé[[#Headers],[Noms des employés]]</definedName>
    <definedName name="tyty">OFFSET(NomEmployé[Noms des employés],0,0,COUNTA('Noms des employés'!$B:$B)-2,1)</definedName>
  </definedNames>
  <calcPr calcId="191029"/>
  <pivotCaches>
    <pivotCache cacheId="0" r:id="rId15"/>
  </pivotCache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27" i="4" l="1"/>
  <c r="D27" i="4"/>
  <c r="E27" i="4"/>
  <c r="F27" i="4"/>
  <c r="G27" i="4"/>
  <c r="H27" i="4"/>
  <c r="I27" i="4"/>
  <c r="J27" i="4"/>
  <c r="K27" i="4"/>
  <c r="L27" i="4"/>
  <c r="M27" i="4"/>
  <c r="N27" i="4"/>
  <c r="O27" i="4"/>
  <c r="P27" i="4"/>
  <c r="Q27" i="4"/>
  <c r="R27" i="4"/>
  <c r="S27" i="4"/>
  <c r="T27" i="4"/>
  <c r="U27" i="4"/>
  <c r="V27" i="4"/>
  <c r="W27" i="4"/>
  <c r="X27" i="4"/>
  <c r="Y27" i="4"/>
  <c r="Z27" i="4"/>
  <c r="AA27" i="4"/>
  <c r="AB27" i="4"/>
  <c r="AC27" i="4"/>
  <c r="AD27" i="4"/>
  <c r="AE27" i="4"/>
  <c r="AF27" i="4"/>
  <c r="AG27" i="4"/>
  <c r="AH20" i="4"/>
  <c r="AH21" i="4"/>
  <c r="AH22" i="4"/>
  <c r="AH23" i="4"/>
  <c r="AH24" i="4"/>
  <c r="AH25" i="4"/>
  <c r="AH26" i="4"/>
  <c r="AH16" i="4"/>
  <c r="AH17" i="4"/>
  <c r="AH18" i="4"/>
  <c r="AH19" i="4"/>
  <c r="AH12" i="4"/>
  <c r="AH13" i="4"/>
  <c r="AH14" i="4"/>
  <c r="AH15" i="4"/>
  <c r="AH12" i="21" l="1"/>
  <c r="AH13" i="21"/>
  <c r="B1" i="15" l="1"/>
  <c r="AE5" i="5" l="1"/>
  <c r="AD5" i="5"/>
  <c r="AC5" i="5"/>
  <c r="AB5" i="5"/>
  <c r="AA5" i="5"/>
  <c r="Z5" i="5"/>
  <c r="Y5" i="5"/>
  <c r="X5" i="5"/>
  <c r="W5" i="5"/>
  <c r="V5" i="5"/>
  <c r="U5" i="5"/>
  <c r="T5" i="5"/>
  <c r="S5" i="5"/>
  <c r="R5" i="5"/>
  <c r="Q5" i="5"/>
  <c r="P5" i="5"/>
  <c r="O5" i="5"/>
  <c r="N5" i="5"/>
  <c r="M5" i="5"/>
  <c r="L5" i="5"/>
  <c r="K5" i="5"/>
  <c r="J5" i="5"/>
  <c r="I5" i="5"/>
  <c r="H5" i="5"/>
  <c r="G5" i="5"/>
  <c r="F5" i="5"/>
  <c r="E5" i="5"/>
  <c r="D5" i="5"/>
  <c r="C5" i="5"/>
  <c r="AG5" i="17"/>
  <c r="AF5" i="17"/>
  <c r="AE5" i="17"/>
  <c r="AD5" i="17"/>
  <c r="AC5" i="17"/>
  <c r="AB5" i="17"/>
  <c r="AA5" i="17"/>
  <c r="Z5" i="17"/>
  <c r="Y5" i="17"/>
  <c r="X5" i="17"/>
  <c r="W5" i="17"/>
  <c r="V5" i="17"/>
  <c r="U5" i="17"/>
  <c r="T5" i="17"/>
  <c r="S5" i="17"/>
  <c r="R5" i="17"/>
  <c r="Q5" i="17"/>
  <c r="P5" i="17"/>
  <c r="O5" i="17"/>
  <c r="N5" i="17"/>
  <c r="M5" i="17"/>
  <c r="L5" i="17"/>
  <c r="K5" i="17"/>
  <c r="J5" i="17"/>
  <c r="I5" i="17"/>
  <c r="H5" i="17"/>
  <c r="G5" i="17"/>
  <c r="F5" i="17"/>
  <c r="E5" i="17"/>
  <c r="D5" i="17"/>
  <c r="C5" i="17"/>
  <c r="AF5" i="18"/>
  <c r="AE5" i="18"/>
  <c r="AD5" i="18"/>
  <c r="AC5" i="18"/>
  <c r="AB5" i="18"/>
  <c r="AA5" i="18"/>
  <c r="Z5" i="18"/>
  <c r="Y5" i="18"/>
  <c r="X5" i="18"/>
  <c r="W5" i="18"/>
  <c r="V5" i="18"/>
  <c r="U5" i="18"/>
  <c r="T5" i="18"/>
  <c r="S5" i="18"/>
  <c r="R5" i="18"/>
  <c r="Q5" i="18"/>
  <c r="P5" i="18"/>
  <c r="O5" i="18"/>
  <c r="N5" i="18"/>
  <c r="M5" i="18"/>
  <c r="L5" i="18"/>
  <c r="K5" i="18"/>
  <c r="J5" i="18"/>
  <c r="I5" i="18"/>
  <c r="H5" i="18"/>
  <c r="G5" i="18"/>
  <c r="F5" i="18"/>
  <c r="E5" i="18"/>
  <c r="D5" i="18"/>
  <c r="C5" i="18"/>
  <c r="AG5" i="19"/>
  <c r="AF5" i="19"/>
  <c r="AE5" i="19"/>
  <c r="AD5" i="19"/>
  <c r="AC5" i="19"/>
  <c r="AB5" i="19"/>
  <c r="AA5" i="19"/>
  <c r="Z5" i="19"/>
  <c r="Y5" i="19"/>
  <c r="X5" i="19"/>
  <c r="W5" i="19"/>
  <c r="V5" i="19"/>
  <c r="U5" i="19"/>
  <c r="T5" i="19"/>
  <c r="S5" i="19"/>
  <c r="R5" i="19"/>
  <c r="Q5" i="19"/>
  <c r="P5" i="19"/>
  <c r="O5" i="19"/>
  <c r="N5" i="19"/>
  <c r="M5" i="19"/>
  <c r="L5" i="19"/>
  <c r="K5" i="19"/>
  <c r="J5" i="19"/>
  <c r="I5" i="19"/>
  <c r="H5" i="19"/>
  <c r="G5" i="19"/>
  <c r="F5" i="19"/>
  <c r="E5" i="19"/>
  <c r="D5" i="19"/>
  <c r="C5" i="19"/>
  <c r="AF5" i="20"/>
  <c r="AE5" i="20"/>
  <c r="AD5" i="20"/>
  <c r="AC5" i="20"/>
  <c r="AB5" i="20"/>
  <c r="AA5" i="20"/>
  <c r="Z5" i="20"/>
  <c r="Y5" i="20"/>
  <c r="X5" i="20"/>
  <c r="W5" i="20"/>
  <c r="V5" i="20"/>
  <c r="U5" i="20"/>
  <c r="T5" i="20"/>
  <c r="S5" i="20"/>
  <c r="R5" i="20"/>
  <c r="Q5" i="20"/>
  <c r="P5" i="20"/>
  <c r="O5" i="20"/>
  <c r="N5" i="20"/>
  <c r="M5" i="20"/>
  <c r="L5" i="20"/>
  <c r="K5" i="20"/>
  <c r="J5" i="20"/>
  <c r="I5" i="20"/>
  <c r="H5" i="20"/>
  <c r="G5" i="20"/>
  <c r="F5" i="20"/>
  <c r="E5" i="20"/>
  <c r="D5" i="20"/>
  <c r="C5" i="20"/>
  <c r="AG5" i="21"/>
  <c r="AF5" i="21"/>
  <c r="AE5" i="21"/>
  <c r="AD5" i="21"/>
  <c r="AC5" i="21"/>
  <c r="AB5" i="21"/>
  <c r="AA5" i="21"/>
  <c r="Z5" i="21"/>
  <c r="Y5" i="21"/>
  <c r="X5" i="21"/>
  <c r="W5" i="21"/>
  <c r="V5" i="21"/>
  <c r="U5" i="21"/>
  <c r="T5" i="21"/>
  <c r="S5" i="21"/>
  <c r="R5" i="21"/>
  <c r="Q5" i="21"/>
  <c r="P5" i="21"/>
  <c r="O5" i="21"/>
  <c r="N5" i="21"/>
  <c r="M5" i="21"/>
  <c r="L5" i="21"/>
  <c r="K5" i="21"/>
  <c r="J5" i="21"/>
  <c r="I5" i="21"/>
  <c r="H5" i="21"/>
  <c r="G5" i="21"/>
  <c r="F5" i="21"/>
  <c r="E5" i="21"/>
  <c r="D5" i="21"/>
  <c r="C5" i="21"/>
  <c r="AG5" i="22"/>
  <c r="AF5" i="22"/>
  <c r="AE5" i="22"/>
  <c r="AD5" i="22"/>
  <c r="AC5" i="22"/>
  <c r="AB5" i="22"/>
  <c r="AA5" i="22"/>
  <c r="Z5" i="22"/>
  <c r="Y5" i="22"/>
  <c r="X5" i="22"/>
  <c r="W5" i="22"/>
  <c r="V5" i="22"/>
  <c r="U5" i="22"/>
  <c r="T5" i="22"/>
  <c r="S5" i="22"/>
  <c r="R5" i="22"/>
  <c r="Q5" i="22"/>
  <c r="P5" i="22"/>
  <c r="O5" i="22"/>
  <c r="N5" i="22"/>
  <c r="M5" i="22"/>
  <c r="L5" i="22"/>
  <c r="K5" i="22"/>
  <c r="J5" i="22"/>
  <c r="I5" i="22"/>
  <c r="H5" i="22"/>
  <c r="G5" i="22"/>
  <c r="F5" i="22"/>
  <c r="E5" i="22"/>
  <c r="D5" i="22"/>
  <c r="C5" i="22"/>
  <c r="AF5" i="23"/>
  <c r="AE5" i="23"/>
  <c r="AD5" i="23"/>
  <c r="AC5" i="23"/>
  <c r="AB5" i="23"/>
  <c r="AA5" i="23"/>
  <c r="Z5" i="23"/>
  <c r="Y5" i="23"/>
  <c r="X5" i="23"/>
  <c r="W5" i="23"/>
  <c r="V5" i="23"/>
  <c r="U5" i="23"/>
  <c r="T5" i="23"/>
  <c r="S5" i="23"/>
  <c r="R5" i="23"/>
  <c r="Q5" i="23"/>
  <c r="P5" i="23"/>
  <c r="O5" i="23"/>
  <c r="N5" i="23"/>
  <c r="M5" i="23"/>
  <c r="L5" i="23"/>
  <c r="K5" i="23"/>
  <c r="J5" i="23"/>
  <c r="I5" i="23"/>
  <c r="H5" i="23"/>
  <c r="G5" i="23"/>
  <c r="F5" i="23"/>
  <c r="E5" i="23"/>
  <c r="D5" i="23"/>
  <c r="C5" i="23"/>
  <c r="AG5" i="24"/>
  <c r="AF5" i="24"/>
  <c r="AE5" i="24"/>
  <c r="AD5" i="24"/>
  <c r="AC5" i="24"/>
  <c r="AB5" i="24"/>
  <c r="AA5" i="24"/>
  <c r="Z5" i="24"/>
  <c r="Y5" i="24"/>
  <c r="X5" i="24"/>
  <c r="W5" i="24"/>
  <c r="V5" i="24"/>
  <c r="U5" i="24"/>
  <c r="T5" i="24"/>
  <c r="S5" i="24"/>
  <c r="R5" i="24"/>
  <c r="Q5" i="24"/>
  <c r="P5" i="24"/>
  <c r="O5" i="24"/>
  <c r="N5" i="24"/>
  <c r="M5" i="24"/>
  <c r="L5" i="24"/>
  <c r="K5" i="24"/>
  <c r="J5" i="24"/>
  <c r="I5" i="24"/>
  <c r="H5" i="24"/>
  <c r="G5" i="24"/>
  <c r="F5" i="24"/>
  <c r="E5" i="24"/>
  <c r="D5" i="24"/>
  <c r="C5" i="24"/>
  <c r="AF5" i="25"/>
  <c r="AE5" i="25"/>
  <c r="AD5" i="25"/>
  <c r="AC5" i="25"/>
  <c r="AB5" i="25"/>
  <c r="AA5" i="25"/>
  <c r="Z5" i="25"/>
  <c r="Y5" i="25"/>
  <c r="X5" i="25"/>
  <c r="W5" i="25"/>
  <c r="V5" i="25"/>
  <c r="U5" i="25"/>
  <c r="T5" i="25"/>
  <c r="S5" i="25"/>
  <c r="R5" i="25"/>
  <c r="Q5" i="25"/>
  <c r="P5" i="25"/>
  <c r="O5" i="25"/>
  <c r="N5" i="25"/>
  <c r="M5" i="25"/>
  <c r="L5" i="25"/>
  <c r="K5" i="25"/>
  <c r="J5" i="25"/>
  <c r="I5" i="25"/>
  <c r="H5" i="25"/>
  <c r="G5" i="25"/>
  <c r="F5" i="25"/>
  <c r="E5" i="25"/>
  <c r="D5" i="25"/>
  <c r="C5" i="25"/>
  <c r="AG5" i="15"/>
  <c r="AF5" i="15"/>
  <c r="AE5" i="15"/>
  <c r="AD5" i="15"/>
  <c r="AC5" i="15"/>
  <c r="AB5" i="15"/>
  <c r="AA5" i="15"/>
  <c r="Z5" i="15"/>
  <c r="Y5" i="15"/>
  <c r="X5" i="15"/>
  <c r="W5" i="15"/>
  <c r="V5" i="15"/>
  <c r="U5" i="15"/>
  <c r="T5" i="15"/>
  <c r="S5" i="15"/>
  <c r="R5" i="15"/>
  <c r="Q5" i="15"/>
  <c r="P5" i="15"/>
  <c r="O5" i="15"/>
  <c r="N5" i="15"/>
  <c r="M5" i="15"/>
  <c r="L5" i="15"/>
  <c r="K5" i="15"/>
  <c r="J5" i="15"/>
  <c r="I5" i="15"/>
  <c r="H5" i="15"/>
  <c r="G5" i="15"/>
  <c r="F5" i="15"/>
  <c r="E5" i="15"/>
  <c r="D5" i="15"/>
  <c r="C5" i="15"/>
  <c r="AG5" i="4"/>
  <c r="AF5" i="4"/>
  <c r="AE5" i="4"/>
  <c r="AD5" i="4"/>
  <c r="AC5" i="4"/>
  <c r="AB5" i="4"/>
  <c r="AA5" i="4"/>
  <c r="Z5" i="4"/>
  <c r="Y5" i="4"/>
  <c r="X5" i="4"/>
  <c r="W5" i="4"/>
  <c r="V5" i="4"/>
  <c r="U5" i="4"/>
  <c r="T5" i="4"/>
  <c r="S5" i="4"/>
  <c r="R5" i="4"/>
  <c r="Q5" i="4"/>
  <c r="P5" i="4"/>
  <c r="O5" i="4"/>
  <c r="N5" i="4"/>
  <c r="M5" i="4"/>
  <c r="L5" i="4"/>
  <c r="K5" i="4"/>
  <c r="J5" i="4"/>
  <c r="I5" i="4"/>
  <c r="H5" i="4"/>
  <c r="G5" i="4"/>
  <c r="F5" i="4"/>
  <c r="E5" i="4"/>
  <c r="D5" i="4"/>
  <c r="C5" i="4"/>
  <c r="AH7" i="25" l="1"/>
  <c r="AH8" i="25"/>
  <c r="AH9" i="25"/>
  <c r="AH10" i="25"/>
  <c r="AH11" i="25"/>
  <c r="AH7" i="23"/>
  <c r="AH8" i="23"/>
  <c r="AH9" i="23"/>
  <c r="AH10" i="23"/>
  <c r="AH11" i="23"/>
  <c r="AH7" i="20"/>
  <c r="AH8" i="20"/>
  <c r="AH9" i="20"/>
  <c r="AH10" i="20"/>
  <c r="AH11" i="20"/>
  <c r="AH7" i="18"/>
  <c r="AH8" i="18"/>
  <c r="AH9" i="18"/>
  <c r="AH10" i="18"/>
  <c r="AH11" i="18"/>
  <c r="AD12" i="15"/>
  <c r="AE12" i="15"/>
  <c r="AF12" i="15"/>
  <c r="AG12" i="15"/>
  <c r="AE12" i="25"/>
  <c r="AF12" i="25"/>
  <c r="AG12" i="25"/>
  <c r="AE12" i="24"/>
  <c r="AF12" i="24"/>
  <c r="AG12" i="24"/>
  <c r="AE12" i="23"/>
  <c r="AF12" i="23"/>
  <c r="AG12" i="23"/>
  <c r="AF12" i="22"/>
  <c r="AG12" i="22"/>
  <c r="AF14" i="21"/>
  <c r="AG14" i="21"/>
  <c r="AF12" i="20"/>
  <c r="AG12" i="20"/>
  <c r="AF12" i="19"/>
  <c r="AG12" i="19"/>
  <c r="AG12" i="18"/>
  <c r="AF12" i="18"/>
  <c r="AF12" i="17"/>
  <c r="AG12" i="17"/>
  <c r="AH9" i="4" l="1"/>
  <c r="AH10" i="4"/>
  <c r="B12" i="23" l="1"/>
  <c r="AD12" i="25"/>
  <c r="AC12" i="25"/>
  <c r="AB12" i="25"/>
  <c r="AA12" i="25"/>
  <c r="Z12" i="25"/>
  <c r="Y12" i="25"/>
  <c r="X12" i="25"/>
  <c r="W12" i="25"/>
  <c r="V12" i="25"/>
  <c r="U12" i="25"/>
  <c r="T12" i="25"/>
  <c r="S12" i="25"/>
  <c r="R12" i="25"/>
  <c r="Q12" i="25"/>
  <c r="P12" i="25"/>
  <c r="O12" i="25"/>
  <c r="N12" i="25"/>
  <c r="M12" i="25"/>
  <c r="L12" i="25"/>
  <c r="K12" i="25"/>
  <c r="J12" i="25"/>
  <c r="I12" i="25"/>
  <c r="H12" i="25"/>
  <c r="G12" i="25"/>
  <c r="F12" i="25"/>
  <c r="E12" i="25"/>
  <c r="D12" i="25"/>
  <c r="C12" i="25"/>
  <c r="B12" i="25"/>
  <c r="AH4" i="25"/>
  <c r="B1" i="25"/>
  <c r="AD12" i="24"/>
  <c r="AC12" i="24"/>
  <c r="AB12" i="24"/>
  <c r="AA12" i="24"/>
  <c r="Z12" i="24"/>
  <c r="Y12" i="24"/>
  <c r="X12" i="24"/>
  <c r="W12" i="24"/>
  <c r="V12" i="24"/>
  <c r="U12" i="24"/>
  <c r="T12" i="24"/>
  <c r="S12" i="24"/>
  <c r="R12" i="24"/>
  <c r="Q12" i="24"/>
  <c r="P12" i="24"/>
  <c r="O12" i="24"/>
  <c r="N12" i="24"/>
  <c r="M12" i="24"/>
  <c r="L12" i="24"/>
  <c r="K12" i="24"/>
  <c r="J12" i="24"/>
  <c r="I12" i="24"/>
  <c r="H12" i="24"/>
  <c r="G12" i="24"/>
  <c r="F12" i="24"/>
  <c r="E12" i="24"/>
  <c r="D12" i="24"/>
  <c r="C12" i="24"/>
  <c r="B12" i="24"/>
  <c r="AH11" i="24"/>
  <c r="AH10" i="24"/>
  <c r="AH9" i="24"/>
  <c r="AH8" i="24"/>
  <c r="AH7" i="24"/>
  <c r="AH4" i="24"/>
  <c r="B1" i="24"/>
  <c r="AD12" i="23"/>
  <c r="AC12" i="23"/>
  <c r="AB12" i="23"/>
  <c r="AA12" i="23"/>
  <c r="Z12" i="23"/>
  <c r="Y12" i="23"/>
  <c r="X12" i="23"/>
  <c r="W12" i="23"/>
  <c r="V12" i="23"/>
  <c r="U12" i="23"/>
  <c r="T12" i="23"/>
  <c r="S12" i="23"/>
  <c r="R12" i="23"/>
  <c r="Q12" i="23"/>
  <c r="P12" i="23"/>
  <c r="O12" i="23"/>
  <c r="N12" i="23"/>
  <c r="M12" i="23"/>
  <c r="L12" i="23"/>
  <c r="K12" i="23"/>
  <c r="J12" i="23"/>
  <c r="I12" i="23"/>
  <c r="H12" i="23"/>
  <c r="G12" i="23"/>
  <c r="F12" i="23"/>
  <c r="E12" i="23"/>
  <c r="D12" i="23"/>
  <c r="C12" i="23"/>
  <c r="AH12" i="23"/>
  <c r="AH4" i="23"/>
  <c r="B1" i="23"/>
  <c r="AE12" i="22"/>
  <c r="AD12" i="22"/>
  <c r="AC12" i="22"/>
  <c r="AB12" i="22"/>
  <c r="AA12" i="22"/>
  <c r="Z12" i="22"/>
  <c r="Y12" i="22"/>
  <c r="X12" i="22"/>
  <c r="W12" i="22"/>
  <c r="V12" i="22"/>
  <c r="U12" i="22"/>
  <c r="T12" i="22"/>
  <c r="S12" i="22"/>
  <c r="R12" i="22"/>
  <c r="Q12" i="22"/>
  <c r="P12" i="22"/>
  <c r="O12" i="22"/>
  <c r="N12" i="22"/>
  <c r="M12" i="22"/>
  <c r="L12" i="22"/>
  <c r="K12" i="22"/>
  <c r="J12" i="22"/>
  <c r="I12" i="22"/>
  <c r="H12" i="22"/>
  <c r="G12" i="22"/>
  <c r="F12" i="22"/>
  <c r="E12" i="22"/>
  <c r="D12" i="22"/>
  <c r="C12" i="22"/>
  <c r="B12" i="22"/>
  <c r="AH11" i="22"/>
  <c r="AH10" i="22"/>
  <c r="AH9" i="22"/>
  <c r="AH8" i="22"/>
  <c r="AH7" i="22"/>
  <c r="AH4" i="22"/>
  <c r="B1" i="22"/>
  <c r="AE14" i="21"/>
  <c r="AD14" i="21"/>
  <c r="AC14" i="21"/>
  <c r="AB14" i="21"/>
  <c r="AA14" i="21"/>
  <c r="Z14" i="21"/>
  <c r="Y14" i="21"/>
  <c r="X14" i="21"/>
  <c r="W14" i="21"/>
  <c r="V14" i="21"/>
  <c r="U14" i="21"/>
  <c r="T14" i="21"/>
  <c r="S14" i="21"/>
  <c r="R14" i="21"/>
  <c r="Q14" i="21"/>
  <c r="P14" i="21"/>
  <c r="O14" i="21"/>
  <c r="N14" i="21"/>
  <c r="M14" i="21"/>
  <c r="L14" i="21"/>
  <c r="K14" i="21"/>
  <c r="J14" i="21"/>
  <c r="I14" i="21"/>
  <c r="H14" i="21"/>
  <c r="G14" i="21"/>
  <c r="F14" i="21"/>
  <c r="E14" i="21"/>
  <c r="D14" i="21"/>
  <c r="C14" i="21"/>
  <c r="B14" i="21"/>
  <c r="AH11" i="21"/>
  <c r="AH10" i="21"/>
  <c r="AH9" i="21"/>
  <c r="AH8" i="21"/>
  <c r="AH7" i="21"/>
  <c r="B1" i="21"/>
  <c r="AE12" i="20"/>
  <c r="AD12" i="20"/>
  <c r="AC12" i="20"/>
  <c r="AB12" i="20"/>
  <c r="AA12" i="20"/>
  <c r="Z12" i="20"/>
  <c r="Y12" i="20"/>
  <c r="X12" i="20"/>
  <c r="W12" i="20"/>
  <c r="V12" i="20"/>
  <c r="U12" i="20"/>
  <c r="T12" i="20"/>
  <c r="S12" i="20"/>
  <c r="R12" i="20"/>
  <c r="Q12" i="20"/>
  <c r="P12" i="20"/>
  <c r="O12" i="20"/>
  <c r="N12" i="20"/>
  <c r="M12" i="20"/>
  <c r="L12" i="20"/>
  <c r="K12" i="20"/>
  <c r="J12" i="20"/>
  <c r="I12" i="20"/>
  <c r="H12" i="20"/>
  <c r="G12" i="20"/>
  <c r="F12" i="20"/>
  <c r="E12" i="20"/>
  <c r="D12" i="20"/>
  <c r="C12" i="20"/>
  <c r="B12" i="20"/>
  <c r="AH4" i="20"/>
  <c r="B1" i="20"/>
  <c r="AE12" i="19"/>
  <c r="AD12" i="19"/>
  <c r="AC12" i="19"/>
  <c r="AB12" i="19"/>
  <c r="AA12" i="19"/>
  <c r="Z12" i="19"/>
  <c r="Y12" i="19"/>
  <c r="X12" i="19"/>
  <c r="W12" i="19"/>
  <c r="V12" i="19"/>
  <c r="U12" i="19"/>
  <c r="T12" i="19"/>
  <c r="S12" i="19"/>
  <c r="R12" i="19"/>
  <c r="Q12" i="19"/>
  <c r="P12" i="19"/>
  <c r="O12" i="19"/>
  <c r="N12" i="19"/>
  <c r="M12" i="19"/>
  <c r="L12" i="19"/>
  <c r="K12" i="19"/>
  <c r="J12" i="19"/>
  <c r="I12" i="19"/>
  <c r="H12" i="19"/>
  <c r="G12" i="19"/>
  <c r="F12" i="19"/>
  <c r="E12" i="19"/>
  <c r="D12" i="19"/>
  <c r="C12" i="19"/>
  <c r="B12" i="19"/>
  <c r="AH11" i="19"/>
  <c r="AH10" i="19"/>
  <c r="AH9" i="19"/>
  <c r="AH8" i="19"/>
  <c r="AH7" i="19"/>
  <c r="AH4" i="19"/>
  <c r="B1" i="19"/>
  <c r="AE12" i="18"/>
  <c r="AD12" i="18"/>
  <c r="AC12" i="18"/>
  <c r="AB12" i="18"/>
  <c r="AA12" i="18"/>
  <c r="Z12" i="18"/>
  <c r="Y12" i="18"/>
  <c r="X12" i="18"/>
  <c r="W12" i="18"/>
  <c r="V12" i="18"/>
  <c r="U12" i="18"/>
  <c r="T12" i="18"/>
  <c r="S12" i="18"/>
  <c r="R12" i="18"/>
  <c r="Q12" i="18"/>
  <c r="P12" i="18"/>
  <c r="O12" i="18"/>
  <c r="N12" i="18"/>
  <c r="M12" i="18"/>
  <c r="L12" i="18"/>
  <c r="K12" i="18"/>
  <c r="J12" i="18"/>
  <c r="I12" i="18"/>
  <c r="H12" i="18"/>
  <c r="G12" i="18"/>
  <c r="F12" i="18"/>
  <c r="E12" i="18"/>
  <c r="D12" i="18"/>
  <c r="C12" i="18"/>
  <c r="B12" i="18"/>
  <c r="AH12" i="18"/>
  <c r="AH4" i="18"/>
  <c r="B1" i="18"/>
  <c r="AE12" i="17"/>
  <c r="AD12" i="17"/>
  <c r="AC12" i="17"/>
  <c r="AB12" i="17"/>
  <c r="AA12" i="17"/>
  <c r="Z12" i="17"/>
  <c r="Y12" i="17"/>
  <c r="X12" i="17"/>
  <c r="W12" i="17"/>
  <c r="V12" i="17"/>
  <c r="U12" i="17"/>
  <c r="T12" i="17"/>
  <c r="S12" i="17"/>
  <c r="R12" i="17"/>
  <c r="Q12" i="17"/>
  <c r="P12" i="17"/>
  <c r="O12" i="17"/>
  <c r="N12" i="17"/>
  <c r="M12" i="17"/>
  <c r="L12" i="17"/>
  <c r="K12" i="17"/>
  <c r="J12" i="17"/>
  <c r="I12" i="17"/>
  <c r="H12" i="17"/>
  <c r="G12" i="17"/>
  <c r="F12" i="17"/>
  <c r="E12" i="17"/>
  <c r="D12" i="17"/>
  <c r="C12" i="17"/>
  <c r="B12" i="17"/>
  <c r="AH11" i="17"/>
  <c r="AH10" i="17"/>
  <c r="AH9" i="17"/>
  <c r="AH8" i="17"/>
  <c r="AH7" i="17"/>
  <c r="AH4" i="17"/>
  <c r="B1" i="17"/>
  <c r="B1" i="5"/>
  <c r="AH12" i="17" l="1"/>
  <c r="AH14" i="21"/>
  <c r="AH12" i="22"/>
  <c r="AH12" i="25"/>
  <c r="AH12" i="20"/>
  <c r="AH12" i="19"/>
  <c r="AH12" i="24"/>
  <c r="AH4" i="5" l="1"/>
  <c r="AH4" i="15" l="1"/>
  <c r="AH7" i="15" l="1"/>
  <c r="AH8" i="15"/>
  <c r="AH9" i="15"/>
  <c r="AH10" i="15"/>
  <c r="AH11" i="15"/>
  <c r="AH12" i="15" l="1"/>
  <c r="C12" i="15"/>
  <c r="D12" i="15"/>
  <c r="E12" i="15"/>
  <c r="F12" i="15"/>
  <c r="G12" i="15"/>
  <c r="H12" i="15"/>
  <c r="I12" i="15"/>
  <c r="J12" i="15"/>
  <c r="K12" i="15"/>
  <c r="L12" i="15"/>
  <c r="M12" i="15"/>
  <c r="N12" i="15"/>
  <c r="O12" i="15"/>
  <c r="P12" i="15"/>
  <c r="Q12" i="15"/>
  <c r="R12" i="15"/>
  <c r="S12" i="15"/>
  <c r="T12" i="15"/>
  <c r="U12" i="15"/>
  <c r="V12" i="15"/>
  <c r="W12" i="15"/>
  <c r="X12" i="15"/>
  <c r="Y12" i="15"/>
  <c r="Z12" i="15"/>
  <c r="AA12" i="15"/>
  <c r="AB12" i="15"/>
  <c r="AC12" i="15"/>
  <c r="B12" i="15" l="1"/>
  <c r="B12" i="5"/>
  <c r="B27" i="4"/>
  <c r="AH11" i="5" l="1"/>
  <c r="AH10" i="5"/>
  <c r="AH9" i="5"/>
  <c r="AH11" i="4"/>
  <c r="AE12" i="5"/>
  <c r="AD12" i="5"/>
  <c r="AC12" i="5"/>
  <c r="AB12" i="5"/>
  <c r="AA12" i="5"/>
  <c r="Z12" i="5"/>
  <c r="Y12" i="5"/>
  <c r="X12" i="5"/>
  <c r="W12" i="5"/>
  <c r="V12" i="5"/>
  <c r="U12" i="5"/>
  <c r="T12" i="5"/>
  <c r="S12" i="5"/>
  <c r="R12" i="5"/>
  <c r="Q12" i="5"/>
  <c r="P12" i="5"/>
  <c r="O12" i="5"/>
  <c r="N12" i="5"/>
  <c r="M12" i="5"/>
  <c r="L12" i="5"/>
  <c r="K12" i="5"/>
  <c r="J12" i="5"/>
  <c r="I12" i="5"/>
  <c r="H12" i="5"/>
  <c r="G12" i="5"/>
  <c r="F12" i="5"/>
  <c r="E12" i="5"/>
  <c r="D12" i="5"/>
  <c r="C12" i="5"/>
  <c r="AH8" i="5"/>
  <c r="AH7" i="5"/>
  <c r="AH12" i="5" l="1"/>
  <c r="AH7" i="4"/>
  <c r="AH8" i="4"/>
  <c r="AH27" i="4" l="1"/>
</calcChain>
</file>

<file path=xl/sharedStrings.xml><?xml version="1.0" encoding="utf-8"?>
<sst xmlns="http://schemas.openxmlformats.org/spreadsheetml/2006/main" count="681" uniqueCount="104">
  <si>
    <t>Calendrier des absences des employés</t>
  </si>
  <si>
    <t>Clé de motif d’absence</t>
  </si>
  <si>
    <t>Janvier</t>
  </si>
  <si>
    <t>Nom de l’employé</t>
  </si>
  <si>
    <t>Employé 1</t>
  </si>
  <si>
    <t>Employé 2</t>
  </si>
  <si>
    <t>Employé 3</t>
  </si>
  <si>
    <t>Employé 4</t>
  </si>
  <si>
    <t>Employé 5</t>
  </si>
  <si>
    <t>C</t>
  </si>
  <si>
    <t>Dates d’absence</t>
  </si>
  <si>
    <t>1</t>
  </si>
  <si>
    <t>Congé</t>
  </si>
  <si>
    <t>2</t>
  </si>
  <si>
    <t>3</t>
  </si>
  <si>
    <t>P</t>
  </si>
  <si>
    <t>4</t>
  </si>
  <si>
    <t>M</t>
  </si>
  <si>
    <t>5</t>
  </si>
  <si>
    <t>Personnel</t>
  </si>
  <si>
    <t>6</t>
  </si>
  <si>
    <t>7</t>
  </si>
  <si>
    <t>8</t>
  </si>
  <si>
    <t>9</t>
  </si>
  <si>
    <t>Maladie</t>
  </si>
  <si>
    <t>10</t>
  </si>
  <si>
    <t>11</t>
  </si>
  <si>
    <t>12</t>
  </si>
  <si>
    <t>Personnalisé 1</t>
  </si>
  <si>
    <t>13</t>
  </si>
  <si>
    <t>14</t>
  </si>
  <si>
    <t>15</t>
  </si>
  <si>
    <t>16</t>
  </si>
  <si>
    <t>Personnalisé 2</t>
  </si>
  <si>
    <t>17</t>
  </si>
  <si>
    <t>18</t>
  </si>
  <si>
    <t>19</t>
  </si>
  <si>
    <t>20</t>
  </si>
  <si>
    <t>21</t>
  </si>
  <si>
    <t>22</t>
  </si>
  <si>
    <t>23</t>
  </si>
  <si>
    <t>24</t>
  </si>
  <si>
    <t>25</t>
  </si>
  <si>
    <t>26</t>
  </si>
  <si>
    <t>27</t>
  </si>
  <si>
    <t>28</t>
  </si>
  <si>
    <t>29</t>
  </si>
  <si>
    <t>30</t>
  </si>
  <si>
    <t>31</t>
  </si>
  <si>
    <t>Entrez l’année :</t>
  </si>
  <si>
    <t>Total des jours</t>
  </si>
  <si>
    <t>Février</t>
  </si>
  <si>
    <t xml:space="preserve"> </t>
  </si>
  <si>
    <t xml:space="preserve">  </t>
  </si>
  <si>
    <t>Mars</t>
  </si>
  <si>
    <t>Avril</t>
  </si>
  <si>
    <t>Mai</t>
  </si>
  <si>
    <t>Juin</t>
  </si>
  <si>
    <t>Juillet</t>
  </si>
  <si>
    <t>Août</t>
  </si>
  <si>
    <t>Septembre</t>
  </si>
  <si>
    <t>Octobre</t>
  </si>
  <si>
    <t>Novembre</t>
  </si>
  <si>
    <t>Décembre</t>
  </si>
  <si>
    <t>Noms des employés</t>
  </si>
  <si>
    <t>Valérie ASTESANO</t>
  </si>
  <si>
    <t>Frédéric BRUSCHI</t>
  </si>
  <si>
    <t>Stéphanie LE LOUARN</t>
  </si>
  <si>
    <t>Magali MARTIN</t>
  </si>
  <si>
    <t>Marjorie LEVY</t>
  </si>
  <si>
    <t>Florence FARCY</t>
  </si>
  <si>
    <t>Valérie CROSTA</t>
  </si>
  <si>
    <t>Véronique PARIS</t>
  </si>
  <si>
    <t>Nathalie LAURENT</t>
  </si>
  <si>
    <t>Marie-Liesse GIORGI</t>
  </si>
  <si>
    <t>Jean-Luc MARQUET</t>
  </si>
  <si>
    <t>Bernadette GONGORA</t>
  </si>
  <si>
    <t>Fathia SAHLI</t>
  </si>
  <si>
    <t>Christine RAITERI</t>
  </si>
  <si>
    <t>R</t>
  </si>
  <si>
    <t>Récupération</t>
  </si>
  <si>
    <t>ASA</t>
  </si>
  <si>
    <t>F</t>
  </si>
  <si>
    <t>Formation</t>
  </si>
  <si>
    <t>Jérome GOMEZ</t>
  </si>
  <si>
    <t>Étiquettes de lignes</t>
  </si>
  <si>
    <t>Total général</t>
  </si>
  <si>
    <t>(vide)</t>
  </si>
  <si>
    <t>Employé 6</t>
  </si>
  <si>
    <t>Employé 7</t>
  </si>
  <si>
    <t>Employé 8</t>
  </si>
  <si>
    <t>Employé 9</t>
  </si>
  <si>
    <t>Employé 10</t>
  </si>
  <si>
    <t>Employé 11</t>
  </si>
  <si>
    <t>Employé 12</t>
  </si>
  <si>
    <t>Employé 13</t>
  </si>
  <si>
    <t>Employé 14</t>
  </si>
  <si>
    <t>Employé 15</t>
  </si>
  <si>
    <t>Employé 16</t>
  </si>
  <si>
    <t>Employé 17</t>
  </si>
  <si>
    <t>Employé 18</t>
  </si>
  <si>
    <t>Employé 19</t>
  </si>
  <si>
    <t>Employé 20</t>
  </si>
  <si>
    <t>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</si>
</sst>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2" formatCode="_-* #,##0\ &quot;€&quot;_-;\-* #,##0\ &quot;€&quot;_-;_-* &quot;-&quot;\ &quot;€&quot;_-;_-@_-"/>
    <numFmt numFmtId="44" formatCode="_-* #,##0.00\ &quot;€&quot;_-;\-* #,##0.00\ &quot;€&quot;_-;_-* &quot;-&quot;??\ &quot;€&quot;_-;_-@_-"/>
    <numFmt numFmtId="164" formatCode="_(* #,##0_);_(* \(#,##0\);_(* &quot;-&quot;_);_(@_)"/>
    <numFmt numFmtId="165" formatCode="_(* #,##0.00_);_(* \(#,##0.00\);_(* &quot;-&quot;??_);_(@_)"/>
    <numFmt numFmtId="166" formatCode="0;0;"/>
  </numFmts>
  <fonts count="20" x14ac:knownFonts="1">
    <font>
      <sz val="11"/>
      <color theme="1"/>
      <name val="Calibri"/>
      <family val="2"/>
      <scheme val="minor"/>
    </font>
    <font>
      <sz val="11"/>
      <color theme="1"/>
      <name val="Calibri"/>
      <family val="2"/>
      <scheme val="minor"/>
    </font>
    <font>
      <b/>
      <sz val="11"/>
      <color theme="1"/>
      <name val="Calibri"/>
      <family val="2"/>
      <scheme val="minor"/>
    </font>
    <font>
      <sz val="11"/>
      <color theme="0"/>
      <name val="Calibri"/>
      <family val="2"/>
      <scheme val="minor"/>
    </font>
    <font>
      <b/>
      <sz val="26"/>
      <color theme="3" tint="-0.24994659260841701"/>
      <name val="Calibri"/>
      <family val="2"/>
      <scheme val="major"/>
    </font>
    <font>
      <b/>
      <sz val="18"/>
      <color theme="4" tint="-0.24994659260841701"/>
      <name val="Calibri"/>
      <family val="2"/>
      <scheme val="minor"/>
    </font>
    <font>
      <b/>
      <sz val="26"/>
      <color theme="3"/>
      <name val="Calibri"/>
      <family val="2"/>
      <scheme val="minor"/>
    </font>
    <font>
      <sz val="11"/>
      <color theme="4" tint="-0.499984740745262"/>
      <name val="Calibri"/>
      <family val="2"/>
      <scheme val="minor"/>
    </font>
    <font>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sz val="8"/>
      <name val="Calibri"/>
      <family val="2"/>
      <scheme val="minor"/>
    </font>
  </fonts>
  <fills count="33">
    <fill>
      <patternFill patternType="none"/>
    </fill>
    <fill>
      <patternFill patternType="gray125"/>
    </fill>
    <fill>
      <patternFill patternType="solid">
        <fgColor theme="2"/>
        <bgColor indexed="64"/>
      </patternFill>
    </fill>
    <fill>
      <patternFill patternType="solid">
        <fgColor theme="7"/>
        <bgColor indexed="64"/>
      </patternFill>
    </fill>
    <fill>
      <patternFill patternType="solid">
        <fgColor theme="7" tint="0.79998168889431442"/>
        <bgColor indexed="65"/>
      </patternFill>
    </fill>
    <fill>
      <patternFill patternType="solid">
        <fgColor theme="7" tint="0.39997558519241921"/>
        <bgColor indexed="65"/>
      </patternFill>
    </fill>
    <fill>
      <patternFill patternType="solid">
        <fgColor theme="3" tint="0.79998168889431442"/>
        <bgColor indexed="64"/>
      </patternFill>
    </fill>
    <fill>
      <patternFill patternType="solid">
        <fgColor theme="3" tint="-0.24994659260841701"/>
        <bgColor indexed="64"/>
      </patternFill>
    </fill>
    <fill>
      <patternFill patternType="solid">
        <fgColor theme="3" tint="0.39994506668294322"/>
        <bgColor indexed="64"/>
      </patternFill>
    </fill>
    <fill>
      <patternFill patternType="solid">
        <fgColor theme="7" tint="0.59996337778862885"/>
        <bgColor indexed="64"/>
      </patternFill>
    </fill>
    <fill>
      <patternFill patternType="solid">
        <fgColor theme="5" tint="0.59999389629810485"/>
        <bgColor indexed="65"/>
      </patternFill>
    </fill>
    <fill>
      <patternFill patternType="solid">
        <fgColor theme="6"/>
      </patternFill>
    </fill>
    <fill>
      <patternFill patternType="solid">
        <fgColor theme="6" tint="0.59999389629810485"/>
        <bgColor indexed="65"/>
      </patternFill>
    </fill>
    <fill>
      <patternFill patternType="solid">
        <fgColor theme="6" tint="0.39997558519241921"/>
        <bgColor indexed="65"/>
      </patternFill>
    </fill>
    <fill>
      <patternFill patternType="solid">
        <fgColor theme="8" tint="0.59999389629810485"/>
        <bgColor indexed="65"/>
      </patternFill>
    </fill>
    <fill>
      <patternFill patternType="solid">
        <fgColor theme="4" tint="0.39994506668294322"/>
        <bgColor indexed="64"/>
      </patternFill>
    </fill>
    <fill>
      <patternFill patternType="solid">
        <fgColor theme="4" tint="0.59996337778862885"/>
        <bgColor indexed="64"/>
      </patternFill>
    </fill>
    <fill>
      <patternFill patternType="solid">
        <fgColor theme="4" tint="0.79998168889431442"/>
        <bgColor indexed="64"/>
      </patternFill>
    </fill>
    <fill>
      <patternFill patternType="solid">
        <fgColor rgb="FFF8E3E0"/>
        <bgColor indexed="64"/>
      </patternFill>
    </fill>
    <fill>
      <patternFill patternType="solid">
        <fgColor theme="5" tint="0.39994506668294322"/>
        <bgColor indexed="64"/>
      </patternFill>
    </fill>
    <fill>
      <patternFill patternType="solid">
        <fgColor theme="6" tint="0.59996337778862885"/>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5" tint="0.79998168889431442"/>
        <bgColor indexed="65"/>
      </patternFill>
    </fill>
    <fill>
      <patternFill patternType="solid">
        <fgColor theme="5"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39997558519241921"/>
        <bgColor indexed="65"/>
      </patternFill>
    </fill>
  </fills>
  <borders count="6">
    <border>
      <left/>
      <right/>
      <top/>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alignment horizontal="left" vertical="center"/>
    </xf>
    <xf numFmtId="0" fontId="6" fillId="0" borderId="0" applyNumberFormat="0" applyFill="0" applyBorder="0" applyProtection="0">
      <alignment vertical="top"/>
    </xf>
    <xf numFmtId="0" fontId="4" fillId="0" borderId="0" applyNumberFormat="0" applyFill="0" applyBorder="0" applyProtection="0">
      <alignment vertical="top"/>
    </xf>
    <xf numFmtId="0" fontId="5" fillId="2" borderId="0" applyNumberFormat="0" applyBorder="0" applyProtection="0">
      <alignment horizontal="center" vertical="center"/>
    </xf>
    <xf numFmtId="0" fontId="2" fillId="20" borderId="0" applyNumberFormat="0" applyProtection="0">
      <alignment horizontal="right" vertical="center" indent="1"/>
    </xf>
    <xf numFmtId="0" fontId="1" fillId="0" borderId="0" applyNumberFormat="0" applyFill="0" applyBorder="0" applyProtection="0">
      <alignment horizontal="left" vertical="center" indent="2"/>
    </xf>
    <xf numFmtId="0" fontId="3" fillId="3" borderId="0" applyNumberFormat="0" applyBorder="0" applyAlignment="0" applyProtection="0"/>
    <xf numFmtId="0" fontId="1" fillId="4" borderId="0" applyNumberFormat="0" applyBorder="0" applyProtection="0">
      <alignment horizontal="center" vertical="center"/>
    </xf>
    <xf numFmtId="0" fontId="2" fillId="9" borderId="0" applyNumberFormat="0" applyBorder="0" applyAlignment="0" applyProtection="0"/>
    <xf numFmtId="0" fontId="1" fillId="5" borderId="0" applyNumberFormat="0" applyBorder="0" applyAlignment="0" applyProtection="0"/>
    <xf numFmtId="0" fontId="3" fillId="7" borderId="0" applyNumberFormat="0" applyBorder="0" applyAlignment="0" applyProtection="0"/>
    <xf numFmtId="0" fontId="1" fillId="6" borderId="0" applyNumberFormat="0" applyBorder="0" applyAlignment="0" applyProtection="0"/>
    <xf numFmtId="0" fontId="2" fillId="15" borderId="0" applyNumberFormat="0" applyBorder="0" applyAlignment="0" applyProtection="0"/>
    <xf numFmtId="0" fontId="1" fillId="8" borderId="0" applyNumberFormat="0" applyBorder="0" applyAlignment="0" applyProtection="0"/>
    <xf numFmtId="0" fontId="3" fillId="15" borderId="0" applyNumberFormat="0" applyBorder="0" applyAlignment="0" applyProtection="0"/>
    <xf numFmtId="0" fontId="1" fillId="18" borderId="0" applyNumberFormat="0" applyBorder="0" applyAlignment="0" applyProtection="0"/>
    <xf numFmtId="0" fontId="2" fillId="17" borderId="0" applyNumberFormat="0" applyBorder="0" applyAlignment="0" applyProtection="0"/>
    <xf numFmtId="0" fontId="3" fillId="16" borderId="0" applyNumberFormat="0" applyBorder="0" applyAlignment="0" applyProtection="0"/>
    <xf numFmtId="0" fontId="3" fillId="19" borderId="0" applyNumberFormat="0" applyBorder="0" applyAlignment="0" applyProtection="0"/>
    <xf numFmtId="0" fontId="2" fillId="10" borderId="0" applyNumberFormat="0" applyBorder="0" applyAlignment="0" applyProtection="0"/>
    <xf numFmtId="0" fontId="3" fillId="11" borderId="0" applyNumberFormat="0" applyBorder="0" applyAlignment="0" applyProtection="0"/>
    <xf numFmtId="0" fontId="1" fillId="2" borderId="0" applyNumberFormat="0" applyBorder="0" applyAlignment="0" applyProtection="0"/>
    <xf numFmtId="0" fontId="2" fillId="12" borderId="0" applyNumberFormat="0" applyBorder="0" applyProtection="0">
      <alignment horizontal="left" vertical="center" indent="1"/>
    </xf>
    <xf numFmtId="0" fontId="2" fillId="13" borderId="0" applyNumberFormat="0" applyBorder="0" applyAlignment="0" applyProtection="0"/>
    <xf numFmtId="0" fontId="2" fillId="14" borderId="0" applyNumberFormat="0" applyBorder="0" applyAlignment="0" applyProtection="0"/>
    <xf numFmtId="1" fontId="1" fillId="0" borderId="0" applyFill="0" applyBorder="0" applyProtection="0">
      <alignment horizontal="center" vertical="center"/>
    </xf>
    <xf numFmtId="0" fontId="1" fillId="0" borderId="0" applyNumberFormat="0" applyFill="0" applyBorder="0">
      <alignment horizontal="left" vertical="center" wrapText="1" indent="2"/>
    </xf>
    <xf numFmtId="0" fontId="7" fillId="0" borderId="0">
      <alignment horizontal="center"/>
    </xf>
    <xf numFmtId="165" fontId="1" fillId="0" borderId="0" applyFont="0" applyFill="0" applyBorder="0" applyAlignment="0" applyProtection="0"/>
    <xf numFmtId="164" fontId="1" fillId="0" borderId="0" applyFont="0" applyFill="0" applyBorder="0" applyAlignment="0" applyProtection="0"/>
    <xf numFmtId="44" fontId="1" fillId="0" borderId="0" applyFont="0" applyFill="0" applyBorder="0" applyAlignment="0" applyProtection="0"/>
    <xf numFmtId="42" fontId="1" fillId="0" borderId="0" applyFont="0" applyFill="0" applyBorder="0" applyAlignment="0" applyProtection="0"/>
    <xf numFmtId="9" fontId="1" fillId="0" borderId="0" applyFont="0" applyFill="0" applyBorder="0" applyAlignment="0" applyProtection="0"/>
    <xf numFmtId="0" fontId="9" fillId="21" borderId="0" applyNumberFormat="0" applyBorder="0" applyAlignment="0" applyProtection="0"/>
    <xf numFmtId="0" fontId="10" fillId="22" borderId="0" applyNumberFormat="0" applyBorder="0" applyAlignment="0" applyProtection="0"/>
    <xf numFmtId="0" fontId="11" fillId="23" borderId="0" applyNumberFormat="0" applyBorder="0" applyAlignment="0" applyProtection="0"/>
    <xf numFmtId="0" fontId="12" fillId="24" borderId="1" applyNumberFormat="0" applyAlignment="0" applyProtection="0"/>
    <xf numFmtId="0" fontId="13" fillId="25" borderId="2" applyNumberFormat="0" applyAlignment="0" applyProtection="0"/>
    <xf numFmtId="0" fontId="14" fillId="25" borderId="1" applyNumberFormat="0" applyAlignment="0" applyProtection="0"/>
    <xf numFmtId="0" fontId="15" fillId="0" borderId="3" applyNumberFormat="0" applyFill="0" applyAlignment="0" applyProtection="0"/>
    <xf numFmtId="0" fontId="16" fillId="26" borderId="4" applyNumberFormat="0" applyAlignment="0" applyProtection="0"/>
    <xf numFmtId="0" fontId="17" fillId="0" borderId="0" applyNumberFormat="0" applyFill="0" applyBorder="0" applyAlignment="0" applyProtection="0"/>
    <xf numFmtId="0" fontId="1" fillId="27" borderId="5" applyNumberFormat="0" applyFont="0" applyAlignment="0" applyProtection="0"/>
    <xf numFmtId="0" fontId="18" fillId="0" borderId="0" applyNumberFormat="0" applyFill="0" applyBorder="0" applyAlignment="0" applyProtection="0"/>
    <xf numFmtId="0" fontId="1" fillId="28" borderId="0" applyNumberFormat="0" applyBorder="0" applyAlignment="0" applyProtection="0"/>
    <xf numFmtId="0" fontId="1" fillId="29" borderId="0" applyNumberFormat="0" applyBorder="0" applyAlignment="0" applyProtection="0"/>
    <xf numFmtId="0" fontId="3"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cellStyleXfs>
  <cellXfs count="31">
    <xf numFmtId="0" fontId="0" fillId="0" borderId="0" xfId="0">
      <alignment horizontal="left" vertical="center"/>
    </xf>
    <xf numFmtId="0" fontId="1" fillId="0" borderId="0" xfId="26">
      <alignment horizontal="left" vertical="center" wrapText="1" indent="2"/>
    </xf>
    <xf numFmtId="0" fontId="0" fillId="0" borderId="0" xfId="0" applyAlignment="1" applyProtection="1">
      <alignment horizontal="center" vertical="center"/>
    </xf>
    <xf numFmtId="0" fontId="0" fillId="0" borderId="0" xfId="0" applyFont="1" applyFill="1" applyBorder="1" applyAlignment="1" applyProtection="1">
      <alignment horizontal="center" vertical="center"/>
    </xf>
    <xf numFmtId="0" fontId="2" fillId="15" borderId="0" xfId="12" applyAlignment="1" applyProtection="1">
      <alignment horizontal="center" vertical="center"/>
    </xf>
    <xf numFmtId="0" fontId="2" fillId="10" borderId="0" xfId="19" applyAlignment="1" applyProtection="1">
      <alignment horizontal="center" vertical="center"/>
    </xf>
    <xf numFmtId="0" fontId="2" fillId="13" borderId="0" xfId="23" applyFont="1" applyAlignment="1" applyProtection="1">
      <alignment horizontal="center" vertical="center"/>
    </xf>
    <xf numFmtId="166" fontId="2" fillId="9" borderId="0" xfId="8" applyNumberFormat="1" applyFont="1" applyAlignment="1" applyProtection="1">
      <alignment horizontal="center" vertical="center"/>
    </xf>
    <xf numFmtId="166" fontId="2" fillId="14" borderId="0" xfId="24" applyNumberFormat="1" applyFont="1" applyAlignment="1" applyProtection="1">
      <alignment horizontal="center" vertical="center"/>
    </xf>
    <xf numFmtId="0" fontId="1" fillId="0" borderId="0" xfId="26" applyFill="1" applyBorder="1">
      <alignment horizontal="left" vertical="center" wrapText="1" indent="2"/>
    </xf>
    <xf numFmtId="1" fontId="1" fillId="0" borderId="0" xfId="25" applyFill="1" applyBorder="1" applyProtection="1">
      <alignment horizontal="center" vertical="center"/>
    </xf>
    <xf numFmtId="0" fontId="0" fillId="0" borderId="0" xfId="0" applyProtection="1">
      <alignment horizontal="left" vertical="center"/>
    </xf>
    <xf numFmtId="0" fontId="5" fillId="2" borderId="0" xfId="3" applyProtection="1">
      <alignment horizontal="center" vertical="center"/>
    </xf>
    <xf numFmtId="166" fontId="0" fillId="0" borderId="0" xfId="0" applyNumberFormat="1" applyFont="1" applyFill="1" applyBorder="1" applyAlignment="1" applyProtection="1">
      <alignment horizontal="center" vertical="center"/>
    </xf>
    <xf numFmtId="0" fontId="6" fillId="0" borderId="0" xfId="1" applyAlignment="1" applyProtection="1">
      <alignment vertical="top"/>
    </xf>
    <xf numFmtId="0" fontId="1" fillId="2" borderId="0" xfId="21" applyBorder="1" applyAlignment="1" applyProtection="1">
      <alignment horizontal="left" vertical="center" indent="1"/>
    </xf>
    <xf numFmtId="0" fontId="0" fillId="0" borderId="0" xfId="21" applyFont="1" applyFill="1" applyBorder="1" applyAlignment="1" applyProtection="1">
      <alignment horizontal="center" vertical="center"/>
    </xf>
    <xf numFmtId="0" fontId="1" fillId="0" borderId="0" xfId="26" applyFill="1" applyBorder="1" applyProtection="1">
      <alignment horizontal="left" vertical="center" wrapText="1" indent="2"/>
    </xf>
    <xf numFmtId="0" fontId="0" fillId="0" borderId="0" xfId="0" applyAlignment="1" applyProtection="1">
      <alignment horizontal="left" vertical="center" wrapText="1"/>
    </xf>
    <xf numFmtId="0" fontId="2" fillId="20" borderId="0" xfId="4" applyProtection="1">
      <alignment horizontal="right" vertical="center" indent="1"/>
    </xf>
    <xf numFmtId="0" fontId="7" fillId="0" borderId="0" xfId="27" applyProtection="1">
      <alignment horizontal="center"/>
    </xf>
    <xf numFmtId="0" fontId="0" fillId="0" borderId="0" xfId="0" applyFont="1" applyFill="1" applyBorder="1" applyAlignment="1" applyProtection="1">
      <alignment horizontal="left" vertical="center" indent="1"/>
    </xf>
    <xf numFmtId="0" fontId="6" fillId="0" borderId="0" xfId="1">
      <alignment vertical="top"/>
    </xf>
    <xf numFmtId="0" fontId="8" fillId="0" borderId="0" xfId="0" applyFont="1" applyFill="1" applyBorder="1" applyAlignment="1" applyProtection="1">
      <alignment horizontal="center" vertical="center"/>
    </xf>
    <xf numFmtId="0" fontId="1" fillId="0" borderId="0" xfId="26" applyNumberFormat="1" applyFill="1" applyProtection="1">
      <alignment horizontal="left" vertical="center" wrapText="1" indent="2"/>
    </xf>
    <xf numFmtId="0" fontId="0" fillId="0" borderId="0" xfId="26" applyFont="1">
      <alignment horizontal="left" vertical="center" wrapText="1" indent="2"/>
    </xf>
    <xf numFmtId="0" fontId="0" fillId="0" borderId="0" xfId="0" pivotButton="1">
      <alignment horizontal="left" vertical="center"/>
    </xf>
    <xf numFmtId="0" fontId="0" fillId="0" borderId="0" xfId="0" applyAlignment="1">
      <alignment horizontal="left" vertical="center"/>
    </xf>
    <xf numFmtId="0" fontId="0" fillId="0" borderId="0" xfId="0" applyAlignment="1">
      <alignment horizontal="left" vertical="center" indent="1"/>
    </xf>
    <xf numFmtId="0" fontId="5" fillId="2" borderId="0" xfId="3" applyProtection="1">
      <alignment horizontal="center" vertical="center"/>
    </xf>
    <xf numFmtId="0" fontId="1" fillId="2" borderId="0" xfId="21" applyAlignment="1" applyProtection="1">
      <alignment horizontal="left" vertical="center"/>
    </xf>
  </cellXfs>
  <cellStyles count="49">
    <cellStyle name="20 % - Accent1" xfId="15" builtinId="30" customBuiltin="1"/>
    <cellStyle name="20 % - Accent2" xfId="44" builtinId="34" customBuiltin="1"/>
    <cellStyle name="20 % - Accent3" xfId="21" builtinId="38" customBuiltin="1"/>
    <cellStyle name="20 % - Accent4" xfId="7" builtinId="42" customBuiltin="1"/>
    <cellStyle name="20 % - Accent5" xfId="47" builtinId="46" customBuiltin="1"/>
    <cellStyle name="20 % - Accent6" xfId="11" builtinId="50" customBuiltin="1"/>
    <cellStyle name="40 % - Accent1" xfId="16" builtinId="31" customBuiltin="1"/>
    <cellStyle name="40 % - Accent2" xfId="19" builtinId="35" customBuiltin="1"/>
    <cellStyle name="40 % - Accent3" xfId="22" builtinId="39" customBuiltin="1"/>
    <cellStyle name="40 % - Accent4" xfId="8" builtinId="43" customBuiltin="1"/>
    <cellStyle name="40 % - Accent5" xfId="24" builtinId="47" customBuiltin="1"/>
    <cellStyle name="40 % - Accent6" xfId="12" builtinId="51" customBuiltin="1"/>
    <cellStyle name="60 % - Accent1" xfId="17" builtinId="32" customBuiltin="1"/>
    <cellStyle name="60 % - Accent2" xfId="45" builtinId="36" customBuiltin="1"/>
    <cellStyle name="60 % - Accent3" xfId="23" builtinId="40" customBuiltin="1"/>
    <cellStyle name="60 % - Accent4" xfId="9" builtinId="44" customBuiltin="1"/>
    <cellStyle name="60 % - Accent5" xfId="48" builtinId="48" customBuiltin="1"/>
    <cellStyle name="60 % - Accent6" xfId="13" builtinId="52" customBuiltin="1"/>
    <cellStyle name="Accent1" xfId="14" builtinId="29" customBuiltin="1"/>
    <cellStyle name="Accent2" xfId="18" builtinId="33" customBuiltin="1"/>
    <cellStyle name="Accent3" xfId="20" builtinId="37" customBuiltin="1"/>
    <cellStyle name="Accent4" xfId="6" builtinId="41" customBuiltin="1"/>
    <cellStyle name="Accent5" xfId="46" builtinId="45" customBuiltin="1"/>
    <cellStyle name="Accent6" xfId="10" builtinId="49" customBuiltin="1"/>
    <cellStyle name="Avertissement" xfId="41" builtinId="11" customBuiltin="1"/>
    <cellStyle name="Calcul" xfId="38" builtinId="22" customBuiltin="1"/>
    <cellStyle name="Cellule liée" xfId="39" builtinId="24" customBuiltin="1"/>
    <cellStyle name="Employé" xfId="26" xr:uid="{00000000-0005-0000-0000-000013000000}"/>
    <cellStyle name="Entrée" xfId="36" builtinId="20" customBuiltin="1"/>
    <cellStyle name="Étiquette" xfId="27" xr:uid="{00000000-0005-0000-0000-000018000000}"/>
    <cellStyle name="Insatisfaisant" xfId="34" builtinId="27" customBuiltin="1"/>
    <cellStyle name="Milliers" xfId="28" builtinId="3" customBuiltin="1"/>
    <cellStyle name="Milliers [0]" xfId="29" builtinId="6" customBuiltin="1"/>
    <cellStyle name="Monétaire" xfId="30" builtinId="4" customBuiltin="1"/>
    <cellStyle name="Monétaire [0]" xfId="31" builtinId="7" customBuiltin="1"/>
    <cellStyle name="Neutre" xfId="35" builtinId="28" customBuiltin="1"/>
    <cellStyle name="Normal" xfId="0" builtinId="0" customBuiltin="1"/>
    <cellStyle name="Note" xfId="42" builtinId="10" customBuiltin="1"/>
    <cellStyle name="Pourcentage" xfId="32" builtinId="5" customBuiltin="1"/>
    <cellStyle name="Satisfaisant" xfId="33" builtinId="26" customBuiltin="1"/>
    <cellStyle name="Sortie" xfId="37" builtinId="21" customBuiltin="1"/>
    <cellStyle name="Texte explicatif" xfId="43" builtinId="53" customBuiltin="1"/>
    <cellStyle name="Titre" xfId="1" builtinId="15" customBuiltin="1"/>
    <cellStyle name="Titre 1" xfId="2" builtinId="16" customBuiltin="1"/>
    <cellStyle name="Titre 2" xfId="3" builtinId="17" customBuiltin="1"/>
    <cellStyle name="Titre 3" xfId="4" builtinId="18" customBuiltin="1"/>
    <cellStyle name="Titre 4" xfId="5" builtinId="19" customBuiltin="1"/>
    <cellStyle name="Total" xfId="25" builtinId="25" customBuiltin="1"/>
    <cellStyle name="Vérification" xfId="40" builtinId="23" customBuiltin="1"/>
  </cellStyles>
  <dxfs count="903">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color theme="0"/>
      </font>
      <border>
        <vertical/>
        <horizontal/>
      </border>
    </dxf>
    <dxf>
      <font>
        <b val="0"/>
        <i val="0"/>
        <color theme="3"/>
      </font>
      <border>
        <vertical/>
        <horizontal/>
      </border>
    </dxf>
    <dxf>
      <font>
        <color theme="1"/>
      </font>
      <fill>
        <patternFill>
          <bgColor theme="4" tint="0.39994506668294322"/>
        </patternFill>
      </fill>
    </dxf>
    <dxf>
      <font>
        <color theme="1"/>
      </font>
      <fill>
        <patternFill>
          <bgColor theme="5" tint="0.59996337778862885"/>
        </patternFill>
      </fill>
    </dxf>
    <dxf>
      <font>
        <color theme="1"/>
      </font>
      <fill>
        <patternFill>
          <bgColor theme="6" tint="0.39994506668294322"/>
        </patternFill>
      </fill>
    </dxf>
    <dxf>
      <font>
        <color theme="1"/>
      </font>
      <fill>
        <patternFill>
          <bgColor theme="7" tint="0.59996337778862885"/>
        </patternFill>
      </fill>
    </dxf>
    <dxf>
      <font>
        <color theme="1"/>
      </font>
      <fill>
        <patternFill>
          <bgColor theme="8" tint="0.59996337778862885"/>
        </patternFill>
      </fill>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font>
        <b val="0"/>
        <i val="0"/>
        <strike val="0"/>
        <condense val="0"/>
        <extend val="0"/>
        <outline val="0"/>
        <shadow val="0"/>
        <u val="none"/>
        <vertAlign val="baseline"/>
        <sz val="11"/>
        <color theme="1"/>
        <name val="Calibri"/>
        <family val="2"/>
        <scheme val="minor"/>
      </font>
      <alignment horizontal="left" vertical="center" textRotation="0" wrapText="1" indent="2" justifyLastLine="0" shrinkToFit="0" readingOrder="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numFmt numFmtId="166" formatCode="0;0;"/>
      <fill>
        <patternFill patternType="none">
          <fgColor indexed="64"/>
          <bgColor indexed="65"/>
        </patternFill>
      </fill>
      <alignment horizontal="center" vertical="center" textRotation="0" wrapText="0" indent="0" justifyLastLine="0" shrinkToFit="0" readingOrder="0"/>
      <border diagonalUp="0" diagonalDown="0" outline="0">
        <left/>
        <right/>
        <top/>
        <bottom/>
      </border>
      <protection locked="1" hidden="0"/>
    </dxf>
    <dxf>
      <protection locked="1" hidden="0"/>
    </dxf>
    <dxf>
      <font>
        <b val="0"/>
        <i val="0"/>
        <strike val="0"/>
        <condense val="0"/>
        <extend val="0"/>
        <outline val="0"/>
        <shadow val="0"/>
        <u val="none"/>
        <vertAlign val="baseline"/>
        <sz val="11"/>
        <color theme="1"/>
        <name val="Calibri"/>
        <family val="2"/>
        <scheme val="minor"/>
      </font>
      <fill>
        <patternFill patternType="none">
          <fgColor indexed="64"/>
          <bgColor indexed="65"/>
        </patternFill>
      </fill>
      <alignment horizontal="left" vertical="center" textRotation="0" wrapText="0" indent="1" justifyLastLine="0" shrinkToFit="0" readingOrder="0"/>
      <border diagonalUp="0" diagonalDown="0" outline="0">
        <left/>
        <right/>
        <top/>
        <bottom/>
      </border>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numFmt numFmtId="1" formatCode="0"/>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numFmt numFmtId="0" formatCode="General"/>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protection locked="1" hidden="0"/>
    </dxf>
    <dxf>
      <fill>
        <patternFill patternType="none">
          <fgColor indexed="64"/>
          <bgColor indexed="65"/>
        </patternFill>
      </fill>
    </dxf>
    <dxf>
      <protection locked="1" hidden="0"/>
    </dxf>
    <dxf>
      <protection locked="1" hidden="0"/>
    </dxf>
    <dxf>
      <protection locked="1" hidden="0"/>
    </dxf>
    <dxf>
      <fill>
        <patternFill patternType="solid">
          <bgColor theme="6" tint="0.79998168889431442"/>
        </patternFill>
      </fill>
      <border diagonalUp="0" diagonalDown="0">
        <left/>
        <right/>
        <top style="thin">
          <color theme="0" tint="-0.14996795556505021"/>
        </top>
        <bottom style="medium">
          <color theme="2" tint="-0.499984740745262"/>
        </bottom>
        <vertical/>
        <horizontal/>
      </border>
    </dxf>
    <dxf>
      <font>
        <color theme="1"/>
      </font>
      <fill>
        <patternFill patternType="solid">
          <bgColor theme="6" tint="0.79998168889431442"/>
        </patternFill>
      </fill>
      <border diagonalUp="0" diagonalDown="0">
        <left/>
        <right/>
        <top style="thin">
          <color theme="0" tint="-0.14993743705557422"/>
        </top>
        <bottom style="medium">
          <color theme="2" tint="-0.499984740745262"/>
        </bottom>
        <vertical/>
        <horizontal style="thin">
          <color theme="0" tint="-0.14993743705557422"/>
        </horizontal>
      </border>
    </dxf>
    <dxf>
      <font>
        <color theme="1"/>
      </font>
      <fill>
        <patternFill patternType="solid">
          <bgColor theme="2"/>
        </patternFill>
      </fill>
      <border diagonalUp="0" diagonalDown="0">
        <left/>
        <right/>
        <top/>
        <bottom style="thin">
          <color theme="0" tint="-0.14996795556505021"/>
        </bottom>
        <vertical/>
        <horizontal/>
      </border>
    </dxf>
    <dxf>
      <font>
        <color theme="1"/>
      </font>
      <fill>
        <patternFill patternType="none">
          <bgColor auto="1"/>
        </patternFill>
      </fill>
      <border diagonalUp="0" diagonalDown="0">
        <left/>
        <right/>
        <top style="thin">
          <color theme="0" tint="-0.14996795556505021"/>
        </top>
        <bottom style="thin">
          <color theme="0" tint="-0.14993743705557422"/>
        </bottom>
        <vertical/>
        <horizontal/>
      </border>
    </dxf>
    <dxf>
      <fill>
        <patternFill>
          <bgColor theme="0" tint="-0.14996795556505021"/>
        </patternFill>
      </fill>
      <border>
        <left style="thin">
          <color theme="0"/>
        </left>
        <right style="thin">
          <color theme="0"/>
        </right>
        <vertical style="thin">
          <color theme="0"/>
        </vertical>
      </border>
    </dxf>
    <dxf>
      <fill>
        <patternFill>
          <bgColor theme="0" tint="-4.9989318521683403E-2"/>
        </patternFill>
      </fill>
      <border>
        <left style="thin">
          <color theme="0"/>
        </left>
        <right style="thin">
          <color theme="0"/>
        </right>
        <vertical style="thin">
          <color theme="0"/>
        </vertical>
      </border>
    </dxf>
    <dxf>
      <fill>
        <patternFill>
          <bgColor theme="0" tint="-0.14996795556505021"/>
        </patternFill>
      </fill>
    </dxf>
    <dxf>
      <fill>
        <patternFill patternType="solid">
          <fgColor theme="4" tint="0.79992065187536243"/>
          <bgColor theme="0" tint="-4.9989318521683403E-2"/>
        </patternFill>
      </fill>
    </dxf>
    <dxf>
      <font>
        <color theme="1"/>
      </font>
      <fill>
        <patternFill patternType="none">
          <bgColor auto="1"/>
        </patternFill>
      </fill>
      <border diagonalUp="0" diagonalDown="0">
        <left/>
        <right/>
        <top/>
        <bottom style="thin">
          <color theme="0" tint="-0.14996795556505021"/>
        </bottom>
        <vertical/>
        <horizontal style="thin">
          <color theme="0" tint="-0.14996795556505021"/>
        </horizontal>
      </border>
    </dxf>
    <dxf>
      <font>
        <color theme="1"/>
      </font>
      <fill>
        <patternFill patternType="none">
          <bgColor auto="1"/>
        </patternFill>
      </fill>
      <border>
        <left/>
        <right/>
        <top style="thin">
          <color theme="2" tint="-9.9917600024414813E-2"/>
        </top>
        <bottom style="thin">
          <color theme="2" tint="-9.9948118533890809E-2"/>
        </bottom>
        <vertical/>
        <horizontal style="thin">
          <color theme="2" tint="-9.9917600024414813E-2"/>
        </horizontal>
      </border>
    </dxf>
    <dxf>
      <font>
        <color theme="1"/>
      </font>
      <fill>
        <patternFill>
          <bgColor theme="6" tint="0.79998168889431442"/>
        </patternFill>
      </fill>
      <border diagonalUp="0" diagonalDown="0">
        <left style="thin">
          <color theme="0"/>
        </left>
        <right style="thin">
          <color theme="0"/>
        </right>
        <top/>
        <bottom style="medium">
          <color theme="2" tint="-0.499984740745262"/>
        </bottom>
        <vertical style="thin">
          <color theme="0"/>
        </vertical>
        <horizontal/>
      </border>
    </dxf>
    <dxf>
      <font>
        <color theme="0"/>
      </font>
      <fill>
        <patternFill>
          <bgColor theme="3"/>
        </patternFill>
      </fill>
    </dxf>
    <dxf>
      <font>
        <color theme="1"/>
      </font>
      <border diagonalUp="0" diagonalDown="0">
        <left/>
        <right/>
        <top/>
        <bottom/>
        <vertical style="thin">
          <color theme="0"/>
        </vertical>
        <horizontal/>
      </border>
    </dxf>
  </dxfs>
  <tableStyles count="1" defaultPivotStyle="PivotStyleLight16">
    <tableStyle name="Tableau des absences des employés" pivot="0" count="13" xr9:uid="{00000000-0011-0000-FFFF-FFFF00000000}">
      <tableStyleElement type="wholeTable" dxfId="902"/>
      <tableStyleElement type="headerRow" dxfId="901"/>
      <tableStyleElement type="totalRow" dxfId="900"/>
      <tableStyleElement type="firstColumn" dxfId="899"/>
      <tableStyleElement type="lastColumn" dxfId="898"/>
      <tableStyleElement type="firstRowStripe" dxfId="897"/>
      <tableStyleElement type="secondRowStripe" dxfId="896"/>
      <tableStyleElement type="firstColumnStripe" dxfId="895"/>
      <tableStyleElement type="secondColumnStripe" dxfId="894"/>
      <tableStyleElement type="firstHeaderCell" dxfId="893"/>
      <tableStyleElement type="lastHeaderCell" dxfId="892"/>
      <tableStyleElement type="firstTotalCell" dxfId="891"/>
      <tableStyleElement type="lastTotalCell" dxfId="89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pivotCacheDefinition" Target="pivotCache/pivotCacheDefinition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ctrlProps/ctrlProp1.xml><?xml version="1.0" encoding="utf-8"?>
<formControlPr xmlns="http://schemas.microsoft.com/office/spreadsheetml/2009/9/main" objectType="List" dx="26" noThreeD="1" sel="0" val="0"/>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7</xdr:col>
          <xdr:colOff>152400</xdr:colOff>
          <xdr:row>21</xdr:row>
          <xdr:rowOff>76200</xdr:rowOff>
        </xdr:from>
        <xdr:to>
          <xdr:col>10</xdr:col>
          <xdr:colOff>104775</xdr:colOff>
          <xdr:row>23</xdr:row>
          <xdr:rowOff>247650</xdr:rowOff>
        </xdr:to>
        <xdr:sp macro="" textlink="">
          <xdr:nvSpPr>
            <xdr:cNvPr id="3076" name="List Box 4" hidden="1">
              <a:extLst>
                <a:ext uri="{63B3BB69-23CF-44E3-9099-C40C66FF867C}">
                  <a14:compatExt spid="_x0000_s3076"/>
                </a:ext>
                <a:ext uri="{FF2B5EF4-FFF2-40B4-BE49-F238E27FC236}">
                  <a16:creationId xmlns:a16="http://schemas.microsoft.com/office/drawing/2014/main" id="{00000000-0008-0000-0700-0000040C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xmlns:mc="http://schemas.openxmlformats.org/markup-compatibility/2006" xmlns:xr="http://schemas.microsoft.com/office/spreadsheetml/2014/revision" mc:Ignorable="xr" r:id="rId1" refreshedBy="Cayole" refreshedDate="43943.527964814813" createdVersion="6" refreshedVersion="6" minRefreshableVersion="3" recordCount="20" xr:uid="{B5AAFB6E-D9A6-4258-94A5-9B52BDCDA96F}">
  <cacheSource type="worksheet">
    <worksheetSource name="Janvier"/>
  </cacheSource>
  <cacheFields count="33">
    <cacheField name="Nom de l’employé" numFmtId="0">
      <sharedItems count="20">
        <s v="Employé 1"/>
        <s v="Employé 2"/>
        <s v="Employé 3"/>
        <s v="Employé 4"/>
        <s v="Employé 5"/>
        <s v="Employé 6"/>
        <s v="Employé 7"/>
        <s v="Employé 8"/>
        <s v="Employé 9"/>
        <s v="Employé 10"/>
        <s v="Employé 11"/>
        <s v="Employé 12"/>
        <s v="Employé 13"/>
        <s v="Employé 14"/>
        <s v="Employé 15"/>
        <s v="Employé 16"/>
        <s v="Employé 17"/>
        <s v="Employé 18"/>
        <s v="Employé 19"/>
        <s v="Employé 20"/>
      </sharedItems>
    </cacheField>
    <cacheField name="1" numFmtId="0">
      <sharedItems containsNonDate="0" containsString="0" containsBlank="1" count="1">
        <m/>
      </sharedItems>
    </cacheField>
    <cacheField name="2" numFmtId="0">
      <sharedItems containsNonDate="0" containsString="0" containsBlank="1"/>
    </cacheField>
    <cacheField name="3" numFmtId="0">
      <sharedItems containsNonDate="0" containsString="0" containsBlank="1"/>
    </cacheField>
    <cacheField name="4" numFmtId="0">
      <sharedItems containsNonDate="0" containsString="0" containsBlank="1"/>
    </cacheField>
    <cacheField name="5" numFmtId="0">
      <sharedItems containsNonDate="0" containsString="0" containsBlank="1"/>
    </cacheField>
    <cacheField name="6" numFmtId="0">
      <sharedItems containsNonDate="0" containsString="0" containsBlank="1"/>
    </cacheField>
    <cacheField name="7" numFmtId="0">
      <sharedItems containsNonDate="0" containsString="0" containsBlank="1"/>
    </cacheField>
    <cacheField name="8" numFmtId="0">
      <sharedItems containsNonDate="0" containsString="0" containsBlank="1"/>
    </cacheField>
    <cacheField name="9" numFmtId="0">
      <sharedItems containsNonDate="0" containsString="0" containsBlank="1"/>
    </cacheField>
    <cacheField name="10" numFmtId="0">
      <sharedItems containsNonDate="0" containsString="0" containsBlank="1"/>
    </cacheField>
    <cacheField name="11" numFmtId="0">
      <sharedItems containsNonDate="0" containsString="0" containsBlank="1"/>
    </cacheField>
    <cacheField name="12" numFmtId="0">
      <sharedItems containsNonDate="0" containsString="0" containsBlank="1"/>
    </cacheField>
    <cacheField name="13" numFmtId="0">
      <sharedItems containsNonDate="0" containsString="0" containsBlank="1"/>
    </cacheField>
    <cacheField name="14" numFmtId="0">
      <sharedItems containsNonDate="0" containsString="0" containsBlank="1"/>
    </cacheField>
    <cacheField name="15" numFmtId="0">
      <sharedItems containsNonDate="0" containsString="0" containsBlank="1"/>
    </cacheField>
    <cacheField name="16" numFmtId="0">
      <sharedItems containsNonDate="0" containsString="0" containsBlank="1"/>
    </cacheField>
    <cacheField name="17" numFmtId="0">
      <sharedItems containsNonDate="0" containsString="0" containsBlank="1"/>
    </cacheField>
    <cacheField name="18" numFmtId="0">
      <sharedItems containsNonDate="0" containsString="0" containsBlank="1"/>
    </cacheField>
    <cacheField name="19" numFmtId="0">
      <sharedItems containsNonDate="0" containsString="0" containsBlank="1"/>
    </cacheField>
    <cacheField name="20" numFmtId="0">
      <sharedItems containsNonDate="0" containsString="0" containsBlank="1"/>
    </cacheField>
    <cacheField name="21" numFmtId="0">
      <sharedItems containsNonDate="0" containsString="0" containsBlank="1"/>
    </cacheField>
    <cacheField name="22" numFmtId="0">
      <sharedItems containsNonDate="0" containsString="0" containsBlank="1"/>
    </cacheField>
    <cacheField name="23" numFmtId="0">
      <sharedItems containsNonDate="0" containsString="0" containsBlank="1"/>
    </cacheField>
    <cacheField name="24" numFmtId="0">
      <sharedItems containsNonDate="0" containsString="0" containsBlank="1"/>
    </cacheField>
    <cacheField name="25" numFmtId="0">
      <sharedItems containsNonDate="0" containsString="0" containsBlank="1"/>
    </cacheField>
    <cacheField name="26" numFmtId="0">
      <sharedItems containsNonDate="0" containsString="0" containsBlank="1"/>
    </cacheField>
    <cacheField name="27" numFmtId="0">
      <sharedItems containsNonDate="0" containsString="0" containsBlank="1"/>
    </cacheField>
    <cacheField name="28" numFmtId="0">
      <sharedItems containsNonDate="0" containsString="0" containsBlank="1"/>
    </cacheField>
    <cacheField name="29" numFmtId="0">
      <sharedItems containsNonDate="0" containsString="0" containsBlank="1"/>
    </cacheField>
    <cacheField name="30" numFmtId="0">
      <sharedItems containsNonDate="0" containsString="0" containsBlank="1"/>
    </cacheField>
    <cacheField name="31" numFmtId="0">
      <sharedItems containsNonDate="0" containsString="0" containsBlank="1"/>
    </cacheField>
    <cacheField name="Total des jours" numFmtId="0">
      <sharedItems containsSemiMixedTypes="0" containsString="0" containsNumber="1" containsInteger="1" minValue="0" maxValue="0"/>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xmlns:mc="http://schemas.openxmlformats.org/markup-compatibility/2006" xmlns:xr="http://schemas.microsoft.com/office/spreadsheetml/2014/revision" mc:Ignorable="xr" count="20">
  <r>
    <x v="0"/>
    <x v="0"/>
    <m/>
    <m/>
    <m/>
    <m/>
    <m/>
    <m/>
    <m/>
    <m/>
    <m/>
    <m/>
    <m/>
    <m/>
    <m/>
    <m/>
    <m/>
    <m/>
    <m/>
    <m/>
    <m/>
    <m/>
    <m/>
    <m/>
    <m/>
    <m/>
    <m/>
    <m/>
    <m/>
    <m/>
    <m/>
    <m/>
    <n v="0"/>
  </r>
  <r>
    <x v="1"/>
    <x v="0"/>
    <m/>
    <m/>
    <m/>
    <m/>
    <m/>
    <m/>
    <m/>
    <m/>
    <m/>
    <m/>
    <m/>
    <m/>
    <m/>
    <m/>
    <m/>
    <m/>
    <m/>
    <m/>
    <m/>
    <m/>
    <m/>
    <m/>
    <m/>
    <m/>
    <m/>
    <m/>
    <m/>
    <m/>
    <m/>
    <m/>
    <n v="0"/>
  </r>
  <r>
    <x v="2"/>
    <x v="0"/>
    <m/>
    <m/>
    <m/>
    <m/>
    <m/>
    <m/>
    <m/>
    <m/>
    <m/>
    <m/>
    <m/>
    <m/>
    <m/>
    <m/>
    <m/>
    <m/>
    <m/>
    <m/>
    <m/>
    <m/>
    <m/>
    <m/>
    <m/>
    <m/>
    <m/>
    <m/>
    <m/>
    <m/>
    <m/>
    <m/>
    <n v="0"/>
  </r>
  <r>
    <x v="3"/>
    <x v="0"/>
    <m/>
    <m/>
    <m/>
    <m/>
    <m/>
    <m/>
    <m/>
    <m/>
    <m/>
    <m/>
    <m/>
    <m/>
    <m/>
    <m/>
    <m/>
    <m/>
    <m/>
    <m/>
    <m/>
    <m/>
    <m/>
    <m/>
    <m/>
    <m/>
    <m/>
    <m/>
    <m/>
    <m/>
    <m/>
    <m/>
    <n v="0"/>
  </r>
  <r>
    <x v="4"/>
    <x v="0"/>
    <m/>
    <m/>
    <m/>
    <m/>
    <m/>
    <m/>
    <m/>
    <m/>
    <m/>
    <m/>
    <m/>
    <m/>
    <m/>
    <m/>
    <m/>
    <m/>
    <m/>
    <m/>
    <m/>
    <m/>
    <m/>
    <m/>
    <m/>
    <m/>
    <m/>
    <m/>
    <m/>
    <m/>
    <m/>
    <m/>
    <n v="0"/>
  </r>
  <r>
    <x v="5"/>
    <x v="0"/>
    <m/>
    <m/>
    <m/>
    <m/>
    <m/>
    <m/>
    <m/>
    <m/>
    <m/>
    <m/>
    <m/>
    <m/>
    <m/>
    <m/>
    <m/>
    <m/>
    <m/>
    <m/>
    <m/>
    <m/>
    <m/>
    <m/>
    <m/>
    <m/>
    <m/>
    <m/>
    <m/>
    <m/>
    <m/>
    <m/>
    <n v="0"/>
  </r>
  <r>
    <x v="6"/>
    <x v="0"/>
    <m/>
    <m/>
    <m/>
    <m/>
    <m/>
    <m/>
    <m/>
    <m/>
    <m/>
    <m/>
    <m/>
    <m/>
    <m/>
    <m/>
    <m/>
    <m/>
    <m/>
    <m/>
    <m/>
    <m/>
    <m/>
    <m/>
    <m/>
    <m/>
    <m/>
    <m/>
    <m/>
    <m/>
    <m/>
    <m/>
    <n v="0"/>
  </r>
  <r>
    <x v="7"/>
    <x v="0"/>
    <m/>
    <m/>
    <m/>
    <m/>
    <m/>
    <m/>
    <m/>
    <m/>
    <m/>
    <m/>
    <m/>
    <m/>
    <m/>
    <m/>
    <m/>
    <m/>
    <m/>
    <m/>
    <m/>
    <m/>
    <m/>
    <m/>
    <m/>
    <m/>
    <m/>
    <m/>
    <m/>
    <m/>
    <m/>
    <m/>
    <n v="0"/>
  </r>
  <r>
    <x v="8"/>
    <x v="0"/>
    <m/>
    <m/>
    <m/>
    <m/>
    <m/>
    <m/>
    <m/>
    <m/>
    <m/>
    <m/>
    <m/>
    <m/>
    <m/>
    <m/>
    <m/>
    <m/>
    <m/>
    <m/>
    <m/>
    <m/>
    <m/>
    <m/>
    <m/>
    <m/>
    <m/>
    <m/>
    <m/>
    <m/>
    <m/>
    <m/>
    <n v="0"/>
  </r>
  <r>
    <x v="9"/>
    <x v="0"/>
    <m/>
    <m/>
    <m/>
    <m/>
    <m/>
    <m/>
    <m/>
    <m/>
    <m/>
    <m/>
    <m/>
    <m/>
    <m/>
    <m/>
    <m/>
    <m/>
    <m/>
    <m/>
    <m/>
    <m/>
    <m/>
    <m/>
    <m/>
    <m/>
    <m/>
    <m/>
    <m/>
    <m/>
    <m/>
    <m/>
    <n v="0"/>
  </r>
  <r>
    <x v="10"/>
    <x v="0"/>
    <m/>
    <m/>
    <m/>
    <m/>
    <m/>
    <m/>
    <m/>
    <m/>
    <m/>
    <m/>
    <m/>
    <m/>
    <m/>
    <m/>
    <m/>
    <m/>
    <m/>
    <m/>
    <m/>
    <m/>
    <m/>
    <m/>
    <m/>
    <m/>
    <m/>
    <m/>
    <m/>
    <m/>
    <m/>
    <m/>
    <n v="0"/>
  </r>
  <r>
    <x v="11"/>
    <x v="0"/>
    <m/>
    <m/>
    <m/>
    <m/>
    <m/>
    <m/>
    <m/>
    <m/>
    <m/>
    <m/>
    <m/>
    <m/>
    <m/>
    <m/>
    <m/>
    <m/>
    <m/>
    <m/>
    <m/>
    <m/>
    <m/>
    <m/>
    <m/>
    <m/>
    <m/>
    <m/>
    <m/>
    <m/>
    <m/>
    <m/>
    <n v="0"/>
  </r>
  <r>
    <x v="12"/>
    <x v="0"/>
    <m/>
    <m/>
    <m/>
    <m/>
    <m/>
    <m/>
    <m/>
    <m/>
    <m/>
    <m/>
    <m/>
    <m/>
    <m/>
    <m/>
    <m/>
    <m/>
    <m/>
    <m/>
    <m/>
    <m/>
    <m/>
    <m/>
    <m/>
    <m/>
    <m/>
    <m/>
    <m/>
    <m/>
    <m/>
    <m/>
    <n v="0"/>
  </r>
  <r>
    <x v="13"/>
    <x v="0"/>
    <m/>
    <m/>
    <m/>
    <m/>
    <m/>
    <m/>
    <m/>
    <m/>
    <m/>
    <m/>
    <m/>
    <m/>
    <m/>
    <m/>
    <m/>
    <m/>
    <m/>
    <m/>
    <m/>
    <m/>
    <m/>
    <m/>
    <m/>
    <m/>
    <m/>
    <m/>
    <m/>
    <m/>
    <m/>
    <m/>
    <n v="0"/>
  </r>
  <r>
    <x v="14"/>
    <x v="0"/>
    <m/>
    <m/>
    <m/>
    <m/>
    <m/>
    <m/>
    <m/>
    <m/>
    <m/>
    <m/>
    <m/>
    <m/>
    <m/>
    <m/>
    <m/>
    <m/>
    <m/>
    <m/>
    <m/>
    <m/>
    <m/>
    <m/>
    <m/>
    <m/>
    <m/>
    <m/>
    <m/>
    <m/>
    <m/>
    <m/>
    <n v="0"/>
  </r>
  <r>
    <x v="15"/>
    <x v="0"/>
    <m/>
    <m/>
    <m/>
    <m/>
    <m/>
    <m/>
    <m/>
    <m/>
    <m/>
    <m/>
    <m/>
    <m/>
    <m/>
    <m/>
    <m/>
    <m/>
    <m/>
    <m/>
    <m/>
    <m/>
    <m/>
    <m/>
    <m/>
    <m/>
    <m/>
    <m/>
    <m/>
    <m/>
    <m/>
    <m/>
    <n v="0"/>
  </r>
  <r>
    <x v="16"/>
    <x v="0"/>
    <m/>
    <m/>
    <m/>
    <m/>
    <m/>
    <m/>
    <m/>
    <m/>
    <m/>
    <m/>
    <m/>
    <m/>
    <m/>
    <m/>
    <m/>
    <m/>
    <m/>
    <m/>
    <m/>
    <m/>
    <m/>
    <m/>
    <m/>
    <m/>
    <m/>
    <m/>
    <m/>
    <m/>
    <m/>
    <m/>
    <n v="0"/>
  </r>
  <r>
    <x v="17"/>
    <x v="0"/>
    <m/>
    <m/>
    <m/>
    <m/>
    <m/>
    <m/>
    <m/>
    <m/>
    <m/>
    <m/>
    <m/>
    <m/>
    <m/>
    <m/>
    <m/>
    <m/>
    <m/>
    <m/>
    <m/>
    <m/>
    <m/>
    <m/>
    <m/>
    <m/>
    <m/>
    <m/>
    <m/>
    <m/>
    <m/>
    <m/>
    <n v="0"/>
  </r>
  <r>
    <x v="18"/>
    <x v="0"/>
    <m/>
    <m/>
    <m/>
    <m/>
    <m/>
    <m/>
    <m/>
    <m/>
    <m/>
    <m/>
    <m/>
    <m/>
    <m/>
    <m/>
    <m/>
    <m/>
    <m/>
    <m/>
    <m/>
    <m/>
    <m/>
    <m/>
    <m/>
    <m/>
    <m/>
    <m/>
    <m/>
    <m/>
    <m/>
    <m/>
    <n v="0"/>
  </r>
  <r>
    <x v="19"/>
    <x v="0"/>
    <m/>
    <m/>
    <m/>
    <m/>
    <m/>
    <m/>
    <m/>
    <m/>
    <m/>
    <m/>
    <m/>
    <m/>
    <m/>
    <m/>
    <m/>
    <m/>
    <m/>
    <m/>
    <m/>
    <m/>
    <m/>
    <m/>
    <m/>
    <m/>
    <m/>
    <m/>
    <m/>
    <m/>
    <m/>
    <m/>
    <n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xmlns:mc="http://schemas.openxmlformats.org/markup-compatibility/2006" xmlns:xr="http://schemas.microsoft.com/office/spreadsheetml/2014/revision" mc:Ignorable="xr" xr:uid="{50C81917-BF84-4936-9408-345E973F0253}" name="Tableau croisé dynamique3" cacheId="0" applyNumberFormats="0" applyBorderFormats="0" applyFontFormats="0" applyPatternFormats="0" applyAlignmentFormats="0" applyWidthHeightFormats="1" dataCaption="Valeurs" updatedVersion="6" minRefreshableVersion="3" useAutoFormatting="1" itemPrintTitles="1" createdVersion="6" indent="0" outline="1" outlineData="1" multipleFieldFilters="0">
  <location ref="A3:A43" firstHeaderRow="1" firstDataRow="1" firstDataCol="1"/>
  <pivotFields count="33">
    <pivotField axis="axisRow" showAll="0">
      <items count="21">
        <item sd="0" x="0"/>
        <item x="1"/>
        <item x="2"/>
        <item x="3"/>
        <item x="4"/>
        <item x="5"/>
        <item x="6"/>
        <item x="7"/>
        <item x="8"/>
        <item x="9"/>
        <item x="10"/>
        <item x="11"/>
        <item x="12"/>
        <item x="13"/>
        <item x="14"/>
        <item x="15"/>
        <item x="16"/>
        <item x="17"/>
        <item x="18"/>
        <item x="19"/>
        <item t="default"/>
      </items>
    </pivotField>
    <pivotField axis="axisRow" showAll="0">
      <items count="2">
        <item x="0"/>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showAll="0"/>
    <pivotField numFmtId="1" showAll="0"/>
  </pivotFields>
  <rowFields count="2">
    <field x="0"/>
    <field x="1"/>
  </rowFields>
  <rowItems count="40">
    <i>
      <x/>
    </i>
    <i>
      <x v="1"/>
    </i>
    <i r="1">
      <x/>
    </i>
    <i>
      <x v="2"/>
    </i>
    <i r="1">
      <x/>
    </i>
    <i>
      <x v="3"/>
    </i>
    <i r="1">
      <x/>
    </i>
    <i>
      <x v="4"/>
    </i>
    <i r="1">
      <x/>
    </i>
    <i>
      <x v="5"/>
    </i>
    <i r="1">
      <x/>
    </i>
    <i>
      <x v="6"/>
    </i>
    <i r="1">
      <x/>
    </i>
    <i>
      <x v="7"/>
    </i>
    <i r="1">
      <x/>
    </i>
    <i>
      <x v="8"/>
    </i>
    <i r="1">
      <x/>
    </i>
    <i>
      <x v="9"/>
    </i>
    <i r="1">
      <x/>
    </i>
    <i>
      <x v="10"/>
    </i>
    <i r="1">
      <x/>
    </i>
    <i>
      <x v="11"/>
    </i>
    <i r="1">
      <x/>
    </i>
    <i>
      <x v="12"/>
    </i>
    <i r="1">
      <x/>
    </i>
    <i>
      <x v="13"/>
    </i>
    <i r="1">
      <x/>
    </i>
    <i>
      <x v="14"/>
    </i>
    <i r="1">
      <x/>
    </i>
    <i>
      <x v="15"/>
    </i>
    <i r="1">
      <x/>
    </i>
    <i>
      <x v="16"/>
    </i>
    <i r="1">
      <x/>
    </i>
    <i>
      <x v="17"/>
    </i>
    <i r="1">
      <x/>
    </i>
    <i>
      <x v="18"/>
    </i>
    <i r="1">
      <x/>
    </i>
    <i>
      <x v="19"/>
    </i>
    <i r="1">
      <x/>
    </i>
    <i t="grand">
      <x/>
    </i>
  </rowItems>
  <colItems count="1">
    <i/>
  </colItem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 xmlns:xpdl="http://schemas.microsoft.com/office/spreadsheetml/2016/pivotdefaultlayout" uri="{747A6164-185A-40DC-8AA5-F01512510D54}">
      <xpdl:pivotTableDefinition16/>
    </ext>
  </extLst>
</pivotTableDefinition>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0000000}" name="Janvier" displayName="Janvier" ref="B6:AH27" totalsRowCount="1" headerRowDxfId="889" dataDxfId="888" totalsRowDxfId="887">
  <autoFilter ref="B6:AH26" xr:uid="{00000000-0009-0000-0100-000003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autoFilter>
  <tableColumns count="33">
    <tableColumn id="1" xr3:uid="{00000000-0010-0000-0000-000001000000}" name="Nom de l’employé" totalsRowFunction="custom" dataDxfId="886" totalsRowDxfId="358" dataCellStyle="Employé">
      <totalsRowFormula>NomMois&amp;" Total"</totalsRowFormula>
    </tableColumn>
    <tableColumn id="2" xr3:uid="{00000000-0010-0000-0000-000002000000}" name="1" totalsRowFunction="custom" dataDxfId="885" totalsRowDxfId="357">
      <totalsRowFormula>SUBTOTAL(103,Janvier!$C$7:$C$26)</totalsRowFormula>
    </tableColumn>
    <tableColumn id="3" xr3:uid="{00000000-0010-0000-0000-000003000000}" name="2" totalsRowFunction="custom" dataDxfId="884" totalsRowDxfId="356">
      <totalsRowFormula>SUBTOTAL(103,Janvier!$D$7:$D$26)</totalsRowFormula>
    </tableColumn>
    <tableColumn id="4" xr3:uid="{00000000-0010-0000-0000-000004000000}" name="3" totalsRowFunction="custom" dataDxfId="883" totalsRowDxfId="355">
      <totalsRowFormula>SUBTOTAL(103,Janvier!$E$7:$E$26)</totalsRowFormula>
    </tableColumn>
    <tableColumn id="5" xr3:uid="{00000000-0010-0000-0000-000005000000}" name="4" totalsRowFunction="custom" dataDxfId="882" totalsRowDxfId="354">
      <totalsRowFormula>SUBTOTAL(103,Janvier!$F$7:$F$26)</totalsRowFormula>
    </tableColumn>
    <tableColumn id="6" xr3:uid="{00000000-0010-0000-0000-000006000000}" name="5" totalsRowFunction="custom" totalsRowDxfId="353">
      <totalsRowFormula>SUBTOTAL(103,Janvier!$G$7:$G$26)</totalsRowFormula>
    </tableColumn>
    <tableColumn id="7" xr3:uid="{00000000-0010-0000-0000-000007000000}" name="6" totalsRowFunction="custom" dataDxfId="881" totalsRowDxfId="352">
      <totalsRowFormula>SUBTOTAL(103,Janvier!$H$7:$H$26)</totalsRowFormula>
    </tableColumn>
    <tableColumn id="8" xr3:uid="{00000000-0010-0000-0000-000008000000}" name="7" totalsRowFunction="custom" dataDxfId="880" totalsRowDxfId="351">
      <totalsRowFormula>SUBTOTAL(103,Janvier!$I$7:$I$26)</totalsRowFormula>
    </tableColumn>
    <tableColumn id="9" xr3:uid="{00000000-0010-0000-0000-000009000000}" name="8" totalsRowFunction="custom" dataDxfId="879" totalsRowDxfId="350">
      <totalsRowFormula>SUBTOTAL(103,Janvier!$J$7:$J$26)</totalsRowFormula>
    </tableColumn>
    <tableColumn id="10" xr3:uid="{00000000-0010-0000-0000-00000A000000}" name="9" totalsRowFunction="custom" dataDxfId="878" totalsRowDxfId="349">
      <totalsRowFormula>SUBTOTAL(103,Janvier!$K$7:$K$26)</totalsRowFormula>
    </tableColumn>
    <tableColumn id="11" xr3:uid="{00000000-0010-0000-0000-00000B000000}" name="10" totalsRowFunction="custom" dataDxfId="877" totalsRowDxfId="348">
      <totalsRowFormula>SUBTOTAL(103,Janvier!$L$7:$L$26)</totalsRowFormula>
    </tableColumn>
    <tableColumn id="12" xr3:uid="{00000000-0010-0000-0000-00000C000000}" name="11" totalsRowFunction="custom" dataDxfId="876" totalsRowDxfId="347">
      <totalsRowFormula>SUBTOTAL(103,Janvier!$M$7:$M$26)</totalsRowFormula>
    </tableColumn>
    <tableColumn id="13" xr3:uid="{00000000-0010-0000-0000-00000D000000}" name="12" totalsRowFunction="custom" dataDxfId="875" totalsRowDxfId="346">
      <totalsRowFormula>SUBTOTAL(103,Janvier!$N$7:$N$26)</totalsRowFormula>
    </tableColumn>
    <tableColumn id="14" xr3:uid="{00000000-0010-0000-0000-00000E000000}" name="13" totalsRowFunction="custom" dataDxfId="874" totalsRowDxfId="345">
      <totalsRowFormula>SUBTOTAL(103,Janvier!$O$7:$O$26)</totalsRowFormula>
    </tableColumn>
    <tableColumn id="15" xr3:uid="{00000000-0010-0000-0000-00000F000000}" name="14" totalsRowFunction="custom" dataDxfId="873" totalsRowDxfId="344">
      <totalsRowFormula>SUBTOTAL(103,Janvier!$P$7:$P$26)</totalsRowFormula>
    </tableColumn>
    <tableColumn id="16" xr3:uid="{00000000-0010-0000-0000-000010000000}" name="15" totalsRowFunction="custom" dataDxfId="872" totalsRowDxfId="343">
      <totalsRowFormula>SUBTOTAL(103,Janvier!$Q$7:$Q$26)</totalsRowFormula>
    </tableColumn>
    <tableColumn id="17" xr3:uid="{00000000-0010-0000-0000-000011000000}" name="16" totalsRowFunction="custom" dataDxfId="871" totalsRowDxfId="342">
      <totalsRowFormula>SUBTOTAL(103,Janvier!$R$7:$R$26)</totalsRowFormula>
    </tableColumn>
    <tableColumn id="18" xr3:uid="{00000000-0010-0000-0000-000012000000}" name="17" totalsRowFunction="custom" dataDxfId="870" totalsRowDxfId="341">
      <totalsRowFormula>SUBTOTAL(103,Janvier!$S$7:$S$26)</totalsRowFormula>
    </tableColumn>
    <tableColumn id="19" xr3:uid="{00000000-0010-0000-0000-000013000000}" name="18" totalsRowFunction="custom" dataDxfId="869" totalsRowDxfId="340">
      <totalsRowFormula>SUBTOTAL(103,Janvier!$T$7:$T$26)</totalsRowFormula>
    </tableColumn>
    <tableColumn id="20" xr3:uid="{00000000-0010-0000-0000-000014000000}" name="19" totalsRowFunction="custom" dataDxfId="868" totalsRowDxfId="339">
      <totalsRowFormula>SUBTOTAL(103,Janvier!$U$7:$U$26)</totalsRowFormula>
    </tableColumn>
    <tableColumn id="21" xr3:uid="{00000000-0010-0000-0000-000015000000}" name="20" totalsRowFunction="custom" dataDxfId="867" totalsRowDxfId="338">
      <totalsRowFormula>SUBTOTAL(103,Janvier!$V$7:$V$26)</totalsRowFormula>
    </tableColumn>
    <tableColumn id="22" xr3:uid="{00000000-0010-0000-0000-000016000000}" name="21" totalsRowFunction="custom" dataDxfId="866" totalsRowDxfId="337">
      <totalsRowFormula>SUBTOTAL(103,Janvier!$W$7:$W$26)</totalsRowFormula>
    </tableColumn>
    <tableColumn id="23" xr3:uid="{00000000-0010-0000-0000-000017000000}" name="22" totalsRowFunction="custom" dataDxfId="865" totalsRowDxfId="336">
      <totalsRowFormula>SUBTOTAL(103,Janvier!$X$7:$X$26)</totalsRowFormula>
    </tableColumn>
    <tableColumn id="24" xr3:uid="{00000000-0010-0000-0000-000018000000}" name="23" totalsRowFunction="custom" dataDxfId="864" totalsRowDxfId="335">
      <totalsRowFormula>SUBTOTAL(103,Janvier!$Y$7:$Y$26)</totalsRowFormula>
    </tableColumn>
    <tableColumn id="25" xr3:uid="{00000000-0010-0000-0000-000019000000}" name="24" totalsRowFunction="custom" dataDxfId="863" totalsRowDxfId="334">
      <totalsRowFormula>SUBTOTAL(103,Janvier!$Z$7:$Z$26)</totalsRowFormula>
    </tableColumn>
    <tableColumn id="26" xr3:uid="{00000000-0010-0000-0000-00001A000000}" name="25" totalsRowFunction="custom" dataDxfId="862" totalsRowDxfId="333">
      <totalsRowFormula>SUBTOTAL(103,Janvier!$AA$7:$AA$26)</totalsRowFormula>
    </tableColumn>
    <tableColumn id="27" xr3:uid="{00000000-0010-0000-0000-00001B000000}" name="26" totalsRowFunction="custom" dataDxfId="861" totalsRowDxfId="332">
      <totalsRowFormula>SUBTOTAL(103,Janvier!$AB$7:$AB$26)</totalsRowFormula>
    </tableColumn>
    <tableColumn id="28" xr3:uid="{00000000-0010-0000-0000-00001C000000}" name="27" totalsRowFunction="custom" dataDxfId="860" totalsRowDxfId="331">
      <totalsRowFormula>SUBTOTAL(103,Janvier!$AC$7:$AC$26)</totalsRowFormula>
    </tableColumn>
    <tableColumn id="29" xr3:uid="{00000000-0010-0000-0000-00001D000000}" name="28" totalsRowFunction="custom" dataDxfId="859" totalsRowDxfId="330">
      <totalsRowFormula>SUBTOTAL(103,Janvier!$AD$7:$AD$26)</totalsRowFormula>
    </tableColumn>
    <tableColumn id="30" xr3:uid="{00000000-0010-0000-0000-00001E000000}" name="29" totalsRowFunction="custom" dataDxfId="858" totalsRowDxfId="329">
      <totalsRowFormula>SUBTOTAL(103,Janvier!$AE$7:$AE$26)</totalsRowFormula>
    </tableColumn>
    <tableColumn id="31" xr3:uid="{00000000-0010-0000-0000-00001F000000}" name="30" totalsRowFunction="custom" dataDxfId="857" totalsRowDxfId="328">
      <totalsRowFormula>SUBTOTAL(103,Janvier!$AF$7:$AF$26)</totalsRowFormula>
    </tableColumn>
    <tableColumn id="32" xr3:uid="{00000000-0010-0000-0000-000020000000}" name="31" totalsRowFunction="custom" dataDxfId="856" totalsRowDxfId="327">
      <totalsRowFormula>SUBTOTAL(103,Janvier!$AG$7:$AG$26)</totalsRowFormula>
    </tableColumn>
    <tableColumn id="33" xr3:uid="{00000000-0010-0000-0000-000021000000}" name="Total des jours" totalsRowFunction="sum" dataDxfId="855" totalsRowDxfId="326">
      <calculatedColumnFormula>COUNTA(Janvier!$C7:$AG7)</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Février" displayName="Février" ref="B6:AH12" totalsRowCount="1" headerRowDxfId="854" dataDxfId="853" totalsRowDxfId="852">
  <tableColumns count="33">
    <tableColumn id="1" xr3:uid="{00000000-0010-0000-0100-000001000000}" name="Nom de l’employé" totalsRowFunction="custom" dataDxfId="851" totalsRowDxfId="424" dataCellStyle="Employé">
      <totalsRowFormula>NomMois&amp;" Total"</totalsRowFormula>
    </tableColumn>
    <tableColumn id="2" xr3:uid="{00000000-0010-0000-0100-000002000000}" name="1" totalsRowFunction="count" dataDxfId="850" totalsRowDxfId="423"/>
    <tableColumn id="3" xr3:uid="{00000000-0010-0000-0100-000003000000}" name="2" totalsRowFunction="count" dataDxfId="849" totalsRowDxfId="422"/>
    <tableColumn id="4" xr3:uid="{00000000-0010-0000-0100-000004000000}" name="3" totalsRowFunction="count" dataDxfId="848" totalsRowDxfId="421"/>
    <tableColumn id="5" xr3:uid="{00000000-0010-0000-0100-000005000000}" name="4" totalsRowFunction="count" dataDxfId="847" totalsRowDxfId="420"/>
    <tableColumn id="6" xr3:uid="{00000000-0010-0000-0100-000006000000}" name="5" totalsRowFunction="count" dataDxfId="846" totalsRowDxfId="419"/>
    <tableColumn id="7" xr3:uid="{00000000-0010-0000-0100-000007000000}" name="6" totalsRowFunction="count" dataDxfId="845" totalsRowDxfId="418"/>
    <tableColumn id="8" xr3:uid="{00000000-0010-0000-0100-000008000000}" name="7" totalsRowFunction="count" dataDxfId="844" totalsRowDxfId="417"/>
    <tableColumn id="9" xr3:uid="{00000000-0010-0000-0100-000009000000}" name="8" totalsRowFunction="count" dataDxfId="843" totalsRowDxfId="416"/>
    <tableColumn id="10" xr3:uid="{00000000-0010-0000-0100-00000A000000}" name="9" totalsRowFunction="count" dataDxfId="842" totalsRowDxfId="415"/>
    <tableColumn id="11" xr3:uid="{00000000-0010-0000-0100-00000B000000}" name="10" totalsRowFunction="count" dataDxfId="841" totalsRowDxfId="414"/>
    <tableColumn id="12" xr3:uid="{00000000-0010-0000-0100-00000C000000}" name="11" totalsRowFunction="count" dataDxfId="840" totalsRowDxfId="413"/>
    <tableColumn id="13" xr3:uid="{00000000-0010-0000-0100-00000D000000}" name="12" totalsRowFunction="count" dataDxfId="839" totalsRowDxfId="412"/>
    <tableColumn id="14" xr3:uid="{00000000-0010-0000-0100-00000E000000}" name="13" totalsRowFunction="count" dataDxfId="838" totalsRowDxfId="411"/>
    <tableColumn id="15" xr3:uid="{00000000-0010-0000-0100-00000F000000}" name="14" totalsRowFunction="count" dataDxfId="837" totalsRowDxfId="410"/>
    <tableColumn id="16" xr3:uid="{00000000-0010-0000-0100-000010000000}" name="15" totalsRowFunction="count" dataDxfId="836" totalsRowDxfId="409"/>
    <tableColumn id="17" xr3:uid="{00000000-0010-0000-0100-000011000000}" name="16" totalsRowFunction="count" dataDxfId="835" totalsRowDxfId="408"/>
    <tableColumn id="18" xr3:uid="{00000000-0010-0000-0100-000012000000}" name="17" totalsRowFunction="count" dataDxfId="834" totalsRowDxfId="407"/>
    <tableColumn id="19" xr3:uid="{00000000-0010-0000-0100-000013000000}" name="18" totalsRowFunction="count" dataDxfId="833" totalsRowDxfId="406"/>
    <tableColumn id="20" xr3:uid="{00000000-0010-0000-0100-000014000000}" name="19" totalsRowFunction="count" dataDxfId="832" totalsRowDxfId="405"/>
    <tableColumn id="21" xr3:uid="{00000000-0010-0000-0100-000015000000}" name="20" totalsRowFunction="count" dataDxfId="831" totalsRowDxfId="404"/>
    <tableColumn id="22" xr3:uid="{00000000-0010-0000-0100-000016000000}" name="21" totalsRowFunction="count" dataDxfId="830" totalsRowDxfId="403"/>
    <tableColumn id="23" xr3:uid="{00000000-0010-0000-0100-000017000000}" name="22" totalsRowFunction="count" dataDxfId="829" totalsRowDxfId="402"/>
    <tableColumn id="24" xr3:uid="{00000000-0010-0000-0100-000018000000}" name="23" totalsRowFunction="count" dataDxfId="828" totalsRowDxfId="401"/>
    <tableColumn id="25" xr3:uid="{00000000-0010-0000-0100-000019000000}" name="24" totalsRowFunction="count" dataDxfId="827" totalsRowDxfId="400"/>
    <tableColumn id="26" xr3:uid="{00000000-0010-0000-0100-00001A000000}" name="25" totalsRowFunction="count" dataDxfId="826" totalsRowDxfId="399"/>
    <tableColumn id="27" xr3:uid="{00000000-0010-0000-0100-00001B000000}" name="26" totalsRowFunction="count" dataDxfId="825" totalsRowDxfId="398"/>
    <tableColumn id="28" xr3:uid="{00000000-0010-0000-0100-00001C000000}" name="27" totalsRowFunction="count" dataDxfId="824" totalsRowDxfId="397"/>
    <tableColumn id="29" xr3:uid="{00000000-0010-0000-0100-00001D000000}" name="28" totalsRowFunction="count" dataDxfId="823" totalsRowDxfId="396"/>
    <tableColumn id="30" xr3:uid="{00000000-0010-0000-0100-00001E000000}" name="29" totalsRowFunction="count" dataDxfId="822" totalsRowDxfId="395"/>
    <tableColumn id="31" xr3:uid="{00000000-0010-0000-0100-00001F000000}" name=" " dataDxfId="821" totalsRowDxfId="394"/>
    <tableColumn id="32" xr3:uid="{00000000-0010-0000-0100-000020000000}" name="  " dataDxfId="820" totalsRowDxfId="393"/>
    <tableColumn id="33" xr3:uid="{00000000-0010-0000-0100-000021000000}" name="Total des jours" totalsRowFunction="sum" dataDxfId="819" totalsRowDxfId="392">
      <calculatedColumnFormula>COUNTA(Février[[#This Row],[1]:[29]])</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4" xr:uid="{00000000-000C-0000-FFFF-FFFF02000000}" name="Mars" displayName="Mars" ref="B6:AH12" totalsRowCount="1" headerRowDxfId="818" dataDxfId="817" totalsRowDxfId="816">
  <tableColumns count="33">
    <tableColumn id="1" xr3:uid="{00000000-0010-0000-0200-000001000000}" name="Nom de l’employé" totalsRowFunction="custom" dataDxfId="815" totalsRowDxfId="391" dataCellStyle="Employé">
      <totalsRowFormula>NomMois&amp;" Total"</totalsRowFormula>
    </tableColumn>
    <tableColumn id="2" xr3:uid="{00000000-0010-0000-0200-000002000000}" name="1" totalsRowFunction="count" dataDxfId="814" totalsRowDxfId="390"/>
    <tableColumn id="3" xr3:uid="{00000000-0010-0000-0200-000003000000}" name="2" totalsRowFunction="count" dataDxfId="813" totalsRowDxfId="389"/>
    <tableColumn id="4" xr3:uid="{00000000-0010-0000-0200-000004000000}" name="3" totalsRowFunction="count" dataDxfId="812" totalsRowDxfId="388"/>
    <tableColumn id="5" xr3:uid="{00000000-0010-0000-0200-000005000000}" name="4" totalsRowFunction="count" dataDxfId="811" totalsRowDxfId="387"/>
    <tableColumn id="6" xr3:uid="{00000000-0010-0000-0200-000006000000}" name="5" totalsRowFunction="count" dataDxfId="810" totalsRowDxfId="386"/>
    <tableColumn id="7" xr3:uid="{00000000-0010-0000-0200-000007000000}" name="6" totalsRowFunction="count" dataDxfId="809" totalsRowDxfId="385"/>
    <tableColumn id="8" xr3:uid="{00000000-0010-0000-0200-000008000000}" name="7" totalsRowFunction="count" dataDxfId="808" totalsRowDxfId="384"/>
    <tableColumn id="9" xr3:uid="{00000000-0010-0000-0200-000009000000}" name="8" totalsRowFunction="count" dataDxfId="807" totalsRowDxfId="383"/>
    <tableColumn id="10" xr3:uid="{00000000-0010-0000-0200-00000A000000}" name="9" totalsRowFunction="count" dataDxfId="806" totalsRowDxfId="382"/>
    <tableColumn id="11" xr3:uid="{00000000-0010-0000-0200-00000B000000}" name="10" totalsRowFunction="count" dataDxfId="805" totalsRowDxfId="381"/>
    <tableColumn id="12" xr3:uid="{00000000-0010-0000-0200-00000C000000}" name="11" totalsRowFunction="count" dataDxfId="804" totalsRowDxfId="380"/>
    <tableColumn id="13" xr3:uid="{00000000-0010-0000-0200-00000D000000}" name="12" totalsRowFunction="count" dataDxfId="803" totalsRowDxfId="379"/>
    <tableColumn id="14" xr3:uid="{00000000-0010-0000-0200-00000E000000}" name="13" totalsRowFunction="count" dataDxfId="802" totalsRowDxfId="378"/>
    <tableColumn id="15" xr3:uid="{00000000-0010-0000-0200-00000F000000}" name="14" totalsRowFunction="count" dataDxfId="801" totalsRowDxfId="377"/>
    <tableColumn id="16" xr3:uid="{00000000-0010-0000-0200-000010000000}" name="15" totalsRowFunction="count" dataDxfId="800" totalsRowDxfId="376"/>
    <tableColumn id="17" xr3:uid="{00000000-0010-0000-0200-000011000000}" name="16" totalsRowFunction="count" dataDxfId="799" totalsRowDxfId="375"/>
    <tableColumn id="18" xr3:uid="{00000000-0010-0000-0200-000012000000}" name="17" totalsRowFunction="count" dataDxfId="798" totalsRowDxfId="374"/>
    <tableColumn id="19" xr3:uid="{00000000-0010-0000-0200-000013000000}" name="18" totalsRowFunction="count" dataDxfId="797" totalsRowDxfId="373"/>
    <tableColumn id="20" xr3:uid="{00000000-0010-0000-0200-000014000000}" name="19" totalsRowFunction="count" dataDxfId="796" totalsRowDxfId="372"/>
    <tableColumn id="21" xr3:uid="{00000000-0010-0000-0200-000015000000}" name="20" totalsRowFunction="count" dataDxfId="795" totalsRowDxfId="371"/>
    <tableColumn id="22" xr3:uid="{00000000-0010-0000-0200-000016000000}" name="21" totalsRowFunction="count" dataDxfId="794" totalsRowDxfId="370"/>
    <tableColumn id="23" xr3:uid="{00000000-0010-0000-0200-000017000000}" name="22" totalsRowFunction="count" dataDxfId="793" totalsRowDxfId="369"/>
    <tableColumn id="24" xr3:uid="{00000000-0010-0000-0200-000018000000}" name="23" totalsRowFunction="count" dataDxfId="792" totalsRowDxfId="368"/>
    <tableColumn id="25" xr3:uid="{00000000-0010-0000-0200-000019000000}" name="24" totalsRowFunction="count" dataDxfId="791" totalsRowDxfId="367"/>
    <tableColumn id="26" xr3:uid="{00000000-0010-0000-0200-00001A000000}" name="25" totalsRowFunction="count" dataDxfId="790" totalsRowDxfId="366"/>
    <tableColumn id="27" xr3:uid="{00000000-0010-0000-0200-00001B000000}" name="26" totalsRowFunction="count" dataDxfId="789" totalsRowDxfId="365"/>
    <tableColumn id="28" xr3:uid="{00000000-0010-0000-0200-00001C000000}" name="27" totalsRowFunction="count" dataDxfId="788" totalsRowDxfId="364"/>
    <tableColumn id="29" xr3:uid="{00000000-0010-0000-0200-00001D000000}" name="28" totalsRowFunction="count" dataDxfId="787" totalsRowDxfId="363"/>
    <tableColumn id="30" xr3:uid="{00000000-0010-0000-0200-00001E000000}" name="29" totalsRowFunction="count" dataDxfId="786" totalsRowDxfId="362"/>
    <tableColumn id="31" xr3:uid="{00000000-0010-0000-0200-00001F000000}" name="30" totalsRowFunction="count" dataDxfId="785" totalsRowDxfId="361"/>
    <tableColumn id="32" xr3:uid="{00000000-0010-0000-0200-000020000000}" name="31" totalsRowFunction="count" dataDxfId="784" totalsRowDxfId="360"/>
    <tableColumn id="33" xr3:uid="{00000000-0010-0000-0200-000021000000}" name="Total des jours" totalsRowFunction="sum" dataDxfId="783" totalsRowDxfId="359">
      <calculatedColumnFormula>COUNTA(Mars[[#This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5" xr:uid="{00000000-000C-0000-FFFF-FFFF03000000}" name="Avril" displayName="Avril" ref="B6:AH12" totalsRowCount="1" headerRowDxfId="782" dataDxfId="781" totalsRowDxfId="780">
  <tableColumns count="33">
    <tableColumn id="1" xr3:uid="{00000000-0010-0000-0300-000001000000}" name="Nom de l’employé" totalsRowFunction="custom" dataDxfId="779" totalsRowDxfId="325" dataCellStyle="Employé">
      <totalsRowFormula>NomMois&amp;" Total"</totalsRowFormula>
    </tableColumn>
    <tableColumn id="2" xr3:uid="{00000000-0010-0000-0300-000002000000}" name="1" totalsRowFunction="count" dataDxfId="778" totalsRowDxfId="324"/>
    <tableColumn id="3" xr3:uid="{00000000-0010-0000-0300-000003000000}" name="2" totalsRowFunction="count" dataDxfId="777" totalsRowDxfId="323"/>
    <tableColumn id="4" xr3:uid="{00000000-0010-0000-0300-000004000000}" name="3" totalsRowFunction="count" dataDxfId="776" totalsRowDxfId="322"/>
    <tableColumn id="5" xr3:uid="{00000000-0010-0000-0300-000005000000}" name="4" totalsRowFunction="count" dataDxfId="775" totalsRowDxfId="321"/>
    <tableColumn id="6" xr3:uid="{00000000-0010-0000-0300-000006000000}" name="5" totalsRowFunction="count" dataDxfId="774" totalsRowDxfId="320"/>
    <tableColumn id="7" xr3:uid="{00000000-0010-0000-0300-000007000000}" name="6" totalsRowFunction="count" dataDxfId="773" totalsRowDxfId="319"/>
    <tableColumn id="8" xr3:uid="{00000000-0010-0000-0300-000008000000}" name="7" totalsRowFunction="count" dataDxfId="772" totalsRowDxfId="318"/>
    <tableColumn id="9" xr3:uid="{00000000-0010-0000-0300-000009000000}" name="8" totalsRowFunction="count" dataDxfId="771" totalsRowDxfId="317"/>
    <tableColumn id="10" xr3:uid="{00000000-0010-0000-0300-00000A000000}" name="9" totalsRowFunction="count" dataDxfId="770" totalsRowDxfId="316"/>
    <tableColumn id="11" xr3:uid="{00000000-0010-0000-0300-00000B000000}" name="10" totalsRowFunction="count" dataDxfId="769" totalsRowDxfId="315"/>
    <tableColumn id="12" xr3:uid="{00000000-0010-0000-0300-00000C000000}" name="11" totalsRowFunction="count" dataDxfId="768" totalsRowDxfId="314"/>
    <tableColumn id="13" xr3:uid="{00000000-0010-0000-0300-00000D000000}" name="12" totalsRowFunction="count" dataDxfId="767" totalsRowDxfId="313"/>
    <tableColumn id="14" xr3:uid="{00000000-0010-0000-0300-00000E000000}" name="13" totalsRowFunction="count" dataDxfId="766" totalsRowDxfId="312"/>
    <tableColumn id="15" xr3:uid="{00000000-0010-0000-0300-00000F000000}" name="14" totalsRowFunction="count" dataDxfId="765" totalsRowDxfId="311"/>
    <tableColumn id="16" xr3:uid="{00000000-0010-0000-0300-000010000000}" name="15" totalsRowFunction="count" dataDxfId="764" totalsRowDxfId="310"/>
    <tableColumn id="17" xr3:uid="{00000000-0010-0000-0300-000011000000}" name="16" totalsRowFunction="count" dataDxfId="763" totalsRowDxfId="309"/>
    <tableColumn id="18" xr3:uid="{00000000-0010-0000-0300-000012000000}" name="17" totalsRowFunction="count" dataDxfId="762" totalsRowDxfId="308"/>
    <tableColumn id="19" xr3:uid="{00000000-0010-0000-0300-000013000000}" name="18" totalsRowFunction="count" dataDxfId="761" totalsRowDxfId="307"/>
    <tableColumn id="20" xr3:uid="{00000000-0010-0000-0300-000014000000}" name="19" totalsRowFunction="count" dataDxfId="760" totalsRowDxfId="306"/>
    <tableColumn id="21" xr3:uid="{00000000-0010-0000-0300-000015000000}" name="20" totalsRowFunction="count" dataDxfId="759" totalsRowDxfId="305"/>
    <tableColumn id="22" xr3:uid="{00000000-0010-0000-0300-000016000000}" name="21" totalsRowFunction="count" dataDxfId="758" totalsRowDxfId="304"/>
    <tableColumn id="23" xr3:uid="{00000000-0010-0000-0300-000017000000}" name="22" totalsRowFunction="count" dataDxfId="757" totalsRowDxfId="303"/>
    <tableColumn id="24" xr3:uid="{00000000-0010-0000-0300-000018000000}" name="23" totalsRowFunction="count" dataDxfId="756" totalsRowDxfId="302"/>
    <tableColumn id="25" xr3:uid="{00000000-0010-0000-0300-000019000000}" name="24" totalsRowFunction="count" dataDxfId="755" totalsRowDxfId="301"/>
    <tableColumn id="26" xr3:uid="{00000000-0010-0000-0300-00001A000000}" name="25" totalsRowFunction="count" dataDxfId="754" totalsRowDxfId="300"/>
    <tableColumn id="27" xr3:uid="{00000000-0010-0000-0300-00001B000000}" name="26" totalsRowFunction="count" dataDxfId="753" totalsRowDxfId="299"/>
    <tableColumn id="28" xr3:uid="{00000000-0010-0000-0300-00001C000000}" name="27" totalsRowFunction="count" dataDxfId="752" totalsRowDxfId="298"/>
    <tableColumn id="29" xr3:uid="{00000000-0010-0000-0300-00001D000000}" name="28" totalsRowFunction="count" dataDxfId="751" totalsRowDxfId="297"/>
    <tableColumn id="30" xr3:uid="{00000000-0010-0000-0300-00001E000000}" name="29" totalsRowFunction="count" dataDxfId="750" totalsRowDxfId="296"/>
    <tableColumn id="31" xr3:uid="{00000000-0010-0000-0300-00001F000000}" name="30" totalsRowFunction="count" dataDxfId="749" totalsRowDxfId="295"/>
    <tableColumn id="32" xr3:uid="{00000000-0010-0000-0300-000020000000}" name=" " totalsRowFunction="custom" dataDxfId="748" totalsRowDxfId="294">
      <totalsRowFormula>SUBTOTAL(103,Avril[30])</totalsRowFormula>
    </tableColumn>
    <tableColumn id="33" xr3:uid="{00000000-0010-0000-0300-000021000000}" name="Total des jours" totalsRowFunction="sum" dataDxfId="747" totalsRowDxfId="293">
      <calculatedColumnFormula>COUNTA(Avril[[#This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6" xr:uid="{00000000-000C-0000-FFFF-FFFF04000000}" name="Mai" displayName="Mai" ref="B6:AH12" totalsRowCount="1" headerRowDxfId="746" dataDxfId="745" totalsRowDxfId="744">
  <tableColumns count="33">
    <tableColumn id="1" xr3:uid="{00000000-0010-0000-0400-000001000000}" name="Nom de l’employé" totalsRowFunction="custom" dataDxfId="743" totalsRowDxfId="292" dataCellStyle="Employé">
      <totalsRowFormula>NomMois&amp;" Total"</totalsRowFormula>
    </tableColumn>
    <tableColumn id="2" xr3:uid="{00000000-0010-0000-0400-000002000000}" name="1" totalsRowFunction="count" dataDxfId="742" totalsRowDxfId="291"/>
    <tableColumn id="3" xr3:uid="{00000000-0010-0000-0400-000003000000}" name="2" totalsRowFunction="count" dataDxfId="741" totalsRowDxfId="290"/>
    <tableColumn id="4" xr3:uid="{00000000-0010-0000-0400-000004000000}" name="3" totalsRowFunction="count" dataDxfId="740" totalsRowDxfId="289"/>
    <tableColumn id="5" xr3:uid="{00000000-0010-0000-0400-000005000000}" name="4" totalsRowFunction="count" dataDxfId="739" totalsRowDxfId="288"/>
    <tableColumn id="6" xr3:uid="{00000000-0010-0000-0400-000006000000}" name="5" totalsRowFunction="count" dataDxfId="738" totalsRowDxfId="287"/>
    <tableColumn id="7" xr3:uid="{00000000-0010-0000-0400-000007000000}" name="6" totalsRowFunction="count" dataDxfId="737" totalsRowDxfId="286"/>
    <tableColumn id="8" xr3:uid="{00000000-0010-0000-0400-000008000000}" name="7" totalsRowFunction="count" dataDxfId="736" totalsRowDxfId="285"/>
    <tableColumn id="9" xr3:uid="{00000000-0010-0000-0400-000009000000}" name="8" totalsRowFunction="count" dataDxfId="735" totalsRowDxfId="284"/>
    <tableColumn id="10" xr3:uid="{00000000-0010-0000-0400-00000A000000}" name="9" totalsRowFunction="count" dataDxfId="734" totalsRowDxfId="283"/>
    <tableColumn id="11" xr3:uid="{00000000-0010-0000-0400-00000B000000}" name="10" totalsRowFunction="count" dataDxfId="733" totalsRowDxfId="282"/>
    <tableColumn id="12" xr3:uid="{00000000-0010-0000-0400-00000C000000}" name="11" totalsRowFunction="count" dataDxfId="732" totalsRowDxfId="281"/>
    <tableColumn id="13" xr3:uid="{00000000-0010-0000-0400-00000D000000}" name="12" totalsRowFunction="count" dataDxfId="731" totalsRowDxfId="280"/>
    <tableColumn id="14" xr3:uid="{00000000-0010-0000-0400-00000E000000}" name="13" totalsRowFunction="count" dataDxfId="730" totalsRowDxfId="279"/>
    <tableColumn id="15" xr3:uid="{00000000-0010-0000-0400-00000F000000}" name="14" totalsRowFunction="count" dataDxfId="729" totalsRowDxfId="278"/>
    <tableColumn id="16" xr3:uid="{00000000-0010-0000-0400-000010000000}" name="15" totalsRowFunction="count" dataDxfId="728" totalsRowDxfId="277"/>
    <tableColumn id="17" xr3:uid="{00000000-0010-0000-0400-000011000000}" name="16" totalsRowFunction="count" dataDxfId="727" totalsRowDxfId="276"/>
    <tableColumn id="18" xr3:uid="{00000000-0010-0000-0400-000012000000}" name="17" totalsRowFunction="count" dataDxfId="726" totalsRowDxfId="275"/>
    <tableColumn id="19" xr3:uid="{00000000-0010-0000-0400-000013000000}" name="18" totalsRowFunction="count" dataDxfId="725" totalsRowDxfId="274"/>
    <tableColumn id="20" xr3:uid="{00000000-0010-0000-0400-000014000000}" name="19" totalsRowFunction="count" dataDxfId="724" totalsRowDxfId="273"/>
    <tableColumn id="21" xr3:uid="{00000000-0010-0000-0400-000015000000}" name="20" totalsRowFunction="count" dataDxfId="723" totalsRowDxfId="272"/>
    <tableColumn id="22" xr3:uid="{00000000-0010-0000-0400-000016000000}" name="21" totalsRowFunction="count" dataDxfId="722" totalsRowDxfId="271"/>
    <tableColumn id="23" xr3:uid="{00000000-0010-0000-0400-000017000000}" name="22" totalsRowFunction="count" dataDxfId="721" totalsRowDxfId="270"/>
    <tableColumn id="24" xr3:uid="{00000000-0010-0000-0400-000018000000}" name="23" totalsRowFunction="count" dataDxfId="720" totalsRowDxfId="269"/>
    <tableColumn id="25" xr3:uid="{00000000-0010-0000-0400-000019000000}" name="24" totalsRowFunction="count" dataDxfId="719" totalsRowDxfId="268"/>
    <tableColumn id="26" xr3:uid="{00000000-0010-0000-0400-00001A000000}" name="25" totalsRowFunction="count" dataDxfId="718" totalsRowDxfId="267"/>
    <tableColumn id="27" xr3:uid="{00000000-0010-0000-0400-00001B000000}" name="26" totalsRowFunction="count" dataDxfId="717" totalsRowDxfId="266"/>
    <tableColumn id="28" xr3:uid="{00000000-0010-0000-0400-00001C000000}" name="27" totalsRowFunction="count" dataDxfId="716" totalsRowDxfId="265"/>
    <tableColumn id="29" xr3:uid="{00000000-0010-0000-0400-00001D000000}" name="28" totalsRowFunction="count" dataDxfId="715" totalsRowDxfId="264"/>
    <tableColumn id="30" xr3:uid="{00000000-0010-0000-0400-00001E000000}" name="29" totalsRowFunction="count" dataDxfId="714" totalsRowDxfId="263"/>
    <tableColumn id="31" xr3:uid="{00000000-0010-0000-0400-00001F000000}" name="30" totalsRowFunction="count" dataDxfId="713" totalsRowDxfId="262"/>
    <tableColumn id="32" xr3:uid="{00000000-0010-0000-0400-000020000000}" name="31" totalsRowFunction="count" dataDxfId="712" totalsRowDxfId="261"/>
    <tableColumn id="33" xr3:uid="{00000000-0010-0000-0400-000021000000}" name="Total des jours" totalsRowFunction="sum" dataDxfId="711" totalsRowDxfId="260">
      <calculatedColumnFormula>COUNTA(Mai[[#This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6.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7" xr:uid="{00000000-000C-0000-FFFF-FFFF05000000}" name="Juin" displayName="Juin" ref="B6:AH12" totalsRowCount="1" headerRowDxfId="710" dataDxfId="709" totalsRowDxfId="708">
  <tableColumns count="33">
    <tableColumn id="1" xr3:uid="{00000000-0010-0000-0500-000001000000}" name="Nom de l’employé" totalsRowFunction="custom" dataDxfId="707" totalsRowDxfId="259" dataCellStyle="Employé">
      <totalsRowFormula>NomMois&amp;" Total"</totalsRowFormula>
    </tableColumn>
    <tableColumn id="2" xr3:uid="{00000000-0010-0000-0500-000002000000}" name="1" totalsRowFunction="count" dataDxfId="706" totalsRowDxfId="258"/>
    <tableColumn id="3" xr3:uid="{00000000-0010-0000-0500-000003000000}" name="2" totalsRowFunction="count" dataDxfId="705" totalsRowDxfId="257"/>
    <tableColumn id="4" xr3:uid="{00000000-0010-0000-0500-000004000000}" name="3" totalsRowFunction="count" dataDxfId="704" totalsRowDxfId="256"/>
    <tableColumn id="5" xr3:uid="{00000000-0010-0000-0500-000005000000}" name="4" totalsRowFunction="count" dataDxfId="703" totalsRowDxfId="255"/>
    <tableColumn id="6" xr3:uid="{00000000-0010-0000-0500-000006000000}" name="5" totalsRowFunction="count" dataDxfId="702" totalsRowDxfId="254"/>
    <tableColumn id="7" xr3:uid="{00000000-0010-0000-0500-000007000000}" name="6" totalsRowFunction="count" dataDxfId="701" totalsRowDxfId="253"/>
    <tableColumn id="8" xr3:uid="{00000000-0010-0000-0500-000008000000}" name="7" totalsRowFunction="count" dataDxfId="700" totalsRowDxfId="252"/>
    <tableColumn id="9" xr3:uid="{00000000-0010-0000-0500-000009000000}" name="8" totalsRowFunction="count" dataDxfId="699" totalsRowDxfId="251"/>
    <tableColumn id="10" xr3:uid="{00000000-0010-0000-0500-00000A000000}" name="9" totalsRowFunction="count" dataDxfId="698" totalsRowDxfId="250"/>
    <tableColumn id="11" xr3:uid="{00000000-0010-0000-0500-00000B000000}" name="10" totalsRowFunction="count" dataDxfId="697" totalsRowDxfId="249"/>
    <tableColumn id="12" xr3:uid="{00000000-0010-0000-0500-00000C000000}" name="11" totalsRowFunction="count" dataDxfId="696" totalsRowDxfId="248"/>
    <tableColumn id="13" xr3:uid="{00000000-0010-0000-0500-00000D000000}" name="12" totalsRowFunction="count" dataDxfId="695" totalsRowDxfId="247"/>
    <tableColumn id="14" xr3:uid="{00000000-0010-0000-0500-00000E000000}" name="13" totalsRowFunction="count" dataDxfId="694" totalsRowDxfId="246"/>
    <tableColumn id="15" xr3:uid="{00000000-0010-0000-0500-00000F000000}" name="14" totalsRowFunction="count" dataDxfId="693" totalsRowDxfId="245"/>
    <tableColumn id="16" xr3:uid="{00000000-0010-0000-0500-000010000000}" name="15" totalsRowFunction="count" dataDxfId="692" totalsRowDxfId="244"/>
    <tableColumn id="17" xr3:uid="{00000000-0010-0000-0500-000011000000}" name="16" totalsRowFunction="count" dataDxfId="691" totalsRowDxfId="243"/>
    <tableColumn id="18" xr3:uid="{00000000-0010-0000-0500-000012000000}" name="17" totalsRowFunction="count" dataDxfId="690" totalsRowDxfId="242"/>
    <tableColumn id="19" xr3:uid="{00000000-0010-0000-0500-000013000000}" name="18" totalsRowFunction="count" dataDxfId="689" totalsRowDxfId="241"/>
    <tableColumn id="20" xr3:uid="{00000000-0010-0000-0500-000014000000}" name="19" totalsRowFunction="count" dataDxfId="688" totalsRowDxfId="240"/>
    <tableColumn id="21" xr3:uid="{00000000-0010-0000-0500-000015000000}" name="20" totalsRowFunction="count" dataDxfId="687" totalsRowDxfId="239"/>
    <tableColumn id="22" xr3:uid="{00000000-0010-0000-0500-000016000000}" name="21" totalsRowFunction="count" dataDxfId="686" totalsRowDxfId="238"/>
    <tableColumn id="23" xr3:uid="{00000000-0010-0000-0500-000017000000}" name="22" totalsRowFunction="count" dataDxfId="685" totalsRowDxfId="237"/>
    <tableColumn id="24" xr3:uid="{00000000-0010-0000-0500-000018000000}" name="23" totalsRowFunction="count" dataDxfId="684" totalsRowDxfId="236"/>
    <tableColumn id="25" xr3:uid="{00000000-0010-0000-0500-000019000000}" name="24" totalsRowFunction="count" dataDxfId="683" totalsRowDxfId="235"/>
    <tableColumn id="26" xr3:uid="{00000000-0010-0000-0500-00001A000000}" name="25" totalsRowFunction="count" dataDxfId="682" totalsRowDxfId="234"/>
    <tableColumn id="27" xr3:uid="{00000000-0010-0000-0500-00001B000000}" name="26" totalsRowFunction="count" dataDxfId="681" totalsRowDxfId="233"/>
    <tableColumn id="28" xr3:uid="{00000000-0010-0000-0500-00001C000000}" name="27" totalsRowFunction="count" dataDxfId="680" totalsRowDxfId="232"/>
    <tableColumn id="29" xr3:uid="{00000000-0010-0000-0500-00001D000000}" name="28" totalsRowFunction="count" dataDxfId="679" totalsRowDxfId="231"/>
    <tableColumn id="30" xr3:uid="{00000000-0010-0000-0500-00001E000000}" name="29" totalsRowFunction="count" dataDxfId="678" totalsRowDxfId="230"/>
    <tableColumn id="31" xr3:uid="{00000000-0010-0000-0500-00001F000000}" name="30" totalsRowFunction="count" dataDxfId="677" totalsRowDxfId="229"/>
    <tableColumn id="32" xr3:uid="{00000000-0010-0000-0500-000020000000}" name=" " totalsRowFunction="count" dataDxfId="676" totalsRowDxfId="228"/>
    <tableColumn id="33" xr3:uid="{00000000-0010-0000-0500-000021000000}" name="Total des jours" totalsRowFunction="sum" dataDxfId="675" totalsRowDxfId="227">
      <calculatedColumnFormula>COUNTA(Juin[[#This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7.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8" xr:uid="{00000000-000C-0000-FFFF-FFFF06000000}" name="Juillet" displayName="Juillet" ref="B6:AH14" totalsRowCount="1" headerRowDxfId="674" dataDxfId="673" totalsRowDxfId="672">
  <tableColumns count="33">
    <tableColumn id="1" xr3:uid="{00000000-0010-0000-0600-000001000000}" name="Nom de l’employé" totalsRowFunction="custom" dataDxfId="671" totalsRowDxfId="670" dataCellStyle="Employé">
      <totalsRowFormula>NomMois&amp;" Total"</totalsRowFormula>
    </tableColumn>
    <tableColumn id="2" xr3:uid="{00000000-0010-0000-0600-000002000000}" name="1" totalsRowFunction="count" dataDxfId="669" totalsRowDxfId="668"/>
    <tableColumn id="3" xr3:uid="{00000000-0010-0000-0600-000003000000}" name="2" totalsRowFunction="count" dataDxfId="667" totalsRowDxfId="666"/>
    <tableColumn id="4" xr3:uid="{00000000-0010-0000-0600-000004000000}" name="3" totalsRowFunction="count" dataDxfId="665" totalsRowDxfId="664"/>
    <tableColumn id="5" xr3:uid="{00000000-0010-0000-0600-000005000000}" name="4" totalsRowFunction="count" dataDxfId="663" totalsRowDxfId="662"/>
    <tableColumn id="6" xr3:uid="{00000000-0010-0000-0600-000006000000}" name="5" totalsRowFunction="count" dataDxfId="661" totalsRowDxfId="660"/>
    <tableColumn id="7" xr3:uid="{00000000-0010-0000-0600-000007000000}" name="6" totalsRowFunction="count" dataDxfId="659" totalsRowDxfId="658"/>
    <tableColumn id="8" xr3:uid="{00000000-0010-0000-0600-000008000000}" name="7" totalsRowFunction="count" dataDxfId="657" totalsRowDxfId="656"/>
    <tableColumn id="9" xr3:uid="{00000000-0010-0000-0600-000009000000}" name="8" totalsRowFunction="count" dataDxfId="655" totalsRowDxfId="654"/>
    <tableColumn id="10" xr3:uid="{00000000-0010-0000-0600-00000A000000}" name="9" totalsRowFunction="count" dataDxfId="653" totalsRowDxfId="652"/>
    <tableColumn id="11" xr3:uid="{00000000-0010-0000-0600-00000B000000}" name="10" totalsRowFunction="count" dataDxfId="651" totalsRowDxfId="650"/>
    <tableColumn id="12" xr3:uid="{00000000-0010-0000-0600-00000C000000}" name="11" totalsRowFunction="count" dataDxfId="649" totalsRowDxfId="648"/>
    <tableColumn id="13" xr3:uid="{00000000-0010-0000-0600-00000D000000}" name="12" totalsRowFunction="count" dataDxfId="647" totalsRowDxfId="646"/>
    <tableColumn id="14" xr3:uid="{00000000-0010-0000-0600-00000E000000}" name="13" totalsRowFunction="count" dataDxfId="645" totalsRowDxfId="644"/>
    <tableColumn id="15" xr3:uid="{00000000-0010-0000-0600-00000F000000}" name="14" totalsRowFunction="count" dataDxfId="643" totalsRowDxfId="642"/>
    <tableColumn id="16" xr3:uid="{00000000-0010-0000-0600-000010000000}" name="15" totalsRowFunction="count" dataDxfId="641" totalsRowDxfId="640"/>
    <tableColumn id="17" xr3:uid="{00000000-0010-0000-0600-000011000000}" name="16" totalsRowFunction="count" dataDxfId="639" totalsRowDxfId="638"/>
    <tableColumn id="18" xr3:uid="{00000000-0010-0000-0600-000012000000}" name="17" totalsRowFunction="count" dataDxfId="637" totalsRowDxfId="636"/>
    <tableColumn id="19" xr3:uid="{00000000-0010-0000-0600-000013000000}" name="18" totalsRowFunction="count" dataDxfId="635" totalsRowDxfId="634"/>
    <tableColumn id="20" xr3:uid="{00000000-0010-0000-0600-000014000000}" name="19" totalsRowFunction="count" dataDxfId="633" totalsRowDxfId="632"/>
    <tableColumn id="21" xr3:uid="{00000000-0010-0000-0600-000015000000}" name="20" totalsRowFunction="count" dataDxfId="631" totalsRowDxfId="630"/>
    <tableColumn id="22" xr3:uid="{00000000-0010-0000-0600-000016000000}" name="21" totalsRowFunction="count" dataDxfId="629" totalsRowDxfId="628"/>
    <tableColumn id="23" xr3:uid="{00000000-0010-0000-0600-000017000000}" name="22" totalsRowFunction="count" dataDxfId="627" totalsRowDxfId="626"/>
    <tableColumn id="24" xr3:uid="{00000000-0010-0000-0600-000018000000}" name="23" totalsRowFunction="count" dataDxfId="625" totalsRowDxfId="624"/>
    <tableColumn id="25" xr3:uid="{00000000-0010-0000-0600-000019000000}" name="24" totalsRowFunction="count" dataDxfId="623" totalsRowDxfId="622"/>
    <tableColumn id="26" xr3:uid="{00000000-0010-0000-0600-00001A000000}" name="25" totalsRowFunction="count" dataDxfId="621" totalsRowDxfId="620"/>
    <tableColumn id="27" xr3:uid="{00000000-0010-0000-0600-00001B000000}" name="26" totalsRowFunction="count" dataDxfId="619" totalsRowDxfId="618"/>
    <tableColumn id="28" xr3:uid="{00000000-0010-0000-0600-00001C000000}" name="27" totalsRowFunction="count" dataDxfId="617" totalsRowDxfId="616"/>
    <tableColumn id="29" xr3:uid="{00000000-0010-0000-0600-00001D000000}" name="28" totalsRowFunction="count" dataDxfId="615" totalsRowDxfId="614"/>
    <tableColumn id="30" xr3:uid="{00000000-0010-0000-0600-00001E000000}" name="29" totalsRowFunction="count" dataDxfId="613" totalsRowDxfId="612"/>
    <tableColumn id="31" xr3:uid="{00000000-0010-0000-0600-00001F000000}" name="30" totalsRowFunction="count" dataDxfId="611" totalsRowDxfId="610"/>
    <tableColumn id="32" xr3:uid="{00000000-0010-0000-0600-000020000000}" name="31" totalsRowFunction="count" dataDxfId="609" totalsRowDxfId="608"/>
    <tableColumn id="33" xr3:uid="{00000000-0010-0000-0600-000021000000}" name="Total des jours" totalsRowFunction="sum" dataDxfId="607" totalsRowDxfId="606">
      <calculatedColumnFormula>COUNTA(Juillet[[#This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8.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9" xr:uid="{00000000-000C-0000-FFFF-FFFF07000000}" name="Août" displayName="Août" ref="B6:AH12" totalsRowCount="1" headerRowDxfId="605" dataDxfId="604" totalsRowDxfId="603">
  <tableColumns count="33">
    <tableColumn id="1" xr3:uid="{00000000-0010-0000-0700-000001000000}" name="Nom de l’employé" totalsRowFunction="custom" dataDxfId="602" totalsRowDxfId="226" dataCellStyle="Employé">
      <totalsRowFormula>NomMois&amp;" Total"</totalsRowFormula>
    </tableColumn>
    <tableColumn id="2" xr3:uid="{00000000-0010-0000-0700-000002000000}" name="1" totalsRowFunction="count" dataDxfId="601" totalsRowDxfId="225"/>
    <tableColumn id="3" xr3:uid="{00000000-0010-0000-0700-000003000000}" name="2" totalsRowFunction="count" dataDxfId="600" totalsRowDxfId="224"/>
    <tableColumn id="4" xr3:uid="{00000000-0010-0000-0700-000004000000}" name="3" totalsRowFunction="count" dataDxfId="599" totalsRowDxfId="223"/>
    <tableColumn id="5" xr3:uid="{00000000-0010-0000-0700-000005000000}" name="4" totalsRowFunction="count" dataDxfId="598" totalsRowDxfId="222"/>
    <tableColumn id="6" xr3:uid="{00000000-0010-0000-0700-000006000000}" name="5" totalsRowFunction="count" dataDxfId="597" totalsRowDxfId="221"/>
    <tableColumn id="7" xr3:uid="{00000000-0010-0000-0700-000007000000}" name="6" totalsRowFunction="count" dataDxfId="596" totalsRowDxfId="220"/>
    <tableColumn id="8" xr3:uid="{00000000-0010-0000-0700-000008000000}" name="7" totalsRowFunction="count" dataDxfId="595" totalsRowDxfId="219"/>
    <tableColumn id="9" xr3:uid="{00000000-0010-0000-0700-000009000000}" name="8" totalsRowFunction="count" dataDxfId="594" totalsRowDxfId="218"/>
    <tableColumn id="10" xr3:uid="{00000000-0010-0000-0700-00000A000000}" name="9" totalsRowFunction="count" dataDxfId="593" totalsRowDxfId="217"/>
    <tableColumn id="11" xr3:uid="{00000000-0010-0000-0700-00000B000000}" name="10" totalsRowFunction="count" dataDxfId="592" totalsRowDxfId="216"/>
    <tableColumn id="12" xr3:uid="{00000000-0010-0000-0700-00000C000000}" name="11" totalsRowFunction="count" dataDxfId="591" totalsRowDxfId="215"/>
    <tableColumn id="13" xr3:uid="{00000000-0010-0000-0700-00000D000000}" name="12" totalsRowFunction="count" dataDxfId="590" totalsRowDxfId="214"/>
    <tableColumn id="14" xr3:uid="{00000000-0010-0000-0700-00000E000000}" name="13" totalsRowFunction="count" dataDxfId="589" totalsRowDxfId="213"/>
    <tableColumn id="15" xr3:uid="{00000000-0010-0000-0700-00000F000000}" name="14" totalsRowFunction="count" dataDxfId="588" totalsRowDxfId="212"/>
    <tableColumn id="16" xr3:uid="{00000000-0010-0000-0700-000010000000}" name="15" totalsRowFunction="count" dataDxfId="587" totalsRowDxfId="211"/>
    <tableColumn id="17" xr3:uid="{00000000-0010-0000-0700-000011000000}" name="16" totalsRowFunction="count" dataDxfId="586" totalsRowDxfId="210"/>
    <tableColumn id="18" xr3:uid="{00000000-0010-0000-0700-000012000000}" name="17" totalsRowFunction="count" dataDxfId="585" totalsRowDxfId="209"/>
    <tableColumn id="19" xr3:uid="{00000000-0010-0000-0700-000013000000}" name="18" totalsRowFunction="count" dataDxfId="584" totalsRowDxfId="208"/>
    <tableColumn id="20" xr3:uid="{00000000-0010-0000-0700-000014000000}" name="19" totalsRowFunction="count" dataDxfId="583" totalsRowDxfId="207"/>
    <tableColumn id="21" xr3:uid="{00000000-0010-0000-0700-000015000000}" name="20" totalsRowFunction="count" dataDxfId="582" totalsRowDxfId="206"/>
    <tableColumn id="22" xr3:uid="{00000000-0010-0000-0700-000016000000}" name="21" totalsRowFunction="count" dataDxfId="581" totalsRowDxfId="205"/>
    <tableColumn id="23" xr3:uid="{00000000-0010-0000-0700-000017000000}" name="22" totalsRowFunction="count" dataDxfId="580" totalsRowDxfId="204"/>
    <tableColumn id="24" xr3:uid="{00000000-0010-0000-0700-000018000000}" name="23" totalsRowFunction="count" dataDxfId="579" totalsRowDxfId="203"/>
    <tableColumn id="25" xr3:uid="{00000000-0010-0000-0700-000019000000}" name="24" totalsRowFunction="count" dataDxfId="578" totalsRowDxfId="202"/>
    <tableColumn id="26" xr3:uid="{00000000-0010-0000-0700-00001A000000}" name="25" totalsRowFunction="count" dataDxfId="577" totalsRowDxfId="201"/>
    <tableColumn id="27" xr3:uid="{00000000-0010-0000-0700-00001B000000}" name="26" totalsRowFunction="count" dataDxfId="576" totalsRowDxfId="200"/>
    <tableColumn id="28" xr3:uid="{00000000-0010-0000-0700-00001C000000}" name="27" totalsRowFunction="count" dataDxfId="575" totalsRowDxfId="199"/>
    <tableColumn id="29" xr3:uid="{00000000-0010-0000-0700-00001D000000}" name="28" totalsRowFunction="count" dataDxfId="574" totalsRowDxfId="198"/>
    <tableColumn id="30" xr3:uid="{00000000-0010-0000-0700-00001E000000}" name="29" totalsRowFunction="count" dataDxfId="573" totalsRowDxfId="197"/>
    <tableColumn id="31" xr3:uid="{00000000-0010-0000-0700-00001F000000}" name="30" totalsRowFunction="count" dataDxfId="572" totalsRowDxfId="196"/>
    <tableColumn id="32" xr3:uid="{00000000-0010-0000-0700-000020000000}" name="31" totalsRowFunction="count" dataDxfId="571" totalsRowDxfId="195"/>
    <tableColumn id="33" xr3:uid="{00000000-0010-0000-0700-000021000000}" name="Total des jours" totalsRowFunction="sum" dataDxfId="570" totalsRowDxfId="194">
      <calculatedColumnFormula>COUNTA(Août[[#This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9.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0" xr:uid="{00000000-000C-0000-FFFF-FFFF08000000}" name="Septembre" displayName="Septembre" ref="B6:AH12" totalsRowCount="1" headerRowDxfId="569" dataDxfId="568" totalsRowDxfId="567">
  <tableColumns count="33">
    <tableColumn id="1" xr3:uid="{00000000-0010-0000-0800-000001000000}" name="Nom de l’employé" totalsRowFunction="custom" dataDxfId="566" totalsRowDxfId="193" dataCellStyle="Employé">
      <totalsRowFormula>NomMois&amp;" Total"</totalsRowFormula>
    </tableColumn>
    <tableColumn id="2" xr3:uid="{00000000-0010-0000-0800-000002000000}" name="1" totalsRowFunction="count" dataDxfId="565" totalsRowDxfId="192"/>
    <tableColumn id="3" xr3:uid="{00000000-0010-0000-0800-000003000000}" name="2" totalsRowFunction="count" dataDxfId="564" totalsRowDxfId="191"/>
    <tableColumn id="4" xr3:uid="{00000000-0010-0000-0800-000004000000}" name="3" totalsRowFunction="count" dataDxfId="563" totalsRowDxfId="190"/>
    <tableColumn id="5" xr3:uid="{00000000-0010-0000-0800-000005000000}" name="4" totalsRowFunction="count" dataDxfId="562" totalsRowDxfId="189"/>
    <tableColumn id="6" xr3:uid="{00000000-0010-0000-0800-000006000000}" name="5" totalsRowFunction="count" dataDxfId="561" totalsRowDxfId="188"/>
    <tableColumn id="7" xr3:uid="{00000000-0010-0000-0800-000007000000}" name="6" totalsRowFunction="count" dataDxfId="560" totalsRowDxfId="187"/>
    <tableColumn id="8" xr3:uid="{00000000-0010-0000-0800-000008000000}" name="7" totalsRowFunction="count" dataDxfId="559" totalsRowDxfId="186"/>
    <tableColumn id="9" xr3:uid="{00000000-0010-0000-0800-000009000000}" name="8" totalsRowFunction="count" dataDxfId="558" totalsRowDxfId="185"/>
    <tableColumn id="10" xr3:uid="{00000000-0010-0000-0800-00000A000000}" name="9" totalsRowFunction="count" dataDxfId="557" totalsRowDxfId="184"/>
    <tableColumn id="11" xr3:uid="{00000000-0010-0000-0800-00000B000000}" name="10" totalsRowFunction="count" dataDxfId="556" totalsRowDxfId="183"/>
    <tableColumn id="12" xr3:uid="{00000000-0010-0000-0800-00000C000000}" name="11" totalsRowFunction="count" dataDxfId="555" totalsRowDxfId="182"/>
    <tableColumn id="13" xr3:uid="{00000000-0010-0000-0800-00000D000000}" name="12" totalsRowFunction="count" dataDxfId="554" totalsRowDxfId="181"/>
    <tableColumn id="14" xr3:uid="{00000000-0010-0000-0800-00000E000000}" name="13" totalsRowFunction="count" dataDxfId="553" totalsRowDxfId="180"/>
    <tableColumn id="15" xr3:uid="{00000000-0010-0000-0800-00000F000000}" name="14" totalsRowFunction="count" dataDxfId="552" totalsRowDxfId="179"/>
    <tableColumn id="16" xr3:uid="{00000000-0010-0000-0800-000010000000}" name="15" totalsRowFunction="count" dataDxfId="551" totalsRowDxfId="178"/>
    <tableColumn id="17" xr3:uid="{00000000-0010-0000-0800-000011000000}" name="16" totalsRowFunction="count" dataDxfId="550" totalsRowDxfId="177"/>
    <tableColumn id="18" xr3:uid="{00000000-0010-0000-0800-000012000000}" name="17" totalsRowFunction="count" dataDxfId="549" totalsRowDxfId="176"/>
    <tableColumn id="19" xr3:uid="{00000000-0010-0000-0800-000013000000}" name="18" totalsRowFunction="count" dataDxfId="548" totalsRowDxfId="175"/>
    <tableColumn id="20" xr3:uid="{00000000-0010-0000-0800-000014000000}" name="19" totalsRowFunction="count" dataDxfId="547" totalsRowDxfId="174"/>
    <tableColumn id="21" xr3:uid="{00000000-0010-0000-0800-000015000000}" name="20" totalsRowFunction="count" dataDxfId="546" totalsRowDxfId="173"/>
    <tableColumn id="22" xr3:uid="{00000000-0010-0000-0800-000016000000}" name="21" totalsRowFunction="count" dataDxfId="545" totalsRowDxfId="172"/>
    <tableColumn id="23" xr3:uid="{00000000-0010-0000-0800-000017000000}" name="22" totalsRowFunction="count" dataDxfId="544" totalsRowDxfId="171"/>
    <tableColumn id="24" xr3:uid="{00000000-0010-0000-0800-000018000000}" name="23" totalsRowFunction="count" dataDxfId="543" totalsRowDxfId="170"/>
    <tableColumn id="25" xr3:uid="{00000000-0010-0000-0800-000019000000}" name="24" totalsRowFunction="count" dataDxfId="542" totalsRowDxfId="169"/>
    <tableColumn id="26" xr3:uid="{00000000-0010-0000-0800-00001A000000}" name="25" totalsRowFunction="count" dataDxfId="541" totalsRowDxfId="168"/>
    <tableColumn id="27" xr3:uid="{00000000-0010-0000-0800-00001B000000}" name="26" totalsRowFunction="count" dataDxfId="540" totalsRowDxfId="167"/>
    <tableColumn id="28" xr3:uid="{00000000-0010-0000-0800-00001C000000}" name="27" totalsRowFunction="count" dataDxfId="539" totalsRowDxfId="166"/>
    <tableColumn id="29" xr3:uid="{00000000-0010-0000-0800-00001D000000}" name="28" totalsRowFunction="count" dataDxfId="538" totalsRowDxfId="165"/>
    <tableColumn id="30" xr3:uid="{00000000-0010-0000-0800-00001E000000}" name="29" totalsRowFunction="count" dataDxfId="537" totalsRowDxfId="164"/>
    <tableColumn id="31" xr3:uid="{00000000-0010-0000-0800-00001F000000}" name="30" totalsRowFunction="count" dataDxfId="536" totalsRowDxfId="163"/>
    <tableColumn id="32" xr3:uid="{00000000-0010-0000-0800-000020000000}" name=" " totalsRowFunction="count" dataDxfId="535" totalsRowDxfId="162"/>
    <tableColumn id="33" xr3:uid="{00000000-0010-0000-0800-000021000000}" name="Total des jours" totalsRowFunction="sum" dataDxfId="534" totalsRowDxfId="161">
      <calculatedColumnFormula>COUNTA(Septembre[[#This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0.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1" xr:uid="{00000000-000C-0000-FFFF-FFFF09000000}" name="Octobre" displayName="Octobre" ref="B6:AH12" totalsRowCount="1" headerRowDxfId="533" dataDxfId="532" totalsRowDxfId="531">
  <tableColumns count="33">
    <tableColumn id="1" xr3:uid="{00000000-0010-0000-0900-000001000000}" name="Nom de l’employé" totalsRowFunction="custom" dataDxfId="530" totalsRowDxfId="160" dataCellStyle="Employé">
      <totalsRowFormula>NomMois&amp;" Total"</totalsRowFormula>
    </tableColumn>
    <tableColumn id="2" xr3:uid="{00000000-0010-0000-0900-000002000000}" name="1" totalsRowFunction="count" dataDxfId="529" totalsRowDxfId="159"/>
    <tableColumn id="3" xr3:uid="{00000000-0010-0000-0900-000003000000}" name="2" totalsRowFunction="count" dataDxfId="528" totalsRowDxfId="158"/>
    <tableColumn id="4" xr3:uid="{00000000-0010-0000-0900-000004000000}" name="3" totalsRowFunction="count" dataDxfId="527" totalsRowDxfId="157"/>
    <tableColumn id="5" xr3:uid="{00000000-0010-0000-0900-000005000000}" name="4" totalsRowFunction="count" dataDxfId="526" totalsRowDxfId="156"/>
    <tableColumn id="6" xr3:uid="{00000000-0010-0000-0900-000006000000}" name="5" totalsRowFunction="count" dataDxfId="525" totalsRowDxfId="155"/>
    <tableColumn id="7" xr3:uid="{00000000-0010-0000-0900-000007000000}" name="6" totalsRowFunction="count" dataDxfId="524" totalsRowDxfId="154"/>
    <tableColumn id="8" xr3:uid="{00000000-0010-0000-0900-000008000000}" name="7" totalsRowFunction="count" dataDxfId="523" totalsRowDxfId="153"/>
    <tableColumn id="9" xr3:uid="{00000000-0010-0000-0900-000009000000}" name="8" totalsRowFunction="count" dataDxfId="522" totalsRowDxfId="152"/>
    <tableColumn id="10" xr3:uid="{00000000-0010-0000-0900-00000A000000}" name="9" totalsRowFunction="count" dataDxfId="521" totalsRowDxfId="151"/>
    <tableColumn id="11" xr3:uid="{00000000-0010-0000-0900-00000B000000}" name="10" totalsRowFunction="count" dataDxfId="520" totalsRowDxfId="150"/>
    <tableColumn id="12" xr3:uid="{00000000-0010-0000-0900-00000C000000}" name="11" totalsRowFunction="count" dataDxfId="519" totalsRowDxfId="149"/>
    <tableColumn id="13" xr3:uid="{00000000-0010-0000-0900-00000D000000}" name="12" totalsRowFunction="count" dataDxfId="518" totalsRowDxfId="148"/>
    <tableColumn id="14" xr3:uid="{00000000-0010-0000-0900-00000E000000}" name="13" totalsRowFunction="count" dataDxfId="517" totalsRowDxfId="147"/>
    <tableColumn id="15" xr3:uid="{00000000-0010-0000-0900-00000F000000}" name="14" totalsRowFunction="count" dataDxfId="516" totalsRowDxfId="146"/>
    <tableColumn id="16" xr3:uid="{00000000-0010-0000-0900-000010000000}" name="15" totalsRowFunction="count" dataDxfId="515" totalsRowDxfId="145"/>
    <tableColumn id="17" xr3:uid="{00000000-0010-0000-0900-000011000000}" name="16" totalsRowFunction="count" dataDxfId="514" totalsRowDxfId="144"/>
    <tableColumn id="18" xr3:uid="{00000000-0010-0000-0900-000012000000}" name="17" totalsRowFunction="count" dataDxfId="513" totalsRowDxfId="143"/>
    <tableColumn id="19" xr3:uid="{00000000-0010-0000-0900-000013000000}" name="18" totalsRowFunction="count" dataDxfId="512" totalsRowDxfId="142"/>
    <tableColumn id="20" xr3:uid="{00000000-0010-0000-0900-000014000000}" name="19" totalsRowFunction="count" dataDxfId="511" totalsRowDxfId="141"/>
    <tableColumn id="21" xr3:uid="{00000000-0010-0000-0900-000015000000}" name="20" totalsRowFunction="count" dataDxfId="510" totalsRowDxfId="140"/>
    <tableColumn id="22" xr3:uid="{00000000-0010-0000-0900-000016000000}" name="21" totalsRowFunction="count" dataDxfId="509" totalsRowDxfId="139"/>
    <tableColumn id="23" xr3:uid="{00000000-0010-0000-0900-000017000000}" name="22" totalsRowFunction="count" dataDxfId="508" totalsRowDxfId="138"/>
    <tableColumn id="24" xr3:uid="{00000000-0010-0000-0900-000018000000}" name="23" totalsRowFunction="count" dataDxfId="507" totalsRowDxfId="137"/>
    <tableColumn id="25" xr3:uid="{00000000-0010-0000-0900-000019000000}" name="24" totalsRowFunction="count" dataDxfId="506" totalsRowDxfId="136"/>
    <tableColumn id="26" xr3:uid="{00000000-0010-0000-0900-00001A000000}" name="25" totalsRowFunction="count" dataDxfId="505" totalsRowDxfId="135"/>
    <tableColumn id="27" xr3:uid="{00000000-0010-0000-0900-00001B000000}" name="26" totalsRowFunction="count" dataDxfId="504" totalsRowDxfId="134"/>
    <tableColumn id="28" xr3:uid="{00000000-0010-0000-0900-00001C000000}" name="27" totalsRowFunction="count" dataDxfId="503" totalsRowDxfId="133"/>
    <tableColumn id="29" xr3:uid="{00000000-0010-0000-0900-00001D000000}" name="28" totalsRowFunction="count" dataDxfId="502" totalsRowDxfId="132"/>
    <tableColumn id="30" xr3:uid="{00000000-0010-0000-0900-00001E000000}" name="29" totalsRowFunction="count" dataDxfId="501" totalsRowDxfId="131"/>
    <tableColumn id="31" xr3:uid="{00000000-0010-0000-0900-00001F000000}" name="30" totalsRowFunction="count" dataDxfId="500" totalsRowDxfId="130"/>
    <tableColumn id="32" xr3:uid="{00000000-0010-0000-0900-000020000000}" name="31" totalsRowFunction="count" dataDxfId="499" totalsRowDxfId="129"/>
    <tableColumn id="33" xr3:uid="{00000000-0010-0000-0900-000021000000}" name="Total des jours" totalsRowFunction="sum" dataDxfId="498" totalsRowDxfId="128">
      <calculatedColumnFormula>COUNTA(Octobre[[#This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2" xr:uid="{00000000-000C-0000-FFFF-FFFF0A000000}" name="Novembre" displayName="Novembre" ref="B6:AH12" totalsRowCount="1" headerRowDxfId="497" dataDxfId="496" totalsRowDxfId="495">
  <tableColumns count="33">
    <tableColumn id="1" xr3:uid="{00000000-0010-0000-0A00-000001000000}" name="Nom de l’employé" totalsRowFunction="custom" dataDxfId="494" totalsRowDxfId="127" dataCellStyle="Employé">
      <totalsRowFormula>NomMois&amp;" Total"</totalsRowFormula>
    </tableColumn>
    <tableColumn id="2" xr3:uid="{00000000-0010-0000-0A00-000002000000}" name="1" totalsRowFunction="count" dataDxfId="493" totalsRowDxfId="126"/>
    <tableColumn id="3" xr3:uid="{00000000-0010-0000-0A00-000003000000}" name="2" totalsRowFunction="count" dataDxfId="492" totalsRowDxfId="125"/>
    <tableColumn id="4" xr3:uid="{00000000-0010-0000-0A00-000004000000}" name="3" totalsRowFunction="count" dataDxfId="491" totalsRowDxfId="124"/>
    <tableColumn id="5" xr3:uid="{00000000-0010-0000-0A00-000005000000}" name="4" totalsRowFunction="count" dataDxfId="490" totalsRowDxfId="123"/>
    <tableColumn id="6" xr3:uid="{00000000-0010-0000-0A00-000006000000}" name="5" totalsRowFunction="count" dataDxfId="489" totalsRowDxfId="122"/>
    <tableColumn id="7" xr3:uid="{00000000-0010-0000-0A00-000007000000}" name="6" totalsRowFunction="count" dataDxfId="488" totalsRowDxfId="121"/>
    <tableColumn id="8" xr3:uid="{00000000-0010-0000-0A00-000008000000}" name="7" totalsRowFunction="count" dataDxfId="487" totalsRowDxfId="120"/>
    <tableColumn id="9" xr3:uid="{00000000-0010-0000-0A00-000009000000}" name="8" totalsRowFunction="count" dataDxfId="486" totalsRowDxfId="119"/>
    <tableColumn id="10" xr3:uid="{00000000-0010-0000-0A00-00000A000000}" name="9" totalsRowFunction="count" dataDxfId="485" totalsRowDxfId="118"/>
    <tableColumn id="11" xr3:uid="{00000000-0010-0000-0A00-00000B000000}" name="10" totalsRowFunction="count" dataDxfId="484" totalsRowDxfId="117"/>
    <tableColumn id="12" xr3:uid="{00000000-0010-0000-0A00-00000C000000}" name="11" totalsRowFunction="count" dataDxfId="483" totalsRowDxfId="116"/>
    <tableColumn id="13" xr3:uid="{00000000-0010-0000-0A00-00000D000000}" name="12" totalsRowFunction="count" dataDxfId="482" totalsRowDxfId="115"/>
    <tableColumn id="14" xr3:uid="{00000000-0010-0000-0A00-00000E000000}" name="13" totalsRowFunction="count" dataDxfId="481" totalsRowDxfId="114"/>
    <tableColumn id="15" xr3:uid="{00000000-0010-0000-0A00-00000F000000}" name="14" totalsRowFunction="count" dataDxfId="480" totalsRowDxfId="113"/>
    <tableColumn id="16" xr3:uid="{00000000-0010-0000-0A00-000010000000}" name="15" totalsRowFunction="count" dataDxfId="479" totalsRowDxfId="112"/>
    <tableColumn id="17" xr3:uid="{00000000-0010-0000-0A00-000011000000}" name="16" totalsRowFunction="count" dataDxfId="478" totalsRowDxfId="111"/>
    <tableColumn id="18" xr3:uid="{00000000-0010-0000-0A00-000012000000}" name="17" totalsRowFunction="count" dataDxfId="477" totalsRowDxfId="110"/>
    <tableColumn id="19" xr3:uid="{00000000-0010-0000-0A00-000013000000}" name="18" totalsRowFunction="count" dataDxfId="476" totalsRowDxfId="109"/>
    <tableColumn id="20" xr3:uid="{00000000-0010-0000-0A00-000014000000}" name="19" totalsRowFunction="count" dataDxfId="475" totalsRowDxfId="108"/>
    <tableColumn id="21" xr3:uid="{00000000-0010-0000-0A00-000015000000}" name="20" totalsRowFunction="count" dataDxfId="474" totalsRowDxfId="107"/>
    <tableColumn id="22" xr3:uid="{00000000-0010-0000-0A00-000016000000}" name="21" totalsRowFunction="count" dataDxfId="473" totalsRowDxfId="106"/>
    <tableColumn id="23" xr3:uid="{00000000-0010-0000-0A00-000017000000}" name="22" totalsRowFunction="count" dataDxfId="472" totalsRowDxfId="105"/>
    <tableColumn id="24" xr3:uid="{00000000-0010-0000-0A00-000018000000}" name="23" totalsRowFunction="count" dataDxfId="471" totalsRowDxfId="104"/>
    <tableColumn id="25" xr3:uid="{00000000-0010-0000-0A00-000019000000}" name="24" totalsRowFunction="count" dataDxfId="470" totalsRowDxfId="103"/>
    <tableColumn id="26" xr3:uid="{00000000-0010-0000-0A00-00001A000000}" name="25" totalsRowFunction="count" dataDxfId="469" totalsRowDxfId="102"/>
    <tableColumn id="27" xr3:uid="{00000000-0010-0000-0A00-00001B000000}" name="26" totalsRowFunction="count" dataDxfId="468" totalsRowDxfId="101"/>
    <tableColumn id="28" xr3:uid="{00000000-0010-0000-0A00-00001C000000}" name="27" totalsRowFunction="count" dataDxfId="467" totalsRowDxfId="100"/>
    <tableColumn id="29" xr3:uid="{00000000-0010-0000-0A00-00001D000000}" name="28" totalsRowFunction="count" dataDxfId="466" totalsRowDxfId="99"/>
    <tableColumn id="30" xr3:uid="{00000000-0010-0000-0A00-00001E000000}" name="29" totalsRowFunction="count" dataDxfId="465" totalsRowDxfId="98"/>
    <tableColumn id="31" xr3:uid="{00000000-0010-0000-0A00-00001F000000}" name="30" totalsRowFunction="count" dataDxfId="464" totalsRowDxfId="97"/>
    <tableColumn id="32" xr3:uid="{00000000-0010-0000-0A00-000020000000}" name=" " totalsRowFunction="count" dataDxfId="463" totalsRowDxfId="96"/>
    <tableColumn id="33" xr3:uid="{00000000-0010-0000-0A00-000021000000}" name="Total des jours" totalsRowFunction="sum" dataDxfId="462" totalsRowDxfId="95">
      <calculatedColumnFormula>COUNTA(Novembre[[#This Row],[1]:[30]])</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et les dates d’absence. Enregistrez le motif d’absence à l’aide des clés figurant dans la ligne 12 : C=Congé, M=Maladie, P=Personnel, et deux espaces réservés pour des entrées personnalisées"/>
    </ext>
  </extLst>
</table>
</file>

<file path=xl/tables/table1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2" xr:uid="{00000000-000C-0000-FFFF-FFFF0B000000}" name="Décembre" displayName="Décembre" ref="B6:AH12" totalsRowCount="1" headerRowDxfId="461" dataDxfId="460" totalsRowDxfId="459">
  <tableColumns count="33">
    <tableColumn id="1" xr3:uid="{00000000-0010-0000-0B00-000001000000}" name="Nom de l’employé" totalsRowFunction="custom" dataDxfId="458" totalsRowDxfId="94" dataCellStyle="Employé">
      <totalsRowFormula>NomMois&amp;" Total"</totalsRowFormula>
    </tableColumn>
    <tableColumn id="2" xr3:uid="{00000000-0010-0000-0B00-000002000000}" name="1" totalsRowFunction="count" dataDxfId="457" totalsRowDxfId="93"/>
    <tableColumn id="3" xr3:uid="{00000000-0010-0000-0B00-000003000000}" name="2" totalsRowFunction="count" dataDxfId="456" totalsRowDxfId="92"/>
    <tableColumn id="4" xr3:uid="{00000000-0010-0000-0B00-000004000000}" name="3" totalsRowFunction="count" dataDxfId="455" totalsRowDxfId="91"/>
    <tableColumn id="5" xr3:uid="{00000000-0010-0000-0B00-000005000000}" name="4" totalsRowFunction="count" dataDxfId="454" totalsRowDxfId="90"/>
    <tableColumn id="6" xr3:uid="{00000000-0010-0000-0B00-000006000000}" name="5" totalsRowFunction="count" dataDxfId="453" totalsRowDxfId="89"/>
    <tableColumn id="7" xr3:uid="{00000000-0010-0000-0B00-000007000000}" name="6" totalsRowFunction="count" dataDxfId="452" totalsRowDxfId="88"/>
    <tableColumn id="8" xr3:uid="{00000000-0010-0000-0B00-000008000000}" name="7" totalsRowFunction="count" dataDxfId="451" totalsRowDxfId="87"/>
    <tableColumn id="9" xr3:uid="{00000000-0010-0000-0B00-000009000000}" name="8" totalsRowFunction="count" dataDxfId="450" totalsRowDxfId="86"/>
    <tableColumn id="10" xr3:uid="{00000000-0010-0000-0B00-00000A000000}" name="9" totalsRowFunction="count" dataDxfId="449" totalsRowDxfId="85"/>
    <tableColumn id="11" xr3:uid="{00000000-0010-0000-0B00-00000B000000}" name="10" totalsRowFunction="count" dataDxfId="448" totalsRowDxfId="84"/>
    <tableColumn id="12" xr3:uid="{00000000-0010-0000-0B00-00000C000000}" name="11" totalsRowFunction="count" dataDxfId="447" totalsRowDxfId="83"/>
    <tableColumn id="13" xr3:uid="{00000000-0010-0000-0B00-00000D000000}" name="12" totalsRowFunction="count" dataDxfId="446" totalsRowDxfId="82"/>
    <tableColumn id="14" xr3:uid="{00000000-0010-0000-0B00-00000E000000}" name="13" totalsRowFunction="count" dataDxfId="445" totalsRowDxfId="81"/>
    <tableColumn id="15" xr3:uid="{00000000-0010-0000-0B00-00000F000000}" name="14" totalsRowFunction="count" dataDxfId="444" totalsRowDxfId="80"/>
    <tableColumn id="16" xr3:uid="{00000000-0010-0000-0B00-000010000000}" name="15" totalsRowFunction="count" dataDxfId="443" totalsRowDxfId="79"/>
    <tableColumn id="17" xr3:uid="{00000000-0010-0000-0B00-000011000000}" name="16" totalsRowFunction="count" dataDxfId="442" totalsRowDxfId="78"/>
    <tableColumn id="18" xr3:uid="{00000000-0010-0000-0B00-000012000000}" name="17" totalsRowFunction="count" dataDxfId="441" totalsRowDxfId="77"/>
    <tableColumn id="19" xr3:uid="{00000000-0010-0000-0B00-000013000000}" name="18" totalsRowFunction="count" dataDxfId="440" totalsRowDxfId="76"/>
    <tableColumn id="20" xr3:uid="{00000000-0010-0000-0B00-000014000000}" name="19" totalsRowFunction="count" dataDxfId="439" totalsRowDxfId="75"/>
    <tableColumn id="21" xr3:uid="{00000000-0010-0000-0B00-000015000000}" name="20" totalsRowFunction="count" dataDxfId="438" totalsRowDxfId="74"/>
    <tableColumn id="22" xr3:uid="{00000000-0010-0000-0B00-000016000000}" name="21" totalsRowFunction="count" dataDxfId="437" totalsRowDxfId="73"/>
    <tableColumn id="23" xr3:uid="{00000000-0010-0000-0B00-000017000000}" name="22" totalsRowFunction="count" dataDxfId="436" totalsRowDxfId="72"/>
    <tableColumn id="24" xr3:uid="{00000000-0010-0000-0B00-000018000000}" name="23" totalsRowFunction="count" dataDxfId="435" totalsRowDxfId="71"/>
    <tableColumn id="25" xr3:uid="{00000000-0010-0000-0B00-000019000000}" name="24" totalsRowFunction="count" dataDxfId="434" totalsRowDxfId="70"/>
    <tableColumn id="26" xr3:uid="{00000000-0010-0000-0B00-00001A000000}" name="25" totalsRowFunction="count" dataDxfId="433" totalsRowDxfId="69"/>
    <tableColumn id="27" xr3:uid="{00000000-0010-0000-0B00-00001B000000}" name="26" totalsRowFunction="count" dataDxfId="432" totalsRowDxfId="68"/>
    <tableColumn id="28" xr3:uid="{00000000-0010-0000-0B00-00001C000000}" name="27" totalsRowFunction="count" dataDxfId="431" totalsRowDxfId="67"/>
    <tableColumn id="29" xr3:uid="{00000000-0010-0000-0B00-00001D000000}" name="28" totalsRowFunction="count" dataDxfId="430" totalsRowDxfId="66"/>
    <tableColumn id="30" xr3:uid="{00000000-0010-0000-0B00-00001E000000}" name="29" totalsRowFunction="count" dataDxfId="429" totalsRowDxfId="65"/>
    <tableColumn id="31" xr3:uid="{00000000-0010-0000-0B00-00001F000000}" name="30" totalsRowFunction="count" dataDxfId="428" totalsRowDxfId="64"/>
    <tableColumn id="32" xr3:uid="{00000000-0010-0000-0B00-000020000000}" name="31" totalsRowFunction="count" dataDxfId="427" totalsRowDxfId="63"/>
    <tableColumn id="33" xr3:uid="{00000000-0010-0000-0B00-000021000000}" name="Total des jours" totalsRowFunction="sum" dataDxfId="426" totalsRowDxfId="62">
      <calculatedColumnFormula>COUNTA(Décembre[[#This Row],[1]:[31]])</calculatedColumnFormula>
    </tableColumn>
  </tableColumns>
  <tableStyleInfo name="Tableau des absences des employés" showFirstColumn="1" showLastColumn="1" showRowStripes="1" showColumnStripes="0"/>
  <extLst>
    <ext xmlns:x14="http://schemas.microsoft.com/office/spreadsheetml/2009/9/main" uri="{504A1905-F514-4f6f-8877-14C23A59335A}">
      <x14:table altTextSummary="Fournit une liste de noms et des dates de calendrier pour enregistrer les absences et motifs d’absence des employés (C= Congé, M=Maladie, P=Personnel, et deux espaces réservés pour des entrées personnalisées)"/>
    </ext>
  </extLst>
</table>
</file>

<file path=xl/tables/table1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3" xr:uid="{00000000-000C-0000-FFFF-FFFF0C000000}" name="NomEmployé" displayName="NomEmployé" ref="B3:B18">
  <autoFilter ref="B3:B18" xr:uid="{00000000-0009-0000-0100-00000D000000}"/>
  <sortState xmlns:xlrd2="http://schemas.microsoft.com/office/spreadsheetml/2017/richdata2" ref="B4:B18">
    <sortCondition ref="B4:B18"/>
  </sortState>
  <tableColumns count="1">
    <tableColumn id="1" xr3:uid="{00000000-0010-0000-0C00-000001000000}" name="Noms des employés" totalsRowFunction="count" totalsRowDxfId="425" dataCellStyle="Employé"/>
  </tableColumns>
  <tableStyleInfo name="Tableau des absences des employés" showFirstColumn="1" showLastColumn="1" showRowStripes="1" showColumnStripes="0"/>
  <extLst>
    <ext xmlns:x14="http://schemas.microsoft.com/office/spreadsheetml/2009/9/main" uri="{504A1905-F514-4f6f-8877-14C23A59335A}">
      <x14:table altTextSummary="Entrez les noms des employés dans ce tableau. Ces noms sont utilisés en tant qu’options dans la colonne B du calendrier des absences de chaque mois."/>
    </ext>
  </extLst>
</table>
</file>

<file path=xl/theme/theme1.xml><?xml version="1.0" encoding="utf-8"?>
<a:theme xmlns:a="http://schemas.openxmlformats.org/drawingml/2006/main" name="Office Theme">
  <a:themeElements>
    <a:clrScheme name="Employee Absense Schedule">
      <a:dk1>
        <a:sysClr val="windowText" lastClr="000000"/>
      </a:dk1>
      <a:lt1>
        <a:sysClr val="window" lastClr="FFFFFF"/>
      </a:lt1>
      <a:dk2>
        <a:srgbClr val="4B180E"/>
      </a:dk2>
      <a:lt2>
        <a:srgbClr val="F1F2E8"/>
      </a:lt2>
      <a:accent1>
        <a:srgbClr val="A53423"/>
      </a:accent1>
      <a:accent2>
        <a:srgbClr val="E68130"/>
      </a:accent2>
      <a:accent3>
        <a:srgbClr val="9BB05D"/>
      </a:accent3>
      <a:accent4>
        <a:srgbClr val="CC9900"/>
      </a:accent4>
      <a:accent5>
        <a:srgbClr val="4F66AF"/>
      </a:accent5>
      <a:accent6>
        <a:srgbClr val="D0D2D3"/>
      </a:accent6>
      <a:hlink>
        <a:srgbClr val="4F66AF"/>
      </a:hlink>
      <a:folHlink>
        <a:srgbClr val="6B9AC6"/>
      </a:folHlink>
    </a:clrScheme>
    <a:fontScheme name="Employee Absence Schedule">
      <a:majorFont>
        <a:latin typeface="Calibri"/>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table" Target="../tables/table5.xml"/><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7.bin"/><Relationship Id="rId5" Type="http://schemas.openxmlformats.org/officeDocument/2006/relationships/table" Target="../tables/table7.xml"/><Relationship Id="rId4" Type="http://schemas.openxmlformats.org/officeDocument/2006/relationships/ctrlProp" Target="../ctrlProps/ctrlProp1.xml"/></Relationships>
</file>

<file path=xl/worksheets/_rels/sheet9.xml.rels><?xml version="1.0" encoding="UTF-8" standalone="yes"?>
<Relationships xmlns="http://schemas.openxmlformats.org/package/2006/relationships"><Relationship Id="rId2" Type="http://schemas.openxmlformats.org/officeDocument/2006/relationships/table" Target="../tables/table8.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table" Target="../tables/table9.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table" Target="../tables/table10.x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2" Type="http://schemas.openxmlformats.org/officeDocument/2006/relationships/table" Target="../tables/table11.xml"/><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2" Type="http://schemas.openxmlformats.org/officeDocument/2006/relationships/table" Target="../tables/table12.xml"/><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2" Type="http://schemas.openxmlformats.org/officeDocument/2006/relationships/table" Target="../tables/table13.xml"/><Relationship Id="rId1" Type="http://schemas.openxmlformats.org/officeDocument/2006/relationships/printerSettings" Target="../printerSettings/printerSettings1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285361-50E6-4CE8-AE78-702B9D17F12F}">
  <sheetPr codeName="Feuil1"/>
  <dimension ref="A3:A43"/>
  <sheetViews>
    <sheetView workbookViewId="0">
      <selection activeCell="D7" sqref="D7"/>
    </sheetView>
  </sheetViews>
  <sheetFormatPr baseColWidth="10" defaultRowHeight="15" x14ac:dyDescent="0.25"/>
  <cols>
    <col min="1" max="1" width="21" bestFit="1" customWidth="1"/>
  </cols>
  <sheetData>
    <row r="3" spans="1:1" x14ac:dyDescent="0.25">
      <c r="A3" s="26" t="s">
        <v>85</v>
      </c>
    </row>
    <row r="4" spans="1:1" x14ac:dyDescent="0.25">
      <c r="A4" s="27" t="s">
        <v>4</v>
      </c>
    </row>
    <row r="5" spans="1:1" x14ac:dyDescent="0.25">
      <c r="A5" s="27" t="s">
        <v>5</v>
      </c>
    </row>
    <row r="6" spans="1:1" x14ac:dyDescent="0.25">
      <c r="A6" s="28" t="s">
        <v>87</v>
      </c>
    </row>
    <row r="7" spans="1:1" x14ac:dyDescent="0.25">
      <c r="A7" s="27" t="s">
        <v>6</v>
      </c>
    </row>
    <row r="8" spans="1:1" x14ac:dyDescent="0.25">
      <c r="A8" s="28" t="s">
        <v>87</v>
      </c>
    </row>
    <row r="9" spans="1:1" x14ac:dyDescent="0.25">
      <c r="A9" s="27" t="s">
        <v>7</v>
      </c>
    </row>
    <row r="10" spans="1:1" x14ac:dyDescent="0.25">
      <c r="A10" s="28" t="s">
        <v>87</v>
      </c>
    </row>
    <row r="11" spans="1:1" x14ac:dyDescent="0.25">
      <c r="A11" s="27" t="s">
        <v>8</v>
      </c>
    </row>
    <row r="12" spans="1:1" x14ac:dyDescent="0.25">
      <c r="A12" s="28" t="s">
        <v>87</v>
      </c>
    </row>
    <row r="13" spans="1:1" x14ac:dyDescent="0.25">
      <c r="A13" s="27" t="s">
        <v>88</v>
      </c>
    </row>
    <row r="14" spans="1:1" x14ac:dyDescent="0.25">
      <c r="A14" s="28" t="s">
        <v>87</v>
      </c>
    </row>
    <row r="15" spans="1:1" x14ac:dyDescent="0.25">
      <c r="A15" s="27" t="s">
        <v>89</v>
      </c>
    </row>
    <row r="16" spans="1:1" x14ac:dyDescent="0.25">
      <c r="A16" s="28" t="s">
        <v>87</v>
      </c>
    </row>
    <row r="17" spans="1:1" x14ac:dyDescent="0.25">
      <c r="A17" s="27" t="s">
        <v>90</v>
      </c>
    </row>
    <row r="18" spans="1:1" x14ac:dyDescent="0.25">
      <c r="A18" s="28" t="s">
        <v>87</v>
      </c>
    </row>
    <row r="19" spans="1:1" x14ac:dyDescent="0.25">
      <c r="A19" s="27" t="s">
        <v>91</v>
      </c>
    </row>
    <row r="20" spans="1:1" x14ac:dyDescent="0.25">
      <c r="A20" s="28" t="s">
        <v>87</v>
      </c>
    </row>
    <row r="21" spans="1:1" x14ac:dyDescent="0.25">
      <c r="A21" s="27" t="s">
        <v>92</v>
      </c>
    </row>
    <row r="22" spans="1:1" x14ac:dyDescent="0.25">
      <c r="A22" s="28" t="s">
        <v>87</v>
      </c>
    </row>
    <row r="23" spans="1:1" x14ac:dyDescent="0.25">
      <c r="A23" s="27" t="s">
        <v>93</v>
      </c>
    </row>
    <row r="24" spans="1:1" x14ac:dyDescent="0.25">
      <c r="A24" s="28" t="s">
        <v>87</v>
      </c>
    </row>
    <row r="25" spans="1:1" x14ac:dyDescent="0.25">
      <c r="A25" s="27" t="s">
        <v>94</v>
      </c>
    </row>
    <row r="26" spans="1:1" x14ac:dyDescent="0.25">
      <c r="A26" s="28" t="s">
        <v>87</v>
      </c>
    </row>
    <row r="27" spans="1:1" x14ac:dyDescent="0.25">
      <c r="A27" s="27" t="s">
        <v>95</v>
      </c>
    </row>
    <row r="28" spans="1:1" x14ac:dyDescent="0.25">
      <c r="A28" s="28" t="s">
        <v>87</v>
      </c>
    </row>
    <row r="29" spans="1:1" x14ac:dyDescent="0.25">
      <c r="A29" s="27" t="s">
        <v>96</v>
      </c>
    </row>
    <row r="30" spans="1:1" x14ac:dyDescent="0.25">
      <c r="A30" s="28" t="s">
        <v>87</v>
      </c>
    </row>
    <row r="31" spans="1:1" x14ac:dyDescent="0.25">
      <c r="A31" s="27" t="s">
        <v>97</v>
      </c>
    </row>
    <row r="32" spans="1:1" x14ac:dyDescent="0.25">
      <c r="A32" s="28" t="s">
        <v>87</v>
      </c>
    </row>
    <row r="33" spans="1:1" x14ac:dyDescent="0.25">
      <c r="A33" s="27" t="s">
        <v>98</v>
      </c>
    </row>
    <row r="34" spans="1:1" x14ac:dyDescent="0.25">
      <c r="A34" s="28" t="s">
        <v>87</v>
      </c>
    </row>
    <row r="35" spans="1:1" x14ac:dyDescent="0.25">
      <c r="A35" s="27" t="s">
        <v>99</v>
      </c>
    </row>
    <row r="36" spans="1:1" x14ac:dyDescent="0.25">
      <c r="A36" s="28" t="s">
        <v>87</v>
      </c>
    </row>
    <row r="37" spans="1:1" x14ac:dyDescent="0.25">
      <c r="A37" s="27" t="s">
        <v>100</v>
      </c>
    </row>
    <row r="38" spans="1:1" x14ac:dyDescent="0.25">
      <c r="A38" s="28" t="s">
        <v>87</v>
      </c>
    </row>
    <row r="39" spans="1:1" x14ac:dyDescent="0.25">
      <c r="A39" s="27" t="s">
        <v>101</v>
      </c>
    </row>
    <row r="40" spans="1:1" x14ac:dyDescent="0.25">
      <c r="A40" s="28" t="s">
        <v>87</v>
      </c>
    </row>
    <row r="41" spans="1:1" x14ac:dyDescent="0.25">
      <c r="A41" s="27" t="s">
        <v>102</v>
      </c>
    </row>
    <row r="42" spans="1:1" x14ac:dyDescent="0.25">
      <c r="A42" s="28" t="s">
        <v>87</v>
      </c>
    </row>
    <row r="43" spans="1:1" x14ac:dyDescent="0.25">
      <c r="A43" s="27" t="s">
        <v>86</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2">
    <tabColor theme="2" tint="-0.89999084444715716"/>
  </sheetPr>
  <dimension ref="A1:AH27"/>
  <sheetViews>
    <sheetView showGridLines="0" tabSelected="1" zoomScaleNormal="100" workbookViewId="0">
      <selection activeCell="AK9" sqref="AK9"/>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 min="38" max="38" width="23.42578125" customWidth="1"/>
  </cols>
  <sheetData>
    <row r="1" spans="1:34" ht="50.1" customHeight="1" x14ac:dyDescent="0.25">
      <c r="A1" s="18"/>
      <c r="B1" s="14" t="s">
        <v>0</v>
      </c>
    </row>
    <row r="2" spans="1:34" ht="15" customHeight="1" x14ac:dyDescent="0.25">
      <c r="B2" s="19" t="s">
        <v>1</v>
      </c>
      <c r="C2" s="4" t="s">
        <v>9</v>
      </c>
      <c r="D2" s="30" t="s">
        <v>12</v>
      </c>
      <c r="E2" s="30"/>
      <c r="F2" s="5" t="s">
        <v>79</v>
      </c>
      <c r="G2" s="30" t="s">
        <v>80</v>
      </c>
      <c r="H2" s="30"/>
      <c r="I2" s="30"/>
      <c r="J2" s="6" t="s">
        <v>17</v>
      </c>
      <c r="K2" s="30" t="s">
        <v>24</v>
      </c>
      <c r="L2" s="30"/>
      <c r="M2" s="7" t="s">
        <v>81</v>
      </c>
      <c r="N2" s="30" t="s">
        <v>81</v>
      </c>
      <c r="O2" s="30"/>
      <c r="P2" s="30"/>
      <c r="Q2" s="30"/>
      <c r="R2" s="8" t="s">
        <v>82</v>
      </c>
      <c r="S2" s="30" t="s">
        <v>83</v>
      </c>
      <c r="T2" s="30"/>
      <c r="U2" s="30"/>
      <c r="V2" s="30"/>
    </row>
    <row r="3" spans="1:34" ht="15" customHeight="1" x14ac:dyDescent="0.25">
      <c r="AH3" s="20" t="s">
        <v>49</v>
      </c>
    </row>
    <row r="4" spans="1:34" ht="30" customHeight="1" x14ac:dyDescent="0.25">
      <c r="B4" s="12" t="s">
        <v>2</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v>2020</v>
      </c>
    </row>
    <row r="5" spans="1:34" ht="15" customHeight="1" x14ac:dyDescent="0.25">
      <c r="B5" s="12"/>
      <c r="C5" s="2" t="str">
        <f>TEXT(WEEKDAY(DATE(AnnéeCalendrier,1,1),1),"jjj")</f>
        <v>mer</v>
      </c>
      <c r="D5" s="2" t="str">
        <f>TEXT(WEEKDAY(DATE(AnnéeCalendrier,1,2),1),"jjj")</f>
        <v>jeu</v>
      </c>
      <c r="E5" s="2" t="str">
        <f>TEXT(WEEKDAY(DATE(AnnéeCalendrier,1,3),1),"jjj")</f>
        <v>ven</v>
      </c>
      <c r="F5" s="2" t="str">
        <f>TEXT(WEEKDAY(DATE(AnnéeCalendrier,1,4),1),"jjj")</f>
        <v>sam</v>
      </c>
      <c r="G5" s="2" t="str">
        <f>TEXT(WEEKDAY(DATE(AnnéeCalendrier,1,5),1),"jjj")</f>
        <v>dim</v>
      </c>
      <c r="H5" s="2" t="str">
        <f>TEXT(WEEKDAY(DATE(AnnéeCalendrier,1,6),1),"jjj")</f>
        <v>lun</v>
      </c>
      <c r="I5" s="2" t="str">
        <f>TEXT(WEEKDAY(DATE(AnnéeCalendrier,1,7),1),"jjj")</f>
        <v>mar</v>
      </c>
      <c r="J5" s="2" t="str">
        <f>TEXT(WEEKDAY(DATE(AnnéeCalendrier,1,8),1),"jjj")</f>
        <v>mer</v>
      </c>
      <c r="K5" s="2" t="str">
        <f>TEXT(WEEKDAY(DATE(AnnéeCalendrier,1,9),1),"jjj")</f>
        <v>jeu</v>
      </c>
      <c r="L5" s="2" t="str">
        <f>TEXT(WEEKDAY(DATE(AnnéeCalendrier,1,10),1),"jjj")</f>
        <v>ven</v>
      </c>
      <c r="M5" s="2" t="str">
        <f>TEXT(WEEKDAY(DATE(AnnéeCalendrier,1,11),1),"jjj")</f>
        <v>sam</v>
      </c>
      <c r="N5" s="2" t="str">
        <f>TEXT(WEEKDAY(DATE(AnnéeCalendrier,1,12),1),"jjj")</f>
        <v>dim</v>
      </c>
      <c r="O5" s="2" t="str">
        <f>TEXT(WEEKDAY(DATE(AnnéeCalendrier,1,13),1),"jjj")</f>
        <v>lun</v>
      </c>
      <c r="P5" s="2" t="str">
        <f>TEXT(WEEKDAY(DATE(AnnéeCalendrier,1,14),1),"jjj")</f>
        <v>mar</v>
      </c>
      <c r="Q5" s="2" t="str">
        <f>TEXT(WEEKDAY(DATE(AnnéeCalendrier,1,15),1),"jjj")</f>
        <v>mer</v>
      </c>
      <c r="R5" s="2" t="str">
        <f>TEXT(WEEKDAY(DATE(AnnéeCalendrier,1,16),1),"jjj")</f>
        <v>jeu</v>
      </c>
      <c r="S5" s="2" t="str">
        <f>TEXT(WEEKDAY(DATE(AnnéeCalendrier,1,17),1),"jjj")</f>
        <v>ven</v>
      </c>
      <c r="T5" s="2" t="str">
        <f>TEXT(WEEKDAY(DATE(AnnéeCalendrier,1,18),1),"jjj")</f>
        <v>sam</v>
      </c>
      <c r="U5" s="2" t="str">
        <f>TEXT(WEEKDAY(DATE(AnnéeCalendrier,1,19),1),"jjj")</f>
        <v>dim</v>
      </c>
      <c r="V5" s="2" t="str">
        <f>TEXT(WEEKDAY(DATE(AnnéeCalendrier,1,20),1),"jjj")</f>
        <v>lun</v>
      </c>
      <c r="W5" s="2" t="str">
        <f>TEXT(WEEKDAY(DATE(AnnéeCalendrier,1,21),1),"jjj")</f>
        <v>mar</v>
      </c>
      <c r="X5" s="2" t="str">
        <f>TEXT(WEEKDAY(DATE(AnnéeCalendrier,1,22),1),"jjj")</f>
        <v>mer</v>
      </c>
      <c r="Y5" s="2" t="str">
        <f>TEXT(WEEKDAY(DATE(AnnéeCalendrier,1,23),1),"jjj")</f>
        <v>jeu</v>
      </c>
      <c r="Z5" s="2" t="str">
        <f>TEXT(WEEKDAY(DATE(AnnéeCalendrier,1,24),1),"jjj")</f>
        <v>ven</v>
      </c>
      <c r="AA5" s="2" t="str">
        <f>TEXT(WEEKDAY(DATE(AnnéeCalendrier,1,25),1),"jjj")</f>
        <v>sam</v>
      </c>
      <c r="AB5" s="2" t="str">
        <f>TEXT(WEEKDAY(DATE(AnnéeCalendrier,1,26),1),"jjj")</f>
        <v>dim</v>
      </c>
      <c r="AC5" s="2" t="str">
        <f>TEXT(WEEKDAY(DATE(AnnéeCalendrier,1,27),1),"jjj")</f>
        <v>lun</v>
      </c>
      <c r="AD5" s="2" t="str">
        <f>TEXT(WEEKDAY(DATE(AnnéeCalendrier,1,28),1),"jjj")</f>
        <v>mar</v>
      </c>
      <c r="AE5" s="2" t="str">
        <f>TEXT(WEEKDAY(DATE(AnnéeCalendrier,1,29),1),"jjj")</f>
        <v>mer</v>
      </c>
      <c r="AF5" s="2" t="str">
        <f>TEXT(WEEKDAY(DATE(AnnéeCalendrier,1,30),1),"jjj")</f>
        <v>jeu</v>
      </c>
      <c r="AG5" s="2" t="str">
        <f>TEXT(WEEKDAY(DATE(AnnéeCalendrier,1,31),1),"jjj")</f>
        <v>ven</v>
      </c>
      <c r="AH5" s="12"/>
    </row>
    <row r="6" spans="1: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1:34" ht="30" customHeight="1" x14ac:dyDescent="0.25">
      <c r="B7" s="9" t="s">
        <v>76</v>
      </c>
      <c r="C7" s="3"/>
      <c r="D7" s="3"/>
      <c r="E7" s="3"/>
      <c r="F7" s="3"/>
      <c r="G7" s="3"/>
      <c r="H7" s="3"/>
      <c r="I7" s="3" t="s">
        <v>103</v>
      </c>
      <c r="J7" s="3"/>
      <c r="K7" s="3"/>
      <c r="L7" s="3"/>
      <c r="M7" s="3"/>
      <c r="N7" s="3"/>
      <c r="O7" s="3"/>
      <c r="P7" s="3"/>
      <c r="Q7" s="3"/>
      <c r="R7" s="3"/>
      <c r="S7" s="3"/>
      <c r="T7" s="3"/>
      <c r="U7" s="3"/>
      <c r="V7" s="3"/>
      <c r="W7" s="3"/>
      <c r="X7" s="3"/>
      <c r="Y7" s="3"/>
      <c r="Z7" s="3"/>
      <c r="AA7" s="3"/>
      <c r="AB7" s="3"/>
      <c r="AC7" s="3"/>
      <c r="AD7" s="3"/>
      <c r="AE7" s="3"/>
      <c r="AF7" s="3"/>
      <c r="AG7" s="3"/>
      <c r="AH7" s="10">
        <f>COUNTA(Janvier!$C7:$AG7)</f>
        <v>1</v>
      </c>
    </row>
    <row r="8" spans="1:34" ht="30" customHeight="1" x14ac:dyDescent="0.25">
      <c r="B8" s="9"/>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COUNTA(Janvier!$C8:$AG8)</f>
        <v>0</v>
      </c>
    </row>
    <row r="9" spans="1:34" ht="30" customHeight="1" x14ac:dyDescent="0.25">
      <c r="B9" s="9"/>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COUNTA(Janvier!$C9:$AG9)</f>
        <v>0</v>
      </c>
    </row>
    <row r="10" spans="1:34" ht="30" customHeight="1" x14ac:dyDescent="0.25">
      <c r="B10" s="9"/>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COUNTA(Janvier!$C10:$AG10)</f>
        <v>0</v>
      </c>
    </row>
    <row r="11" spans="1:34" ht="30" customHeight="1" x14ac:dyDescent="0.25">
      <c r="B11" s="9"/>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COUNTA(Janvier!$C11:$AG11)</f>
        <v>0</v>
      </c>
    </row>
    <row r="12" spans="1:34" ht="30" customHeight="1" x14ac:dyDescent="0.25">
      <c r="B12" s="9"/>
      <c r="AH12" s="2">
        <f>COUNTA(Janvier!$C12:$AG12)</f>
        <v>0</v>
      </c>
    </row>
    <row r="13" spans="1:34" ht="30" customHeight="1" x14ac:dyDescent="0.25">
      <c r="B13" s="9"/>
      <c r="AH13" s="2">
        <f>COUNTA(Janvier!$C13:$AG13)</f>
        <v>0</v>
      </c>
    </row>
    <row r="14" spans="1:34" ht="30" customHeight="1" x14ac:dyDescent="0.25">
      <c r="B14" s="9"/>
      <c r="AH14" s="2">
        <f>COUNTA(Janvier!$C14:$AG14)</f>
        <v>0</v>
      </c>
    </row>
    <row r="15" spans="1:34" ht="30" customHeight="1" x14ac:dyDescent="0.25">
      <c r="B15" s="9"/>
      <c r="AH15" s="2">
        <f>COUNTA(Janvier!$C15:$AG15)</f>
        <v>0</v>
      </c>
    </row>
    <row r="16" spans="1:34" ht="30" customHeight="1" x14ac:dyDescent="0.25">
      <c r="B16" s="9"/>
      <c r="AH16" s="2">
        <f>COUNTA(Janvier!$C16:$AG16)</f>
        <v>0</v>
      </c>
    </row>
    <row r="17" spans="2:34" ht="30" customHeight="1" x14ac:dyDescent="0.25">
      <c r="B17" s="9"/>
      <c r="AH17" s="2">
        <f>COUNTA(Janvier!$C17:$AG17)</f>
        <v>0</v>
      </c>
    </row>
    <row r="18" spans="2:34" ht="30" customHeight="1" x14ac:dyDescent="0.25">
      <c r="B18" s="9"/>
      <c r="AH18" s="2">
        <f>COUNTA(Janvier!$C18:$AG18)</f>
        <v>0</v>
      </c>
    </row>
    <row r="19" spans="2:34" ht="30" customHeight="1" x14ac:dyDescent="0.25">
      <c r="B19" s="9"/>
      <c r="AH19" s="2">
        <f>COUNTA(Janvier!$C19:$AG19)</f>
        <v>0</v>
      </c>
    </row>
    <row r="20" spans="2:34" ht="30" customHeight="1" x14ac:dyDescent="0.25">
      <c r="B20" s="9"/>
      <c r="AH20" s="2">
        <f>COUNTA(Janvier!$C20:$AG20)</f>
        <v>0</v>
      </c>
    </row>
    <row r="21" spans="2:34" ht="30" customHeight="1" x14ac:dyDescent="0.25">
      <c r="B21" s="9"/>
      <c r="AH21" s="2">
        <f>COUNTA(Janvier!$C21:$AG21)</f>
        <v>0</v>
      </c>
    </row>
    <row r="22" spans="2:34" ht="30" customHeight="1" x14ac:dyDescent="0.25">
      <c r="B22" s="9"/>
      <c r="AH22" s="2">
        <f>COUNTA(Janvier!$C22:$AG22)</f>
        <v>0</v>
      </c>
    </row>
    <row r="23" spans="2:34" ht="30" customHeight="1" x14ac:dyDescent="0.25">
      <c r="B23" s="9"/>
      <c r="AH23" s="2">
        <f>COUNTA(Janvier!$C23:$AG23)</f>
        <v>0</v>
      </c>
    </row>
    <row r="24" spans="2:34" ht="30" customHeight="1" x14ac:dyDescent="0.25">
      <c r="B24" s="9"/>
      <c r="AH24" s="2">
        <f>COUNTA(Janvier!$C24:$AG24)</f>
        <v>0</v>
      </c>
    </row>
    <row r="25" spans="2:34" ht="30" customHeight="1" x14ac:dyDescent="0.25">
      <c r="B25" s="9"/>
      <c r="AH25" s="2">
        <f>COUNTA(Janvier!$C25:$AG25)</f>
        <v>0</v>
      </c>
    </row>
    <row r="26" spans="2:34" ht="30" customHeight="1" x14ac:dyDescent="0.25">
      <c r="B26" s="9"/>
      <c r="AH26" s="2">
        <f>COUNTA(Janvier!$C26:$AG26)</f>
        <v>0</v>
      </c>
    </row>
    <row r="27" spans="2:34" ht="30" customHeight="1" x14ac:dyDescent="0.25">
      <c r="B27" s="21" t="str">
        <f>NomMois&amp;" Total"</f>
        <v>Janvier Total</v>
      </c>
      <c r="C27" s="13">
        <f>SUBTOTAL(103,Janvier!$C$7:$C$26)</f>
        <v>0</v>
      </c>
      <c r="D27" s="13">
        <f>SUBTOTAL(103,Janvier!$D$7:$D$26)</f>
        <v>0</v>
      </c>
      <c r="E27" s="13">
        <f>SUBTOTAL(103,Janvier!$E$7:$E$26)</f>
        <v>0</v>
      </c>
      <c r="F27" s="13">
        <f>SUBTOTAL(103,Janvier!$F$7:$F$26)</f>
        <v>0</v>
      </c>
      <c r="G27" s="13">
        <f>SUBTOTAL(103,Janvier!$G$7:$G$26)</f>
        <v>0</v>
      </c>
      <c r="H27" s="13">
        <f>SUBTOTAL(103,Janvier!$H$7:$H$26)</f>
        <v>0</v>
      </c>
      <c r="I27" s="13">
        <f>SUBTOTAL(103,Janvier!$I$7:$I$26)</f>
        <v>1</v>
      </c>
      <c r="J27" s="13">
        <f>SUBTOTAL(103,Janvier!$J$7:$J$26)</f>
        <v>0</v>
      </c>
      <c r="K27" s="13">
        <f>SUBTOTAL(103,Janvier!$K$7:$K$26)</f>
        <v>0</v>
      </c>
      <c r="L27" s="13">
        <f>SUBTOTAL(103,Janvier!$L$7:$L$26)</f>
        <v>0</v>
      </c>
      <c r="M27" s="13">
        <f>SUBTOTAL(103,Janvier!$M$7:$M$26)</f>
        <v>0</v>
      </c>
      <c r="N27" s="13">
        <f>SUBTOTAL(103,Janvier!$N$7:$N$26)</f>
        <v>0</v>
      </c>
      <c r="O27" s="13">
        <f>SUBTOTAL(103,Janvier!$O$7:$O$26)</f>
        <v>0</v>
      </c>
      <c r="P27" s="13">
        <f>SUBTOTAL(103,Janvier!$P$7:$P$26)</f>
        <v>0</v>
      </c>
      <c r="Q27" s="13">
        <f>SUBTOTAL(103,Janvier!$Q$7:$Q$26)</f>
        <v>0</v>
      </c>
      <c r="R27" s="13">
        <f>SUBTOTAL(103,Janvier!$R$7:$R$26)</f>
        <v>0</v>
      </c>
      <c r="S27" s="13">
        <f>SUBTOTAL(103,Janvier!$S$7:$S$26)</f>
        <v>0</v>
      </c>
      <c r="T27" s="13">
        <f>SUBTOTAL(103,Janvier!$T$7:$T$26)</f>
        <v>0</v>
      </c>
      <c r="U27" s="13">
        <f>SUBTOTAL(103,Janvier!$U$7:$U$26)</f>
        <v>0</v>
      </c>
      <c r="V27" s="13">
        <f>SUBTOTAL(103,Janvier!$V$7:$V$26)</f>
        <v>0</v>
      </c>
      <c r="W27" s="13">
        <f>SUBTOTAL(103,Janvier!$W$7:$W$26)</f>
        <v>0</v>
      </c>
      <c r="X27" s="13">
        <f>SUBTOTAL(103,Janvier!$X$7:$X$26)</f>
        <v>0</v>
      </c>
      <c r="Y27" s="13">
        <f>SUBTOTAL(103,Janvier!$Y$7:$Y$26)</f>
        <v>0</v>
      </c>
      <c r="Z27" s="13">
        <f>SUBTOTAL(103,Janvier!$Z$7:$Z$26)</f>
        <v>0</v>
      </c>
      <c r="AA27" s="13">
        <f>SUBTOTAL(103,Janvier!$AA$7:$AA$26)</f>
        <v>0</v>
      </c>
      <c r="AB27" s="13">
        <f>SUBTOTAL(103,Janvier!$AB$7:$AB$26)</f>
        <v>0</v>
      </c>
      <c r="AC27" s="13">
        <f>SUBTOTAL(103,Janvier!$AC$7:$AC$26)</f>
        <v>0</v>
      </c>
      <c r="AD27" s="13">
        <f>SUBTOTAL(103,Janvier!$AD$7:$AD$26)</f>
        <v>0</v>
      </c>
      <c r="AE27" s="13">
        <f>SUBTOTAL(103,Janvier!$AE$7:$AE$26)</f>
        <v>0</v>
      </c>
      <c r="AF27" s="13">
        <f>SUBTOTAL(103,Janvier!$AF$7:$AF$26)</f>
        <v>0</v>
      </c>
      <c r="AG27" s="13">
        <f>SUBTOTAL(103,Janvier!$AG$7:$AG$26)</f>
        <v>0</v>
      </c>
      <c r="AH27" s="13">
        <f>SUBTOTAL(109,Janvier[Total des jours])</f>
        <v>1</v>
      </c>
    </row>
  </sheetData>
  <mergeCells count="6">
    <mergeCell ref="C4:AG4"/>
    <mergeCell ref="D2:E2"/>
    <mergeCell ref="G2:I2"/>
    <mergeCell ref="K2:L2"/>
    <mergeCell ref="N2:Q2"/>
    <mergeCell ref="S2:V2"/>
  </mergeCells>
  <phoneticPr fontId="19" type="noConversion"/>
  <conditionalFormatting sqref="C7:AG26">
    <cfRule type="expression" priority="1" stopIfTrue="1">
      <formula>C7=""</formula>
    </cfRule>
    <cfRule type="expression" dxfId="61" priority="6" stopIfTrue="1">
      <formula>C7=CléPersonnalisée2</formula>
    </cfRule>
    <cfRule type="expression" dxfId="60" priority="7" stopIfTrue="1">
      <formula>C7=CléPersonnalisée1</formula>
    </cfRule>
    <cfRule type="expression" dxfId="59" priority="8" stopIfTrue="1">
      <formula>C7=CléMaladie</formula>
    </cfRule>
    <cfRule type="expression" dxfId="58" priority="9" stopIfTrue="1">
      <formula>C7=CléPersonnel</formula>
    </cfRule>
    <cfRule type="expression" dxfId="57" priority="10" stopIfTrue="1">
      <formula>C7=CléCongé</formula>
    </cfRule>
  </conditionalFormatting>
  <conditionalFormatting sqref="AH7:AH26">
    <cfRule type="dataBar" priority="168">
      <dataBar>
        <cfvo type="num" val="0"/>
        <cfvo type="num" val="31"/>
        <color theme="2" tint="-0.249977111117893"/>
      </dataBar>
      <extLst>
        <ext xmlns:x14="http://schemas.microsoft.com/office/spreadsheetml/2009/9/main" uri="{B025F937-C7B1-47D3-B67F-A62EFF666E3E}">
          <x14:id>{ECCE2C3C-1B01-4700-B60E-DAAAB19A9C1A}</x14:id>
        </ext>
      </extLst>
    </cfRule>
  </conditionalFormatting>
  <dataValidations count="16">
    <dataValidation allowBlank="1" showInputMessage="1" showErrorMessage="1" prompt="Entrez l’année dans cette cellule." sqref="AH4" xr:uid="{00000000-0002-0000-0000-000000000000}"/>
    <dataValidation type="list"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000-000001000000}">
      <formula1>$B$7:$B$26</formula1>
    </dataValidation>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000-000002000000}"/>
    <dataValidation allowBlank="1" showInputMessage="1" showErrorMessage="1" prompt="Les jours de la semaine dans cette ligne sont mis à jour automatiquement pour le mois en fonction de l’année entrée dans AH4. Chaque jour du mois est une colonne dans laquelle noter l’absence et le motif d’absence d’un employé" sqref="C5" xr:uid="{00000000-0002-0000-0000-000003000000}"/>
    <dataValidation allowBlank="1" showInputMessage="1" showErrorMessage="1" prompt="Calcule automatiquement le nombre total de jours d’absence d’un employé durant ce mois" sqref="AH6" xr:uid="{00000000-0002-0000-0000-000004000000}"/>
    <dataValidation allowBlank="1" showInputMessage="1" showErrorMessage="1" prompt="Si vous mettez à jour le titre, le changement est automatiquement répercuté sur chaque feuille de calcul. Si vous mettez à jour le titre, le changement est automatiquement répercuté sur chaque feuille de calcul" sqref="B1" xr:uid="{00000000-0002-0000-0000-000005000000}"/>
    <dataValidation allowBlank="1" showInputMessage="1" showErrorMessage="1" prompt="Mois de ce calendrier des absences. Mettez à jour l’année dans la cellule AH4. Suivez les totaux mensuels dans la dernière cellule du tableau. Entrez les noms des employés dans la colonne B du tableau" sqref="B4" xr:uid="{00000000-0002-0000-0000-000006000000}"/>
    <dataValidation allowBlank="1" showInputMessage="1" showErrorMessage="1" prompt="Cette ligne définit les clés utilisées dans le tableau : Congé en C2, Personnel en F2 et Congé maladie en J2. Les cellules M2 et R2 sont personnalisables" sqref="B2" xr:uid="{00000000-0002-0000-0000-000007000000}"/>
    <dataValidation allowBlank="1" showInputMessage="1" showErrorMessage="1" prompt="La lettre « C » indique une absence pour cause de congé" sqref="C2" xr:uid="{00000000-0002-0000-0000-000008000000}"/>
    <dataValidation allowBlank="1" showInputMessage="1" showErrorMessage="1" prompt="La lettre « P » indique une absence pour motifs personnels" sqref="F2" xr:uid="{00000000-0002-0000-0000-000009000000}"/>
    <dataValidation allowBlank="1" showInputMessage="1" showErrorMessage="1" prompt="La lettre « M » indique une absence pour cause de maladie" sqref="J2" xr:uid="{00000000-0002-0000-0000-00000A000000}"/>
    <dataValidation allowBlank="1" showInputMessage="1" showErrorMessage="1" prompt="Entrez une lettre et personnalisez l’étiquette à droite pour ajouter un élément de clé" sqref="M2 R2" xr:uid="{00000000-0002-0000-0000-00000B000000}"/>
    <dataValidation allowBlank="1" showInputMessage="1" showErrorMessage="1" prompt="Entrez une étiquette pour décrire la clé personnalisée à gauche" sqref="N2 S2" xr:uid="{00000000-0002-0000-0000-00000C000000}"/>
    <dataValidation allowBlank="1" showInputMessage="1" showErrorMessage="1" prompt="Le Calendrier des absences des employés suit les absences exprimées en jours pour chaque mois. Il existe 13 feuilles de calcul, 12 mensuelles et la dernière pour les noms des employés. Suivez les absences du mois de janvier dans cette feuille de calcul" sqref="A1" xr:uid="{00000000-0002-0000-0000-00000D000000}"/>
    <dataValidation allowBlank="1" showInputMessage="1" showErrorMessage="1" prompt="Entrez l’année dans la cellule ci-dessous" sqref="AH3" xr:uid="{00000000-0002-0000-0000-00000E000000}"/>
    <dataValidation type="list" allowBlank="1" showInputMessage="1" showErrorMessage="1" sqref="B7:B26" xr:uid="{CCAC580C-7BA5-4E0D-A472-E58CCF5AAC39}">
      <formula1>tyty</formula1>
    </dataValidation>
  </dataValidations>
  <pageMargins left="0.7" right="0.7" top="0.75" bottom="0.75" header="0.3" footer="0.3"/>
  <pageSetup paperSize="9" fitToHeight="0" orientation="portrait" r:id="rId1"/>
  <ignoredErrors>
    <ignoredError sqref="B6" listDataValidation="1"/>
  </ignoredErrors>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ECCE2C3C-1B01-4700-B60E-DAAAB19A9C1A}">
            <x14:dataBar minLength="0" maxLength="100">
              <x14:cfvo type="num">
                <xm:f>0</xm:f>
              </x14:cfvo>
              <x14:cfvo type="num">
                <xm:f>31</xm:f>
              </x14:cfvo>
              <x14:negativeFillColor rgb="FFFF0000"/>
              <x14:axisColor rgb="FF000000"/>
            </x14:dataBar>
          </x14:cfRule>
          <xm:sqref>AH7:AH26</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3">
    <tabColor theme="2" tint="-0.749992370372631"/>
  </sheetPr>
  <dimension ref="A1:AH12"/>
  <sheetViews>
    <sheetView showGridLines="0" zoomScaleNormal="100" workbookViewId="0">
      <selection activeCell="B7" sqref="B7"/>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30" t="s">
        <v>12</v>
      </c>
      <c r="E2" s="30"/>
      <c r="F2" s="5" t="s">
        <v>79</v>
      </c>
      <c r="G2" s="30" t="s">
        <v>80</v>
      </c>
      <c r="H2" s="30"/>
      <c r="I2" s="30"/>
      <c r="J2" s="6" t="s">
        <v>17</v>
      </c>
      <c r="K2" s="30" t="s">
        <v>24</v>
      </c>
      <c r="L2" s="30"/>
      <c r="M2" s="7" t="s">
        <v>81</v>
      </c>
      <c r="N2" s="30" t="s">
        <v>81</v>
      </c>
      <c r="O2" s="30"/>
      <c r="P2" s="30"/>
      <c r="Q2" s="30"/>
      <c r="R2" s="8" t="s">
        <v>82</v>
      </c>
      <c r="S2" s="30" t="s">
        <v>83</v>
      </c>
      <c r="T2" s="30"/>
      <c r="U2" s="30"/>
      <c r="V2" s="30"/>
    </row>
    <row r="3" spans="2:34" ht="15" customHeight="1" x14ac:dyDescent="0.25">
      <c r="B3"/>
    </row>
    <row r="4" spans="2:34" ht="30" customHeight="1" x14ac:dyDescent="0.25">
      <c r="B4" s="12" t="s">
        <v>51</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25">
      <c r="B5" s="12"/>
      <c r="C5" s="2" t="str">
        <f>TEXT(WEEKDAY(DATE(AnnéeCalendrier,2,1),1),"jjj")</f>
        <v>sam</v>
      </c>
      <c r="D5" s="2" t="str">
        <f>TEXT(WEEKDAY(DATE(AnnéeCalendrier,2,2),1),"jjj")</f>
        <v>dim</v>
      </c>
      <c r="E5" s="2" t="str">
        <f>TEXT(WEEKDAY(DATE(AnnéeCalendrier,2,3),1),"jjj")</f>
        <v>lun</v>
      </c>
      <c r="F5" s="2" t="str">
        <f>TEXT(WEEKDAY(DATE(AnnéeCalendrier,2,4),1),"jjj")</f>
        <v>mar</v>
      </c>
      <c r="G5" s="2" t="str">
        <f>TEXT(WEEKDAY(DATE(AnnéeCalendrier,2,5),1),"jjj")</f>
        <v>mer</v>
      </c>
      <c r="H5" s="2" t="str">
        <f>TEXT(WEEKDAY(DATE(AnnéeCalendrier,2,6),1),"jjj")</f>
        <v>jeu</v>
      </c>
      <c r="I5" s="2" t="str">
        <f>TEXT(WEEKDAY(DATE(AnnéeCalendrier,2,7),1),"jjj")</f>
        <v>ven</v>
      </c>
      <c r="J5" s="2" t="str">
        <f>TEXT(WEEKDAY(DATE(AnnéeCalendrier,2,8),1),"jjj")</f>
        <v>sam</v>
      </c>
      <c r="K5" s="2" t="str">
        <f>TEXT(WEEKDAY(DATE(AnnéeCalendrier,2,9),1),"jjj")</f>
        <v>dim</v>
      </c>
      <c r="L5" s="2" t="str">
        <f>TEXT(WEEKDAY(DATE(AnnéeCalendrier,2,10),1),"jjj")</f>
        <v>lun</v>
      </c>
      <c r="M5" s="2" t="str">
        <f>TEXT(WEEKDAY(DATE(AnnéeCalendrier,2,11),1),"jjj")</f>
        <v>mar</v>
      </c>
      <c r="N5" s="2" t="str">
        <f>TEXT(WEEKDAY(DATE(AnnéeCalendrier,2,12),1),"jjj")</f>
        <v>mer</v>
      </c>
      <c r="O5" s="2" t="str">
        <f>TEXT(WEEKDAY(DATE(AnnéeCalendrier,2,13),1),"jjj")</f>
        <v>jeu</v>
      </c>
      <c r="P5" s="2" t="str">
        <f>TEXT(WEEKDAY(DATE(AnnéeCalendrier,2,14),1),"jjj")</f>
        <v>ven</v>
      </c>
      <c r="Q5" s="2" t="str">
        <f>TEXT(WEEKDAY(DATE(AnnéeCalendrier,2,15),1),"jjj")</f>
        <v>sam</v>
      </c>
      <c r="R5" s="2" t="str">
        <f>TEXT(WEEKDAY(DATE(AnnéeCalendrier,2,16),1),"jjj")</f>
        <v>dim</v>
      </c>
      <c r="S5" s="2" t="str">
        <f>TEXT(WEEKDAY(DATE(AnnéeCalendrier,2,17),1),"jjj")</f>
        <v>lun</v>
      </c>
      <c r="T5" s="2" t="str">
        <f>TEXT(WEEKDAY(DATE(AnnéeCalendrier,2,18),1),"jjj")</f>
        <v>mar</v>
      </c>
      <c r="U5" s="2" t="str">
        <f>TEXT(WEEKDAY(DATE(AnnéeCalendrier,2,19),1),"jjj")</f>
        <v>mer</v>
      </c>
      <c r="V5" s="2" t="str">
        <f>TEXT(WEEKDAY(DATE(AnnéeCalendrier,2,20),1),"jjj")</f>
        <v>jeu</v>
      </c>
      <c r="W5" s="2" t="str">
        <f>TEXT(WEEKDAY(DATE(AnnéeCalendrier,2,21),1),"jjj")</f>
        <v>ven</v>
      </c>
      <c r="X5" s="2" t="str">
        <f>TEXT(WEEKDAY(DATE(AnnéeCalendrier,2,22),1),"jjj")</f>
        <v>sam</v>
      </c>
      <c r="Y5" s="2" t="str">
        <f>TEXT(WEEKDAY(DATE(AnnéeCalendrier,2,23),1),"jjj")</f>
        <v>dim</v>
      </c>
      <c r="Z5" s="2" t="str">
        <f>TEXT(WEEKDAY(DATE(AnnéeCalendrier,2,24),1),"jjj")</f>
        <v>lun</v>
      </c>
      <c r="AA5" s="2" t="str">
        <f>TEXT(WEEKDAY(DATE(AnnéeCalendrier,2,25),1),"jjj")</f>
        <v>mar</v>
      </c>
      <c r="AB5" s="2" t="str">
        <f>TEXT(WEEKDAY(DATE(AnnéeCalendrier,2,26),1),"jjj")</f>
        <v>mer</v>
      </c>
      <c r="AC5" s="2" t="str">
        <f>TEXT(WEEKDAY(DATE(AnnéeCalendrier,2,27),1),"jjj")</f>
        <v>jeu</v>
      </c>
      <c r="AD5" s="2" t="str">
        <f>TEXT(WEEKDAY(DATE(AnnéeCalendrier,2,28),1),"jjj")</f>
        <v>ven</v>
      </c>
      <c r="AE5" s="2" t="str">
        <f>TEXT(WEEKDAY(DATE(AnnéeCalendrier,2,29),1),"jjj")</f>
        <v>sam</v>
      </c>
      <c r="AF5" s="2"/>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52</v>
      </c>
      <c r="AG6" s="3" t="s">
        <v>53</v>
      </c>
      <c r="AH6" s="16" t="s">
        <v>50</v>
      </c>
    </row>
    <row r="7" spans="2:34" ht="30" customHeight="1" x14ac:dyDescent="0.25">
      <c r="B7" s="17" t="s">
        <v>76</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COUNTA(Février[[#This Row],[1]:[29]])</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COUNTA(Février[[#This Row],[1]:[29]])</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COUNTA(Février[[#This Row],[1]:[29]])</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COUNTA(Février[[#This Row],[1]:[29]])</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COUNTA(Février[[#This Row],[1]:[29]])</f>
        <v>0</v>
      </c>
    </row>
    <row r="12" spans="2:34" ht="30" customHeight="1" x14ac:dyDescent="0.25">
      <c r="B12" s="21" t="str">
        <f>NomMois&amp;" Total"</f>
        <v>Février Total</v>
      </c>
      <c r="C12" s="13">
        <f>SUBTOTAL(103,Février[1])</f>
        <v>0</v>
      </c>
      <c r="D12" s="13">
        <f>SUBTOTAL(103,Février[2])</f>
        <v>0</v>
      </c>
      <c r="E12" s="13">
        <f>SUBTOTAL(103,Février[3])</f>
        <v>0</v>
      </c>
      <c r="F12" s="13">
        <f>SUBTOTAL(103,Février[4])</f>
        <v>0</v>
      </c>
      <c r="G12" s="13">
        <f>SUBTOTAL(103,Février[5])</f>
        <v>0</v>
      </c>
      <c r="H12" s="13">
        <f>SUBTOTAL(103,Février[6])</f>
        <v>0</v>
      </c>
      <c r="I12" s="13">
        <f>SUBTOTAL(103,Février[7])</f>
        <v>0</v>
      </c>
      <c r="J12" s="13">
        <f>SUBTOTAL(103,Février[8])</f>
        <v>0</v>
      </c>
      <c r="K12" s="13">
        <f>SUBTOTAL(103,Février[9])</f>
        <v>0</v>
      </c>
      <c r="L12" s="13">
        <f>SUBTOTAL(103,Février[10])</f>
        <v>0</v>
      </c>
      <c r="M12" s="13">
        <f>SUBTOTAL(103,Février[11])</f>
        <v>0</v>
      </c>
      <c r="N12" s="13">
        <f>SUBTOTAL(103,Février[12])</f>
        <v>0</v>
      </c>
      <c r="O12" s="13">
        <f>SUBTOTAL(103,Février[13])</f>
        <v>0</v>
      </c>
      <c r="P12" s="13">
        <f>SUBTOTAL(103,Février[14])</f>
        <v>0</v>
      </c>
      <c r="Q12" s="13">
        <f>SUBTOTAL(103,Février[15])</f>
        <v>0</v>
      </c>
      <c r="R12" s="13">
        <f>SUBTOTAL(103,Février[16])</f>
        <v>0</v>
      </c>
      <c r="S12" s="13">
        <f>SUBTOTAL(103,Février[17])</f>
        <v>0</v>
      </c>
      <c r="T12" s="13">
        <f>SUBTOTAL(103,Février[18])</f>
        <v>0</v>
      </c>
      <c r="U12" s="13">
        <f>SUBTOTAL(103,Février[19])</f>
        <v>0</v>
      </c>
      <c r="V12" s="13">
        <f>SUBTOTAL(103,Février[20])</f>
        <v>0</v>
      </c>
      <c r="W12" s="13">
        <f>SUBTOTAL(103,Février[21])</f>
        <v>0</v>
      </c>
      <c r="X12" s="13">
        <f>SUBTOTAL(103,Février[22])</f>
        <v>0</v>
      </c>
      <c r="Y12" s="13">
        <f>SUBTOTAL(103,Février[23])</f>
        <v>0</v>
      </c>
      <c r="Z12" s="13">
        <f>SUBTOTAL(103,Février[24])</f>
        <v>0</v>
      </c>
      <c r="AA12" s="13">
        <f>SUBTOTAL(103,Février[25])</f>
        <v>0</v>
      </c>
      <c r="AB12" s="13">
        <f>SUBTOTAL(103,Février[26])</f>
        <v>0</v>
      </c>
      <c r="AC12" s="13">
        <f>SUBTOTAL(103,Février[27])</f>
        <v>0</v>
      </c>
      <c r="AD12" s="13">
        <f>SUBTOTAL(103,Février[28])</f>
        <v>0</v>
      </c>
      <c r="AE12" s="13">
        <f>SUBTOTAL(103,Février[29])</f>
        <v>0</v>
      </c>
      <c r="AF12" s="13"/>
      <c r="AG12" s="13"/>
      <c r="AH12" s="13">
        <f>SUBTOTAL(109,Février[Total des jours])</f>
        <v>0</v>
      </c>
    </row>
  </sheetData>
  <mergeCells count="6">
    <mergeCell ref="C4:AG4"/>
    <mergeCell ref="D2:E2"/>
    <mergeCell ref="G2:I2"/>
    <mergeCell ref="K2:L2"/>
    <mergeCell ref="N2:Q2"/>
    <mergeCell ref="S2:V2"/>
  </mergeCells>
  <conditionalFormatting sqref="AE6">
    <cfRule type="expression" dxfId="56" priority="16">
      <formula>MONTH(DATE(AnnéeCalendrier,2,29))&lt;&gt;2</formula>
    </cfRule>
  </conditionalFormatting>
  <conditionalFormatting sqref="AE5">
    <cfRule type="expression" dxfId="55" priority="15">
      <formula>MONTH(DATE(AnnéeCalendrier,2,29))&lt;&gt;2</formula>
    </cfRule>
  </conditionalFormatting>
  <conditionalFormatting sqref="C7:AG11">
    <cfRule type="expression" priority="2" stopIfTrue="1">
      <formula>C7=""</formula>
    </cfRule>
    <cfRule type="expression" dxfId="54" priority="3" stopIfTrue="1">
      <formula>C7=CléPersonnalisée2</formula>
    </cfRule>
  </conditionalFormatting>
  <conditionalFormatting sqref="C7:AG11">
    <cfRule type="expression" dxfId="53" priority="5" stopIfTrue="1">
      <formula>C7=CléPersonnalisée1</formula>
    </cfRule>
    <cfRule type="expression" dxfId="52" priority="6" stopIfTrue="1">
      <formula>C7=CléMaladie</formula>
    </cfRule>
    <cfRule type="expression" dxfId="51" priority="7" stopIfTrue="1">
      <formula>C7=CléPersonnel</formula>
    </cfRule>
    <cfRule type="expression" dxfId="50" priority="8" stopIfTrue="1">
      <formula>C7=CléCongé</formula>
    </cfRule>
  </conditionalFormatting>
  <conditionalFormatting sqref="AH7:AH11">
    <cfRule type="dataBar" priority="153">
      <dataBar>
        <cfvo type="min"/>
        <cfvo type="formula" val="DATEDIF(DATE(AnnéeCalendrier,2,1),DATE(AnnéeCalendrier,3,1),&quot;d&quot;)"/>
        <color theme="2" tint="-0.249977111117893"/>
      </dataBar>
      <extLst>
        <ext xmlns:x14="http://schemas.microsoft.com/office/spreadsheetml/2009/9/main" uri="{B025F937-C7B1-47D3-B67F-A62EFF666E3E}">
          <x14:id>{94738C71-AB78-40C3-A818-D083AE35CC38}</x14:id>
        </ext>
      </extLst>
    </cfRule>
  </conditionalFormatting>
  <dataValidations xWindow="232" yWindow="365" count="15">
    <dataValidation allowBlank="1" showInputMessage="1" showErrorMessage="1" prompt="Année mise à jour automatiquement en fonction de l’année entrée dans la feuille de calcul Janvier" sqref="AH4" xr:uid="{00000000-0002-0000-0100-000000000000}"/>
    <dataValidation allowBlank="1" showInputMessage="1" showErrorMessage="1" prompt="Suivez les absences du mois de février dans cette feuille de calcul" sqref="A1" xr:uid="{00000000-0002-0000-0100-000001000000}"/>
    <dataValidation allowBlank="1" showInputMessage="1" showErrorMessage="1" prompt="Calcule automatiquement le nombre total de jours d’absence d’un employé durant ce mois dans cette colonne" sqref="AH6" xr:uid="{00000000-0002-0000-0100-000002000000}"/>
    <dataValidation allowBlank="1" showInputMessage="1" showErrorMessage="1" prompt="Le titre mis à jour automatiquement figure dans cette cellule. Pour modifier le titre, mettez à jour la cellule B1 de la feuille de calcul Janvier" sqref="B1" xr:uid="{00000000-0002-0000-0100-000003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100-000004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100-000005000000}"/>
    <dataValidation allowBlank="1" showInputMessage="1" showErrorMessage="1" prompt="Cette ligne définit les clés utilisées dans le tableau : Congé en C2, Personnel en F2 et Congé maladie en J2. Les cellules M2 et R2 sont personnalisables" sqref="B2" xr:uid="{00000000-0002-0000-0100-000006000000}"/>
    <dataValidation allowBlank="1" showInputMessage="1" showErrorMessage="1" prompt="Entrez une étiquette pour décrire la clé personnalisée à gauche" sqref="N2 S2" xr:uid="{00000000-0002-0000-0100-000007000000}"/>
    <dataValidation allowBlank="1" showInputMessage="1" showErrorMessage="1" prompt="Entrez une lettre et personnalisez l’étiquette à droite pour ajouter un élément de clé" sqref="M2 R2" xr:uid="{00000000-0002-0000-0100-000008000000}"/>
    <dataValidation allowBlank="1" showInputMessage="1" showErrorMessage="1" prompt="La lettre « M » indique une absence pour cause de maladie" sqref="J2" xr:uid="{00000000-0002-0000-0100-000009000000}"/>
    <dataValidation allowBlank="1" showInputMessage="1" showErrorMessage="1" prompt="La lettre « P » indique une absence pour motifs personnels" sqref="F2" xr:uid="{00000000-0002-0000-0100-00000A000000}"/>
    <dataValidation allowBlank="1" showInputMessage="1" showErrorMessage="1" prompt="La lettre « C » indique une absence pour cause de congé" sqref="C2" xr:uid="{00000000-0002-0000-01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1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100-00000D000000}"/>
    <dataValidation type="list" allowBlank="1" showInputMessage="1" showErrorMessage="1" sqref="B7:B11" xr:uid="{5B5E50BD-E1A2-47FC-8587-CA05E1B34681}">
      <formula1>tyty</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94738C71-AB78-40C3-A818-D083AE35CC38}">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4">
    <tabColor theme="2" tint="-0.499984740745262"/>
  </sheetPr>
  <dimension ref="A1:AH12"/>
  <sheetViews>
    <sheetView showGridLines="0" zoomScaleNormal="100" workbookViewId="0">
      <selection activeCell="G9" sqref="G9"/>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30" t="s">
        <v>12</v>
      </c>
      <c r="E2" s="30"/>
      <c r="F2" s="5" t="s">
        <v>79</v>
      </c>
      <c r="G2" s="30" t="s">
        <v>80</v>
      </c>
      <c r="H2" s="30"/>
      <c r="I2" s="30"/>
      <c r="J2" s="6" t="s">
        <v>17</v>
      </c>
      <c r="K2" s="30" t="s">
        <v>24</v>
      </c>
      <c r="L2" s="30"/>
      <c r="M2" s="7" t="s">
        <v>81</v>
      </c>
      <c r="N2" s="30" t="s">
        <v>81</v>
      </c>
      <c r="O2" s="30"/>
      <c r="P2" s="30"/>
      <c r="Q2" s="30"/>
      <c r="R2" s="8" t="s">
        <v>82</v>
      </c>
      <c r="S2" s="30" t="s">
        <v>83</v>
      </c>
      <c r="T2" s="30"/>
      <c r="U2" s="30"/>
      <c r="V2" s="30"/>
    </row>
    <row r="3" spans="2:34" ht="15" customHeight="1" x14ac:dyDescent="0.25">
      <c r="B3" s="14"/>
    </row>
    <row r="4" spans="2:34" ht="30" customHeight="1" x14ac:dyDescent="0.25">
      <c r="B4" s="12" t="s">
        <v>54</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25">
      <c r="B5" s="12"/>
      <c r="C5" s="2" t="str">
        <f>TEXT(WEEKDAY(DATE(AnnéeCalendrier,3,1),1),"jjj")</f>
        <v>dim</v>
      </c>
      <c r="D5" s="2" t="str">
        <f>TEXT(WEEKDAY(DATE(AnnéeCalendrier,3,2),1),"jjj")</f>
        <v>lun</v>
      </c>
      <c r="E5" s="2" t="str">
        <f>TEXT(WEEKDAY(DATE(AnnéeCalendrier,3,3),1),"jjj")</f>
        <v>mar</v>
      </c>
      <c r="F5" s="2" t="str">
        <f>TEXT(WEEKDAY(DATE(AnnéeCalendrier,3,4),1),"jjj")</f>
        <v>mer</v>
      </c>
      <c r="G5" s="2" t="str">
        <f>TEXT(WEEKDAY(DATE(AnnéeCalendrier,3,5),1),"jjj")</f>
        <v>jeu</v>
      </c>
      <c r="H5" s="2" t="str">
        <f>TEXT(WEEKDAY(DATE(AnnéeCalendrier,3,6),1),"jjj")</f>
        <v>ven</v>
      </c>
      <c r="I5" s="2" t="str">
        <f>TEXT(WEEKDAY(DATE(AnnéeCalendrier,3,7),1),"jjj")</f>
        <v>sam</v>
      </c>
      <c r="J5" s="2" t="str">
        <f>TEXT(WEEKDAY(DATE(AnnéeCalendrier,3,8),1),"jjj")</f>
        <v>dim</v>
      </c>
      <c r="K5" s="2" t="str">
        <f>TEXT(WEEKDAY(DATE(AnnéeCalendrier,3,9),1),"jjj")</f>
        <v>lun</v>
      </c>
      <c r="L5" s="2" t="str">
        <f>TEXT(WEEKDAY(DATE(AnnéeCalendrier,3,10),1),"jjj")</f>
        <v>mar</v>
      </c>
      <c r="M5" s="2" t="str">
        <f>TEXT(WEEKDAY(DATE(AnnéeCalendrier,3,11),1),"jjj")</f>
        <v>mer</v>
      </c>
      <c r="N5" s="2" t="str">
        <f>TEXT(WEEKDAY(DATE(AnnéeCalendrier,3,12),1),"jjj")</f>
        <v>jeu</v>
      </c>
      <c r="O5" s="2" t="str">
        <f>TEXT(WEEKDAY(DATE(AnnéeCalendrier,3,13),1),"jjj")</f>
        <v>ven</v>
      </c>
      <c r="P5" s="2" t="str">
        <f>TEXT(WEEKDAY(DATE(AnnéeCalendrier,3,14),1),"jjj")</f>
        <v>sam</v>
      </c>
      <c r="Q5" s="2" t="str">
        <f>TEXT(WEEKDAY(DATE(AnnéeCalendrier,3,15),1),"jjj")</f>
        <v>dim</v>
      </c>
      <c r="R5" s="2" t="str">
        <f>TEXT(WEEKDAY(DATE(AnnéeCalendrier,3,16),1),"jjj")</f>
        <v>lun</v>
      </c>
      <c r="S5" s="2" t="str">
        <f>TEXT(WEEKDAY(DATE(AnnéeCalendrier,3,17),1),"jjj")</f>
        <v>mar</v>
      </c>
      <c r="T5" s="2" t="str">
        <f>TEXT(WEEKDAY(DATE(AnnéeCalendrier,3,18),1),"jjj")</f>
        <v>mer</v>
      </c>
      <c r="U5" s="2" t="str">
        <f>TEXT(WEEKDAY(DATE(AnnéeCalendrier,3,19),1),"jjj")</f>
        <v>jeu</v>
      </c>
      <c r="V5" s="2" t="str">
        <f>TEXT(WEEKDAY(DATE(AnnéeCalendrier,3,20),1),"jjj")</f>
        <v>ven</v>
      </c>
      <c r="W5" s="2" t="str">
        <f>TEXT(WEEKDAY(DATE(AnnéeCalendrier,3,21),1),"jjj")</f>
        <v>sam</v>
      </c>
      <c r="X5" s="2" t="str">
        <f>TEXT(WEEKDAY(DATE(AnnéeCalendrier,3,22),1),"jjj")</f>
        <v>dim</v>
      </c>
      <c r="Y5" s="2" t="str">
        <f>TEXT(WEEKDAY(DATE(AnnéeCalendrier,3,23),1),"jjj")</f>
        <v>lun</v>
      </c>
      <c r="Z5" s="2" t="str">
        <f>TEXT(WEEKDAY(DATE(AnnéeCalendrier,3,24),1),"jjj")</f>
        <v>mar</v>
      </c>
      <c r="AA5" s="2" t="str">
        <f>TEXT(WEEKDAY(DATE(AnnéeCalendrier,3,25),1),"jjj")</f>
        <v>mer</v>
      </c>
      <c r="AB5" s="2" t="str">
        <f>TEXT(WEEKDAY(DATE(AnnéeCalendrier,3,26),1),"jjj")</f>
        <v>jeu</v>
      </c>
      <c r="AC5" s="2" t="str">
        <f>TEXT(WEEKDAY(DATE(AnnéeCalendrier,3,27),1),"jjj")</f>
        <v>ven</v>
      </c>
      <c r="AD5" s="2" t="str">
        <f>TEXT(WEEKDAY(DATE(AnnéeCalendrier,3,28),1),"jjj")</f>
        <v>sam</v>
      </c>
      <c r="AE5" s="2" t="str">
        <f>TEXT(WEEKDAY(DATE(AnnéeCalendrier,3,29),1),"jjj")</f>
        <v>dim</v>
      </c>
      <c r="AF5" s="2" t="str">
        <f>TEXT(WEEKDAY(DATE(AnnéeCalendrier,3,30),1),"jjj")</f>
        <v>lun</v>
      </c>
      <c r="AG5" s="2" t="str">
        <f>TEXT(WEEKDAY(DATE(AnnéeCalendrier,3,31),1),"jjj")</f>
        <v>mar</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COUNTA(Mars[[#This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COUNTA(Mars[[#This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COUNTA(Mars[[#This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COUNTA(Mars[[#This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COUNTA(Mars[[#This Row],[1]:[31]])</f>
        <v>0</v>
      </c>
    </row>
    <row r="12" spans="2:34" ht="30" customHeight="1" x14ac:dyDescent="0.25">
      <c r="B12" s="21" t="str">
        <f>NomMois&amp;" Total"</f>
        <v>Mars Total</v>
      </c>
      <c r="C12" s="13">
        <f>SUBTOTAL(103,Mars[1])</f>
        <v>0</v>
      </c>
      <c r="D12" s="13">
        <f>SUBTOTAL(103,Mars[2])</f>
        <v>0</v>
      </c>
      <c r="E12" s="13">
        <f>SUBTOTAL(103,Mars[3])</f>
        <v>0</v>
      </c>
      <c r="F12" s="13">
        <f>SUBTOTAL(103,Mars[4])</f>
        <v>0</v>
      </c>
      <c r="G12" s="13">
        <f>SUBTOTAL(103,Mars[5])</f>
        <v>0</v>
      </c>
      <c r="H12" s="13">
        <f>SUBTOTAL(103,Mars[6])</f>
        <v>0</v>
      </c>
      <c r="I12" s="13">
        <f>SUBTOTAL(103,Mars[7])</f>
        <v>0</v>
      </c>
      <c r="J12" s="13">
        <f>SUBTOTAL(103,Mars[8])</f>
        <v>0</v>
      </c>
      <c r="K12" s="13">
        <f>SUBTOTAL(103,Mars[9])</f>
        <v>0</v>
      </c>
      <c r="L12" s="13">
        <f>SUBTOTAL(103,Mars[10])</f>
        <v>0</v>
      </c>
      <c r="M12" s="13">
        <f>SUBTOTAL(103,Mars[11])</f>
        <v>0</v>
      </c>
      <c r="N12" s="13">
        <f>SUBTOTAL(103,Mars[12])</f>
        <v>0</v>
      </c>
      <c r="O12" s="13">
        <f>SUBTOTAL(103,Mars[13])</f>
        <v>0</v>
      </c>
      <c r="P12" s="13">
        <f>SUBTOTAL(103,Mars[14])</f>
        <v>0</v>
      </c>
      <c r="Q12" s="13">
        <f>SUBTOTAL(103,Mars[15])</f>
        <v>0</v>
      </c>
      <c r="R12" s="13">
        <f>SUBTOTAL(103,Mars[16])</f>
        <v>0</v>
      </c>
      <c r="S12" s="13">
        <f>SUBTOTAL(103,Mars[17])</f>
        <v>0</v>
      </c>
      <c r="T12" s="13">
        <f>SUBTOTAL(103,Mars[18])</f>
        <v>0</v>
      </c>
      <c r="U12" s="13">
        <f>SUBTOTAL(103,Mars[19])</f>
        <v>0</v>
      </c>
      <c r="V12" s="13">
        <f>SUBTOTAL(103,Mars[20])</f>
        <v>0</v>
      </c>
      <c r="W12" s="13">
        <f>SUBTOTAL(103,Mars[21])</f>
        <v>0</v>
      </c>
      <c r="X12" s="13">
        <f>SUBTOTAL(103,Mars[22])</f>
        <v>0</v>
      </c>
      <c r="Y12" s="13">
        <f>SUBTOTAL(103,Mars[23])</f>
        <v>0</v>
      </c>
      <c r="Z12" s="13">
        <f>SUBTOTAL(103,Mars[24])</f>
        <v>0</v>
      </c>
      <c r="AA12" s="13">
        <f>SUBTOTAL(103,Mars[25])</f>
        <v>0</v>
      </c>
      <c r="AB12" s="13">
        <f>SUBTOTAL(103,Mars[26])</f>
        <v>0</v>
      </c>
      <c r="AC12" s="13">
        <f>SUBTOTAL(103,Mars[27])</f>
        <v>0</v>
      </c>
      <c r="AD12" s="13">
        <f>SUBTOTAL(103,Mars[28])</f>
        <v>0</v>
      </c>
      <c r="AE12" s="13">
        <f>SUBTOTAL(103,Mars[29])</f>
        <v>0</v>
      </c>
      <c r="AF12" s="13">
        <f>SUBTOTAL(103,Mars[30])</f>
        <v>0</v>
      </c>
      <c r="AG12" s="13">
        <f>SUBTOTAL(103,Mars[31])</f>
        <v>0</v>
      </c>
      <c r="AH12" s="13">
        <f>SUBTOTAL(109,Mars[Total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9" priority="2" stopIfTrue="1">
      <formula>C7=CléPersonnalisée2</formula>
    </cfRule>
    <cfRule type="expression" dxfId="48" priority="3" stopIfTrue="1">
      <formula>C7=CléPersonnalisée1</formula>
    </cfRule>
    <cfRule type="expression" dxfId="47" priority="4" stopIfTrue="1">
      <formula>C7=CléMaladie</formula>
    </cfRule>
    <cfRule type="expression" dxfId="46" priority="5" stopIfTrue="1">
      <formula>C7=CléPersonnel</formula>
    </cfRule>
    <cfRule type="expression" dxfId="4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{7C2B6C3E-666E-4369-8C57-FD32A7D03A3C}</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200-000000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200-000001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200-000002000000}"/>
    <dataValidation allowBlank="1" showInputMessage="1" showErrorMessage="1" prompt="Cette ligne définit les clés utilisées dans le tableau : Congé en C2, Personnel en F2 et Congé maladie en J2. Les cellules M2 et R2 sont personnalisables" sqref="B2" xr:uid="{00000000-0002-0000-0200-000003000000}"/>
    <dataValidation allowBlank="1" showInputMessage="1" showErrorMessage="1" prompt="Entrez une étiquette pour décrire la clé personnalisée à gauche" sqref="N2 S2" xr:uid="{00000000-0002-0000-0200-000004000000}"/>
    <dataValidation allowBlank="1" showInputMessage="1" showErrorMessage="1" prompt="Entrez une lettre et personnalisez l’étiquette à droite pour ajouter un élément de clé" sqref="M2 R2" xr:uid="{00000000-0002-0000-0200-000005000000}"/>
    <dataValidation allowBlank="1" showInputMessage="1" showErrorMessage="1" prompt="La lettre « M » indique une absence pour cause de maladie" sqref="J2" xr:uid="{00000000-0002-0000-0200-000006000000}"/>
    <dataValidation allowBlank="1" showInputMessage="1" showErrorMessage="1" prompt="La lettre « P » indique une absence pour motifs personnels" sqref="F2" xr:uid="{00000000-0002-0000-0200-000007000000}"/>
    <dataValidation allowBlank="1" showInputMessage="1" showErrorMessage="1" prompt="La lettre « C » indique une absence pour cause de congé" sqref="C2" xr:uid="{00000000-0002-0000-0200-000008000000}"/>
    <dataValidation allowBlank="1" showInputMessage="1" showErrorMessage="1" prompt="Le titre mis à jour automatiquement figure dans cette cellule. Pour modifier le titre, mettez à jour la cellule B1 de la feuille de calcul Janvier" sqref="B1" xr:uid="{00000000-0002-0000-0200-000009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200-00000A000000}"/>
    <dataValidation allowBlank="1" showInputMessage="1" showErrorMessage="1" prompt="Suivez les absences du mois de mars dans cette feuille de calcul" sqref="A1" xr:uid="{00000000-0002-0000-0200-00000B000000}"/>
    <dataValidation allowBlank="1" showInputMessage="1" showErrorMessage="1" prompt="Calcule automatiquement le nombre total de jours d’absence d’un employé durant ce mois dans cette colonne" sqref="AH6" xr:uid="{00000000-0002-0000-0200-00000C000000}"/>
    <dataValidation allowBlank="1" showInputMessage="1" showErrorMessage="1" prompt="Année mise à jour automatiquement en fonction de l’année entrée dans la feuille de calcul Janvier" sqref="AH4" xr:uid="{00000000-0002-0000-0200-00000D000000}"/>
    <dataValidation type="list" allowBlank="1" showInputMessage="1" showErrorMessage="1" sqref="B7:B11" xr:uid="{00000000-0002-0000-0200-00000E000000}">
      <formula1>tyty</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7C2B6C3E-666E-4369-8C57-FD32A7D03A3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5">
    <tabColor theme="2" tint="-0.249977111117893"/>
  </sheetPr>
  <dimension ref="A1:AH12"/>
  <sheetViews>
    <sheetView showGridLines="0" zoomScaleNormal="100" workbookViewId="0">
      <selection activeCell="D14" sqref="D14"/>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30" t="s">
        <v>12</v>
      </c>
      <c r="E2" s="30"/>
      <c r="F2" s="5" t="s">
        <v>79</v>
      </c>
      <c r="G2" s="30" t="s">
        <v>80</v>
      </c>
      <c r="H2" s="30"/>
      <c r="I2" s="30"/>
      <c r="J2" s="6" t="s">
        <v>17</v>
      </c>
      <c r="K2" s="30" t="s">
        <v>24</v>
      </c>
      <c r="L2" s="30"/>
      <c r="M2" s="7" t="s">
        <v>81</v>
      </c>
      <c r="N2" s="30" t="s">
        <v>81</v>
      </c>
      <c r="O2" s="30"/>
      <c r="P2" s="30"/>
      <c r="Q2" s="30"/>
      <c r="R2" s="8" t="s">
        <v>82</v>
      </c>
      <c r="S2" s="30" t="s">
        <v>83</v>
      </c>
      <c r="T2" s="30"/>
      <c r="U2" s="30"/>
      <c r="V2" s="30"/>
    </row>
    <row r="3" spans="2:34" ht="15" customHeight="1" x14ac:dyDescent="0.25">
      <c r="B3" s="14"/>
    </row>
    <row r="4" spans="2:34" ht="30" customHeight="1" x14ac:dyDescent="0.25">
      <c r="B4" s="12" t="s">
        <v>55</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25">
      <c r="B5" s="12"/>
      <c r="C5" s="2" t="str">
        <f>TEXT(WEEKDAY(DATE(AnnéeCalendrier,4,1),1),"jjj")</f>
        <v>mer</v>
      </c>
      <c r="D5" s="2" t="str">
        <f>TEXT(WEEKDAY(DATE(AnnéeCalendrier,4,2),1),"jjj")</f>
        <v>jeu</v>
      </c>
      <c r="E5" s="2" t="str">
        <f>TEXT(WEEKDAY(DATE(AnnéeCalendrier,4,3),1),"jjj")</f>
        <v>ven</v>
      </c>
      <c r="F5" s="2" t="str">
        <f>TEXT(WEEKDAY(DATE(AnnéeCalendrier,4,4),1),"jjj")</f>
        <v>sam</v>
      </c>
      <c r="G5" s="2" t="str">
        <f>TEXT(WEEKDAY(DATE(AnnéeCalendrier,4,5),1),"jjj")</f>
        <v>dim</v>
      </c>
      <c r="H5" s="2" t="str">
        <f>TEXT(WEEKDAY(DATE(AnnéeCalendrier,4,6),1),"jjj")</f>
        <v>lun</v>
      </c>
      <c r="I5" s="2" t="str">
        <f>TEXT(WEEKDAY(DATE(AnnéeCalendrier,4,7),1),"jjj")</f>
        <v>mar</v>
      </c>
      <c r="J5" s="2" t="str">
        <f>TEXT(WEEKDAY(DATE(AnnéeCalendrier,4,8),1),"jjj")</f>
        <v>mer</v>
      </c>
      <c r="K5" s="2" t="str">
        <f>TEXT(WEEKDAY(DATE(AnnéeCalendrier,4,9),1),"jjj")</f>
        <v>jeu</v>
      </c>
      <c r="L5" s="2" t="str">
        <f>TEXT(WEEKDAY(DATE(AnnéeCalendrier,4,10),1),"jjj")</f>
        <v>ven</v>
      </c>
      <c r="M5" s="2" t="str">
        <f>TEXT(WEEKDAY(DATE(AnnéeCalendrier,4,11),1),"jjj")</f>
        <v>sam</v>
      </c>
      <c r="N5" s="2" t="str">
        <f>TEXT(WEEKDAY(DATE(AnnéeCalendrier,4,12),1),"jjj")</f>
        <v>dim</v>
      </c>
      <c r="O5" s="2" t="str">
        <f>TEXT(WEEKDAY(DATE(AnnéeCalendrier,4,13),1),"jjj")</f>
        <v>lun</v>
      </c>
      <c r="P5" s="2" t="str">
        <f>TEXT(WEEKDAY(DATE(AnnéeCalendrier,4,14),1),"jjj")</f>
        <v>mar</v>
      </c>
      <c r="Q5" s="2" t="str">
        <f>TEXT(WEEKDAY(DATE(AnnéeCalendrier,4,15),1),"jjj")</f>
        <v>mer</v>
      </c>
      <c r="R5" s="2" t="str">
        <f>TEXT(WEEKDAY(DATE(AnnéeCalendrier,4,16),1),"jjj")</f>
        <v>jeu</v>
      </c>
      <c r="S5" s="2" t="str">
        <f>TEXT(WEEKDAY(DATE(AnnéeCalendrier,4,17),1),"jjj")</f>
        <v>ven</v>
      </c>
      <c r="T5" s="2" t="str">
        <f>TEXT(WEEKDAY(DATE(AnnéeCalendrier,4,18),1),"jjj")</f>
        <v>sam</v>
      </c>
      <c r="U5" s="2" t="str">
        <f>TEXT(WEEKDAY(DATE(AnnéeCalendrier,4,19),1),"jjj")</f>
        <v>dim</v>
      </c>
      <c r="V5" s="2" t="str">
        <f>TEXT(WEEKDAY(DATE(AnnéeCalendrier,4,20),1),"jjj")</f>
        <v>lun</v>
      </c>
      <c r="W5" s="2" t="str">
        <f>TEXT(WEEKDAY(DATE(AnnéeCalendrier,4,21),1),"jjj")</f>
        <v>mar</v>
      </c>
      <c r="X5" s="2" t="str">
        <f>TEXT(WEEKDAY(DATE(AnnéeCalendrier,4,22),1),"jjj")</f>
        <v>mer</v>
      </c>
      <c r="Y5" s="2" t="str">
        <f>TEXT(WEEKDAY(DATE(AnnéeCalendrier,4,23),1),"jjj")</f>
        <v>jeu</v>
      </c>
      <c r="Z5" s="2" t="str">
        <f>TEXT(WEEKDAY(DATE(AnnéeCalendrier,4,24),1),"jjj")</f>
        <v>ven</v>
      </c>
      <c r="AA5" s="2" t="str">
        <f>TEXT(WEEKDAY(DATE(AnnéeCalendrier,4,25),1),"jjj")</f>
        <v>sam</v>
      </c>
      <c r="AB5" s="2" t="str">
        <f>TEXT(WEEKDAY(DATE(AnnéeCalendrier,4,26),1),"jjj")</f>
        <v>dim</v>
      </c>
      <c r="AC5" s="2" t="str">
        <f>TEXT(WEEKDAY(DATE(AnnéeCalendrier,4,27),1),"jjj")</f>
        <v>lun</v>
      </c>
      <c r="AD5" s="2" t="str">
        <f>TEXT(WEEKDAY(DATE(AnnéeCalendrier,4,28),1),"jjj")</f>
        <v>mar</v>
      </c>
      <c r="AE5" s="2" t="str">
        <f>TEXT(WEEKDAY(DATE(AnnéeCalendrier,4,29),1),"jjj")</f>
        <v>mer</v>
      </c>
      <c r="AF5" s="2" t="str">
        <f>TEXT(WEEKDAY(DATE(AnnéeCalendrier,4,30),1),"jjj")</f>
        <v>jeu</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23" t="s">
        <v>52</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COUNTA(Avril[[#This Row],[1]:[30]])</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COUNTA(Avril[[#This Row],[1]:[30]])</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COUNTA(Avril[[#This Row],[1]:[30]])</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COUNTA(Avril[[#This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COUNTA(Avril[[#This Row],[1]:[30]])</f>
        <v>0</v>
      </c>
    </row>
    <row r="12" spans="2:34" ht="30" customHeight="1" x14ac:dyDescent="0.25">
      <c r="B12" s="21" t="str">
        <f>NomMois&amp;" Total"</f>
        <v>Avril Total</v>
      </c>
      <c r="C12" s="13">
        <f>SUBTOTAL(103,Avril[1])</f>
        <v>0</v>
      </c>
      <c r="D12" s="13">
        <f>SUBTOTAL(103,Avril[2])</f>
        <v>0</v>
      </c>
      <c r="E12" s="13">
        <f>SUBTOTAL(103,Avril[3])</f>
        <v>0</v>
      </c>
      <c r="F12" s="13">
        <f>SUBTOTAL(103,Avril[4])</f>
        <v>0</v>
      </c>
      <c r="G12" s="13">
        <f>SUBTOTAL(103,Avril[5])</f>
        <v>0</v>
      </c>
      <c r="H12" s="13">
        <f>SUBTOTAL(103,Avril[6])</f>
        <v>0</v>
      </c>
      <c r="I12" s="13">
        <f>SUBTOTAL(103,Avril[7])</f>
        <v>0</v>
      </c>
      <c r="J12" s="13">
        <f>SUBTOTAL(103,Avril[8])</f>
        <v>0</v>
      </c>
      <c r="K12" s="13">
        <f>SUBTOTAL(103,Avril[9])</f>
        <v>0</v>
      </c>
      <c r="L12" s="13">
        <f>SUBTOTAL(103,Avril[10])</f>
        <v>0</v>
      </c>
      <c r="M12" s="13">
        <f>SUBTOTAL(103,Avril[11])</f>
        <v>0</v>
      </c>
      <c r="N12" s="13">
        <f>SUBTOTAL(103,Avril[12])</f>
        <v>0</v>
      </c>
      <c r="O12" s="13">
        <f>SUBTOTAL(103,Avril[13])</f>
        <v>0</v>
      </c>
      <c r="P12" s="13">
        <f>SUBTOTAL(103,Avril[14])</f>
        <v>0</v>
      </c>
      <c r="Q12" s="13">
        <f>SUBTOTAL(103,Avril[15])</f>
        <v>0</v>
      </c>
      <c r="R12" s="13">
        <f>SUBTOTAL(103,Avril[16])</f>
        <v>0</v>
      </c>
      <c r="S12" s="13">
        <f>SUBTOTAL(103,Avril[17])</f>
        <v>0</v>
      </c>
      <c r="T12" s="13">
        <f>SUBTOTAL(103,Avril[18])</f>
        <v>0</v>
      </c>
      <c r="U12" s="13">
        <f>SUBTOTAL(103,Avril[19])</f>
        <v>0</v>
      </c>
      <c r="V12" s="13">
        <f>SUBTOTAL(103,Avril[20])</f>
        <v>0</v>
      </c>
      <c r="W12" s="13">
        <f>SUBTOTAL(103,Avril[21])</f>
        <v>0</v>
      </c>
      <c r="X12" s="13">
        <f>SUBTOTAL(103,Avril[22])</f>
        <v>0</v>
      </c>
      <c r="Y12" s="13">
        <f>SUBTOTAL(103,Avril[23])</f>
        <v>0</v>
      </c>
      <c r="Z12" s="13">
        <f>SUBTOTAL(103,Avril[24])</f>
        <v>0</v>
      </c>
      <c r="AA12" s="13">
        <f>SUBTOTAL(103,Avril[25])</f>
        <v>0</v>
      </c>
      <c r="AB12" s="13">
        <f>SUBTOTAL(103,Avril[26])</f>
        <v>0</v>
      </c>
      <c r="AC12" s="13">
        <f>SUBTOTAL(103,Avril[27])</f>
        <v>0</v>
      </c>
      <c r="AD12" s="13">
        <f>SUBTOTAL(103,Avril[28])</f>
        <v>0</v>
      </c>
      <c r="AE12" s="13">
        <f>SUBTOTAL(103,Avril[29])</f>
        <v>0</v>
      </c>
      <c r="AF12" s="13">
        <f>SUBTOTAL(103,Avril[30])</f>
        <v>0</v>
      </c>
      <c r="AG12" s="13">
        <f>SUBTOTAL(103,Avril[30])</f>
        <v>0</v>
      </c>
      <c r="AH12" s="13">
        <f>SUBTOTAL(109,Avril[Total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4" priority="2" stopIfTrue="1">
      <formula>C7=CléPersonnalisée2</formula>
    </cfRule>
    <cfRule type="expression" dxfId="43" priority="3" stopIfTrue="1">
      <formula>C7=CléPersonnalisée1</formula>
    </cfRule>
    <cfRule type="expression" dxfId="42" priority="4" stopIfTrue="1">
      <formula>C7=CléMaladie</formula>
    </cfRule>
    <cfRule type="expression" dxfId="41" priority="5" stopIfTrue="1">
      <formula>C7=CléPersonnel</formula>
    </cfRule>
    <cfRule type="expression" dxfId="4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{0C86709F-D813-4066-A3F1-C30F11214F4B}</x14:id>
        </ext>
      </extLst>
    </cfRule>
  </conditionalFormatting>
  <dataValidations count="15">
    <dataValidation allowBlank="1" showInputMessage="1" showErrorMessage="1" prompt="Année mise à jour automatiquement en fonction de l’année entrée dans la feuille de calcul Janvier" sqref="AH4" xr:uid="{00000000-0002-0000-0300-000000000000}"/>
    <dataValidation allowBlank="1" showInputMessage="1" showErrorMessage="1" prompt="Calcule automatiquement le nombre total de jours d’absence d’un employé durant ce mois dans cette colonne" sqref="AH6" xr:uid="{00000000-0002-0000-0300-000001000000}"/>
    <dataValidation allowBlank="1" showInputMessage="1" showErrorMessage="1" prompt="Suivez les absences du mois d’avril dans cette feuille de calcul" sqref="A1" xr:uid="{00000000-0002-0000-03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300-000003000000}"/>
    <dataValidation allowBlank="1" showInputMessage="1" showErrorMessage="1" prompt="Le titre mis à jour automatiquement figure dans cette cellule. Pour modifier le titre, mettez à jour la cellule B1 de la feuille de calcul Janvier" sqref="B1" xr:uid="{00000000-0002-0000-0300-000004000000}"/>
    <dataValidation allowBlank="1" showInputMessage="1" showErrorMessage="1" prompt="La lettre « C » indique une absence pour cause de congé" sqref="C2" xr:uid="{00000000-0002-0000-0300-000005000000}"/>
    <dataValidation allowBlank="1" showInputMessage="1" showErrorMessage="1" prompt="La lettre « P » indique une absence pour motifs personnels" sqref="F2" xr:uid="{00000000-0002-0000-0300-000006000000}"/>
    <dataValidation allowBlank="1" showInputMessage="1" showErrorMessage="1" prompt="La lettre « M » indique une absence pour cause de maladie" sqref="J2" xr:uid="{00000000-0002-0000-0300-000007000000}"/>
    <dataValidation allowBlank="1" showInputMessage="1" showErrorMessage="1" prompt="Entrez une lettre et personnalisez l’étiquette à droite pour ajouter un élément de clé" sqref="M2 R2" xr:uid="{00000000-0002-0000-0300-000008000000}"/>
    <dataValidation allowBlank="1" showInputMessage="1" showErrorMessage="1" prompt="Entrez une étiquette pour décrire la clé personnalisée à gauche" sqref="N2 S2" xr:uid="{00000000-0002-0000-0300-000009000000}"/>
    <dataValidation allowBlank="1" showInputMessage="1" showErrorMessage="1" prompt="Cette ligne définit les clés utilisées dans le tableau : Congé en C2, Personnel en F2 et Congé maladie en J2. Les cellules M2 et R2 sont personnalisables" sqref="B2" xr:uid="{00000000-0002-0000-03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300-00000B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3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300-00000D000000}"/>
    <dataValidation type="list" allowBlank="1" showInputMessage="1" showErrorMessage="1" sqref="B7:B11" xr:uid="{00000000-0002-0000-0300-00000E000000}">
      <formula1>tyty</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C86709F-D813-4066-A3F1-C30F11214F4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6">
    <tabColor theme="2" tint="-9.9978637043366805E-2"/>
  </sheetPr>
  <dimension ref="A1:AH12"/>
  <sheetViews>
    <sheetView showGridLines="0" zoomScaleNormal="100" workbookViewId="0">
      <selection activeCell="B14" sqref="B14"/>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25">
      <c r="B3" s="14"/>
    </row>
    <row r="4" spans="2:34" ht="30" customHeight="1" x14ac:dyDescent="0.25">
      <c r="B4" s="12" t="s">
        <v>56</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25">
      <c r="B5" s="12"/>
      <c r="C5" s="2" t="str">
        <f>TEXT(WEEKDAY(DATE(AnnéeCalendrier,5,1),1),"jjj")</f>
        <v>ven</v>
      </c>
      <c r="D5" s="2" t="str">
        <f>TEXT(WEEKDAY(DATE(AnnéeCalendrier,5,2),1),"jjj")</f>
        <v>sam</v>
      </c>
      <c r="E5" s="2" t="str">
        <f>TEXT(WEEKDAY(DATE(AnnéeCalendrier,5,3),1),"jjj")</f>
        <v>dim</v>
      </c>
      <c r="F5" s="2" t="str">
        <f>TEXT(WEEKDAY(DATE(AnnéeCalendrier,5,4),1),"jjj")</f>
        <v>lun</v>
      </c>
      <c r="G5" s="2" t="str">
        <f>TEXT(WEEKDAY(DATE(AnnéeCalendrier,5,5),1),"jjj")</f>
        <v>mar</v>
      </c>
      <c r="H5" s="2" t="str">
        <f>TEXT(WEEKDAY(DATE(AnnéeCalendrier,5,6),1),"jjj")</f>
        <v>mer</v>
      </c>
      <c r="I5" s="2" t="str">
        <f>TEXT(WEEKDAY(DATE(AnnéeCalendrier,5,7),1),"jjj")</f>
        <v>jeu</v>
      </c>
      <c r="J5" s="2" t="str">
        <f>TEXT(WEEKDAY(DATE(AnnéeCalendrier,5,8),1),"jjj")</f>
        <v>ven</v>
      </c>
      <c r="K5" s="2" t="str">
        <f>TEXT(WEEKDAY(DATE(AnnéeCalendrier,5,9),1),"jjj")</f>
        <v>sam</v>
      </c>
      <c r="L5" s="2" t="str">
        <f>TEXT(WEEKDAY(DATE(AnnéeCalendrier,5,10),1),"jjj")</f>
        <v>dim</v>
      </c>
      <c r="M5" s="2" t="str">
        <f>TEXT(WEEKDAY(DATE(AnnéeCalendrier,5,11),1),"jjj")</f>
        <v>lun</v>
      </c>
      <c r="N5" s="2" t="str">
        <f>TEXT(WEEKDAY(DATE(AnnéeCalendrier,5,12),1),"jjj")</f>
        <v>mar</v>
      </c>
      <c r="O5" s="2" t="str">
        <f>TEXT(WEEKDAY(DATE(AnnéeCalendrier,5,13),1),"jjj")</f>
        <v>mer</v>
      </c>
      <c r="P5" s="2" t="str">
        <f>TEXT(WEEKDAY(DATE(AnnéeCalendrier,5,14),1),"jjj")</f>
        <v>jeu</v>
      </c>
      <c r="Q5" s="2" t="str">
        <f>TEXT(WEEKDAY(DATE(AnnéeCalendrier,5,15),1),"jjj")</f>
        <v>ven</v>
      </c>
      <c r="R5" s="2" t="str">
        <f>TEXT(WEEKDAY(DATE(AnnéeCalendrier,5,16),1),"jjj")</f>
        <v>sam</v>
      </c>
      <c r="S5" s="2" t="str">
        <f>TEXT(WEEKDAY(DATE(AnnéeCalendrier,5,17),1),"jjj")</f>
        <v>dim</v>
      </c>
      <c r="T5" s="2" t="str">
        <f>TEXT(WEEKDAY(DATE(AnnéeCalendrier,5,18),1),"jjj")</f>
        <v>lun</v>
      </c>
      <c r="U5" s="2" t="str">
        <f>TEXT(WEEKDAY(DATE(AnnéeCalendrier,5,19),1),"jjj")</f>
        <v>mar</v>
      </c>
      <c r="V5" s="2" t="str">
        <f>TEXT(WEEKDAY(DATE(AnnéeCalendrier,5,20),1),"jjj")</f>
        <v>mer</v>
      </c>
      <c r="W5" s="2" t="str">
        <f>TEXT(WEEKDAY(DATE(AnnéeCalendrier,5,21),1),"jjj")</f>
        <v>jeu</v>
      </c>
      <c r="X5" s="2" t="str">
        <f>TEXT(WEEKDAY(DATE(AnnéeCalendrier,5,22),1),"jjj")</f>
        <v>ven</v>
      </c>
      <c r="Y5" s="2" t="str">
        <f>TEXT(WEEKDAY(DATE(AnnéeCalendrier,5,23),1),"jjj")</f>
        <v>sam</v>
      </c>
      <c r="Z5" s="2" t="str">
        <f>TEXT(WEEKDAY(DATE(AnnéeCalendrier,5,24),1),"jjj")</f>
        <v>dim</v>
      </c>
      <c r="AA5" s="2" t="str">
        <f>TEXT(WEEKDAY(DATE(AnnéeCalendrier,5,25),1),"jjj")</f>
        <v>lun</v>
      </c>
      <c r="AB5" s="2" t="str">
        <f>TEXT(WEEKDAY(DATE(AnnéeCalendrier,5,26),1),"jjj")</f>
        <v>mar</v>
      </c>
      <c r="AC5" s="2" t="str">
        <f>TEXT(WEEKDAY(DATE(AnnéeCalendrier,5,27),1),"jjj")</f>
        <v>mer</v>
      </c>
      <c r="AD5" s="2" t="str">
        <f>TEXT(WEEKDAY(DATE(AnnéeCalendrier,5,28),1),"jjj")</f>
        <v>jeu</v>
      </c>
      <c r="AE5" s="2" t="str">
        <f>TEXT(WEEKDAY(DATE(AnnéeCalendrier,5,29),1),"jjj")</f>
        <v>ven</v>
      </c>
      <c r="AF5" s="2" t="str">
        <f>TEXT(WEEKDAY(DATE(AnnéeCalendrier,5,30),1),"jjj")</f>
        <v>sam</v>
      </c>
      <c r="AG5" s="2" t="str">
        <f>TEXT(WEEKDAY(DATE(AnnéeCalendrier,5,31),1),"jjj")</f>
        <v>dim</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COUNTA(Mai[[#This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COUNTA(Mai[[#This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COUNTA(Mai[[#This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COUNTA(Mai[[#This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COUNTA(Mai[[#This Row],[1]:[31]])</f>
        <v>0</v>
      </c>
    </row>
    <row r="12" spans="2:34" ht="30" customHeight="1" x14ac:dyDescent="0.25">
      <c r="B12" s="21" t="str">
        <f>NomMois&amp;" Total"</f>
        <v>Mai Total</v>
      </c>
      <c r="C12" s="13">
        <f>SUBTOTAL(103,Mai[1])</f>
        <v>0</v>
      </c>
      <c r="D12" s="13">
        <f>SUBTOTAL(103,Mai[2])</f>
        <v>0</v>
      </c>
      <c r="E12" s="13">
        <f>SUBTOTAL(103,Mai[3])</f>
        <v>0</v>
      </c>
      <c r="F12" s="13">
        <f>SUBTOTAL(103,Mai[4])</f>
        <v>0</v>
      </c>
      <c r="G12" s="13">
        <f>SUBTOTAL(103,Mai[5])</f>
        <v>0</v>
      </c>
      <c r="H12" s="13">
        <f>SUBTOTAL(103,Mai[6])</f>
        <v>0</v>
      </c>
      <c r="I12" s="13">
        <f>SUBTOTAL(103,Mai[7])</f>
        <v>0</v>
      </c>
      <c r="J12" s="13">
        <f>SUBTOTAL(103,Mai[8])</f>
        <v>0</v>
      </c>
      <c r="K12" s="13">
        <f>SUBTOTAL(103,Mai[9])</f>
        <v>0</v>
      </c>
      <c r="L12" s="13">
        <f>SUBTOTAL(103,Mai[10])</f>
        <v>0</v>
      </c>
      <c r="M12" s="13">
        <f>SUBTOTAL(103,Mai[11])</f>
        <v>0</v>
      </c>
      <c r="N12" s="13">
        <f>SUBTOTAL(103,Mai[12])</f>
        <v>0</v>
      </c>
      <c r="O12" s="13">
        <f>SUBTOTAL(103,Mai[13])</f>
        <v>0</v>
      </c>
      <c r="P12" s="13">
        <f>SUBTOTAL(103,Mai[14])</f>
        <v>0</v>
      </c>
      <c r="Q12" s="13">
        <f>SUBTOTAL(103,Mai[15])</f>
        <v>0</v>
      </c>
      <c r="R12" s="13">
        <f>SUBTOTAL(103,Mai[16])</f>
        <v>0</v>
      </c>
      <c r="S12" s="13">
        <f>SUBTOTAL(103,Mai[17])</f>
        <v>0</v>
      </c>
      <c r="T12" s="13">
        <f>SUBTOTAL(103,Mai[18])</f>
        <v>0</v>
      </c>
      <c r="U12" s="13">
        <f>SUBTOTAL(103,Mai[19])</f>
        <v>0</v>
      </c>
      <c r="V12" s="13">
        <f>SUBTOTAL(103,Mai[20])</f>
        <v>0</v>
      </c>
      <c r="W12" s="13">
        <f>SUBTOTAL(103,Mai[21])</f>
        <v>0</v>
      </c>
      <c r="X12" s="13">
        <f>SUBTOTAL(103,Mai[22])</f>
        <v>0</v>
      </c>
      <c r="Y12" s="13">
        <f>SUBTOTAL(103,Mai[23])</f>
        <v>0</v>
      </c>
      <c r="Z12" s="13">
        <f>SUBTOTAL(103,Mai[24])</f>
        <v>0</v>
      </c>
      <c r="AA12" s="13">
        <f>SUBTOTAL(103,Mai[25])</f>
        <v>0</v>
      </c>
      <c r="AB12" s="13">
        <f>SUBTOTAL(103,Mai[26])</f>
        <v>0</v>
      </c>
      <c r="AC12" s="13">
        <f>SUBTOTAL(103,Mai[27])</f>
        <v>0</v>
      </c>
      <c r="AD12" s="13">
        <f>SUBTOTAL(103,Mai[28])</f>
        <v>0</v>
      </c>
      <c r="AE12" s="13">
        <f>SUBTOTAL(103,Mai[29])</f>
        <v>0</v>
      </c>
      <c r="AF12" s="13">
        <f>SUBTOTAL(103,Mai[30])</f>
        <v>0</v>
      </c>
      <c r="AG12" s="13">
        <f>SUBTOTAL(103,Mai[31])</f>
        <v>0</v>
      </c>
      <c r="AH12" s="13">
        <f>SUBTOTAL(109,Mai[Total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9" priority="2" stopIfTrue="1">
      <formula>C7=CléPersonnalisée2</formula>
    </cfRule>
    <cfRule type="expression" dxfId="38" priority="3" stopIfTrue="1">
      <formula>C7=CléPersonnalisée1</formula>
    </cfRule>
    <cfRule type="expression" dxfId="37" priority="4" stopIfTrue="1">
      <formula>C7=CléMaladie</formula>
    </cfRule>
    <cfRule type="expression" dxfId="36" priority="5" stopIfTrue="1">
      <formula>C7=CléPersonnel</formula>
    </cfRule>
    <cfRule type="expression" dxfId="3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{5670947F-8B3C-4A6C-A280-4F5E10811DCE}</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4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400-000001000000}"/>
    <dataValidation allowBlank="1" showInputMessage="1" showErrorMessage="1" prompt="Cette ligne définit les clés utilisées dans le tableau : Congé en C2, Personnel en F2 et Congé maladie en J2. Les cellules M2 et R2 sont personnalisables" sqref="B2" xr:uid="{00000000-0002-0000-0400-000002000000}"/>
    <dataValidation allowBlank="1" showInputMessage="1" showErrorMessage="1" prompt="Entrez une étiquette pour décrire la clé personnalisée à gauche" sqref="N2 S2" xr:uid="{00000000-0002-0000-0400-000003000000}"/>
    <dataValidation allowBlank="1" showInputMessage="1" showErrorMessage="1" prompt="Entrez une lettre et personnalisez l’étiquette à droite pour ajouter un élément de clé" sqref="M2 R2" xr:uid="{00000000-0002-0000-0400-000004000000}"/>
    <dataValidation allowBlank="1" showInputMessage="1" showErrorMessage="1" prompt="La lettre « M » indique une absence pour cause de maladie" sqref="J2" xr:uid="{00000000-0002-0000-0400-000005000000}"/>
    <dataValidation allowBlank="1" showInputMessage="1" showErrorMessage="1" prompt="La lettre « P » indique une absence pour motifs personnels" sqref="F2" xr:uid="{00000000-0002-0000-0400-000006000000}"/>
    <dataValidation allowBlank="1" showInputMessage="1" showErrorMessage="1" prompt="La lettre « C » indique une absence pour cause de congé" sqref="C2" xr:uid="{00000000-0002-0000-0400-000007000000}"/>
    <dataValidation allowBlank="1" showInputMessage="1" showErrorMessage="1" prompt="Le titre mis à jour automatiquement figure dans cette cellule. Pour modifier le titre, mettez à jour la cellule B1 de la feuille de calcul Janvier" sqref="B1" xr:uid="{00000000-0002-0000-04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400-000009000000}"/>
    <dataValidation allowBlank="1" showInputMessage="1" showErrorMessage="1" prompt="Suivez les absences du mois de mai dans cette feuille de calcul" sqref="A1" xr:uid="{00000000-0002-0000-0400-00000A000000}"/>
    <dataValidation allowBlank="1" showInputMessage="1" showErrorMessage="1" prompt="Calcule automatiquement le nombre total de jours d’absence d’un employé durant ce mois dans cette colonne" sqref="AH6" xr:uid="{00000000-0002-0000-0400-00000B000000}"/>
    <dataValidation allowBlank="1" showInputMessage="1" showErrorMessage="1" prompt="Année mise à jour automatiquement en fonction de l’année entrée dans la feuille de calcul Janvier" sqref="AH4" xr:uid="{00000000-0002-0000-04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400-00000D000000}"/>
    <dataValidation type="list" allowBlank="1" showInputMessage="1" showErrorMessage="1" sqref="B7:B11" xr:uid="{00000000-0002-0000-0400-00000E000000}">
      <formula1>tyty</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670947F-8B3C-4A6C-A280-4F5E10811DCE}">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Feuil7">
    <tabColor theme="2"/>
  </sheetPr>
  <dimension ref="A1:AH12"/>
  <sheetViews>
    <sheetView showGridLines="0" zoomScaleNormal="100" workbookViewId="0">
      <selection activeCell="C14" sqref="C14"/>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25">
      <c r="B3" s="14"/>
    </row>
    <row r="4" spans="2:34" ht="30" customHeight="1" x14ac:dyDescent="0.25">
      <c r="B4" s="12" t="s">
        <v>57</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25">
      <c r="B5" s="12"/>
      <c r="C5" s="2" t="str">
        <f>TEXT(WEEKDAY(DATE(AnnéeCalendrier,6,1),1),"jjj")</f>
        <v>lun</v>
      </c>
      <c r="D5" s="2" t="str">
        <f>TEXT(WEEKDAY(DATE(AnnéeCalendrier,6,2),1),"jjj")</f>
        <v>mar</v>
      </c>
      <c r="E5" s="2" t="str">
        <f>TEXT(WEEKDAY(DATE(AnnéeCalendrier,6,3),1),"jjj")</f>
        <v>mer</v>
      </c>
      <c r="F5" s="2" t="str">
        <f>TEXT(WEEKDAY(DATE(AnnéeCalendrier,6,4),1),"jjj")</f>
        <v>jeu</v>
      </c>
      <c r="G5" s="2" t="str">
        <f>TEXT(WEEKDAY(DATE(AnnéeCalendrier,6,5),1),"jjj")</f>
        <v>ven</v>
      </c>
      <c r="H5" s="2" t="str">
        <f>TEXT(WEEKDAY(DATE(AnnéeCalendrier,6,6),1),"jjj")</f>
        <v>sam</v>
      </c>
      <c r="I5" s="2" t="str">
        <f>TEXT(WEEKDAY(DATE(AnnéeCalendrier,6,7),1),"jjj")</f>
        <v>dim</v>
      </c>
      <c r="J5" s="2" t="str">
        <f>TEXT(WEEKDAY(DATE(AnnéeCalendrier,6,8),1),"jjj")</f>
        <v>lun</v>
      </c>
      <c r="K5" s="2" t="str">
        <f>TEXT(WEEKDAY(DATE(AnnéeCalendrier,6,9),1),"jjj")</f>
        <v>mar</v>
      </c>
      <c r="L5" s="2" t="str">
        <f>TEXT(WEEKDAY(DATE(AnnéeCalendrier,6,10),1),"jjj")</f>
        <v>mer</v>
      </c>
      <c r="M5" s="2" t="str">
        <f>TEXT(WEEKDAY(DATE(AnnéeCalendrier,6,11),1),"jjj")</f>
        <v>jeu</v>
      </c>
      <c r="N5" s="2" t="str">
        <f>TEXT(WEEKDAY(DATE(AnnéeCalendrier,6,12),1),"jjj")</f>
        <v>ven</v>
      </c>
      <c r="O5" s="2" t="str">
        <f>TEXT(WEEKDAY(DATE(AnnéeCalendrier,6,13),1),"jjj")</f>
        <v>sam</v>
      </c>
      <c r="P5" s="2" t="str">
        <f>TEXT(WEEKDAY(DATE(AnnéeCalendrier,6,14),1),"jjj")</f>
        <v>dim</v>
      </c>
      <c r="Q5" s="2" t="str">
        <f>TEXT(WEEKDAY(DATE(AnnéeCalendrier,6,15),1),"jjj")</f>
        <v>lun</v>
      </c>
      <c r="R5" s="2" t="str">
        <f>TEXT(WEEKDAY(DATE(AnnéeCalendrier,6,16),1),"jjj")</f>
        <v>mar</v>
      </c>
      <c r="S5" s="2" t="str">
        <f>TEXT(WEEKDAY(DATE(AnnéeCalendrier,6,17),1),"jjj")</f>
        <v>mer</v>
      </c>
      <c r="T5" s="2" t="str">
        <f>TEXT(WEEKDAY(DATE(AnnéeCalendrier,6,18),1),"jjj")</f>
        <v>jeu</v>
      </c>
      <c r="U5" s="2" t="str">
        <f>TEXT(WEEKDAY(DATE(AnnéeCalendrier,6,19),1),"jjj")</f>
        <v>ven</v>
      </c>
      <c r="V5" s="2" t="str">
        <f>TEXT(WEEKDAY(DATE(AnnéeCalendrier,6,20),1),"jjj")</f>
        <v>sam</v>
      </c>
      <c r="W5" s="2" t="str">
        <f>TEXT(WEEKDAY(DATE(AnnéeCalendrier,6,21),1),"jjj")</f>
        <v>dim</v>
      </c>
      <c r="X5" s="2" t="str">
        <f>TEXT(WEEKDAY(DATE(AnnéeCalendrier,6,22),1),"jjj")</f>
        <v>lun</v>
      </c>
      <c r="Y5" s="2" t="str">
        <f>TEXT(WEEKDAY(DATE(AnnéeCalendrier,6,23),1),"jjj")</f>
        <v>mar</v>
      </c>
      <c r="Z5" s="2" t="str">
        <f>TEXT(WEEKDAY(DATE(AnnéeCalendrier,6,24),1),"jjj")</f>
        <v>mer</v>
      </c>
      <c r="AA5" s="2" t="str">
        <f>TEXT(WEEKDAY(DATE(AnnéeCalendrier,6,25),1),"jjj")</f>
        <v>jeu</v>
      </c>
      <c r="AB5" s="2" t="str">
        <f>TEXT(WEEKDAY(DATE(AnnéeCalendrier,6,26),1),"jjj")</f>
        <v>ven</v>
      </c>
      <c r="AC5" s="2" t="str">
        <f>TEXT(WEEKDAY(DATE(AnnéeCalendrier,6,27),1),"jjj")</f>
        <v>sam</v>
      </c>
      <c r="AD5" s="2" t="str">
        <f>TEXT(WEEKDAY(DATE(AnnéeCalendrier,6,28),1),"jjj")</f>
        <v>dim</v>
      </c>
      <c r="AE5" s="2" t="str">
        <f>TEXT(WEEKDAY(DATE(AnnéeCalendrier,6,29),1),"jjj")</f>
        <v>lun</v>
      </c>
      <c r="AF5" s="2" t="str">
        <f>TEXT(WEEKDAY(DATE(AnnéeCalendrier,6,30),1),"jjj")</f>
        <v>mar</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COUNTA(Juin[[#This Row],[1]:[30]])</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COUNTA(Juin[[#This Row],[1]:[30]])</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COUNTA(Juin[[#This Row],[1]:[30]])</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COUNTA(Juin[[#This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COUNTA(Juin[[#This Row],[1]:[30]])</f>
        <v>0</v>
      </c>
    </row>
    <row r="12" spans="2:34" ht="30" customHeight="1" x14ac:dyDescent="0.25">
      <c r="B12" s="21" t="str">
        <f>NomMois&amp;" Total"</f>
        <v>Juin Total</v>
      </c>
      <c r="C12" s="13">
        <f>SUBTOTAL(103,Juin[1])</f>
        <v>0</v>
      </c>
      <c r="D12" s="13">
        <f>SUBTOTAL(103,Juin[2])</f>
        <v>0</v>
      </c>
      <c r="E12" s="13">
        <f>SUBTOTAL(103,Juin[3])</f>
        <v>0</v>
      </c>
      <c r="F12" s="13">
        <f>SUBTOTAL(103,Juin[4])</f>
        <v>0</v>
      </c>
      <c r="G12" s="13">
        <f>SUBTOTAL(103,Juin[5])</f>
        <v>0</v>
      </c>
      <c r="H12" s="13">
        <f>SUBTOTAL(103,Juin[6])</f>
        <v>0</v>
      </c>
      <c r="I12" s="13">
        <f>SUBTOTAL(103,Juin[7])</f>
        <v>0</v>
      </c>
      <c r="J12" s="13">
        <f>SUBTOTAL(103,Juin[8])</f>
        <v>0</v>
      </c>
      <c r="K12" s="13">
        <f>SUBTOTAL(103,Juin[9])</f>
        <v>0</v>
      </c>
      <c r="L12" s="13">
        <f>SUBTOTAL(103,Juin[10])</f>
        <v>0</v>
      </c>
      <c r="M12" s="13">
        <f>SUBTOTAL(103,Juin[11])</f>
        <v>0</v>
      </c>
      <c r="N12" s="13">
        <f>SUBTOTAL(103,Juin[12])</f>
        <v>0</v>
      </c>
      <c r="O12" s="13">
        <f>SUBTOTAL(103,Juin[13])</f>
        <v>0</v>
      </c>
      <c r="P12" s="13">
        <f>SUBTOTAL(103,Juin[14])</f>
        <v>0</v>
      </c>
      <c r="Q12" s="13">
        <f>SUBTOTAL(103,Juin[15])</f>
        <v>0</v>
      </c>
      <c r="R12" s="13">
        <f>SUBTOTAL(103,Juin[16])</f>
        <v>0</v>
      </c>
      <c r="S12" s="13">
        <f>SUBTOTAL(103,Juin[17])</f>
        <v>0</v>
      </c>
      <c r="T12" s="13">
        <f>SUBTOTAL(103,Juin[18])</f>
        <v>0</v>
      </c>
      <c r="U12" s="13">
        <f>SUBTOTAL(103,Juin[19])</f>
        <v>0</v>
      </c>
      <c r="V12" s="13">
        <f>SUBTOTAL(103,Juin[20])</f>
        <v>0</v>
      </c>
      <c r="W12" s="13">
        <f>SUBTOTAL(103,Juin[21])</f>
        <v>0</v>
      </c>
      <c r="X12" s="13">
        <f>SUBTOTAL(103,Juin[22])</f>
        <v>0</v>
      </c>
      <c r="Y12" s="13">
        <f>SUBTOTAL(103,Juin[23])</f>
        <v>0</v>
      </c>
      <c r="Z12" s="13">
        <f>SUBTOTAL(103,Juin[24])</f>
        <v>0</v>
      </c>
      <c r="AA12" s="13">
        <f>SUBTOTAL(103,Juin[25])</f>
        <v>0</v>
      </c>
      <c r="AB12" s="13">
        <f>SUBTOTAL(103,Juin[26])</f>
        <v>0</v>
      </c>
      <c r="AC12" s="13">
        <f>SUBTOTAL(103,Juin[27])</f>
        <v>0</v>
      </c>
      <c r="AD12" s="13">
        <f>SUBTOTAL(103,Juin[28])</f>
        <v>0</v>
      </c>
      <c r="AE12" s="13">
        <f>SUBTOTAL(103,Juin[29])</f>
        <v>0</v>
      </c>
      <c r="AF12" s="13">
        <f>SUBTOTAL(103,Juin[30])</f>
        <v>0</v>
      </c>
      <c r="AG12" s="13">
        <f>SUBTOTAL(103,Juin[[ ]])</f>
        <v>0</v>
      </c>
      <c r="AH12" s="13">
        <f>SUBTOTAL(109,Juin[Total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34" priority="2" stopIfTrue="1">
      <formula>C7=CléPersonnalisée2</formula>
    </cfRule>
    <cfRule type="expression" dxfId="33" priority="3" stopIfTrue="1">
      <formula>C7=CléPersonnalisée1</formula>
    </cfRule>
    <cfRule type="expression" dxfId="32" priority="4" stopIfTrue="1">
      <formula>C7=CléMaladie</formula>
    </cfRule>
    <cfRule type="expression" dxfId="31" priority="5" stopIfTrue="1">
      <formula>C7=CléPersonnel</formula>
    </cfRule>
    <cfRule type="expression" dxfId="3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{5E94D469-7B22-408B-924D-8DC8A136AD3B}</x14:id>
        </ext>
      </extLst>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500-000000000000}"/>
    <dataValidation allowBlank="1" showInputMessage="1" showErrorMessage="1" prompt="Année mise à jour automatiquement en fonction de l’année entrée dans la feuille de calcul Janvier" sqref="AH4" xr:uid="{00000000-0002-0000-0500-000001000000}"/>
    <dataValidation allowBlank="1" showInputMessage="1" showErrorMessage="1" prompt="Calcule automatiquement le nombre total de jours d’absence d’un employé durant ce mois dans cette colonne" sqref="AH6" xr:uid="{00000000-0002-0000-0500-000002000000}"/>
    <dataValidation allowBlank="1" showInputMessage="1" showErrorMessage="1" prompt="Suivez les absences du mois de juin dans cette feuille de calcul" sqref="A1" xr:uid="{00000000-0002-0000-05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500-000004000000}"/>
    <dataValidation allowBlank="1" showInputMessage="1" showErrorMessage="1" prompt="Le titre mis à jour automatiquement figure dans cette cellule. Pour modifier le titre, mettez à jour la cellule B1 de la feuille de calcul Janvier" sqref="B1" xr:uid="{00000000-0002-0000-0500-000005000000}"/>
    <dataValidation allowBlank="1" showInputMessage="1" showErrorMessage="1" prompt="La lettre « C » indique une absence pour cause de congé" sqref="C2" xr:uid="{00000000-0002-0000-0500-000006000000}"/>
    <dataValidation allowBlank="1" showInputMessage="1" showErrorMessage="1" prompt="La lettre « P » indique une absence pour motifs personnels" sqref="F2" xr:uid="{00000000-0002-0000-0500-000007000000}"/>
    <dataValidation allowBlank="1" showInputMessage="1" showErrorMessage="1" prompt="La lettre « M » indique une absence pour cause de maladie" sqref="J2" xr:uid="{00000000-0002-0000-0500-000008000000}"/>
    <dataValidation allowBlank="1" showInputMessage="1" showErrorMessage="1" prompt="Entrez une lettre et personnalisez l’étiquette à droite pour ajouter un élément de clé" sqref="M2 R2" xr:uid="{00000000-0002-0000-0500-000009000000}"/>
    <dataValidation allowBlank="1" showInputMessage="1" showErrorMessage="1" prompt="Entrez une étiquette pour décrire la clé personnalisée à gauche" sqref="N2 S2" xr:uid="{00000000-0002-0000-0500-00000A000000}"/>
    <dataValidation allowBlank="1" showInputMessage="1" showErrorMessage="1" prompt="Cette ligne définit les clés utilisées dans le tableau : Congé en C2, Personnel en F2 et Congé maladie en J2. Les cellules M2 et R2 sont personnalisables" sqref="B2" xr:uid="{00000000-0002-0000-05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5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500-00000D000000}"/>
    <dataValidation type="list" allowBlank="1" showInputMessage="1" showErrorMessage="1" sqref="B7:B11" xr:uid="{00000000-0002-0000-0500-00000E000000}">
      <formula1>tyty</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5E94D469-7B22-408B-924D-8DC8A136AD3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Feuil8">
    <tabColor theme="1"/>
  </sheetPr>
  <dimension ref="A1:AH14"/>
  <sheetViews>
    <sheetView showGridLines="0" zoomScaleNormal="100" workbookViewId="0">
      <selection activeCell="H16" sqref="H16"/>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30" t="s">
        <v>12</v>
      </c>
      <c r="E2" s="30"/>
      <c r="F2" s="5" t="s">
        <v>79</v>
      </c>
      <c r="G2" s="30" t="s">
        <v>80</v>
      </c>
      <c r="H2" s="30"/>
      <c r="I2" s="30"/>
      <c r="J2" s="6" t="s">
        <v>17</v>
      </c>
      <c r="K2" s="30" t="s">
        <v>24</v>
      </c>
      <c r="L2" s="30"/>
      <c r="M2" s="7" t="s">
        <v>81</v>
      </c>
      <c r="N2" s="30" t="s">
        <v>81</v>
      </c>
      <c r="O2" s="30"/>
      <c r="P2" s="30"/>
      <c r="Q2" s="30"/>
      <c r="R2" s="8" t="s">
        <v>82</v>
      </c>
      <c r="S2" s="30" t="s">
        <v>83</v>
      </c>
      <c r="T2" s="30"/>
      <c r="U2" s="30"/>
      <c r="V2" s="30"/>
    </row>
    <row r="3" spans="2:34" ht="15" customHeight="1" x14ac:dyDescent="0.25">
      <c r="B3" s="14"/>
    </row>
    <row r="4" spans="2:34" ht="30" customHeight="1" x14ac:dyDescent="0.25">
      <c r="B4" s="12" t="s">
        <v>58</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v>2020</v>
      </c>
    </row>
    <row r="5" spans="2:34" ht="15" customHeight="1" x14ac:dyDescent="0.25">
      <c r="B5" s="12"/>
      <c r="C5" s="2" t="str">
        <f>TEXT(WEEKDAY(DATE(AnnéeCalendrier,7,1),1),"jjj")</f>
        <v>mer</v>
      </c>
      <c r="D5" s="2" t="str">
        <f>TEXT(WEEKDAY(DATE(AnnéeCalendrier,7,2),1),"jjj")</f>
        <v>jeu</v>
      </c>
      <c r="E5" s="2" t="str">
        <f>TEXT(WEEKDAY(DATE(AnnéeCalendrier,7,3),1),"jjj")</f>
        <v>ven</v>
      </c>
      <c r="F5" s="2" t="str">
        <f>TEXT(WEEKDAY(DATE(AnnéeCalendrier,7,4),1),"jjj")</f>
        <v>sam</v>
      </c>
      <c r="G5" s="2" t="str">
        <f>TEXT(WEEKDAY(DATE(AnnéeCalendrier,7,5),1),"jjj")</f>
        <v>dim</v>
      </c>
      <c r="H5" s="2" t="str">
        <f>TEXT(WEEKDAY(DATE(AnnéeCalendrier,7,6),1),"jjj")</f>
        <v>lun</v>
      </c>
      <c r="I5" s="2" t="str">
        <f>TEXT(WEEKDAY(DATE(AnnéeCalendrier,7,7),1),"jjj")</f>
        <v>mar</v>
      </c>
      <c r="J5" s="2" t="str">
        <f>TEXT(WEEKDAY(DATE(AnnéeCalendrier,7,8),1),"jjj")</f>
        <v>mer</v>
      </c>
      <c r="K5" s="2" t="str">
        <f>TEXT(WEEKDAY(DATE(AnnéeCalendrier,7,9),1),"jjj")</f>
        <v>jeu</v>
      </c>
      <c r="L5" s="2" t="str">
        <f>TEXT(WEEKDAY(DATE(AnnéeCalendrier,7,10),1),"jjj")</f>
        <v>ven</v>
      </c>
      <c r="M5" s="2" t="str">
        <f>TEXT(WEEKDAY(DATE(AnnéeCalendrier,7,11),1),"jjj")</f>
        <v>sam</v>
      </c>
      <c r="N5" s="2" t="str">
        <f>TEXT(WEEKDAY(DATE(AnnéeCalendrier,7,12),1),"jjj")</f>
        <v>dim</v>
      </c>
      <c r="O5" s="2" t="str">
        <f>TEXT(WEEKDAY(DATE(AnnéeCalendrier,7,13),1),"jjj")</f>
        <v>lun</v>
      </c>
      <c r="P5" s="2" t="str">
        <f>TEXT(WEEKDAY(DATE(AnnéeCalendrier,7,14),1),"jjj")</f>
        <v>mar</v>
      </c>
      <c r="Q5" s="2" t="str">
        <f>TEXT(WEEKDAY(DATE(AnnéeCalendrier,7,15),1),"jjj")</f>
        <v>mer</v>
      </c>
      <c r="R5" s="2" t="str">
        <f>TEXT(WEEKDAY(DATE(AnnéeCalendrier,7,16),1),"jjj")</f>
        <v>jeu</v>
      </c>
      <c r="S5" s="2" t="str">
        <f>TEXT(WEEKDAY(DATE(AnnéeCalendrier,7,17),1),"jjj")</f>
        <v>ven</v>
      </c>
      <c r="T5" s="2" t="str">
        <f>TEXT(WEEKDAY(DATE(AnnéeCalendrier,7,18),1),"jjj")</f>
        <v>sam</v>
      </c>
      <c r="U5" s="2" t="str">
        <f>TEXT(WEEKDAY(DATE(AnnéeCalendrier,7,19),1),"jjj")</f>
        <v>dim</v>
      </c>
      <c r="V5" s="2" t="str">
        <f>TEXT(WEEKDAY(DATE(AnnéeCalendrier,7,20),1),"jjj")</f>
        <v>lun</v>
      </c>
      <c r="W5" s="2" t="str">
        <f>TEXT(WEEKDAY(DATE(AnnéeCalendrier,7,21),1),"jjj")</f>
        <v>mar</v>
      </c>
      <c r="X5" s="2" t="str">
        <f>TEXT(WEEKDAY(DATE(AnnéeCalendrier,7,22),1),"jjj")</f>
        <v>mer</v>
      </c>
      <c r="Y5" s="2" t="str">
        <f>TEXT(WEEKDAY(DATE(AnnéeCalendrier,7,23),1),"jjj")</f>
        <v>jeu</v>
      </c>
      <c r="Z5" s="2" t="str">
        <f>TEXT(WEEKDAY(DATE(AnnéeCalendrier,7,24),1),"jjj")</f>
        <v>ven</v>
      </c>
      <c r="AA5" s="2" t="str">
        <f>TEXT(WEEKDAY(DATE(AnnéeCalendrier,7,25),1),"jjj")</f>
        <v>sam</v>
      </c>
      <c r="AB5" s="2" t="str">
        <f>TEXT(WEEKDAY(DATE(AnnéeCalendrier,7,26),1),"jjj")</f>
        <v>dim</v>
      </c>
      <c r="AC5" s="2" t="str">
        <f>TEXT(WEEKDAY(DATE(AnnéeCalendrier,7,27),1),"jjj")</f>
        <v>lun</v>
      </c>
      <c r="AD5" s="2" t="str">
        <f>TEXT(WEEKDAY(DATE(AnnéeCalendrier,7,28),1),"jjj")</f>
        <v>mar</v>
      </c>
      <c r="AE5" s="2" t="str">
        <f>TEXT(WEEKDAY(DATE(AnnéeCalendrier,7,29),1),"jjj")</f>
        <v>mer</v>
      </c>
      <c r="AF5" s="2" t="str">
        <f>TEXT(WEEKDAY(DATE(AnnéeCalendrier,7,30),1),"jjj")</f>
        <v>jeu</v>
      </c>
      <c r="AG5" s="2" t="str">
        <f>TEXT(WEEKDAY(DATE(AnnéeCalendrier,7,31),1),"jjj")</f>
        <v>ven</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c r="C7" s="3"/>
      <c r="D7" s="3"/>
      <c r="E7" s="3"/>
      <c r="F7" s="3"/>
      <c r="G7" s="3"/>
      <c r="H7" s="3"/>
      <c r="I7" s="3"/>
      <c r="J7" s="3"/>
      <c r="K7" s="3"/>
      <c r="L7" s="3"/>
      <c r="M7" s="3"/>
      <c r="N7" s="3"/>
      <c r="O7" s="3" t="s">
        <v>9</v>
      </c>
      <c r="P7" s="3" t="s">
        <v>9</v>
      </c>
      <c r="Q7" s="3" t="s">
        <v>9</v>
      </c>
      <c r="R7" s="3" t="s">
        <v>9</v>
      </c>
      <c r="S7" s="3" t="s">
        <v>9</v>
      </c>
      <c r="T7" s="3" t="s">
        <v>9</v>
      </c>
      <c r="U7" s="3" t="s">
        <v>9</v>
      </c>
      <c r="V7" s="3" t="s">
        <v>9</v>
      </c>
      <c r="W7" s="3" t="s">
        <v>9</v>
      </c>
      <c r="X7" s="3" t="s">
        <v>9</v>
      </c>
      <c r="Y7" s="3" t="s">
        <v>9</v>
      </c>
      <c r="Z7" s="3" t="s">
        <v>9</v>
      </c>
      <c r="AA7" s="3" t="s">
        <v>9</v>
      </c>
      <c r="AB7" s="3" t="s">
        <v>9</v>
      </c>
      <c r="AC7" s="3" t="s">
        <v>9</v>
      </c>
      <c r="AD7" s="3" t="s">
        <v>9</v>
      </c>
      <c r="AE7" s="3" t="s">
        <v>9</v>
      </c>
      <c r="AF7" s="3" t="s">
        <v>9</v>
      </c>
      <c r="AG7" s="3" t="s">
        <v>9</v>
      </c>
      <c r="AH7" s="10">
        <f>COUNTA(Juillet[[#This Row],[1]:[31]])</f>
        <v>19</v>
      </c>
    </row>
    <row r="8" spans="2:34" ht="30" customHeight="1" x14ac:dyDescent="0.25">
      <c r="B8" s="17"/>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COUNTA(Juillet[[#This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COUNTA(Juillet[[#This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COUNTA(Juillet[[#This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COUNTA(Juillet[[#This Row],[1]:[31]])</f>
        <v>0</v>
      </c>
    </row>
    <row r="12" spans="2:34" ht="30" customHeight="1" x14ac:dyDescent="0.25">
      <c r="B12" s="24"/>
      <c r="AH12" s="11">
        <f>COUNTA(Juillet[[#This Row],[1]:[31]])</f>
        <v>0</v>
      </c>
    </row>
    <row r="13" spans="2:34" ht="30" customHeight="1" x14ac:dyDescent="0.25">
      <c r="B13" s="24"/>
      <c r="AH13" s="11">
        <f>COUNTA(Juillet[[#This Row],[1]:[31]])</f>
        <v>0</v>
      </c>
    </row>
    <row r="14" spans="2:34" ht="30" customHeight="1" x14ac:dyDescent="0.25">
      <c r="B14" s="21" t="str">
        <f>NomMois&amp;" Total"</f>
        <v>Juillet Total</v>
      </c>
      <c r="C14" s="13">
        <f>SUBTOTAL(103,Juillet[1])</f>
        <v>0</v>
      </c>
      <c r="D14" s="13">
        <f>SUBTOTAL(103,Juillet[2])</f>
        <v>0</v>
      </c>
      <c r="E14" s="13">
        <f>SUBTOTAL(103,Juillet[3])</f>
        <v>0</v>
      </c>
      <c r="F14" s="13">
        <f>SUBTOTAL(103,Juillet[4])</f>
        <v>0</v>
      </c>
      <c r="G14" s="13">
        <f>SUBTOTAL(103,Juillet[5])</f>
        <v>0</v>
      </c>
      <c r="H14" s="13">
        <f>SUBTOTAL(103,Juillet[6])</f>
        <v>0</v>
      </c>
      <c r="I14" s="13">
        <f>SUBTOTAL(103,Juillet[7])</f>
        <v>0</v>
      </c>
      <c r="J14" s="13">
        <f>SUBTOTAL(103,Juillet[8])</f>
        <v>0</v>
      </c>
      <c r="K14" s="13">
        <f>SUBTOTAL(103,Juillet[9])</f>
        <v>0</v>
      </c>
      <c r="L14" s="13">
        <f>SUBTOTAL(103,Juillet[10])</f>
        <v>0</v>
      </c>
      <c r="M14" s="13">
        <f>SUBTOTAL(103,Juillet[11])</f>
        <v>0</v>
      </c>
      <c r="N14" s="13">
        <f>SUBTOTAL(103,Juillet[12])</f>
        <v>0</v>
      </c>
      <c r="O14" s="13">
        <f>SUBTOTAL(103,Juillet[13])</f>
        <v>1</v>
      </c>
      <c r="P14" s="13">
        <f>SUBTOTAL(103,Juillet[14])</f>
        <v>1</v>
      </c>
      <c r="Q14" s="13">
        <f>SUBTOTAL(103,Juillet[15])</f>
        <v>1</v>
      </c>
      <c r="R14" s="13">
        <f>SUBTOTAL(103,Juillet[16])</f>
        <v>1</v>
      </c>
      <c r="S14" s="13">
        <f>SUBTOTAL(103,Juillet[17])</f>
        <v>1</v>
      </c>
      <c r="T14" s="13">
        <f>SUBTOTAL(103,Juillet[18])</f>
        <v>1</v>
      </c>
      <c r="U14" s="13">
        <f>SUBTOTAL(103,Juillet[19])</f>
        <v>1</v>
      </c>
      <c r="V14" s="13">
        <f>SUBTOTAL(103,Juillet[20])</f>
        <v>1</v>
      </c>
      <c r="W14" s="13">
        <f>SUBTOTAL(103,Juillet[21])</f>
        <v>1</v>
      </c>
      <c r="X14" s="13">
        <f>SUBTOTAL(103,Juillet[22])</f>
        <v>1</v>
      </c>
      <c r="Y14" s="13">
        <f>SUBTOTAL(103,Juillet[23])</f>
        <v>1</v>
      </c>
      <c r="Z14" s="13">
        <f>SUBTOTAL(103,Juillet[24])</f>
        <v>1</v>
      </c>
      <c r="AA14" s="13">
        <f>SUBTOTAL(103,Juillet[25])</f>
        <v>1</v>
      </c>
      <c r="AB14" s="13">
        <f>SUBTOTAL(103,Juillet[26])</f>
        <v>1</v>
      </c>
      <c r="AC14" s="13">
        <f>SUBTOTAL(103,Juillet[27])</f>
        <v>1</v>
      </c>
      <c r="AD14" s="13">
        <f>SUBTOTAL(103,Juillet[28])</f>
        <v>1</v>
      </c>
      <c r="AE14" s="13">
        <f>SUBTOTAL(103,Juillet[29])</f>
        <v>1</v>
      </c>
      <c r="AF14" s="13">
        <f>SUBTOTAL(103,Juillet[30])</f>
        <v>1</v>
      </c>
      <c r="AG14" s="13">
        <f>SUBTOTAL(103,Juillet[31])</f>
        <v>1</v>
      </c>
      <c r="AH14" s="13">
        <f>SUBTOTAL(109,Juillet[Total des jours])</f>
        <v>19</v>
      </c>
    </row>
  </sheetData>
  <mergeCells count="6">
    <mergeCell ref="C4:AG4"/>
    <mergeCell ref="D2:E2"/>
    <mergeCell ref="G2:I2"/>
    <mergeCell ref="K2:L2"/>
    <mergeCell ref="N2:Q2"/>
    <mergeCell ref="S2:V2"/>
  </mergeCells>
  <phoneticPr fontId="19" type="noConversion"/>
  <conditionalFormatting sqref="C7:AG13">
    <cfRule type="expression" priority="1" stopIfTrue="1">
      <formula>C7=""</formula>
    </cfRule>
  </conditionalFormatting>
  <conditionalFormatting sqref="C7:AG13">
    <cfRule type="expression" dxfId="29" priority="2" stopIfTrue="1">
      <formula>C7=CléPersonnalisée2</formula>
    </cfRule>
    <cfRule type="expression" dxfId="28" priority="3" stopIfTrue="1">
      <formula>C7=CléPersonnalisée1</formula>
    </cfRule>
    <cfRule type="expression" dxfId="27" priority="4" stopIfTrue="1">
      <formula>C7=CléMaladie</formula>
    </cfRule>
    <cfRule type="expression" dxfId="26" priority="5" stopIfTrue="1">
      <formula>C7=CléPersonnel</formula>
    </cfRule>
    <cfRule type="expression" dxfId="25" priority="6" stopIfTrue="1">
      <formula>C7=CléCongé</formula>
    </cfRule>
  </conditionalFormatting>
  <conditionalFormatting sqref="AH7:AH13">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{E0DCF129-9B2A-4CEB-9E56-27607F4BED20}</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6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600-000001000000}"/>
    <dataValidation allowBlank="1" showInputMessage="1" showErrorMessage="1" prompt="Cette ligne définit les clés utilisées dans le tableau : Congé en C2, Personnel en F2 et Congé maladie en J2. Les cellules M2 et R2 sont personnalisables" sqref="B2" xr:uid="{00000000-0002-0000-0600-000002000000}"/>
    <dataValidation allowBlank="1" showInputMessage="1" showErrorMessage="1" prompt="Entrez une étiquette pour décrire la clé personnalisée à gauche" sqref="N2 S2" xr:uid="{00000000-0002-0000-0600-000003000000}"/>
    <dataValidation allowBlank="1" showInputMessage="1" showErrorMessage="1" prompt="Entrez une lettre et personnalisez l’étiquette à droite pour ajouter un élément de clé" sqref="M2 R2" xr:uid="{00000000-0002-0000-0600-000004000000}"/>
    <dataValidation allowBlank="1" showInputMessage="1" showErrorMessage="1" prompt="La lettre « M » indique une absence pour cause de maladie" sqref="J2" xr:uid="{00000000-0002-0000-0600-000005000000}"/>
    <dataValidation allowBlank="1" showInputMessage="1" showErrorMessage="1" prompt="La lettre « P » indique une absence pour motifs personnels" sqref="F2" xr:uid="{00000000-0002-0000-0600-000006000000}"/>
    <dataValidation allowBlank="1" showInputMessage="1" showErrorMessage="1" prompt="La lettre « C » indique une absence pour cause de congé" sqref="C2" xr:uid="{00000000-0002-0000-0600-000007000000}"/>
    <dataValidation allowBlank="1" showInputMessage="1" showErrorMessage="1" prompt="Le titre mis à jour automatiquement figure dans cette cellule. Pour modifier le titre, mettez à jour la cellule B1 de la feuille de calcul Janvier" sqref="B1" xr:uid="{00000000-0002-0000-06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600-000009000000}"/>
    <dataValidation allowBlank="1" showInputMessage="1" showErrorMessage="1" prompt="Suivez les absences du mois de juillet dans cette feuille de calcul" sqref="A1" xr:uid="{00000000-0002-0000-0600-00000A000000}"/>
    <dataValidation allowBlank="1" showInputMessage="1" showErrorMessage="1" prompt="Calcule automatiquement le nombre total de jours d’absence d’un employé durant ce mois dans cette colonne" sqref="AH6" xr:uid="{00000000-0002-0000-0600-00000B000000}"/>
    <dataValidation allowBlank="1" showInputMessage="1" showErrorMessage="1" prompt="Année mise à jour automatiquement en fonction de l’année entrée dans la feuille de calcul Janvier" sqref="AH4" xr:uid="{00000000-0002-0000-06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600-00000D000000}"/>
    <dataValidation type="list" allowBlank="1" showInputMessage="1" showErrorMessage="1" sqref="B7:B13" xr:uid="{00000000-0002-0000-0600-00000E000000}">
      <formula1>tyty</formula1>
    </dataValidation>
  </dataValidations>
  <pageMargins left="0.7" right="0.7" top="0.75" bottom="0.75" header="0.3" footer="0.3"/>
  <pageSetup paperSize="258" fitToHeight="0" orientation="landscape" verticalDpi="4294967293" r:id="rId1"/>
  <drawing r:id="rId2"/>
  <legacyDrawing r:id="rId3"/>
  <mc:AlternateContent xmlns:mc="http://schemas.openxmlformats.org/markup-compatibility/2006">
    <mc:Choice Requires="x14">
      <controls>
        <mc:AlternateContent xmlns:mc="http://schemas.openxmlformats.org/markup-compatibility/2006">
          <mc:Choice Requires="x14">
            <control shapeId="3076" r:id="rId4" name="List Box 4">
              <controlPr defaultSize="0" autoLine="0" autoPict="0">
                <anchor moveWithCells="1">
                  <from>
                    <xdr:col>7</xdr:col>
                    <xdr:colOff>152400</xdr:colOff>
                    <xdr:row>21</xdr:row>
                    <xdr:rowOff>76200</xdr:rowOff>
                  </from>
                  <to>
                    <xdr:col>10</xdr:col>
                    <xdr:colOff>104775</xdr:colOff>
                    <xdr:row>23</xdr:row>
                    <xdr:rowOff>247650</xdr:rowOff>
                  </to>
                </anchor>
              </controlPr>
            </control>
          </mc:Choice>
        </mc:AlternateContent>
      </controls>
    </mc:Choice>
  </mc:AlternateContent>
  <tableParts count="1">
    <tablePart r:id="rId5"/>
  </tableParts>
  <extLst>
    <ext xmlns:x14="http://schemas.microsoft.com/office/spreadsheetml/2009/9/main" uri="{78C0D931-6437-407d-A8EE-F0AAD7539E65}">
      <x14:conditionalFormattings>
        <x14:conditionalFormatting xmlns:xm="http://schemas.microsoft.com/office/excel/2006/main">
          <x14:cfRule type="dataBar" id="{E0DCF129-9B2A-4CEB-9E56-27607F4BED20}">
            <x14:dataBar minLength="0" maxLength="100">
              <x14:cfvo type="autoMin"/>
              <x14:cfvo type="formula">
                <xm:f>DATEDIF(DATE(AnnéeCalendrier,2,1),DATE(AnnéeCalendrier,3,1),"d")</xm:f>
              </x14:cfvo>
              <x14:negativeFillColor rgb="FFFF0000"/>
              <x14:axisColor rgb="FF000000"/>
            </x14:dataBar>
          </x14:cfRule>
          <xm:sqref>AH7:AH13</xm:sqref>
        </x14:conditionalFormatting>
      </x14:conditionalFormattings>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Feuil9">
    <tabColor theme="2" tint="-0.749992370372631"/>
  </sheetPr>
  <dimension ref="A1:AH12"/>
  <sheetViews>
    <sheetView showGridLines="0" zoomScaleNormal="100" workbookViewId="0">
      <selection activeCell="B15" sqref="B15:C15"/>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25">
      <c r="B3" s="14"/>
    </row>
    <row r="4" spans="2:34" ht="30" customHeight="1" x14ac:dyDescent="0.25">
      <c r="B4" s="12" t="s">
        <v>59</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25">
      <c r="B5" s="12"/>
      <c r="C5" s="2" t="str">
        <f>TEXT(WEEKDAY(DATE(AnnéeCalendrier,8,1),1),"jjj")</f>
        <v>sam</v>
      </c>
      <c r="D5" s="2" t="str">
        <f>TEXT(WEEKDAY(DATE(AnnéeCalendrier,8,2),1),"jjj")</f>
        <v>dim</v>
      </c>
      <c r="E5" s="2" t="str">
        <f>TEXT(WEEKDAY(DATE(AnnéeCalendrier,8,3),1),"jjj")</f>
        <v>lun</v>
      </c>
      <c r="F5" s="2" t="str">
        <f>TEXT(WEEKDAY(DATE(AnnéeCalendrier,8,4),1),"jjj")</f>
        <v>mar</v>
      </c>
      <c r="G5" s="2" t="str">
        <f>TEXT(WEEKDAY(DATE(AnnéeCalendrier,8,5),1),"jjj")</f>
        <v>mer</v>
      </c>
      <c r="H5" s="2" t="str">
        <f>TEXT(WEEKDAY(DATE(AnnéeCalendrier,8,6),1),"jjj")</f>
        <v>jeu</v>
      </c>
      <c r="I5" s="2" t="str">
        <f>TEXT(WEEKDAY(DATE(AnnéeCalendrier,8,7),1),"jjj")</f>
        <v>ven</v>
      </c>
      <c r="J5" s="2" t="str">
        <f>TEXT(WEEKDAY(DATE(AnnéeCalendrier,8,8),1),"jjj")</f>
        <v>sam</v>
      </c>
      <c r="K5" s="2" t="str">
        <f>TEXT(WEEKDAY(DATE(AnnéeCalendrier,8,9),1),"jjj")</f>
        <v>dim</v>
      </c>
      <c r="L5" s="2" t="str">
        <f>TEXT(WEEKDAY(DATE(AnnéeCalendrier,8,10),1),"jjj")</f>
        <v>lun</v>
      </c>
      <c r="M5" s="2" t="str">
        <f>TEXT(WEEKDAY(DATE(AnnéeCalendrier,8,11),1),"jjj")</f>
        <v>mar</v>
      </c>
      <c r="N5" s="2" t="str">
        <f>TEXT(WEEKDAY(DATE(AnnéeCalendrier,8,12),1),"jjj")</f>
        <v>mer</v>
      </c>
      <c r="O5" s="2" t="str">
        <f>TEXT(WEEKDAY(DATE(AnnéeCalendrier,8,13),1),"jjj")</f>
        <v>jeu</v>
      </c>
      <c r="P5" s="2" t="str">
        <f>TEXT(WEEKDAY(DATE(AnnéeCalendrier,8,14),1),"jjj")</f>
        <v>ven</v>
      </c>
      <c r="Q5" s="2" t="str">
        <f>TEXT(WEEKDAY(DATE(AnnéeCalendrier,8,15),1),"jjj")</f>
        <v>sam</v>
      </c>
      <c r="R5" s="2" t="str">
        <f>TEXT(WEEKDAY(DATE(AnnéeCalendrier,8,16),1),"jjj")</f>
        <v>dim</v>
      </c>
      <c r="S5" s="2" t="str">
        <f>TEXT(WEEKDAY(DATE(AnnéeCalendrier,8,17),1),"jjj")</f>
        <v>lun</v>
      </c>
      <c r="T5" s="2" t="str">
        <f>TEXT(WEEKDAY(DATE(AnnéeCalendrier,8,18),1),"jjj")</f>
        <v>mar</v>
      </c>
      <c r="U5" s="2" t="str">
        <f>TEXT(WEEKDAY(DATE(AnnéeCalendrier,8,19),1),"jjj")</f>
        <v>mer</v>
      </c>
      <c r="V5" s="2" t="str">
        <f>TEXT(WEEKDAY(DATE(AnnéeCalendrier,8,20),1),"jjj")</f>
        <v>jeu</v>
      </c>
      <c r="W5" s="2" t="str">
        <f>TEXT(WEEKDAY(DATE(AnnéeCalendrier,8,21),1),"jjj")</f>
        <v>ven</v>
      </c>
      <c r="X5" s="2" t="str">
        <f>TEXT(WEEKDAY(DATE(AnnéeCalendrier,8,22),1),"jjj")</f>
        <v>sam</v>
      </c>
      <c r="Y5" s="2" t="str">
        <f>TEXT(WEEKDAY(DATE(AnnéeCalendrier,8,23),1),"jjj")</f>
        <v>dim</v>
      </c>
      <c r="Z5" s="2" t="str">
        <f>TEXT(WEEKDAY(DATE(AnnéeCalendrier,8,24),1),"jjj")</f>
        <v>lun</v>
      </c>
      <c r="AA5" s="2" t="str">
        <f>TEXT(WEEKDAY(DATE(AnnéeCalendrier,8,25),1),"jjj")</f>
        <v>mar</v>
      </c>
      <c r="AB5" s="2" t="str">
        <f>TEXT(WEEKDAY(DATE(AnnéeCalendrier,8,26),1),"jjj")</f>
        <v>mer</v>
      </c>
      <c r="AC5" s="2" t="str">
        <f>TEXT(WEEKDAY(DATE(AnnéeCalendrier,8,27),1),"jjj")</f>
        <v>jeu</v>
      </c>
      <c r="AD5" s="2" t="str">
        <f>TEXT(WEEKDAY(DATE(AnnéeCalendrier,8,28),1),"jjj")</f>
        <v>ven</v>
      </c>
      <c r="AE5" s="2" t="str">
        <f>TEXT(WEEKDAY(DATE(AnnéeCalendrier,8,29),1),"jjj")</f>
        <v>sam</v>
      </c>
      <c r="AF5" s="2" t="str">
        <f>TEXT(WEEKDAY(DATE(AnnéeCalendrier,8,30),1),"jjj")</f>
        <v>dim</v>
      </c>
      <c r="AG5" s="2" t="str">
        <f>TEXT(WEEKDAY(DATE(AnnéeCalendrier,8,31),1),"jjj")</f>
        <v>lun</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70</v>
      </c>
      <c r="C7" s="3" t="s">
        <v>9</v>
      </c>
      <c r="D7" s="3" t="s">
        <v>9</v>
      </c>
      <c r="E7" s="3" t="s">
        <v>9</v>
      </c>
      <c r="F7" s="3" t="s">
        <v>9</v>
      </c>
      <c r="G7" s="3" t="s">
        <v>9</v>
      </c>
      <c r="H7" s="3" t="s">
        <v>9</v>
      </c>
      <c r="I7" s="3" t="s">
        <v>9</v>
      </c>
      <c r="J7" s="3" t="s">
        <v>9</v>
      </c>
      <c r="K7" s="3" t="s">
        <v>9</v>
      </c>
      <c r="L7" s="3"/>
      <c r="M7" s="3"/>
      <c r="N7" s="3"/>
      <c r="O7" s="3"/>
      <c r="P7" s="3"/>
      <c r="Q7" s="3"/>
      <c r="R7" s="3"/>
      <c r="S7" s="3"/>
      <c r="T7" s="3"/>
      <c r="U7" s="3"/>
      <c r="V7" s="3"/>
      <c r="W7" s="3"/>
      <c r="X7" s="3"/>
      <c r="Y7" s="3"/>
      <c r="Z7" s="3"/>
      <c r="AA7" s="3"/>
      <c r="AB7" s="3"/>
      <c r="AC7" s="3"/>
      <c r="AD7" s="3"/>
      <c r="AE7" s="3"/>
      <c r="AF7" s="3"/>
      <c r="AG7" s="3"/>
      <c r="AH7" s="10">
        <f>COUNTA(Août[[#This Row],[1]:[31]])</f>
        <v>9</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COUNTA(Août[[#This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COUNTA(Août[[#This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COUNTA(Août[[#This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COUNTA(Août[[#This Row],[1]:[31]])</f>
        <v>0</v>
      </c>
    </row>
    <row r="12" spans="2:34" ht="30" customHeight="1" x14ac:dyDescent="0.25">
      <c r="B12" s="21" t="str">
        <f>NomMois&amp;" Total"</f>
        <v>Août Total</v>
      </c>
      <c r="C12" s="13">
        <f>SUBTOTAL(103,Août[1])</f>
        <v>1</v>
      </c>
      <c r="D12" s="13">
        <f>SUBTOTAL(103,Août[2])</f>
        <v>1</v>
      </c>
      <c r="E12" s="13">
        <f>SUBTOTAL(103,Août[3])</f>
        <v>1</v>
      </c>
      <c r="F12" s="13">
        <f>SUBTOTAL(103,Août[4])</f>
        <v>1</v>
      </c>
      <c r="G12" s="13">
        <f>SUBTOTAL(103,Août[5])</f>
        <v>1</v>
      </c>
      <c r="H12" s="13">
        <f>SUBTOTAL(103,Août[6])</f>
        <v>1</v>
      </c>
      <c r="I12" s="13">
        <f>SUBTOTAL(103,Août[7])</f>
        <v>1</v>
      </c>
      <c r="J12" s="13">
        <f>SUBTOTAL(103,Août[8])</f>
        <v>1</v>
      </c>
      <c r="K12" s="13">
        <f>SUBTOTAL(103,Août[9])</f>
        <v>1</v>
      </c>
      <c r="L12" s="13">
        <f>SUBTOTAL(103,Août[10])</f>
        <v>0</v>
      </c>
      <c r="M12" s="13">
        <f>SUBTOTAL(103,Août[11])</f>
        <v>0</v>
      </c>
      <c r="N12" s="13">
        <f>SUBTOTAL(103,Août[12])</f>
        <v>0</v>
      </c>
      <c r="O12" s="13">
        <f>SUBTOTAL(103,Août[13])</f>
        <v>0</v>
      </c>
      <c r="P12" s="13">
        <f>SUBTOTAL(103,Août[14])</f>
        <v>0</v>
      </c>
      <c r="Q12" s="13">
        <f>SUBTOTAL(103,Août[15])</f>
        <v>0</v>
      </c>
      <c r="R12" s="13">
        <f>SUBTOTAL(103,Août[16])</f>
        <v>0</v>
      </c>
      <c r="S12" s="13">
        <f>SUBTOTAL(103,Août[17])</f>
        <v>0</v>
      </c>
      <c r="T12" s="13">
        <f>SUBTOTAL(103,Août[18])</f>
        <v>0</v>
      </c>
      <c r="U12" s="13">
        <f>SUBTOTAL(103,Août[19])</f>
        <v>0</v>
      </c>
      <c r="V12" s="13">
        <f>SUBTOTAL(103,Août[20])</f>
        <v>0</v>
      </c>
      <c r="W12" s="13">
        <f>SUBTOTAL(103,Août[21])</f>
        <v>0</v>
      </c>
      <c r="X12" s="13">
        <f>SUBTOTAL(103,Août[22])</f>
        <v>0</v>
      </c>
      <c r="Y12" s="13">
        <f>SUBTOTAL(103,Août[23])</f>
        <v>0</v>
      </c>
      <c r="Z12" s="13">
        <f>SUBTOTAL(103,Août[24])</f>
        <v>0</v>
      </c>
      <c r="AA12" s="13">
        <f>SUBTOTAL(103,Août[25])</f>
        <v>0</v>
      </c>
      <c r="AB12" s="13">
        <f>SUBTOTAL(103,Août[26])</f>
        <v>0</v>
      </c>
      <c r="AC12" s="13">
        <f>SUBTOTAL(103,Août[27])</f>
        <v>0</v>
      </c>
      <c r="AD12" s="13">
        <f>SUBTOTAL(103,Août[28])</f>
        <v>0</v>
      </c>
      <c r="AE12" s="13">
        <f>SUBTOTAL(103,Août[29])</f>
        <v>0</v>
      </c>
      <c r="AF12" s="13">
        <f>SUBTOTAL(103,Août[30])</f>
        <v>0</v>
      </c>
      <c r="AG12" s="13">
        <f>SUBTOTAL(103,Août[31])</f>
        <v>0</v>
      </c>
      <c r="AH12" s="13">
        <f>SUBTOTAL(109,Août[Total des jours])</f>
        <v>9</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24" priority="2" stopIfTrue="1">
      <formula>C7=CléPersonnalisée2</formula>
    </cfRule>
    <cfRule type="expression" dxfId="23" priority="3" stopIfTrue="1">
      <formula>C7=CléPersonnalisée1</formula>
    </cfRule>
    <cfRule type="expression" dxfId="22" priority="4" stopIfTrue="1">
      <formula>C7=CléMaladie</formula>
    </cfRule>
    <cfRule type="expression" dxfId="21" priority="5" stopIfTrue="1">
      <formula>C7=CléPersonnel</formula>
    </cfRule>
    <cfRule type="expression" dxfId="2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{09900229-9536-43AB-AAE0-FC121BDECD61}</x14:id>
        </ext>
      </extLst>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700-000000000000}"/>
    <dataValidation allowBlank="1" showInputMessage="1" showErrorMessage="1" prompt="Année mise à jour automatiquement en fonction de l’année entrée dans la feuille de calcul Janvier" sqref="AH4" xr:uid="{00000000-0002-0000-0700-000001000000}"/>
    <dataValidation allowBlank="1" showInputMessage="1" showErrorMessage="1" prompt="Calcule automatiquement le nombre total de jours d’absence d’un employé durant ce mois dans cette colonne" sqref="AH6" xr:uid="{00000000-0002-0000-0700-000002000000}"/>
    <dataValidation allowBlank="1" showInputMessage="1" showErrorMessage="1" prompt="Suivez les absences du mois d’août dans cette feuille de calcul" sqref="A1" xr:uid="{00000000-0002-0000-07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700-000004000000}"/>
    <dataValidation allowBlank="1" showInputMessage="1" showErrorMessage="1" prompt="Le titre mis à jour automatiquement figure dans cette cellule. Pour modifier le titre, mettez à jour la cellule B1 de la feuille de calcul Janvier" sqref="B1" xr:uid="{00000000-0002-0000-0700-000005000000}"/>
    <dataValidation allowBlank="1" showInputMessage="1" showErrorMessage="1" prompt="La lettre « C » indique une absence pour cause de congé" sqref="C2" xr:uid="{00000000-0002-0000-0700-000006000000}"/>
    <dataValidation allowBlank="1" showInputMessage="1" showErrorMessage="1" prompt="La lettre « P » indique une absence pour motifs personnels" sqref="F2" xr:uid="{00000000-0002-0000-0700-000007000000}"/>
    <dataValidation allowBlank="1" showInputMessage="1" showErrorMessage="1" prompt="La lettre « M » indique une absence pour cause de maladie" sqref="J2" xr:uid="{00000000-0002-0000-0700-000008000000}"/>
    <dataValidation allowBlank="1" showInputMessage="1" showErrorMessage="1" prompt="Entrez une lettre et personnalisez l’étiquette à droite pour ajouter un élément de clé" sqref="M2 R2" xr:uid="{00000000-0002-0000-0700-000009000000}"/>
    <dataValidation allowBlank="1" showInputMessage="1" showErrorMessage="1" prompt="Entrez une étiquette pour décrire la clé personnalisée à gauche" sqref="N2 S2" xr:uid="{00000000-0002-0000-0700-00000A000000}"/>
    <dataValidation allowBlank="1" showInputMessage="1" showErrorMessage="1" prompt="Cette ligne définit les clés utilisées dans le tableau : Congé en C2, Personnel en F2 et Congé maladie en J2. Les cellules M2 et R2 sont personnalisables" sqref="B2" xr:uid="{00000000-0002-0000-07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7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700-00000D000000}"/>
    <dataValidation type="list" allowBlank="1" showInputMessage="1" showErrorMessage="1" sqref="B7:B11" xr:uid="{00000000-0002-0000-0700-00000E000000}">
      <formula1>tyty</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09900229-9536-43AB-AAE0-FC121BDECD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Feuil10">
    <tabColor theme="2" tint="-0.499984740745262"/>
  </sheetPr>
  <dimension ref="A1:AH12"/>
  <sheetViews>
    <sheetView showGridLines="0" zoomScaleNormal="100" workbookViewId="0">
      <selection activeCell="E14" sqref="E14:F14"/>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25">
      <c r="B3" s="14"/>
    </row>
    <row r="4" spans="2:34" ht="30" customHeight="1" x14ac:dyDescent="0.25">
      <c r="B4" s="12" t="s">
        <v>60</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25">
      <c r="B5" s="12"/>
      <c r="C5" s="2" t="str">
        <f>TEXT(WEEKDAY(DATE(AnnéeCalendrier,9,1),1),"jjj")</f>
        <v>mar</v>
      </c>
      <c r="D5" s="2" t="str">
        <f>TEXT(WEEKDAY(DATE(AnnéeCalendrier,9,2),1),"jjj")</f>
        <v>mer</v>
      </c>
      <c r="E5" s="2" t="str">
        <f>TEXT(WEEKDAY(DATE(AnnéeCalendrier,9,3),1),"jjj")</f>
        <v>jeu</v>
      </c>
      <c r="F5" s="2" t="str">
        <f>TEXT(WEEKDAY(DATE(AnnéeCalendrier,9,4),1),"jjj")</f>
        <v>ven</v>
      </c>
      <c r="G5" s="2" t="str">
        <f>TEXT(WEEKDAY(DATE(AnnéeCalendrier,9,5),1),"jjj")</f>
        <v>sam</v>
      </c>
      <c r="H5" s="2" t="str">
        <f>TEXT(WEEKDAY(DATE(AnnéeCalendrier,9,6),1),"jjj")</f>
        <v>dim</v>
      </c>
      <c r="I5" s="2" t="str">
        <f>TEXT(WEEKDAY(DATE(AnnéeCalendrier,9,7),1),"jjj")</f>
        <v>lun</v>
      </c>
      <c r="J5" s="2" t="str">
        <f>TEXT(WEEKDAY(DATE(AnnéeCalendrier,9,8),1),"jjj")</f>
        <v>mar</v>
      </c>
      <c r="K5" s="2" t="str">
        <f>TEXT(WEEKDAY(DATE(AnnéeCalendrier,9,9),1),"jjj")</f>
        <v>mer</v>
      </c>
      <c r="L5" s="2" t="str">
        <f>TEXT(WEEKDAY(DATE(AnnéeCalendrier,9,10),1),"jjj")</f>
        <v>jeu</v>
      </c>
      <c r="M5" s="2" t="str">
        <f>TEXT(WEEKDAY(DATE(AnnéeCalendrier,9,11),1),"jjj")</f>
        <v>ven</v>
      </c>
      <c r="N5" s="2" t="str">
        <f>TEXT(WEEKDAY(DATE(AnnéeCalendrier,9,12),1),"jjj")</f>
        <v>sam</v>
      </c>
      <c r="O5" s="2" t="str">
        <f>TEXT(WEEKDAY(DATE(AnnéeCalendrier,9,13),1),"jjj")</f>
        <v>dim</v>
      </c>
      <c r="P5" s="2" t="str">
        <f>TEXT(WEEKDAY(DATE(AnnéeCalendrier,9,14),1),"jjj")</f>
        <v>lun</v>
      </c>
      <c r="Q5" s="2" t="str">
        <f>TEXT(WEEKDAY(DATE(AnnéeCalendrier,9,15),1),"jjj")</f>
        <v>mar</v>
      </c>
      <c r="R5" s="2" t="str">
        <f>TEXT(WEEKDAY(DATE(AnnéeCalendrier,9,16),1),"jjj")</f>
        <v>mer</v>
      </c>
      <c r="S5" s="2" t="str">
        <f>TEXT(WEEKDAY(DATE(AnnéeCalendrier,9,17),1),"jjj")</f>
        <v>jeu</v>
      </c>
      <c r="T5" s="2" t="str">
        <f>TEXT(WEEKDAY(DATE(AnnéeCalendrier,9,18),1),"jjj")</f>
        <v>ven</v>
      </c>
      <c r="U5" s="2" t="str">
        <f>TEXT(WEEKDAY(DATE(AnnéeCalendrier,9,19),1),"jjj")</f>
        <v>sam</v>
      </c>
      <c r="V5" s="2" t="str">
        <f>TEXT(WEEKDAY(DATE(AnnéeCalendrier,9,20),1),"jjj")</f>
        <v>dim</v>
      </c>
      <c r="W5" s="2" t="str">
        <f>TEXT(WEEKDAY(DATE(AnnéeCalendrier,9,21),1),"jjj")</f>
        <v>lun</v>
      </c>
      <c r="X5" s="2" t="str">
        <f>TEXT(WEEKDAY(DATE(AnnéeCalendrier,9,22),1),"jjj")</f>
        <v>mar</v>
      </c>
      <c r="Y5" s="2" t="str">
        <f>TEXT(WEEKDAY(DATE(AnnéeCalendrier,9,23),1),"jjj")</f>
        <v>mer</v>
      </c>
      <c r="Z5" s="2" t="str">
        <f>TEXT(WEEKDAY(DATE(AnnéeCalendrier,9,24),1),"jjj")</f>
        <v>jeu</v>
      </c>
      <c r="AA5" s="2" t="str">
        <f>TEXT(WEEKDAY(DATE(AnnéeCalendrier,9,25),1),"jjj")</f>
        <v>ven</v>
      </c>
      <c r="AB5" s="2" t="str">
        <f>TEXT(WEEKDAY(DATE(AnnéeCalendrier,9,26),1),"jjj")</f>
        <v>sam</v>
      </c>
      <c r="AC5" s="2" t="str">
        <f>TEXT(WEEKDAY(DATE(AnnéeCalendrier,9,27),1),"jjj")</f>
        <v>dim</v>
      </c>
      <c r="AD5" s="2" t="str">
        <f>TEXT(WEEKDAY(DATE(AnnéeCalendrier,9,28),1),"jjj")</f>
        <v>lun</v>
      </c>
      <c r="AE5" s="2" t="str">
        <f>TEXT(WEEKDAY(DATE(AnnéeCalendrier,9,29),1),"jjj")</f>
        <v>mar</v>
      </c>
      <c r="AF5" s="2" t="str">
        <f>TEXT(WEEKDAY(DATE(AnnéeCalendrier,9,30),1),"jjj")</f>
        <v>mer</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COUNTA(Septembre[[#This Row],[1]:[30]])</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COUNTA(Septembre[[#This Row],[1]:[30]])</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COUNTA(Septembre[[#This Row],[1]:[30]])</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COUNTA(Septembre[[#This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COUNTA(Septembre[[#This Row],[1]:[30]])</f>
        <v>0</v>
      </c>
    </row>
    <row r="12" spans="2:34" ht="30" customHeight="1" x14ac:dyDescent="0.25">
      <c r="B12" s="21" t="str">
        <f>NomMois&amp;" Total"</f>
        <v>Septembre Total</v>
      </c>
      <c r="C12" s="13">
        <f>SUBTOTAL(103,Septembre[1])</f>
        <v>0</v>
      </c>
      <c r="D12" s="13">
        <f>SUBTOTAL(103,Septembre[2])</f>
        <v>0</v>
      </c>
      <c r="E12" s="13">
        <f>SUBTOTAL(103,Septembre[3])</f>
        <v>0</v>
      </c>
      <c r="F12" s="13">
        <f>SUBTOTAL(103,Septembre[4])</f>
        <v>0</v>
      </c>
      <c r="G12" s="13">
        <f>SUBTOTAL(103,Septembre[5])</f>
        <v>0</v>
      </c>
      <c r="H12" s="13">
        <f>SUBTOTAL(103,Septembre[6])</f>
        <v>0</v>
      </c>
      <c r="I12" s="13">
        <f>SUBTOTAL(103,Septembre[7])</f>
        <v>0</v>
      </c>
      <c r="J12" s="13">
        <f>SUBTOTAL(103,Septembre[8])</f>
        <v>0</v>
      </c>
      <c r="K12" s="13">
        <f>SUBTOTAL(103,Septembre[9])</f>
        <v>0</v>
      </c>
      <c r="L12" s="13">
        <f>SUBTOTAL(103,Septembre[10])</f>
        <v>0</v>
      </c>
      <c r="M12" s="13">
        <f>SUBTOTAL(103,Septembre[11])</f>
        <v>0</v>
      </c>
      <c r="N12" s="13">
        <f>SUBTOTAL(103,Septembre[12])</f>
        <v>0</v>
      </c>
      <c r="O12" s="13">
        <f>SUBTOTAL(103,Septembre[13])</f>
        <v>0</v>
      </c>
      <c r="P12" s="13">
        <f>SUBTOTAL(103,Septembre[14])</f>
        <v>0</v>
      </c>
      <c r="Q12" s="13">
        <f>SUBTOTAL(103,Septembre[15])</f>
        <v>0</v>
      </c>
      <c r="R12" s="13">
        <f>SUBTOTAL(103,Septembre[16])</f>
        <v>0</v>
      </c>
      <c r="S12" s="13">
        <f>SUBTOTAL(103,Septembre[17])</f>
        <v>0</v>
      </c>
      <c r="T12" s="13">
        <f>SUBTOTAL(103,Septembre[18])</f>
        <v>0</v>
      </c>
      <c r="U12" s="13">
        <f>SUBTOTAL(103,Septembre[19])</f>
        <v>0</v>
      </c>
      <c r="V12" s="13">
        <f>SUBTOTAL(103,Septembre[20])</f>
        <v>0</v>
      </c>
      <c r="W12" s="13">
        <f>SUBTOTAL(103,Septembre[21])</f>
        <v>0</v>
      </c>
      <c r="X12" s="13">
        <f>SUBTOTAL(103,Septembre[22])</f>
        <v>0</v>
      </c>
      <c r="Y12" s="13">
        <f>SUBTOTAL(103,Septembre[23])</f>
        <v>0</v>
      </c>
      <c r="Z12" s="13">
        <f>SUBTOTAL(103,Septembre[24])</f>
        <v>0</v>
      </c>
      <c r="AA12" s="13">
        <f>SUBTOTAL(103,Septembre[25])</f>
        <v>0</v>
      </c>
      <c r="AB12" s="13">
        <f>SUBTOTAL(103,Septembre[26])</f>
        <v>0</v>
      </c>
      <c r="AC12" s="13">
        <f>SUBTOTAL(103,Septembre[27])</f>
        <v>0</v>
      </c>
      <c r="AD12" s="13">
        <f>SUBTOTAL(103,Septembre[28])</f>
        <v>0</v>
      </c>
      <c r="AE12" s="13">
        <f>SUBTOTAL(103,Septembre[29])</f>
        <v>0</v>
      </c>
      <c r="AF12" s="13">
        <f>SUBTOTAL(103,Septembre[30])</f>
        <v>0</v>
      </c>
      <c r="AG12" s="13">
        <f>SUBTOTAL(103,Septembre[[ ]])</f>
        <v>0</v>
      </c>
      <c r="AH12" s="13">
        <f>SUBTOTAL(109,Septembre[Total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9" priority="2" stopIfTrue="1">
      <formula>C7=CléPersonnalisée2</formula>
    </cfRule>
    <cfRule type="expression" dxfId="18" priority="3" stopIfTrue="1">
      <formula>C7=CléPersonnalisée1</formula>
    </cfRule>
    <cfRule type="expression" dxfId="17" priority="4" stopIfTrue="1">
      <formula>C7=CléMaladie</formula>
    </cfRule>
    <cfRule type="expression" dxfId="16" priority="5" stopIfTrue="1">
      <formula>C7=CléPersonnel</formula>
    </cfRule>
    <cfRule type="expression" dxfId="1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{1A021984-06A1-41D9-90D2-8C16E885020B}</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8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800-000001000000}"/>
    <dataValidation allowBlank="1" showInputMessage="1" showErrorMessage="1" prompt="Cette ligne définit les clés utilisées dans le tableau : Congé en C2, Personnel en F2 et Congé maladie en J2. Les cellules M2 et R2 sont personnalisables" sqref="B2" xr:uid="{00000000-0002-0000-0800-000002000000}"/>
    <dataValidation allowBlank="1" showInputMessage="1" showErrorMessage="1" prompt="Entrez une étiquette pour décrire la clé personnalisée à gauche" sqref="N2 S2" xr:uid="{00000000-0002-0000-0800-000003000000}"/>
    <dataValidation allowBlank="1" showInputMessage="1" showErrorMessage="1" prompt="Entrez une lettre et personnalisez l’étiquette à droite pour ajouter un élément de clé" sqref="M2 R2" xr:uid="{00000000-0002-0000-0800-000004000000}"/>
    <dataValidation allowBlank="1" showInputMessage="1" showErrorMessage="1" prompt="La lettre « M » indique une absence pour cause de maladie" sqref="J2" xr:uid="{00000000-0002-0000-0800-000005000000}"/>
    <dataValidation allowBlank="1" showInputMessage="1" showErrorMessage="1" prompt="La lettre « P » indique une absence pour motifs personnels" sqref="F2" xr:uid="{00000000-0002-0000-0800-000006000000}"/>
    <dataValidation allowBlank="1" showInputMessage="1" showErrorMessage="1" prompt="La lettre « C » indique une absence pour cause de congé" sqref="C2" xr:uid="{00000000-0002-0000-0800-000007000000}"/>
    <dataValidation allowBlank="1" showInputMessage="1" showErrorMessage="1" prompt="Le titre mis à jour automatiquement figure dans cette cellule. Pour modifier le titre, mettez à jour la cellule B1 de la feuille de calcul Janvier" sqref="B1" xr:uid="{00000000-0002-0000-08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800-000009000000}"/>
    <dataValidation allowBlank="1" showInputMessage="1" showErrorMessage="1" prompt="Suivez les absences du mois de septembre dans cette feuille de calcul" sqref="A1" xr:uid="{00000000-0002-0000-0800-00000A000000}"/>
    <dataValidation allowBlank="1" showInputMessage="1" showErrorMessage="1" prompt="Calcule automatiquement le nombre total de jours d’absence d’un employé durant ce mois dans cette colonne" sqref="AH6" xr:uid="{00000000-0002-0000-0800-00000B000000}"/>
    <dataValidation allowBlank="1" showInputMessage="1" showErrorMessage="1" prompt="Année mise à jour automatiquement en fonction de l’année entrée dans la feuille de calcul Janvier" sqref="AH4" xr:uid="{00000000-0002-0000-08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800-00000D000000}"/>
    <dataValidation type="list" allowBlank="1" showInputMessage="1" showErrorMessage="1" sqref="B7:B11" xr:uid="{00000000-0002-0000-0800-00000E000000}">
      <formula1>tyty</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A021984-06A1-41D9-90D2-8C16E885020B}">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Feuil11">
    <tabColor theme="2" tint="-0.249977111117893"/>
  </sheetPr>
  <dimension ref="A1:AH12"/>
  <sheetViews>
    <sheetView showGridLines="0" zoomScaleNormal="100" workbookViewId="0">
      <selection activeCell="C14" sqref="C14"/>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25">
      <c r="B3" s="14"/>
    </row>
    <row r="4" spans="2:34" ht="30" customHeight="1" x14ac:dyDescent="0.25">
      <c r="B4" s="12" t="s">
        <v>61</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25">
      <c r="B5" s="12"/>
      <c r="C5" s="2" t="str">
        <f>TEXT(WEEKDAY(DATE(AnnéeCalendrier,10,1),1),"jjj")</f>
        <v>jeu</v>
      </c>
      <c r="D5" s="2" t="str">
        <f>TEXT(WEEKDAY(DATE(AnnéeCalendrier,10,2),1),"jjj")</f>
        <v>ven</v>
      </c>
      <c r="E5" s="2" t="str">
        <f>TEXT(WEEKDAY(DATE(AnnéeCalendrier,10,3),1),"jjj")</f>
        <v>sam</v>
      </c>
      <c r="F5" s="2" t="str">
        <f>TEXT(WEEKDAY(DATE(AnnéeCalendrier,10,4),1),"jjj")</f>
        <v>dim</v>
      </c>
      <c r="G5" s="2" t="str">
        <f>TEXT(WEEKDAY(DATE(AnnéeCalendrier,10,5),1),"jjj")</f>
        <v>lun</v>
      </c>
      <c r="H5" s="2" t="str">
        <f>TEXT(WEEKDAY(DATE(AnnéeCalendrier,10,6),1),"jjj")</f>
        <v>mar</v>
      </c>
      <c r="I5" s="2" t="str">
        <f>TEXT(WEEKDAY(DATE(AnnéeCalendrier,10,7),1),"jjj")</f>
        <v>mer</v>
      </c>
      <c r="J5" s="2" t="str">
        <f>TEXT(WEEKDAY(DATE(AnnéeCalendrier,10,8),1),"jjj")</f>
        <v>jeu</v>
      </c>
      <c r="K5" s="2" t="str">
        <f>TEXT(WEEKDAY(DATE(AnnéeCalendrier,10,9),1),"jjj")</f>
        <v>ven</v>
      </c>
      <c r="L5" s="2" t="str">
        <f>TEXT(WEEKDAY(DATE(AnnéeCalendrier,10,10),1),"jjj")</f>
        <v>sam</v>
      </c>
      <c r="M5" s="2" t="str">
        <f>TEXT(WEEKDAY(DATE(AnnéeCalendrier,10,11),1),"jjj")</f>
        <v>dim</v>
      </c>
      <c r="N5" s="2" t="str">
        <f>TEXT(WEEKDAY(DATE(AnnéeCalendrier,10,12),1),"jjj")</f>
        <v>lun</v>
      </c>
      <c r="O5" s="2" t="str">
        <f>TEXT(WEEKDAY(DATE(AnnéeCalendrier,10,13),1),"jjj")</f>
        <v>mar</v>
      </c>
      <c r="P5" s="2" t="str">
        <f>TEXT(WEEKDAY(DATE(AnnéeCalendrier,10,14),1),"jjj")</f>
        <v>mer</v>
      </c>
      <c r="Q5" s="2" t="str">
        <f>TEXT(WEEKDAY(DATE(AnnéeCalendrier,10,15),1),"jjj")</f>
        <v>jeu</v>
      </c>
      <c r="R5" s="2" t="str">
        <f>TEXT(WEEKDAY(DATE(AnnéeCalendrier,10,16),1),"jjj")</f>
        <v>ven</v>
      </c>
      <c r="S5" s="2" t="str">
        <f>TEXT(WEEKDAY(DATE(AnnéeCalendrier,10,17),1),"jjj")</f>
        <v>sam</v>
      </c>
      <c r="T5" s="2" t="str">
        <f>TEXT(WEEKDAY(DATE(AnnéeCalendrier,10,18),1),"jjj")</f>
        <v>dim</v>
      </c>
      <c r="U5" s="2" t="str">
        <f>TEXT(WEEKDAY(DATE(AnnéeCalendrier,10,19),1),"jjj")</f>
        <v>lun</v>
      </c>
      <c r="V5" s="2" t="str">
        <f>TEXT(WEEKDAY(DATE(AnnéeCalendrier,10,20),1),"jjj")</f>
        <v>mar</v>
      </c>
      <c r="W5" s="2" t="str">
        <f>TEXT(WEEKDAY(DATE(AnnéeCalendrier,10,21),1),"jjj")</f>
        <v>mer</v>
      </c>
      <c r="X5" s="2" t="str">
        <f>TEXT(WEEKDAY(DATE(AnnéeCalendrier,10,22),1),"jjj")</f>
        <v>jeu</v>
      </c>
      <c r="Y5" s="2" t="str">
        <f>TEXT(WEEKDAY(DATE(AnnéeCalendrier,10,23),1),"jjj")</f>
        <v>ven</v>
      </c>
      <c r="Z5" s="2" t="str">
        <f>TEXT(WEEKDAY(DATE(AnnéeCalendrier,10,24),1),"jjj")</f>
        <v>sam</v>
      </c>
      <c r="AA5" s="2" t="str">
        <f>TEXT(WEEKDAY(DATE(AnnéeCalendrier,10,25),1),"jjj")</f>
        <v>dim</v>
      </c>
      <c r="AB5" s="2" t="str">
        <f>TEXT(WEEKDAY(DATE(AnnéeCalendrier,10,26),1),"jjj")</f>
        <v>lun</v>
      </c>
      <c r="AC5" s="2" t="str">
        <f>TEXT(WEEKDAY(DATE(AnnéeCalendrier,10,27),1),"jjj")</f>
        <v>mar</v>
      </c>
      <c r="AD5" s="2" t="str">
        <f>TEXT(WEEKDAY(DATE(AnnéeCalendrier,10,28),1),"jjj")</f>
        <v>mer</v>
      </c>
      <c r="AE5" s="2" t="str">
        <f>TEXT(WEEKDAY(DATE(AnnéeCalendrier,10,29),1),"jjj")</f>
        <v>jeu</v>
      </c>
      <c r="AF5" s="2" t="str">
        <f>TEXT(WEEKDAY(DATE(AnnéeCalendrier,10,30),1),"jjj")</f>
        <v>ven</v>
      </c>
      <c r="AG5" s="2" t="str">
        <f>TEXT(WEEKDAY(DATE(AnnéeCalendrier,10,31),1),"jjj")</f>
        <v>sam</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COUNTA(Octobre[[#This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COUNTA(Octobre[[#This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COUNTA(Octobre[[#This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COUNTA(Octobre[[#This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COUNTA(Octobre[[#This Row],[1]:[31]])</f>
        <v>0</v>
      </c>
    </row>
    <row r="12" spans="2:34" ht="30" customHeight="1" x14ac:dyDescent="0.25">
      <c r="B12" s="21" t="str">
        <f>NomMois&amp;" Total"</f>
        <v>Octobre Total</v>
      </c>
      <c r="C12" s="13">
        <f>SUBTOTAL(103,Octobre[1])</f>
        <v>0</v>
      </c>
      <c r="D12" s="13">
        <f>SUBTOTAL(103,Octobre[2])</f>
        <v>0</v>
      </c>
      <c r="E12" s="13">
        <f>SUBTOTAL(103,Octobre[3])</f>
        <v>0</v>
      </c>
      <c r="F12" s="13">
        <f>SUBTOTAL(103,Octobre[4])</f>
        <v>0</v>
      </c>
      <c r="G12" s="13">
        <f>SUBTOTAL(103,Octobre[5])</f>
        <v>0</v>
      </c>
      <c r="H12" s="13">
        <f>SUBTOTAL(103,Octobre[6])</f>
        <v>0</v>
      </c>
      <c r="I12" s="13">
        <f>SUBTOTAL(103,Octobre[7])</f>
        <v>0</v>
      </c>
      <c r="J12" s="13">
        <f>SUBTOTAL(103,Octobre[8])</f>
        <v>0</v>
      </c>
      <c r="K12" s="13">
        <f>SUBTOTAL(103,Octobre[9])</f>
        <v>0</v>
      </c>
      <c r="L12" s="13">
        <f>SUBTOTAL(103,Octobre[10])</f>
        <v>0</v>
      </c>
      <c r="M12" s="13">
        <f>SUBTOTAL(103,Octobre[11])</f>
        <v>0</v>
      </c>
      <c r="N12" s="13">
        <f>SUBTOTAL(103,Octobre[12])</f>
        <v>0</v>
      </c>
      <c r="O12" s="13">
        <f>SUBTOTAL(103,Octobre[13])</f>
        <v>0</v>
      </c>
      <c r="P12" s="13">
        <f>SUBTOTAL(103,Octobre[14])</f>
        <v>0</v>
      </c>
      <c r="Q12" s="13">
        <f>SUBTOTAL(103,Octobre[15])</f>
        <v>0</v>
      </c>
      <c r="R12" s="13">
        <f>SUBTOTAL(103,Octobre[16])</f>
        <v>0</v>
      </c>
      <c r="S12" s="13">
        <f>SUBTOTAL(103,Octobre[17])</f>
        <v>0</v>
      </c>
      <c r="T12" s="13">
        <f>SUBTOTAL(103,Octobre[18])</f>
        <v>0</v>
      </c>
      <c r="U12" s="13">
        <f>SUBTOTAL(103,Octobre[19])</f>
        <v>0</v>
      </c>
      <c r="V12" s="13">
        <f>SUBTOTAL(103,Octobre[20])</f>
        <v>0</v>
      </c>
      <c r="W12" s="13">
        <f>SUBTOTAL(103,Octobre[21])</f>
        <v>0</v>
      </c>
      <c r="X12" s="13">
        <f>SUBTOTAL(103,Octobre[22])</f>
        <v>0</v>
      </c>
      <c r="Y12" s="13">
        <f>SUBTOTAL(103,Octobre[23])</f>
        <v>0</v>
      </c>
      <c r="Z12" s="13">
        <f>SUBTOTAL(103,Octobre[24])</f>
        <v>0</v>
      </c>
      <c r="AA12" s="13">
        <f>SUBTOTAL(103,Octobre[25])</f>
        <v>0</v>
      </c>
      <c r="AB12" s="13">
        <f>SUBTOTAL(103,Octobre[26])</f>
        <v>0</v>
      </c>
      <c r="AC12" s="13">
        <f>SUBTOTAL(103,Octobre[27])</f>
        <v>0</v>
      </c>
      <c r="AD12" s="13">
        <f>SUBTOTAL(103,Octobre[28])</f>
        <v>0</v>
      </c>
      <c r="AE12" s="13">
        <f>SUBTOTAL(103,Octobre[29])</f>
        <v>0</v>
      </c>
      <c r="AF12" s="13">
        <f>SUBTOTAL(103,Octobre[30])</f>
        <v>0</v>
      </c>
      <c r="AG12" s="13">
        <f>SUBTOTAL(103,Octobre[31])</f>
        <v>0</v>
      </c>
      <c r="AH12" s="13">
        <f>SUBTOTAL(109,Octobre[Total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14" priority="2" stopIfTrue="1">
      <formula>C7=CléPersonnalisée2</formula>
    </cfRule>
    <cfRule type="expression" dxfId="13" priority="3" stopIfTrue="1">
      <formula>C7=CléPersonnalisée1</formula>
    </cfRule>
    <cfRule type="expression" dxfId="12" priority="4" stopIfTrue="1">
      <formula>C7=CléMaladie</formula>
    </cfRule>
    <cfRule type="expression" dxfId="11" priority="5" stopIfTrue="1">
      <formula>C7=CléPersonnel</formula>
    </cfRule>
    <cfRule type="expression" dxfId="10"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{F32A08EA-50E8-4B5F-AB1F-5A7739FBC16C}</x14:id>
        </ext>
      </extLst>
    </cfRule>
  </conditionalFormatting>
  <dataValidations count="15">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900-000000000000}"/>
    <dataValidation allowBlank="1" showInputMessage="1" showErrorMessage="1" prompt="Année mise à jour automatiquement en fonction de l’année entrée dans la feuille de calcul Janvier" sqref="AH4" xr:uid="{00000000-0002-0000-0900-000001000000}"/>
    <dataValidation allowBlank="1" showInputMessage="1" showErrorMessage="1" prompt="Calcule automatiquement le nombre total de jours d’absence d’un employé durant ce mois dans cette colonne" sqref="AH6" xr:uid="{00000000-0002-0000-0900-000002000000}"/>
    <dataValidation allowBlank="1" showInputMessage="1" showErrorMessage="1" prompt="Suivez les absences du mois d’octobre dans cette feuille de calcul" sqref="A1" xr:uid="{00000000-0002-0000-0900-000003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900-000004000000}"/>
    <dataValidation allowBlank="1" showInputMessage="1" showErrorMessage="1" prompt="Le titre mis à jour automatiquement figure dans cette cellule. Pour modifier le titre, mettez à jour la cellule B1 de la feuille de calcul Janvier" sqref="B1" xr:uid="{00000000-0002-0000-0900-000005000000}"/>
    <dataValidation allowBlank="1" showInputMessage="1" showErrorMessage="1" prompt="La lettre « C » indique une absence pour cause de congé" sqref="C2" xr:uid="{00000000-0002-0000-0900-000006000000}"/>
    <dataValidation allowBlank="1" showInputMessage="1" showErrorMessage="1" prompt="La lettre « P » indique une absence pour motifs personnels" sqref="F2" xr:uid="{00000000-0002-0000-0900-000007000000}"/>
    <dataValidation allowBlank="1" showInputMessage="1" showErrorMessage="1" prompt="La lettre « M » indique une absence pour cause de maladie" sqref="J2" xr:uid="{00000000-0002-0000-0900-000008000000}"/>
    <dataValidation allowBlank="1" showInputMessage="1" showErrorMessage="1" prompt="Entrez une lettre et personnalisez l’étiquette à droite pour ajouter un élément de clé" sqref="M2 R2" xr:uid="{00000000-0002-0000-0900-000009000000}"/>
    <dataValidation allowBlank="1" showInputMessage="1" showErrorMessage="1" prompt="Entrez une étiquette pour décrire la clé personnalisée à gauche" sqref="N2 S2" xr:uid="{00000000-0002-0000-0900-00000A000000}"/>
    <dataValidation allowBlank="1" showInputMessage="1" showErrorMessage="1" prompt="Cette ligne définit les clés utilisées dans le tableau : Congé en C2, Personnel en F2 et Congé maladie en J2. Les cellules M2 et R2 sont personnalisables" sqref="B2" xr:uid="{00000000-0002-0000-0900-00000B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9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900-00000D000000}"/>
    <dataValidation type="list" allowBlank="1" showInputMessage="1" showErrorMessage="1" sqref="B7:B11" xr:uid="{00000000-0002-0000-0900-00000E000000}">
      <formula1>tyty</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F32A08EA-50E8-4B5F-AB1F-5A7739FBC16C}">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Feuil12">
    <tabColor theme="2" tint="-0.249977111117893"/>
  </sheetPr>
  <dimension ref="A1:AH12"/>
  <sheetViews>
    <sheetView showGridLines="0" zoomScaleNormal="100" workbookViewId="0">
      <selection activeCell="B7" sqref="B7"/>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25">
      <c r="B3" s="14"/>
    </row>
    <row r="4" spans="2:34" ht="30" customHeight="1" x14ac:dyDescent="0.25">
      <c r="B4" s="12" t="s">
        <v>62</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25">
      <c r="B5" s="12"/>
      <c r="C5" s="2" t="str">
        <f>TEXT(WEEKDAY(DATE(AnnéeCalendrier,11,1),1),"jjj")</f>
        <v>dim</v>
      </c>
      <c r="D5" s="2" t="str">
        <f>TEXT(WEEKDAY(DATE(AnnéeCalendrier,11,2),1),"jjj")</f>
        <v>lun</v>
      </c>
      <c r="E5" s="2" t="str">
        <f>TEXT(WEEKDAY(DATE(AnnéeCalendrier,11,3),1),"jjj")</f>
        <v>mar</v>
      </c>
      <c r="F5" s="2" t="str">
        <f>TEXT(WEEKDAY(DATE(AnnéeCalendrier,11,4),1),"jjj")</f>
        <v>mer</v>
      </c>
      <c r="G5" s="2" t="str">
        <f>TEXT(WEEKDAY(DATE(AnnéeCalendrier,11,5),1),"jjj")</f>
        <v>jeu</v>
      </c>
      <c r="H5" s="2" t="str">
        <f>TEXT(WEEKDAY(DATE(AnnéeCalendrier,11,6),1),"jjj")</f>
        <v>ven</v>
      </c>
      <c r="I5" s="2" t="str">
        <f>TEXT(WEEKDAY(DATE(AnnéeCalendrier,11,7),1),"jjj")</f>
        <v>sam</v>
      </c>
      <c r="J5" s="2" t="str">
        <f>TEXT(WEEKDAY(DATE(AnnéeCalendrier,11,8),1),"jjj")</f>
        <v>dim</v>
      </c>
      <c r="K5" s="2" t="str">
        <f>TEXT(WEEKDAY(DATE(AnnéeCalendrier,11,9),1),"jjj")</f>
        <v>lun</v>
      </c>
      <c r="L5" s="2" t="str">
        <f>TEXT(WEEKDAY(DATE(AnnéeCalendrier,11,10),1),"jjj")</f>
        <v>mar</v>
      </c>
      <c r="M5" s="2" t="str">
        <f>TEXT(WEEKDAY(DATE(AnnéeCalendrier,11,11),1),"jjj")</f>
        <v>mer</v>
      </c>
      <c r="N5" s="2" t="str">
        <f>TEXT(WEEKDAY(DATE(AnnéeCalendrier,11,12),1),"jjj")</f>
        <v>jeu</v>
      </c>
      <c r="O5" s="2" t="str">
        <f>TEXT(WEEKDAY(DATE(AnnéeCalendrier,11,13),1),"jjj")</f>
        <v>ven</v>
      </c>
      <c r="P5" s="2" t="str">
        <f>TEXT(WEEKDAY(DATE(AnnéeCalendrier,11,14),1),"jjj")</f>
        <v>sam</v>
      </c>
      <c r="Q5" s="2" t="str">
        <f>TEXT(WEEKDAY(DATE(AnnéeCalendrier,11,15),1),"jjj")</f>
        <v>dim</v>
      </c>
      <c r="R5" s="2" t="str">
        <f>TEXT(WEEKDAY(DATE(AnnéeCalendrier,11,16),1),"jjj")</f>
        <v>lun</v>
      </c>
      <c r="S5" s="2" t="str">
        <f>TEXT(WEEKDAY(DATE(AnnéeCalendrier,11,17),1),"jjj")</f>
        <v>mar</v>
      </c>
      <c r="T5" s="2" t="str">
        <f>TEXT(WEEKDAY(DATE(AnnéeCalendrier,11,18),1),"jjj")</f>
        <v>mer</v>
      </c>
      <c r="U5" s="2" t="str">
        <f>TEXT(WEEKDAY(DATE(AnnéeCalendrier,11,19),1),"jjj")</f>
        <v>jeu</v>
      </c>
      <c r="V5" s="2" t="str">
        <f>TEXT(WEEKDAY(DATE(AnnéeCalendrier,11,20),1),"jjj")</f>
        <v>ven</v>
      </c>
      <c r="W5" s="2" t="str">
        <f>TEXT(WEEKDAY(DATE(AnnéeCalendrier,11,21),1),"jjj")</f>
        <v>sam</v>
      </c>
      <c r="X5" s="2" t="str">
        <f>TEXT(WEEKDAY(DATE(AnnéeCalendrier,11,22),1),"jjj")</f>
        <v>dim</v>
      </c>
      <c r="Y5" s="2" t="str">
        <f>TEXT(WEEKDAY(DATE(AnnéeCalendrier,11,23),1),"jjj")</f>
        <v>lun</v>
      </c>
      <c r="Z5" s="2" t="str">
        <f>TEXT(WEEKDAY(DATE(AnnéeCalendrier,11,24),1),"jjj")</f>
        <v>mar</v>
      </c>
      <c r="AA5" s="2" t="str">
        <f>TEXT(WEEKDAY(DATE(AnnéeCalendrier,11,25),1),"jjj")</f>
        <v>mer</v>
      </c>
      <c r="AB5" s="2" t="str">
        <f>TEXT(WEEKDAY(DATE(AnnéeCalendrier,11,26),1),"jjj")</f>
        <v>jeu</v>
      </c>
      <c r="AC5" s="2" t="str">
        <f>TEXT(WEEKDAY(DATE(AnnéeCalendrier,11,27),1),"jjj")</f>
        <v>ven</v>
      </c>
      <c r="AD5" s="2" t="str">
        <f>TEXT(WEEKDAY(DATE(AnnéeCalendrier,11,28),1),"jjj")</f>
        <v>sam</v>
      </c>
      <c r="AE5" s="2" t="str">
        <f>TEXT(WEEKDAY(DATE(AnnéeCalendrier,11,29),1),"jjj")</f>
        <v>dim</v>
      </c>
      <c r="AF5" s="2" t="str">
        <f>TEXT(WEEKDAY(DATE(AnnéeCalendrier,11,30),1),"jjj")</f>
        <v>lun</v>
      </c>
      <c r="AG5" s="2"/>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52</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COUNTA(Novembre[[#This Row],[1]:[30]])</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COUNTA(Novembre[[#This Row],[1]:[30]])</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COUNTA(Novembre[[#This Row],[1]:[30]])</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COUNTA(Novembre[[#This Row],[1]:[30]])</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COUNTA(Novembre[[#This Row],[1]:[30]])</f>
        <v>0</v>
      </c>
    </row>
    <row r="12" spans="2:34" ht="30" customHeight="1" x14ac:dyDescent="0.25">
      <c r="B12" s="21" t="str">
        <f>NomMois&amp;" Total"</f>
        <v>Novembre Total</v>
      </c>
      <c r="C12" s="13">
        <f>SUBTOTAL(103,Novembre[1])</f>
        <v>0</v>
      </c>
      <c r="D12" s="13">
        <f>SUBTOTAL(103,Novembre[2])</f>
        <v>0</v>
      </c>
      <c r="E12" s="13">
        <f>SUBTOTAL(103,Novembre[3])</f>
        <v>0</v>
      </c>
      <c r="F12" s="13">
        <f>SUBTOTAL(103,Novembre[4])</f>
        <v>0</v>
      </c>
      <c r="G12" s="13">
        <f>SUBTOTAL(103,Novembre[5])</f>
        <v>0</v>
      </c>
      <c r="H12" s="13">
        <f>SUBTOTAL(103,Novembre[6])</f>
        <v>0</v>
      </c>
      <c r="I12" s="13">
        <f>SUBTOTAL(103,Novembre[7])</f>
        <v>0</v>
      </c>
      <c r="J12" s="13">
        <f>SUBTOTAL(103,Novembre[8])</f>
        <v>0</v>
      </c>
      <c r="K12" s="13">
        <f>SUBTOTAL(103,Novembre[9])</f>
        <v>0</v>
      </c>
      <c r="L12" s="13">
        <f>SUBTOTAL(103,Novembre[10])</f>
        <v>0</v>
      </c>
      <c r="M12" s="13">
        <f>SUBTOTAL(103,Novembre[11])</f>
        <v>0</v>
      </c>
      <c r="N12" s="13">
        <f>SUBTOTAL(103,Novembre[12])</f>
        <v>0</v>
      </c>
      <c r="O12" s="13">
        <f>SUBTOTAL(103,Novembre[13])</f>
        <v>0</v>
      </c>
      <c r="P12" s="13">
        <f>SUBTOTAL(103,Novembre[14])</f>
        <v>0</v>
      </c>
      <c r="Q12" s="13">
        <f>SUBTOTAL(103,Novembre[15])</f>
        <v>0</v>
      </c>
      <c r="R12" s="13">
        <f>SUBTOTAL(103,Novembre[16])</f>
        <v>0</v>
      </c>
      <c r="S12" s="13">
        <f>SUBTOTAL(103,Novembre[17])</f>
        <v>0</v>
      </c>
      <c r="T12" s="13">
        <f>SUBTOTAL(103,Novembre[18])</f>
        <v>0</v>
      </c>
      <c r="U12" s="13">
        <f>SUBTOTAL(103,Novembre[19])</f>
        <v>0</v>
      </c>
      <c r="V12" s="13">
        <f>SUBTOTAL(103,Novembre[20])</f>
        <v>0</v>
      </c>
      <c r="W12" s="13">
        <f>SUBTOTAL(103,Novembre[21])</f>
        <v>0</v>
      </c>
      <c r="X12" s="13">
        <f>SUBTOTAL(103,Novembre[22])</f>
        <v>0</v>
      </c>
      <c r="Y12" s="13">
        <f>SUBTOTAL(103,Novembre[23])</f>
        <v>0</v>
      </c>
      <c r="Z12" s="13">
        <f>SUBTOTAL(103,Novembre[24])</f>
        <v>0</v>
      </c>
      <c r="AA12" s="13">
        <f>SUBTOTAL(103,Novembre[25])</f>
        <v>0</v>
      </c>
      <c r="AB12" s="13">
        <f>SUBTOTAL(103,Novembre[26])</f>
        <v>0</v>
      </c>
      <c r="AC12" s="13">
        <f>SUBTOTAL(103,Novembre[27])</f>
        <v>0</v>
      </c>
      <c r="AD12" s="13">
        <f>SUBTOTAL(103,Novembre[28])</f>
        <v>0</v>
      </c>
      <c r="AE12" s="13">
        <f>SUBTOTAL(103,Novembre[29])</f>
        <v>0</v>
      </c>
      <c r="AF12" s="13">
        <f>SUBTOTAL(103,Novembre[30])</f>
        <v>0</v>
      </c>
      <c r="AG12" s="13">
        <f>SUBTOTAL(103,Novembre[[ ]])</f>
        <v>0</v>
      </c>
      <c r="AH12" s="13">
        <f>SUBTOTAL(109,Novembre[Total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9" priority="2" stopIfTrue="1">
      <formula>C7=CléPersonnalisée2</formula>
    </cfRule>
    <cfRule type="expression" dxfId="8" priority="3" stopIfTrue="1">
      <formula>C7=CléPersonnalisée1</formula>
    </cfRule>
    <cfRule type="expression" dxfId="7" priority="4" stopIfTrue="1">
      <formula>C7=CléMaladie</formula>
    </cfRule>
    <cfRule type="expression" dxfId="6" priority="5" stopIfTrue="1">
      <formula>C7=CléPersonnel</formula>
    </cfRule>
    <cfRule type="expression" dxfId="5" priority="6" stopIfTrue="1">
      <formula>C7=CléCongé</formula>
    </cfRule>
  </conditionalFormatting>
  <conditionalFormatting sqref="AH7:AH11">
    <cfRule type="dataBar" priority="7">
      <dataBar>
        <cfvo type="min"/>
        <cfvo type="formula" val="DATEDIF(DATE(AnnéeCalendrier,2,1),DATE(AnnéeCalendrier,3,1),&quot;d&quot;)"/>
        <color theme="2" tint="-0.249977111117893"/>
      </dataBar>
      <extLst>
        <ext xmlns:x14="http://schemas.microsoft.com/office/spreadsheetml/2009/9/main" uri="{B025F937-C7B1-47D3-B67F-A62EFF666E3E}">
          <x14:id>{27D92E49-5CF1-46DF-AD7A-3A5E92F274F3}</x14:id>
        </ext>
      </extLst>
    </cfRule>
  </conditionalFormatting>
  <dataValidations count="15">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A00-000000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A00-000001000000}"/>
    <dataValidation allowBlank="1" showInputMessage="1" showErrorMessage="1" prompt="Cette ligne définit les clés utilisées dans le tableau : Congé en C2, Personnel en F2 et Congé maladie en J2. Les cellules M2 et R2 sont personnalisables" sqref="B2" xr:uid="{00000000-0002-0000-0A00-000002000000}"/>
    <dataValidation allowBlank="1" showInputMessage="1" showErrorMessage="1" prompt="Entrez une étiquette pour décrire la clé personnalisée à gauche" sqref="N2 S2" xr:uid="{00000000-0002-0000-0A00-000003000000}"/>
    <dataValidation allowBlank="1" showInputMessage="1" showErrorMessage="1" prompt="Entrez une lettre et personnalisez l’étiquette à droite pour ajouter un élément de clé" sqref="M2 R2" xr:uid="{00000000-0002-0000-0A00-000004000000}"/>
    <dataValidation allowBlank="1" showInputMessage="1" showErrorMessage="1" prompt="La lettre « M » indique une absence pour cause de maladie" sqref="J2" xr:uid="{00000000-0002-0000-0A00-000005000000}"/>
    <dataValidation allowBlank="1" showInputMessage="1" showErrorMessage="1" prompt="La lettre « P » indique une absence pour motifs personnels" sqref="F2" xr:uid="{00000000-0002-0000-0A00-000006000000}"/>
    <dataValidation allowBlank="1" showInputMessage="1" showErrorMessage="1" prompt="La lettre « C » indique une absence pour cause de congé" sqref="C2" xr:uid="{00000000-0002-0000-0A00-000007000000}"/>
    <dataValidation allowBlank="1" showInputMessage="1" showErrorMessage="1" prompt="Le titre mis à jour automatiquement figure dans cette cellule. Pour modifier le titre, mettez à jour la cellule B1 de la feuille de calcul Janvier" sqref="B1" xr:uid="{00000000-0002-0000-0A00-000008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A00-000009000000}"/>
    <dataValidation allowBlank="1" showInputMessage="1" showErrorMessage="1" prompt="Suivez les absences du mois de novembre dans cette feuille de calcul" sqref="A1" xr:uid="{00000000-0002-0000-0A00-00000A000000}"/>
    <dataValidation allowBlank="1" showInputMessage="1" showErrorMessage="1" prompt="Calcule automatiquement le nombre total de jours d’absence d’un employé durant ce mois dans cette colonne" sqref="AH6" xr:uid="{00000000-0002-0000-0A00-00000B000000}"/>
    <dataValidation allowBlank="1" showInputMessage="1" showErrorMessage="1" prompt="Année mise à jour automatiquement en fonction de l’année entrée dans la feuille de calcul Janvier" sqref="AH4" xr:uid="{00000000-0002-0000-0A00-00000C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A00-00000D000000}"/>
    <dataValidation type="list" allowBlank="1" showInputMessage="1" showErrorMessage="1" sqref="B7:B11" xr:uid="{00000000-0002-0000-0A00-00000E000000}">
      <formula1>tyty</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27D92E49-5CF1-46DF-AD7A-3A5E92F274F3}">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Feuil13">
    <tabColor theme="7" tint="0.79998168889431442"/>
  </sheetPr>
  <dimension ref="A1:AH12"/>
  <sheetViews>
    <sheetView showGridLines="0" zoomScaleNormal="100" workbookViewId="0">
      <selection activeCell="I15" sqref="I15"/>
    </sheetView>
  </sheetViews>
  <sheetFormatPr baseColWidth="10" defaultColWidth="9.140625" defaultRowHeight="30" customHeight="1" x14ac:dyDescent="0.25"/>
  <cols>
    <col min="1" max="1" width="2.7109375" style="11" customWidth="1"/>
    <col min="2" max="2" width="25.7109375" style="11" customWidth="1"/>
    <col min="3" max="33" width="4.7109375" style="11" customWidth="1"/>
    <col min="34" max="34" width="13.5703125" style="11" customWidth="1"/>
    <col min="35" max="35" width="2.7109375" customWidth="1"/>
  </cols>
  <sheetData>
    <row r="1" spans="2:34" ht="50.1" customHeight="1" x14ac:dyDescent="0.25">
      <c r="B1" s="14" t="str">
        <f>Titre_Absence_Employé</f>
        <v>Calendrier des absences des employés</v>
      </c>
    </row>
    <row r="2" spans="2:34" ht="15" customHeight="1" x14ac:dyDescent="0.25">
      <c r="B2" s="19" t="s">
        <v>1</v>
      </c>
      <c r="C2" s="4" t="s">
        <v>9</v>
      </c>
      <c r="D2" s="30" t="s">
        <v>12</v>
      </c>
      <c r="E2" s="30"/>
      <c r="F2" s="5" t="s">
        <v>15</v>
      </c>
      <c r="G2" s="30" t="s">
        <v>19</v>
      </c>
      <c r="H2" s="30"/>
      <c r="I2" s="30"/>
      <c r="J2" s="6" t="s">
        <v>17</v>
      </c>
      <c r="K2" s="30" t="s">
        <v>24</v>
      </c>
      <c r="L2" s="30"/>
      <c r="M2" s="7"/>
      <c r="N2" s="30" t="s">
        <v>28</v>
      </c>
      <c r="O2" s="30"/>
      <c r="P2" s="30"/>
      <c r="Q2" s="30"/>
      <c r="R2" s="8"/>
      <c r="S2" s="30" t="s">
        <v>33</v>
      </c>
      <c r="T2" s="30"/>
      <c r="U2" s="30"/>
      <c r="V2" s="30"/>
    </row>
    <row r="3" spans="2:34" ht="15" customHeight="1" x14ac:dyDescent="0.25">
      <c r="B3" s="14"/>
    </row>
    <row r="4" spans="2:34" ht="30" customHeight="1" x14ac:dyDescent="0.25">
      <c r="B4" s="12" t="s">
        <v>63</v>
      </c>
      <c r="C4" s="29" t="s">
        <v>10</v>
      </c>
      <c r="D4" s="29"/>
      <c r="E4" s="29"/>
      <c r="F4" s="29"/>
      <c r="G4" s="29"/>
      <c r="H4" s="29"/>
      <c r="I4" s="29"/>
      <c r="J4" s="29"/>
      <c r="K4" s="29"/>
      <c r="L4" s="29"/>
      <c r="M4" s="29"/>
      <c r="N4" s="29"/>
      <c r="O4" s="29"/>
      <c r="P4" s="29"/>
      <c r="Q4" s="29"/>
      <c r="R4" s="29"/>
      <c r="S4" s="29"/>
      <c r="T4" s="29"/>
      <c r="U4" s="29"/>
      <c r="V4" s="29"/>
      <c r="W4" s="29"/>
      <c r="X4" s="29"/>
      <c r="Y4" s="29"/>
      <c r="Z4" s="29"/>
      <c r="AA4" s="29"/>
      <c r="AB4" s="29"/>
      <c r="AC4" s="29"/>
      <c r="AD4" s="29"/>
      <c r="AE4" s="29"/>
      <c r="AF4" s="29"/>
      <c r="AG4" s="29"/>
      <c r="AH4" s="12">
        <f>AnnéeCalendrier</f>
        <v>2020</v>
      </c>
    </row>
    <row r="5" spans="2:34" ht="15" customHeight="1" x14ac:dyDescent="0.25">
      <c r="B5" s="12"/>
      <c r="C5" s="2" t="str">
        <f>TEXT(WEEKDAY(DATE(AnnéeCalendrier,12,1),1),"jjj")</f>
        <v>mar</v>
      </c>
      <c r="D5" s="2" t="str">
        <f>TEXT(WEEKDAY(DATE(AnnéeCalendrier,12,2),1),"jjj")</f>
        <v>mer</v>
      </c>
      <c r="E5" s="2" t="str">
        <f>TEXT(WEEKDAY(DATE(AnnéeCalendrier,12,3),1),"jjj")</f>
        <v>jeu</v>
      </c>
      <c r="F5" s="2" t="str">
        <f>TEXT(WEEKDAY(DATE(AnnéeCalendrier,12,4),1),"jjj")</f>
        <v>ven</v>
      </c>
      <c r="G5" s="2" t="str">
        <f>TEXT(WEEKDAY(DATE(AnnéeCalendrier,12,5),1),"jjj")</f>
        <v>sam</v>
      </c>
      <c r="H5" s="2" t="str">
        <f>TEXT(WEEKDAY(DATE(AnnéeCalendrier,12,6),1),"jjj")</f>
        <v>dim</v>
      </c>
      <c r="I5" s="2" t="str">
        <f>TEXT(WEEKDAY(DATE(AnnéeCalendrier,12,7),1),"jjj")</f>
        <v>lun</v>
      </c>
      <c r="J5" s="2" t="str">
        <f>TEXT(WEEKDAY(DATE(AnnéeCalendrier,12,8),1),"jjj")</f>
        <v>mar</v>
      </c>
      <c r="K5" s="2" t="str">
        <f>TEXT(WEEKDAY(DATE(AnnéeCalendrier,12,9),1),"jjj")</f>
        <v>mer</v>
      </c>
      <c r="L5" s="2" t="str">
        <f>TEXT(WEEKDAY(DATE(AnnéeCalendrier,12,10),1),"jjj")</f>
        <v>jeu</v>
      </c>
      <c r="M5" s="2" t="str">
        <f>TEXT(WEEKDAY(DATE(AnnéeCalendrier,12,11),1),"jjj")</f>
        <v>ven</v>
      </c>
      <c r="N5" s="2" t="str">
        <f>TEXT(WEEKDAY(DATE(AnnéeCalendrier,12,12),1),"jjj")</f>
        <v>sam</v>
      </c>
      <c r="O5" s="2" t="str">
        <f>TEXT(WEEKDAY(DATE(AnnéeCalendrier,12,13),1),"jjj")</f>
        <v>dim</v>
      </c>
      <c r="P5" s="2" t="str">
        <f>TEXT(WEEKDAY(DATE(AnnéeCalendrier,12,14),1),"jjj")</f>
        <v>lun</v>
      </c>
      <c r="Q5" s="2" t="str">
        <f>TEXT(WEEKDAY(DATE(AnnéeCalendrier,12,15),1),"jjj")</f>
        <v>mar</v>
      </c>
      <c r="R5" s="2" t="str">
        <f>TEXT(WEEKDAY(DATE(AnnéeCalendrier,12,16),1),"jjj")</f>
        <v>mer</v>
      </c>
      <c r="S5" s="2" t="str">
        <f>TEXT(WEEKDAY(DATE(AnnéeCalendrier,12,17),1),"jjj")</f>
        <v>jeu</v>
      </c>
      <c r="T5" s="2" t="str">
        <f>TEXT(WEEKDAY(DATE(AnnéeCalendrier,12,18),1),"jjj")</f>
        <v>ven</v>
      </c>
      <c r="U5" s="2" t="str">
        <f>TEXT(WEEKDAY(DATE(AnnéeCalendrier,12,19),1),"jjj")</f>
        <v>sam</v>
      </c>
      <c r="V5" s="2" t="str">
        <f>TEXT(WEEKDAY(DATE(AnnéeCalendrier,12,20),1),"jjj")</f>
        <v>dim</v>
      </c>
      <c r="W5" s="2" t="str">
        <f>TEXT(WEEKDAY(DATE(AnnéeCalendrier,12,21),1),"jjj")</f>
        <v>lun</v>
      </c>
      <c r="X5" s="2" t="str">
        <f>TEXT(WEEKDAY(DATE(AnnéeCalendrier,12,22),1),"jjj")</f>
        <v>mar</v>
      </c>
      <c r="Y5" s="2" t="str">
        <f>TEXT(WEEKDAY(DATE(AnnéeCalendrier,12,23),1),"jjj")</f>
        <v>mer</v>
      </c>
      <c r="Z5" s="2" t="str">
        <f>TEXT(WEEKDAY(DATE(AnnéeCalendrier,12,24),1),"jjj")</f>
        <v>jeu</v>
      </c>
      <c r="AA5" s="2" t="str">
        <f>TEXT(WEEKDAY(DATE(AnnéeCalendrier,12,25),1),"jjj")</f>
        <v>ven</v>
      </c>
      <c r="AB5" s="2" t="str">
        <f>TEXT(WEEKDAY(DATE(AnnéeCalendrier,12,26),1),"jjj")</f>
        <v>sam</v>
      </c>
      <c r="AC5" s="2" t="str">
        <f>TEXT(WEEKDAY(DATE(AnnéeCalendrier,12,27),1),"jjj")</f>
        <v>dim</v>
      </c>
      <c r="AD5" s="2" t="str">
        <f>TEXT(WEEKDAY(DATE(AnnéeCalendrier,12,28),1),"jjj")</f>
        <v>lun</v>
      </c>
      <c r="AE5" s="2" t="str">
        <f>TEXT(WEEKDAY(DATE(AnnéeCalendrier,12,29),1),"jjj")</f>
        <v>mar</v>
      </c>
      <c r="AF5" s="2" t="str">
        <f>TEXT(WEEKDAY(DATE(AnnéeCalendrier,12,30),1),"jjj")</f>
        <v>mer</v>
      </c>
      <c r="AG5" s="2" t="str">
        <f>TEXT(WEEKDAY(DATE(AnnéeCalendrier,12,31),1),"jjj")</f>
        <v>jeu</v>
      </c>
      <c r="AH5" s="12"/>
    </row>
    <row r="6" spans="2:34" ht="15" customHeight="1" x14ac:dyDescent="0.25">
      <c r="B6" s="15" t="s">
        <v>3</v>
      </c>
      <c r="C6" s="3" t="s">
        <v>11</v>
      </c>
      <c r="D6" s="3" t="s">
        <v>13</v>
      </c>
      <c r="E6" s="3" t="s">
        <v>14</v>
      </c>
      <c r="F6" s="3" t="s">
        <v>16</v>
      </c>
      <c r="G6" s="3" t="s">
        <v>18</v>
      </c>
      <c r="H6" s="3" t="s">
        <v>20</v>
      </c>
      <c r="I6" s="3" t="s">
        <v>21</v>
      </c>
      <c r="J6" s="3" t="s">
        <v>22</v>
      </c>
      <c r="K6" s="3" t="s">
        <v>23</v>
      </c>
      <c r="L6" s="3" t="s">
        <v>25</v>
      </c>
      <c r="M6" s="3" t="s">
        <v>26</v>
      </c>
      <c r="N6" s="3" t="s">
        <v>27</v>
      </c>
      <c r="O6" s="3" t="s">
        <v>29</v>
      </c>
      <c r="P6" s="3" t="s">
        <v>30</v>
      </c>
      <c r="Q6" s="3" t="s">
        <v>31</v>
      </c>
      <c r="R6" s="3" t="s">
        <v>32</v>
      </c>
      <c r="S6" s="3" t="s">
        <v>34</v>
      </c>
      <c r="T6" s="3" t="s">
        <v>35</v>
      </c>
      <c r="U6" s="3" t="s">
        <v>36</v>
      </c>
      <c r="V6" s="3" t="s">
        <v>37</v>
      </c>
      <c r="W6" s="3" t="s">
        <v>38</v>
      </c>
      <c r="X6" s="3" t="s">
        <v>39</v>
      </c>
      <c r="Y6" s="3" t="s">
        <v>40</v>
      </c>
      <c r="Z6" s="3" t="s">
        <v>41</v>
      </c>
      <c r="AA6" s="3" t="s">
        <v>42</v>
      </c>
      <c r="AB6" s="3" t="s">
        <v>43</v>
      </c>
      <c r="AC6" s="3" t="s">
        <v>44</v>
      </c>
      <c r="AD6" s="3" t="s">
        <v>45</v>
      </c>
      <c r="AE6" s="3" t="s">
        <v>46</v>
      </c>
      <c r="AF6" s="3" t="s">
        <v>47</v>
      </c>
      <c r="AG6" s="3" t="s">
        <v>48</v>
      </c>
      <c r="AH6" s="16" t="s">
        <v>50</v>
      </c>
    </row>
    <row r="7" spans="2:34" ht="30" customHeight="1" x14ac:dyDescent="0.25">
      <c r="B7" s="17" t="s">
        <v>4</v>
      </c>
      <c r="C7" s="3"/>
      <c r="D7" s="3"/>
      <c r="E7" s="3"/>
      <c r="F7" s="3"/>
      <c r="G7" s="3"/>
      <c r="H7" s="3"/>
      <c r="I7" s="3"/>
      <c r="J7" s="3"/>
      <c r="K7" s="3"/>
      <c r="L7" s="3"/>
      <c r="M7" s="3"/>
      <c r="N7" s="3"/>
      <c r="O7" s="3"/>
      <c r="P7" s="3"/>
      <c r="Q7" s="3"/>
      <c r="R7" s="3"/>
      <c r="S7" s="3"/>
      <c r="T7" s="3"/>
      <c r="U7" s="3"/>
      <c r="V7" s="3"/>
      <c r="W7" s="3"/>
      <c r="X7" s="3"/>
      <c r="Y7" s="3"/>
      <c r="Z7" s="3"/>
      <c r="AA7" s="3"/>
      <c r="AB7" s="3"/>
      <c r="AC7" s="3"/>
      <c r="AD7" s="3"/>
      <c r="AE7" s="3"/>
      <c r="AF7" s="3"/>
      <c r="AG7" s="3"/>
      <c r="AH7" s="10">
        <f>COUNTA(Décembre[[#This Row],[1]:[31]])</f>
        <v>0</v>
      </c>
    </row>
    <row r="8" spans="2:34" ht="30" customHeight="1" x14ac:dyDescent="0.25">
      <c r="B8" s="17" t="s">
        <v>5</v>
      </c>
      <c r="C8" s="3"/>
      <c r="D8" s="3"/>
      <c r="E8" s="3"/>
      <c r="F8" s="3"/>
      <c r="G8" s="3"/>
      <c r="H8" s="3"/>
      <c r="I8" s="3"/>
      <c r="J8" s="3"/>
      <c r="K8" s="3"/>
      <c r="L8" s="3"/>
      <c r="M8" s="3"/>
      <c r="N8" s="3"/>
      <c r="O8" s="3"/>
      <c r="P8" s="3"/>
      <c r="Q8" s="3"/>
      <c r="R8" s="3"/>
      <c r="S8" s="3"/>
      <c r="T8" s="3"/>
      <c r="U8" s="3"/>
      <c r="V8" s="3"/>
      <c r="W8" s="3"/>
      <c r="X8" s="3"/>
      <c r="Y8" s="3"/>
      <c r="Z8" s="3"/>
      <c r="AA8" s="3"/>
      <c r="AB8" s="3"/>
      <c r="AC8" s="3"/>
      <c r="AD8" s="3"/>
      <c r="AE8" s="3"/>
      <c r="AF8" s="3"/>
      <c r="AG8" s="3"/>
      <c r="AH8" s="10">
        <f>COUNTA(Décembre[[#This Row],[1]:[31]])</f>
        <v>0</v>
      </c>
    </row>
    <row r="9" spans="2:34" ht="30" customHeight="1" x14ac:dyDescent="0.25">
      <c r="B9" s="17" t="s">
        <v>6</v>
      </c>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10">
        <f>COUNTA(Décembre[[#This Row],[1]:[31]])</f>
        <v>0</v>
      </c>
    </row>
    <row r="10" spans="2:34" ht="30" customHeight="1" x14ac:dyDescent="0.25">
      <c r="B10" s="17" t="s">
        <v>7</v>
      </c>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10">
        <f>COUNTA(Décembre[[#This Row],[1]:[31]])</f>
        <v>0</v>
      </c>
    </row>
    <row r="11" spans="2:34" ht="30" customHeight="1" x14ac:dyDescent="0.25">
      <c r="B11" s="17" t="s">
        <v>8</v>
      </c>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10">
        <f>COUNTA(Décembre[[#This Row],[1]:[31]])</f>
        <v>0</v>
      </c>
    </row>
    <row r="12" spans="2:34" ht="30" customHeight="1" x14ac:dyDescent="0.25">
      <c r="B12" s="21" t="str">
        <f>NomMois&amp;" Total"</f>
        <v>Décembre Total</v>
      </c>
      <c r="C12" s="13">
        <f>SUBTOTAL(103,Décembre[1])</f>
        <v>0</v>
      </c>
      <c r="D12" s="13">
        <f>SUBTOTAL(103,Décembre[2])</f>
        <v>0</v>
      </c>
      <c r="E12" s="13">
        <f>SUBTOTAL(103,Décembre[3])</f>
        <v>0</v>
      </c>
      <c r="F12" s="13">
        <f>SUBTOTAL(103,Décembre[4])</f>
        <v>0</v>
      </c>
      <c r="G12" s="13">
        <f>SUBTOTAL(103,Décembre[5])</f>
        <v>0</v>
      </c>
      <c r="H12" s="13">
        <f>SUBTOTAL(103,Décembre[6])</f>
        <v>0</v>
      </c>
      <c r="I12" s="13">
        <f>SUBTOTAL(103,Décembre[7])</f>
        <v>0</v>
      </c>
      <c r="J12" s="13">
        <f>SUBTOTAL(103,Décembre[8])</f>
        <v>0</v>
      </c>
      <c r="K12" s="13">
        <f>SUBTOTAL(103,Décembre[9])</f>
        <v>0</v>
      </c>
      <c r="L12" s="13">
        <f>SUBTOTAL(103,Décembre[10])</f>
        <v>0</v>
      </c>
      <c r="M12" s="13">
        <f>SUBTOTAL(103,Décembre[11])</f>
        <v>0</v>
      </c>
      <c r="N12" s="13">
        <f>SUBTOTAL(103,Décembre[12])</f>
        <v>0</v>
      </c>
      <c r="O12" s="13">
        <f>SUBTOTAL(103,Décembre[13])</f>
        <v>0</v>
      </c>
      <c r="P12" s="13">
        <f>SUBTOTAL(103,Décembre[14])</f>
        <v>0</v>
      </c>
      <c r="Q12" s="13">
        <f>SUBTOTAL(103,Décembre[15])</f>
        <v>0</v>
      </c>
      <c r="R12" s="13">
        <f>SUBTOTAL(103,Décembre[16])</f>
        <v>0</v>
      </c>
      <c r="S12" s="13">
        <f>SUBTOTAL(103,Décembre[17])</f>
        <v>0</v>
      </c>
      <c r="T12" s="13">
        <f>SUBTOTAL(103,Décembre[18])</f>
        <v>0</v>
      </c>
      <c r="U12" s="13">
        <f>SUBTOTAL(103,Décembre[19])</f>
        <v>0</v>
      </c>
      <c r="V12" s="13">
        <f>SUBTOTAL(103,Décembre[20])</f>
        <v>0</v>
      </c>
      <c r="W12" s="13">
        <f>SUBTOTAL(103,Décembre[21])</f>
        <v>0</v>
      </c>
      <c r="X12" s="13">
        <f>SUBTOTAL(103,Décembre[22])</f>
        <v>0</v>
      </c>
      <c r="Y12" s="13">
        <f>SUBTOTAL(103,Décembre[23])</f>
        <v>0</v>
      </c>
      <c r="Z12" s="13">
        <f>SUBTOTAL(103,Décembre[24])</f>
        <v>0</v>
      </c>
      <c r="AA12" s="13">
        <f>SUBTOTAL(103,Décembre[25])</f>
        <v>0</v>
      </c>
      <c r="AB12" s="13">
        <f>SUBTOTAL(103,Décembre[26])</f>
        <v>0</v>
      </c>
      <c r="AC12" s="13">
        <f>SUBTOTAL(103,Décembre[27])</f>
        <v>0</v>
      </c>
      <c r="AD12" s="13">
        <f>SUBTOTAL(103,Décembre[28])</f>
        <v>0</v>
      </c>
      <c r="AE12" s="13">
        <f>SUBTOTAL(103,Décembre[29])</f>
        <v>0</v>
      </c>
      <c r="AF12" s="13">
        <f>SUBTOTAL(103,Décembre[30])</f>
        <v>0</v>
      </c>
      <c r="AG12" s="13">
        <f>SUBTOTAL(103,Décembre[31])</f>
        <v>0</v>
      </c>
      <c r="AH12" s="13">
        <f>SUBTOTAL(109,Décembre[Total des jours])</f>
        <v>0</v>
      </c>
    </row>
  </sheetData>
  <mergeCells count="6">
    <mergeCell ref="C4:AG4"/>
    <mergeCell ref="D2:E2"/>
    <mergeCell ref="G2:I2"/>
    <mergeCell ref="K2:L2"/>
    <mergeCell ref="N2:Q2"/>
    <mergeCell ref="S2:V2"/>
  </mergeCells>
  <conditionalFormatting sqref="C7:AG11">
    <cfRule type="expression" priority="1" stopIfTrue="1">
      <formula>C7=""</formula>
    </cfRule>
  </conditionalFormatting>
  <conditionalFormatting sqref="C7:AG11">
    <cfRule type="expression" dxfId="4" priority="2" stopIfTrue="1">
      <formula>C7=CléPersonnalisée2</formula>
    </cfRule>
    <cfRule type="expression" dxfId="3" priority="3" stopIfTrue="1">
      <formula>C7=CléPersonnalisée1</formula>
    </cfRule>
    <cfRule type="expression" dxfId="2" priority="4" stopIfTrue="1">
      <formula>C7=CléMaladie</formula>
    </cfRule>
    <cfRule type="expression" dxfId="1" priority="5" stopIfTrue="1">
      <formula>C7=CléPersonnel</formula>
    </cfRule>
    <cfRule type="expression" dxfId="0" priority="6" stopIfTrue="1">
      <formula>C7=CléCongé</formula>
    </cfRule>
  </conditionalFormatting>
  <conditionalFormatting sqref="AH7:AH11">
    <cfRule type="dataBar" priority="30">
      <dataBar>
        <cfvo type="min"/>
        <cfvo type="formula" val="DATEDIF(DATE(AnnéeCalendrier,2,1),DATE(AnnéeCalendrier,3,1),&quot;d&quot;)"/>
        <color theme="2" tint="-0.249977111117893"/>
      </dataBar>
      <extLst>
        <ext xmlns:x14="http://schemas.microsoft.com/office/spreadsheetml/2009/9/main" uri="{B025F937-C7B1-47D3-B67F-A62EFF666E3E}">
          <x14:id>{17586780-365B-4F4C-BBB4-F5991705D361}</x14:id>
        </ext>
      </extLst>
    </cfRule>
  </conditionalFormatting>
  <dataValidations count="15">
    <dataValidation allowBlank="1" showInputMessage="1" showErrorMessage="1" prompt="Année mise à jour automatiquement en fonction de l’année entrée dans la feuille de calcul Janvier" sqref="AH4" xr:uid="{00000000-0002-0000-0B00-000000000000}"/>
    <dataValidation allowBlank="1" showInputMessage="1" showErrorMessage="1" prompt="Calcule automatiquement le nombre total de jours d’absence d’un employé durant ce mois dans cette colonne" sqref="AH6" xr:uid="{00000000-0002-0000-0B00-000001000000}"/>
    <dataValidation allowBlank="1" showInputMessage="1" showErrorMessage="1" prompt="Suivez les absences du mois de décembre dans cette feuille de calcul" sqref="A1" xr:uid="{00000000-0002-0000-0B00-000002000000}"/>
    <dataValidation errorStyle="warning" allowBlank="1" showInputMessage="1" showErrorMessage="1" error="Sélectionnez un nom dans la liste. Sélectionnez ANNULER, appuyez sur ALT+FLÈCHE BAS, puis sur ENTRÉE pour sélectionner un nom" prompt="Entrez les noms des employés dans la feuille de calcul du Noms des employés, puis sélectionnez l’un des noms de la liste figurant dans cette colonne. Appuyez sur ALT+FLÈCHE BAS, puis sur ENTRÉE pour sélectionner un nom" sqref="B6" xr:uid="{00000000-0002-0000-0B00-000003000000}"/>
    <dataValidation allowBlank="1" showInputMessage="1" showErrorMessage="1" prompt="Le titre mis à jour automatiquement figure dans cette cellule. Pour modifier le titre, mettez à jour la cellule B1 de la feuille de calcul Janvier" sqref="B1" xr:uid="{00000000-0002-0000-0B00-000004000000}"/>
    <dataValidation allowBlank="1" showInputMessage="1" showErrorMessage="1" prompt="La lettre « C » indique une absence pour cause de congé" sqref="C2" xr:uid="{00000000-0002-0000-0B00-000005000000}"/>
    <dataValidation allowBlank="1" showInputMessage="1" showErrorMessage="1" prompt="La lettre « P » indique une absence pour motifs personnels" sqref="F2" xr:uid="{00000000-0002-0000-0B00-000006000000}"/>
    <dataValidation allowBlank="1" showInputMessage="1" showErrorMessage="1" prompt="La lettre « M » indique une absence pour cause de maladie" sqref="J2" xr:uid="{00000000-0002-0000-0B00-000007000000}"/>
    <dataValidation allowBlank="1" showInputMessage="1" showErrorMessage="1" prompt="Entrez une lettre et personnalisez l’étiquette à droite pour ajouter un élément de clé" sqref="M2 R2" xr:uid="{00000000-0002-0000-0B00-000008000000}"/>
    <dataValidation allowBlank="1" showInputMessage="1" showErrorMessage="1" prompt="Entrez une étiquette pour décrire la clé personnalisée à gauche" sqref="N2 S2" xr:uid="{00000000-0002-0000-0B00-000009000000}"/>
    <dataValidation allowBlank="1" showInputMessage="1" showErrorMessage="1" prompt="Cette ligne définit les clés utilisées dans le tableau : Congé en C2, Personnel en F2 et Congé maladie en J2. Les cellules M2 et R2 sont personnalisables" sqref="B2" xr:uid="{00000000-0002-0000-0B00-00000A000000}"/>
    <dataValidation allowBlank="1" showInputMessage="1" showErrorMessage="1" prompt="Nom du mois pour ce calendrier des absences dans cette cellule. Le total des absences pour ce mois figure dans la dernière cellule du tableau. Sélectionnez les noms des employés dans la colonne B du tableau" sqref="B4" xr:uid="{00000000-0002-0000-0B00-00000B000000}"/>
    <dataValidation allowBlank="1" showInputMessage="1" showErrorMessage="1" prompt="Les jours de la semaine dans cette ligne sont mis à jour automatiquement pour le mois en fonction de l’année dans AH4. Chaque jour du mois est une colonne dans laquelle noter l’absence et le motif d’absence d’un employé" sqref="C5" xr:uid="{00000000-0002-0000-0B00-00000C000000}"/>
    <dataValidation allowBlank="1" showInputMessage="1" showErrorMessage="1" prompt="Les jours du mois dans cette ligne sont générés automatiquement. Entrez l’absence et le motif d’absence d’un employé dans chaque colonne pour chaque jour du mois. Un champ vide indique qu’il n’y a pas eu d’absence" sqref="C6" xr:uid="{00000000-0002-0000-0B00-00000D000000}"/>
    <dataValidation type="list" allowBlank="1" showInputMessage="1" showErrorMessage="1" sqref="B7:B11" xr:uid="{00000000-0002-0000-0B00-00000E000000}">
      <formula1>tyty</formula1>
    </dataValidation>
  </dataValidations>
  <pageMargins left="0.7" right="0.7" top="0.75" bottom="0.75" header="0.3" footer="0.3"/>
  <pageSetup paperSize="9" fitToHeight="0" orientation="portrait" verticalDpi="4294967293" r:id="rId1"/>
  <tableParts count="1">
    <tablePart r:id="rId2"/>
  </tableParts>
  <extLst>
    <ext xmlns:x14="http://schemas.microsoft.com/office/spreadsheetml/2009/9/main" uri="{78C0D931-6437-407d-A8EE-F0AAD7539E65}">
      <x14:conditionalFormattings>
        <x14:conditionalFormatting xmlns:xm="http://schemas.microsoft.com/office/excel/2006/main">
          <x14:cfRule type="dataBar" id="{17586780-365B-4F4C-BBB4-F5991705D361}">
            <x14:dataBar minLength="0" maxLength="100">
              <x14:cfvo type="autoMin"/>
              <x14:cfvo type="formula">
                <xm:f>DATEDIF(DATE(AnnéeCalendrier,2,1),DATE(AnnéeCalendrier,3,1),"d")</xm:f>
              </x14:cfvo>
              <x14:negativeFillColor rgb="FFFF0000"/>
              <x14:axisColor rgb="FF000000"/>
            </x14:dataBar>
          </x14:cfRule>
          <xm:sqref>AH7:AH11</xm:sqref>
        </x14:conditionalFormatting>
      </x14:conditionalFormattings>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Feuil14">
    <tabColor theme="1"/>
  </sheetPr>
  <dimension ref="B1:B18"/>
  <sheetViews>
    <sheetView showGridLines="0" workbookViewId="0">
      <selection activeCell="D23" sqref="D23"/>
    </sheetView>
  </sheetViews>
  <sheetFormatPr baseColWidth="10" defaultColWidth="9.140625" defaultRowHeight="30" customHeight="1" x14ac:dyDescent="0.25"/>
  <cols>
    <col min="1" max="1" width="2.7109375" customWidth="1"/>
    <col min="2" max="2" width="30.7109375" customWidth="1"/>
    <col min="3" max="3" width="2.7109375" customWidth="1"/>
  </cols>
  <sheetData>
    <row r="1" spans="2:2" ht="50.1" customHeight="1" x14ac:dyDescent="0.25">
      <c r="B1" s="22" t="s">
        <v>64</v>
      </c>
    </row>
    <row r="2" spans="2:2" ht="15" customHeight="1" x14ac:dyDescent="0.25"/>
    <row r="3" spans="2:2" ht="30" customHeight="1" x14ac:dyDescent="0.25">
      <c r="B3" t="s">
        <v>64</v>
      </c>
    </row>
    <row r="4" spans="2:2" ht="30" customHeight="1" x14ac:dyDescent="0.25">
      <c r="B4" s="1" t="s">
        <v>76</v>
      </c>
    </row>
    <row r="5" spans="2:2" ht="30" customHeight="1" x14ac:dyDescent="0.25">
      <c r="B5" s="1" t="s">
        <v>78</v>
      </c>
    </row>
    <row r="6" spans="2:2" ht="30" customHeight="1" x14ac:dyDescent="0.25">
      <c r="B6" s="1" t="s">
        <v>77</v>
      </c>
    </row>
    <row r="7" spans="2:2" ht="30" customHeight="1" x14ac:dyDescent="0.25">
      <c r="B7" s="1" t="s">
        <v>70</v>
      </c>
    </row>
    <row r="8" spans="2:2" ht="30" customHeight="1" x14ac:dyDescent="0.25">
      <c r="B8" s="1" t="s">
        <v>66</v>
      </c>
    </row>
    <row r="9" spans="2:2" ht="30" customHeight="1" x14ac:dyDescent="0.25">
      <c r="B9" s="1" t="s">
        <v>75</v>
      </c>
    </row>
    <row r="10" spans="2:2" ht="30" customHeight="1" x14ac:dyDescent="0.25">
      <c r="B10" s="25" t="s">
        <v>84</v>
      </c>
    </row>
    <row r="11" spans="2:2" ht="30" customHeight="1" x14ac:dyDescent="0.25">
      <c r="B11" s="25" t="s">
        <v>68</v>
      </c>
    </row>
    <row r="12" spans="2:2" ht="30" customHeight="1" x14ac:dyDescent="0.25">
      <c r="B12" s="1" t="s">
        <v>74</v>
      </c>
    </row>
    <row r="13" spans="2:2" ht="30" customHeight="1" x14ac:dyDescent="0.25">
      <c r="B13" s="1" t="s">
        <v>69</v>
      </c>
    </row>
    <row r="14" spans="2:2" ht="30" customHeight="1" x14ac:dyDescent="0.25">
      <c r="B14" s="1" t="s">
        <v>73</v>
      </c>
    </row>
    <row r="15" spans="2:2" ht="30" customHeight="1" x14ac:dyDescent="0.25">
      <c r="B15" s="1" t="s">
        <v>67</v>
      </c>
    </row>
    <row r="16" spans="2:2" ht="30" customHeight="1" x14ac:dyDescent="0.25">
      <c r="B16" s="1" t="s">
        <v>65</v>
      </c>
    </row>
    <row r="17" spans="2:2" ht="30" customHeight="1" x14ac:dyDescent="0.25">
      <c r="B17" s="1" t="s">
        <v>71</v>
      </c>
    </row>
    <row r="18" spans="2:2" ht="30" customHeight="1" x14ac:dyDescent="0.25">
      <c r="B18" s="1" t="s">
        <v>72</v>
      </c>
    </row>
  </sheetData>
  <dataValidations count="4">
    <dataValidation allowBlank="1" showInputMessage="1" showErrorMessage="1" prompt="Titre Noms des employés" sqref="B1" xr:uid="{00000000-0002-0000-0C00-000000000000}"/>
    <dataValidation allowBlank="1" showInputMessage="1" showErrorMessage="1" prompt="Entrez les noms des employés dans le tableau Noms des employés dans cette feuille de calcul. Ces noms sont utilisés en tant qu’options dans la colonne B du tableau des absences de chaque mois." sqref="A1" xr:uid="{00000000-0002-0000-0C00-000001000000}"/>
    <dataValidation allowBlank="1" showInputMessage="1" showErrorMessage="1" prompt="Entrez les noms des employés dans cette colonne" sqref="B3" xr:uid="{00000000-0002-0000-0C00-000002000000}"/>
    <dataValidation type="list" allowBlank="1" showInputMessage="1" showErrorMessage="1" promptTitle="Noms des employés" prompt="Doit contenir entre 1 et 12 caractères" sqref="B4:B18" xr:uid="{52AAEF34-AA5D-4BB8-B52B-1EFE18010952}">
      <formula1>$B$4:$B$18</formula1>
    </dataValidation>
  </dataValidations>
  <pageMargins left="0.7" right="0.7" top="0.75" bottom="0.75" header="0.3" footer="0.3"/>
  <pageSetup paperSize="9" orientation="portrait" horizontalDpi="200" verticalDpi="200" r:id="rId1"/>
  <tableParts count="1">
    <tablePart r:id="rId2"/>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14</vt:i4>
      </vt:variant>
      <vt:variant>
        <vt:lpstr>Plages nommées</vt:lpstr>
      </vt:variant>
      <vt:variant>
        <vt:i4>51</vt:i4>
      </vt:variant>
    </vt:vector>
  </HeadingPairs>
  <TitlesOfParts>
    <vt:vector size="65" baseType="lpstr">
      <vt:lpstr>Feuil1</vt:lpstr>
      <vt:lpstr>Janvier</vt:lpstr>
      <vt:lpstr>Février</vt:lpstr>
      <vt:lpstr>Mars</vt:lpstr>
      <vt:lpstr>Avril</vt:lpstr>
      <vt:lpstr>Mai</vt:lpstr>
      <vt:lpstr>Juin</vt:lpstr>
      <vt:lpstr>Juillet</vt:lpstr>
      <vt:lpstr>Août</vt:lpstr>
      <vt:lpstr>Septembre</vt:lpstr>
      <vt:lpstr>Octobre</vt:lpstr>
      <vt:lpstr>Novembre</vt:lpstr>
      <vt:lpstr>Décembre</vt:lpstr>
      <vt:lpstr>Noms des employés</vt:lpstr>
      <vt:lpstr>AnnéeCalendrier</vt:lpstr>
      <vt:lpstr>Bernadette_GONGORA</vt:lpstr>
      <vt:lpstr>CléCongé</vt:lpstr>
      <vt:lpstr>CléMaladie</vt:lpstr>
      <vt:lpstr>CléPersonnalisée1</vt:lpstr>
      <vt:lpstr>CléPersonnalisée2</vt:lpstr>
      <vt:lpstr>CléPersonnel</vt:lpstr>
      <vt:lpstr>ÉtiquetteCléCongé</vt:lpstr>
      <vt:lpstr>ÉtiquetteCléMaladie</vt:lpstr>
      <vt:lpstr>ÉtiquetteCléPersonnalisée1</vt:lpstr>
      <vt:lpstr>ÉtiquetteCléPersonnalisée2</vt:lpstr>
      <vt:lpstr>ÉtiquetteCléPersonnel</vt:lpstr>
      <vt:lpstr>Août!Impression_des_titres</vt:lpstr>
      <vt:lpstr>Avril!Impression_des_titres</vt:lpstr>
      <vt:lpstr>Décembre!Impression_des_titres</vt:lpstr>
      <vt:lpstr>Février!Impression_des_titres</vt:lpstr>
      <vt:lpstr>Janvier!Impression_des_titres</vt:lpstr>
      <vt:lpstr>Juillet!Impression_des_titres</vt:lpstr>
      <vt:lpstr>Juin!Impression_des_titres</vt:lpstr>
      <vt:lpstr>Mai!Impression_des_titres</vt:lpstr>
      <vt:lpstr>Mars!Impression_des_titres</vt:lpstr>
      <vt:lpstr>Novembre!Impression_des_titres</vt:lpstr>
      <vt:lpstr>Octobre!Impression_des_titres</vt:lpstr>
      <vt:lpstr>Septembre!Impression_des_titres</vt:lpstr>
      <vt:lpstr>Nom_clé</vt:lpstr>
      <vt:lpstr>Août!NomMois</vt:lpstr>
      <vt:lpstr>Avril!NomMois</vt:lpstr>
      <vt:lpstr>Décembre!NomMois</vt:lpstr>
      <vt:lpstr>Février!NomMois</vt:lpstr>
      <vt:lpstr>Janvier!NomMois</vt:lpstr>
      <vt:lpstr>Juillet!NomMois</vt:lpstr>
      <vt:lpstr>Juin!NomMois</vt:lpstr>
      <vt:lpstr>Mai!NomMois</vt:lpstr>
      <vt:lpstr>Mars!NomMois</vt:lpstr>
      <vt:lpstr>Novembre!NomMois</vt:lpstr>
      <vt:lpstr>Octobre!NomMois</vt:lpstr>
      <vt:lpstr>Septembre!NomMois</vt:lpstr>
      <vt:lpstr>Titre_Absence_Employé</vt:lpstr>
      <vt:lpstr>Titre1</vt:lpstr>
      <vt:lpstr>Titre10</vt:lpstr>
      <vt:lpstr>Titre11</vt:lpstr>
      <vt:lpstr>Titre12</vt:lpstr>
      <vt:lpstr>Titre2</vt:lpstr>
      <vt:lpstr>Titre3</vt:lpstr>
      <vt:lpstr>Titre4</vt:lpstr>
      <vt:lpstr>Titre5</vt:lpstr>
      <vt:lpstr>Titre6</vt:lpstr>
      <vt:lpstr>Titre7</vt:lpstr>
      <vt:lpstr>Titre8</vt:lpstr>
      <vt:lpstr>Titre9</vt:lpstr>
      <vt:lpstr>TitreColonne13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Cayole</dc:creator>
  <cp:lastModifiedBy>Aurélio</cp:lastModifiedBy>
  <cp:lastPrinted>2020-04-15T17:10:52Z</cp:lastPrinted>
  <dcterms:created xsi:type="dcterms:W3CDTF">2016-12-06T04:52:27Z</dcterms:created>
  <dcterms:modified xsi:type="dcterms:W3CDTF">2020-04-23T16:11:19Z</dcterms:modified>
</cp:coreProperties>
</file>