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6810558f_commun_ad_sncf_fr/Documents/Documents/Relevé d heures/"/>
    </mc:Choice>
  </mc:AlternateContent>
  <xr:revisionPtr revIDLastSave="227" documentId="8_{2D162C54-FC08-4CC6-9849-CBA64E98E709}" xr6:coauthVersionLast="47" xr6:coauthVersionMax="47" xr10:uidLastSave="{46B21916-F582-48BF-982B-456D17C6866F}"/>
  <bookViews>
    <workbookView xWindow="-120" yWindow="-120" windowWidth="20730" windowHeight="11160" firstSheet="2" activeTab="3" xr2:uid="{DEC80654-54A4-447E-899F-7DCD74ADAA1F}"/>
  </bookViews>
  <sheets>
    <sheet name="Feuil3" sheetId="13" state="hidden" r:id="rId1"/>
    <sheet name="Feuil1" sheetId="11" state="hidden" r:id="rId2"/>
    <sheet name="TCD" sheetId="10" r:id="rId3"/>
    <sheet name="BD" sheetId="1" r:id="rId4"/>
    <sheet name="individuel" sheetId="6" state="hidden" r:id="rId5"/>
    <sheet name="Absence" sheetId="7" state="hidden" r:id="rId6"/>
    <sheet name="Données" sheetId="2" state="hidden" r:id="rId7"/>
  </sheets>
  <definedNames>
    <definedName name="_xlnm._FilterDatabase" localSheetId="6" hidden="1">Données!$F$4:$F$11</definedName>
    <definedName name="BD">Tableau2[]</definedName>
    <definedName name="feriés">Tableau4[Dates]</definedName>
    <definedName name="MOIS">Données!$H$3:$H$14</definedName>
    <definedName name="Poste">Données!$F$4:$F$19</definedName>
    <definedName name="Segment_ANNEE">#N/A</definedName>
    <definedName name="Segment_Mois">#N/A</definedName>
    <definedName name="_xlnm.Print_Area" localSheetId="4">individuel!$A$1:$T$32</definedName>
  </definedNames>
  <calcPr calcId="191029"/>
  <pivotCaches>
    <pivotCache cacheId="28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11" i="1" l="1"/>
  <c r="M11" i="1"/>
  <c r="Q11" i="1"/>
  <c r="B11" i="1"/>
  <c r="C11" i="1"/>
  <c r="E11" i="1"/>
  <c r="N11" i="1" s="1"/>
  <c r="F11" i="1"/>
  <c r="I11" i="1"/>
  <c r="L11" i="1" s="1"/>
  <c r="Y11" i="1" s="1"/>
  <c r="W11" i="1" s="1"/>
  <c r="V11" i="1"/>
  <c r="X11" i="1"/>
  <c r="Z11" i="1"/>
  <c r="AD11" i="1" s="1"/>
  <c r="AI11" i="1" s="1"/>
  <c r="AJ11" i="1" s="1"/>
  <c r="AH11" i="1" s="1"/>
  <c r="AK11" i="1" s="1"/>
  <c r="AA11" i="1"/>
  <c r="AB11" i="1"/>
  <c r="AE11" i="1"/>
  <c r="AF11" i="1"/>
  <c r="AG11" i="1"/>
  <c r="B10" i="1"/>
  <c r="C10" i="1"/>
  <c r="E10" i="1"/>
  <c r="F10" i="1"/>
  <c r="I10" i="1"/>
  <c r="L10" i="1"/>
  <c r="Y10" i="1" s="1"/>
  <c r="M10" i="1"/>
  <c r="N10" i="1"/>
  <c r="V10" i="1"/>
  <c r="X10" i="1"/>
  <c r="Z10" i="1"/>
  <c r="AA10" i="1"/>
  <c r="AB10" i="1"/>
  <c r="AC10" i="1"/>
  <c r="AD10" i="1"/>
  <c r="AI10" i="1" s="1"/>
  <c r="AJ10" i="1" s="1"/>
  <c r="AH10" i="1" s="1"/>
  <c r="AK10" i="1" s="1"/>
  <c r="AE10" i="1"/>
  <c r="AF10" i="1"/>
  <c r="AG10" i="1"/>
  <c r="B9" i="1"/>
  <c r="C9" i="1"/>
  <c r="E9" i="1"/>
  <c r="F9" i="1"/>
  <c r="I9" i="1"/>
  <c r="L9" i="1" s="1"/>
  <c r="Y9" i="1" s="1"/>
  <c r="M9" i="1"/>
  <c r="N9" i="1"/>
  <c r="V9" i="1"/>
  <c r="X9" i="1"/>
  <c r="Z9" i="1"/>
  <c r="AD9" i="1" s="1"/>
  <c r="AI9" i="1" s="1"/>
  <c r="AJ9" i="1" s="1"/>
  <c r="AH9" i="1" s="1"/>
  <c r="AK9" i="1" s="1"/>
  <c r="AA9" i="1"/>
  <c r="AB9" i="1"/>
  <c r="AE9" i="1"/>
  <c r="AF9" i="1"/>
  <c r="AG9" i="1"/>
  <c r="N6" i="1"/>
  <c r="N5" i="1"/>
  <c r="AC11" i="1" l="1"/>
  <c r="Q10" i="1"/>
  <c r="W10" i="1"/>
  <c r="AC9" i="1"/>
  <c r="Q9" i="1" s="1"/>
  <c r="W9" i="1"/>
  <c r="B8" i="1"/>
  <c r="C8" i="1"/>
  <c r="E8" i="1"/>
  <c r="N8" i="1" s="1"/>
  <c r="F8" i="1"/>
  <c r="I8" i="1"/>
  <c r="L8" i="1" s="1"/>
  <c r="Y8" i="1" s="1"/>
  <c r="M8" i="1"/>
  <c r="V8" i="1"/>
  <c r="Z8" i="1"/>
  <c r="AD8" i="1" s="1"/>
  <c r="AI8" i="1" s="1"/>
  <c r="AJ8" i="1" s="1"/>
  <c r="AH8" i="1" s="1"/>
  <c r="AK8" i="1" s="1"/>
  <c r="AA8" i="1"/>
  <c r="AB8" i="1"/>
  <c r="AE8" i="1"/>
  <c r="AF8" i="1"/>
  <c r="AG8" i="1"/>
  <c r="B7" i="1"/>
  <c r="C7" i="1"/>
  <c r="E7" i="1"/>
  <c r="N7" i="1" s="1"/>
  <c r="F7" i="1"/>
  <c r="I7" i="1"/>
  <c r="L7" i="1" s="1"/>
  <c r="Y7" i="1" s="1"/>
  <c r="M7" i="1"/>
  <c r="V7" i="1"/>
  <c r="Z7" i="1"/>
  <c r="AD7" i="1" s="1"/>
  <c r="AI7" i="1" s="1"/>
  <c r="AJ7" i="1" s="1"/>
  <c r="AH7" i="1" s="1"/>
  <c r="AK7" i="1" s="1"/>
  <c r="AA7" i="1"/>
  <c r="AB7" i="1"/>
  <c r="AE7" i="1"/>
  <c r="AF7" i="1"/>
  <c r="AG7" i="1"/>
  <c r="F5" i="1"/>
  <c r="F6" i="1"/>
  <c r="B6" i="1"/>
  <c r="C6" i="1"/>
  <c r="I6" i="1"/>
  <c r="L6" i="1" s="1"/>
  <c r="Y6" i="1" s="1"/>
  <c r="M6" i="1"/>
  <c r="V6" i="1"/>
  <c r="X6" i="1"/>
  <c r="Z6" i="1"/>
  <c r="AD6" i="1" s="1"/>
  <c r="AI6" i="1" s="1"/>
  <c r="AJ6" i="1" s="1"/>
  <c r="AH6" i="1" s="1"/>
  <c r="AK6" i="1" s="1"/>
  <c r="AA6" i="1"/>
  <c r="AB6" i="1"/>
  <c r="AE6" i="1"/>
  <c r="AF6" i="1"/>
  <c r="AG6" i="1"/>
  <c r="AC8" i="1" l="1"/>
  <c r="Q8" i="1" s="1"/>
  <c r="W8" i="1"/>
  <c r="X8" i="1" s="1"/>
  <c r="AC7" i="1"/>
  <c r="Q7" i="1" s="1"/>
  <c r="W7" i="1"/>
  <c r="X7" i="1" s="1"/>
  <c r="AC6" i="1"/>
  <c r="Q6" i="1" s="1"/>
  <c r="U6" i="1" s="1"/>
  <c r="W6" i="1"/>
  <c r="AF5" i="1"/>
  <c r="B7" i="10"/>
  <c r="B5" i="1"/>
  <c r="AB5" i="1"/>
  <c r="AA5" i="1"/>
  <c r="AM9" i="1" l="1"/>
  <c r="F3" i="11" l="1"/>
  <c r="F4" i="11" s="1"/>
  <c r="F5" i="11" s="1"/>
  <c r="F6" i="11" s="1"/>
  <c r="F7" i="11" s="1"/>
  <c r="F8" i="11" s="1"/>
  <c r="F9" i="11" s="1"/>
  <c r="F10" i="11" s="1"/>
  <c r="F11" i="11" s="1"/>
  <c r="F12" i="11" s="1"/>
  <c r="F13" i="11" s="1"/>
  <c r="F14" i="11" s="1"/>
  <c r="F15" i="11" s="1"/>
  <c r="F16" i="11" s="1"/>
  <c r="F17" i="11" s="1"/>
  <c r="F18" i="11" s="1"/>
  <c r="F19" i="11" s="1"/>
  <c r="F20" i="11" s="1"/>
  <c r="F21" i="11" s="1"/>
  <c r="F22" i="11" s="1"/>
  <c r="F23" i="11" s="1"/>
  <c r="F24" i="11" s="1"/>
  <c r="F25" i="11" s="1"/>
  <c r="F26" i="11" s="1"/>
  <c r="F27" i="11" s="1"/>
  <c r="F28" i="11" s="1"/>
  <c r="F29" i="11" s="1"/>
  <c r="F30" i="11" s="1"/>
  <c r="F31" i="11" s="1"/>
  <c r="F32" i="11" s="1"/>
  <c r="J13" i="10" l="1"/>
  <c r="I13" i="10"/>
  <c r="I14" i="10"/>
  <c r="G13" i="10"/>
  <c r="G14" i="10"/>
  <c r="E14" i="10"/>
  <c r="D13" i="10"/>
  <c r="D14" i="10"/>
  <c r="C14" i="10"/>
  <c r="C13" i="10"/>
  <c r="B13" i="10"/>
  <c r="B14" i="10"/>
  <c r="I5" i="1"/>
  <c r="L5" i="1" s="1"/>
  <c r="M5" i="1"/>
  <c r="V5" i="1"/>
  <c r="AC5" i="1" l="1"/>
  <c r="Y5" i="1"/>
  <c r="C5" i="1"/>
  <c r="Q5" i="1" l="1"/>
  <c r="W5" i="1"/>
  <c r="E9" i="6"/>
  <c r="C9" i="6"/>
  <c r="D9" i="6" s="1"/>
  <c r="D12" i="6"/>
  <c r="B8" i="10"/>
  <c r="B9" i="10"/>
  <c r="B10" i="10"/>
  <c r="C10" i="10"/>
  <c r="B11" i="10"/>
  <c r="C11" i="10"/>
  <c r="D11" i="10"/>
  <c r="B12" i="10"/>
  <c r="C12" i="10"/>
  <c r="D12" i="10"/>
  <c r="G12" i="10"/>
  <c r="U9" i="1" l="1"/>
  <c r="U10" i="1"/>
  <c r="U8" i="1"/>
  <c r="U7" i="1"/>
  <c r="U5" i="1"/>
  <c r="X5" i="1"/>
  <c r="Z5" i="1"/>
  <c r="AD5" i="1" s="1"/>
  <c r="AI5" i="1" s="1"/>
  <c r="AJ5" i="1" s="1"/>
  <c r="AH5" i="1" s="1"/>
  <c r="AK5" i="1" s="1"/>
  <c r="C14" i="6"/>
  <c r="AE5" i="1" l="1"/>
  <c r="AG5" i="1" s="1"/>
  <c r="L2" i="10"/>
  <c r="L3" i="10" l="1"/>
  <c r="M2" i="10"/>
  <c r="L4" i="10"/>
  <c r="M3" i="10" l="1"/>
  <c r="M4" i="10"/>
  <c r="N2" i="10"/>
  <c r="N4" i="10" l="1"/>
  <c r="O2" i="10"/>
  <c r="N3" i="10"/>
  <c r="P2" i="10" l="1"/>
  <c r="O4" i="10"/>
  <c r="O3" i="10"/>
  <c r="P3" i="10" l="1"/>
  <c r="Q2" i="10"/>
  <c r="P4" i="10"/>
  <c r="Q3" i="10" l="1"/>
  <c r="Q4" i="10"/>
  <c r="R2" i="10"/>
  <c r="R4" i="10" l="1"/>
  <c r="S2" i="10"/>
  <c r="R3" i="10"/>
  <c r="T2" i="10" l="1"/>
  <c r="S3" i="10"/>
  <c r="S4" i="10"/>
  <c r="T3" i="10" l="1"/>
  <c r="T4" i="10"/>
  <c r="U2" i="10"/>
  <c r="U3" i="10" l="1"/>
  <c r="U4" i="10"/>
  <c r="V2" i="10"/>
  <c r="V4" i="10" l="1"/>
  <c r="W2" i="10"/>
  <c r="V3" i="10"/>
  <c r="X2" i="10" l="1"/>
  <c r="W4" i="10"/>
  <c r="W3" i="10"/>
  <c r="X3" i="10" l="1"/>
  <c r="Y2" i="10"/>
  <c r="X4" i="10"/>
  <c r="Y3" i="10" l="1"/>
  <c r="Y4" i="10"/>
  <c r="Z2" i="10"/>
  <c r="Z4" i="10" l="1"/>
  <c r="AA2" i="10"/>
  <c r="Z3" i="10"/>
  <c r="AB2" i="10" l="1"/>
  <c r="AA3" i="10"/>
  <c r="AA4" i="10"/>
  <c r="AB3" i="10" l="1"/>
  <c r="AB4" i="10"/>
  <c r="AC2" i="10"/>
  <c r="AC3" i="10" l="1"/>
  <c r="AC4" i="10"/>
  <c r="AD2" i="10"/>
  <c r="AD4" i="10" l="1"/>
  <c r="AE2" i="10"/>
  <c r="AD3" i="10"/>
  <c r="AF2" i="10" l="1"/>
  <c r="AE4" i="10"/>
  <c r="AE3" i="10"/>
  <c r="AF3" i="10" l="1"/>
  <c r="AG2" i="10"/>
  <c r="AF4" i="10"/>
  <c r="AG3" i="10" l="1"/>
  <c r="AG4" i="10"/>
  <c r="AH2" i="10"/>
  <c r="AH4" i="10" l="1"/>
  <c r="AI2" i="10"/>
  <c r="AH3" i="10"/>
  <c r="AJ2" i="10" l="1"/>
  <c r="AI4" i="10"/>
  <c r="AI3" i="10"/>
  <c r="AJ3" i="10" l="1"/>
  <c r="AJ4" i="10"/>
  <c r="AK2" i="10"/>
  <c r="AK3" i="10" l="1"/>
  <c r="AK4" i="10"/>
  <c r="AL2" i="10"/>
  <c r="AL4" i="10" l="1"/>
  <c r="AM2" i="10"/>
  <c r="AL3" i="10"/>
  <c r="AN2" i="10" l="1"/>
  <c r="AN4" i="10" s="1"/>
  <c r="AM3" i="10"/>
  <c r="AM4" i="10"/>
  <c r="AN3" i="10" l="1"/>
  <c r="AO2" i="10"/>
  <c r="AO4" i="10" s="1"/>
  <c r="AO3" i="10" l="1"/>
  <c r="AP2" i="10"/>
  <c r="AP4" i="10" s="1"/>
  <c r="AP3" i="10" l="1"/>
  <c r="C12" i="6" l="1"/>
  <c r="E7" i="6"/>
  <c r="D7" i="6"/>
  <c r="C7" i="6"/>
  <c r="E10" i="6" s="1"/>
  <c r="D4" i="2" l="1"/>
  <c r="D5" i="2"/>
  <c r="D6" i="2" s="1"/>
  <c r="D7" i="2"/>
  <c r="D8" i="2"/>
  <c r="D11" i="2"/>
  <c r="D12" i="2"/>
  <c r="D13" i="2"/>
  <c r="D15" i="2"/>
  <c r="D14" i="2"/>
  <c r="D9" i="2" l="1"/>
  <c r="D10" i="2"/>
  <c r="I12" i="10" l="1"/>
  <c r="I10" i="10"/>
  <c r="I11" i="10"/>
  <c r="C8" i="6" l="1"/>
  <c r="D8" i="6" s="1"/>
  <c r="E8" i="6"/>
  <c r="AE12" i="10" l="1" a="1"/>
  <c r="AE12" i="10" s="1"/>
  <c r="AM9" i="10" a="1"/>
  <c r="AM9" i="10" s="1"/>
  <c r="AC12" i="10" a="1"/>
  <c r="AC12" i="10" s="1"/>
  <c r="AD12" i="10" a="1"/>
  <c r="AD12" i="10" s="1"/>
  <c r="C10" i="6" l="1"/>
  <c r="C13" i="6"/>
  <c r="D13" i="6"/>
  <c r="M7" i="10" l="1" a="1"/>
  <c r="M7" i="10" s="1"/>
  <c r="L7" i="10" a="1"/>
  <c r="L7" i="10" s="1"/>
  <c r="AB13" i="10" a="1"/>
  <c r="AB13" i="10" s="1"/>
  <c r="AI13" i="10" a="1"/>
  <c r="AI13" i="10" s="1"/>
  <c r="P6" i="10" a="1"/>
  <c r="P6" i="10" s="1"/>
  <c r="V6" i="10" a="1"/>
  <c r="V6" i="10" s="1"/>
  <c r="AG8" i="10" a="1"/>
  <c r="AG8" i="10" s="1"/>
  <c r="Z13" i="10" a="1"/>
  <c r="Z13" i="10" s="1"/>
  <c r="AH9" i="10" a="1"/>
  <c r="AH9" i="10" s="1"/>
  <c r="I9" i="10" s="1"/>
  <c r="Y14" i="10" a="1"/>
  <c r="Y14" i="10" s="1"/>
  <c r="AN13" i="10" a="1"/>
  <c r="AN13" i="10" s="1"/>
  <c r="S13" i="10" a="1"/>
  <c r="S13" i="10" s="1"/>
  <c r="AA13" i="10" a="1"/>
  <c r="AA13" i="10" s="1"/>
  <c r="W11" i="10" a="1"/>
  <c r="W11" i="10" s="1"/>
  <c r="AJ13" i="10" a="1"/>
  <c r="AJ13" i="10" s="1"/>
  <c r="Q6" i="10" a="1"/>
  <c r="Q6" i="10" s="1"/>
  <c r="N13" i="10" a="1"/>
  <c r="N13" i="10" s="1"/>
  <c r="R6" i="10" a="1"/>
  <c r="R6" i="10" s="1"/>
  <c r="AO13" i="10" a="1"/>
  <c r="AO13" i="10" s="1"/>
  <c r="T13" i="10" a="1"/>
  <c r="T13" i="10" s="1"/>
  <c r="AL8" i="10" a="1"/>
  <c r="AL8" i="10" s="1"/>
  <c r="O6" i="10" a="1"/>
  <c r="O6" i="10" s="1"/>
  <c r="U6" i="10" a="1"/>
  <c r="U6" i="10" s="1"/>
  <c r="F6" i="10" l="1"/>
  <c r="J6" i="10"/>
  <c r="F7" i="10"/>
  <c r="F8" i="10"/>
  <c r="J10" i="10"/>
  <c r="E12" i="10"/>
  <c r="F13" i="10"/>
  <c r="F12" i="10"/>
  <c r="J9" i="10"/>
  <c r="J8" i="10"/>
  <c r="J7" i="10"/>
  <c r="H7" i="10"/>
  <c r="F9" i="10"/>
  <c r="G7" i="10"/>
  <c r="H8" i="10"/>
  <c r="H9" i="10"/>
  <c r="E11" i="10"/>
  <c r="D6" i="10"/>
  <c r="D7" i="10"/>
  <c r="H10" i="10"/>
  <c r="H11" i="10"/>
  <c r="E13" i="10"/>
  <c r="D10" i="10"/>
  <c r="F14" i="10"/>
  <c r="G11" i="10"/>
  <c r="C9" i="10"/>
  <c r="I8" i="10"/>
  <c r="H6" i="10"/>
  <c r="G6" i="10"/>
  <c r="F10" i="10"/>
  <c r="G8" i="10"/>
  <c r="H12" i="10"/>
  <c r="F11" i="10"/>
  <c r="G9" i="10"/>
  <c r="J12" i="10"/>
  <c r="AP10" i="10" l="1" a="1"/>
  <c r="AP10" i="10" s="1"/>
  <c r="AK10" i="10" a="1"/>
  <c r="AK10" i="10" s="1"/>
  <c r="AF10" i="10" a="1"/>
  <c r="AF10" i="10" s="1"/>
  <c r="AA12" i="10" a="1"/>
  <c r="AA12" i="10" s="1"/>
  <c r="N7" i="10" a="1"/>
  <c r="N7" i="10" s="1"/>
  <c r="P9" i="10" a="1"/>
  <c r="P9" i="10" s="1"/>
  <c r="T8" i="10" a="1"/>
  <c r="T8" i="10" s="1"/>
  <c r="W10" i="10" a="1"/>
  <c r="W10" i="10" s="1"/>
  <c r="U10" i="10" a="1"/>
  <c r="U10" i="10" s="1"/>
  <c r="T11" i="10" a="1"/>
  <c r="T11" i="10" s="1"/>
  <c r="AJ14" i="10" a="1"/>
  <c r="AJ14" i="10" s="1"/>
  <c r="AC6" i="10" a="1"/>
  <c r="AC6" i="10" s="1"/>
  <c r="O9" i="10" a="1"/>
  <c r="O9" i="10" s="1"/>
  <c r="AI7" i="10" a="1"/>
  <c r="AI7" i="10" s="1"/>
  <c r="AB7" i="10" a="1"/>
  <c r="AB7" i="10" s="1"/>
  <c r="AM13" i="10" a="1"/>
  <c r="AM13" i="10" s="1"/>
  <c r="AK9" i="10" a="1"/>
  <c r="AK9" i="10" s="1"/>
  <c r="AC7" i="10" a="1"/>
  <c r="AC7" i="10" s="1"/>
  <c r="O12" i="10" a="1"/>
  <c r="O12" i="10" s="1"/>
  <c r="AK13" i="10" a="1"/>
  <c r="AK13" i="10" s="1"/>
  <c r="Z12" i="10" a="1"/>
  <c r="Z12" i="10" s="1"/>
  <c r="AB8" i="10" a="1"/>
  <c r="AB8" i="10" s="1"/>
  <c r="X8" i="10" a="1"/>
  <c r="X8" i="10" s="1"/>
  <c r="AP11" i="10" a="1"/>
  <c r="AP11" i="10" s="1"/>
  <c r="U14" i="10" a="1"/>
  <c r="U14" i="10" s="1"/>
  <c r="U9" i="10" a="1"/>
  <c r="U9" i="10" s="1"/>
  <c r="L11" i="10" a="1"/>
  <c r="L11" i="10" s="1"/>
  <c r="Y7" i="10" a="1"/>
  <c r="Y7" i="10" s="1"/>
  <c r="AH6" i="10" a="1"/>
  <c r="AH6" i="10" s="1"/>
  <c r="AJ7" i="10" a="1"/>
  <c r="AJ7" i="10" s="1"/>
  <c r="L12" i="10" a="1"/>
  <c r="L12" i="10" s="1"/>
  <c r="M11" i="10" a="1"/>
  <c r="M11" i="10" s="1"/>
  <c r="U7" i="10" a="1"/>
  <c r="U7" i="10" s="1"/>
  <c r="AG11" i="10" a="1"/>
  <c r="AG11" i="10" s="1"/>
  <c r="S9" i="10" a="1"/>
  <c r="S9" i="10" s="1"/>
  <c r="N8" i="10" a="1"/>
  <c r="N8" i="10" s="1"/>
  <c r="N9" i="10" a="1"/>
  <c r="N9" i="10" s="1"/>
  <c r="AL14" i="10" a="1"/>
  <c r="AL14" i="10" s="1"/>
  <c r="AB9" i="10" a="1"/>
  <c r="AB9" i="10" s="1"/>
  <c r="AK8" i="10" a="1"/>
  <c r="AK8" i="10" s="1"/>
  <c r="AN6" i="10" a="1"/>
  <c r="AN6" i="10" s="1"/>
  <c r="AE10" i="10" a="1"/>
  <c r="AE10" i="10" s="1"/>
  <c r="AJ11" i="10" a="1"/>
  <c r="AJ11" i="10" s="1"/>
  <c r="AG9" i="10" a="1"/>
  <c r="AG9" i="10" s="1"/>
  <c r="N6" i="10" a="1"/>
  <c r="N6" i="10" s="1"/>
  <c r="AE8" i="10" a="1"/>
  <c r="AE8" i="10" s="1"/>
  <c r="X9" i="10" a="1"/>
  <c r="X9" i="10" s="1"/>
  <c r="T10" i="10" a="1"/>
  <c r="T10" i="10" s="1"/>
  <c r="M8" i="10" a="1"/>
  <c r="M8" i="10" s="1"/>
  <c r="X6" i="10" a="1"/>
  <c r="X6" i="10" s="1"/>
  <c r="Q12" i="10" a="1"/>
  <c r="Q12" i="10" s="1"/>
  <c r="AB10" i="10" a="1"/>
  <c r="AB10" i="10" s="1"/>
  <c r="AL9" i="10" a="1"/>
  <c r="AL9" i="10" s="1"/>
  <c r="AA9" i="10" a="1"/>
  <c r="AA9" i="10" s="1"/>
  <c r="R7" i="10" a="1"/>
  <c r="R7" i="10" s="1"/>
  <c r="AO10" i="10" a="1"/>
  <c r="AO10" i="10" s="1"/>
  <c r="V10" i="10" a="1"/>
  <c r="V10" i="10" s="1"/>
  <c r="AJ8" i="10" a="1"/>
  <c r="AJ8" i="10" s="1"/>
  <c r="AA6" i="10" a="1"/>
  <c r="AA6" i="10" s="1"/>
  <c r="L6" i="10" a="1"/>
  <c r="L6" i="10" s="1"/>
  <c r="AD10" i="10" a="1"/>
  <c r="AD10" i="10" s="1"/>
  <c r="AA14" i="10" a="1"/>
  <c r="AA14" i="10" s="1"/>
  <c r="L10" i="10" a="1"/>
  <c r="L10" i="10" s="1"/>
  <c r="AM11" i="10" a="1"/>
  <c r="AM11" i="10" s="1"/>
  <c r="T9" i="10" a="1"/>
  <c r="T9" i="10" s="1"/>
  <c r="AI12" i="10" a="1"/>
  <c r="AI12" i="10" s="1"/>
  <c r="T7" i="10" a="1"/>
  <c r="T7" i="10" s="1"/>
  <c r="P11" i="10" a="1"/>
  <c r="P11" i="10" s="1"/>
  <c r="V9" i="10" a="1"/>
  <c r="V9" i="10" s="1"/>
  <c r="AD6" i="10" a="1"/>
  <c r="AD6" i="10" s="1"/>
  <c r="AF13" i="10" a="1"/>
  <c r="AF13" i="10" s="1"/>
  <c r="Q11" i="10" a="1"/>
  <c r="Q11" i="10" s="1"/>
  <c r="AE11" i="10" a="1"/>
  <c r="AE11" i="10" s="1"/>
  <c r="V11" i="10" a="1"/>
  <c r="V11" i="10" s="1"/>
  <c r="Y13" i="10" a="1"/>
  <c r="Y13" i="10" s="1"/>
  <c r="AL12" i="10" a="1"/>
  <c r="AL12" i="10" s="1"/>
  <c r="X13" i="10" a="1"/>
  <c r="X13" i="10" s="1"/>
  <c r="AI6" i="10" a="1"/>
  <c r="AI6" i="10" s="1"/>
  <c r="AM8" i="10" a="1"/>
  <c r="AM8" i="10" s="1"/>
  <c r="AJ6" i="10" a="1"/>
  <c r="AJ6" i="10" s="1"/>
  <c r="S8" i="10" a="1"/>
  <c r="S8" i="10" s="1"/>
  <c r="U13" i="10" a="1"/>
  <c r="U13" i="10" s="1"/>
  <c r="AJ12" i="10" a="1"/>
  <c r="AJ12" i="10" s="1"/>
  <c r="AC9" i="10" a="1"/>
  <c r="AC9" i="10" s="1"/>
  <c r="X7" i="10" a="1"/>
  <c r="X7" i="10" s="1"/>
  <c r="V12" i="10" a="1"/>
  <c r="V12" i="10" s="1"/>
  <c r="AK7" i="10" a="1"/>
  <c r="AK7" i="10" s="1"/>
  <c r="AF8" i="10" a="1"/>
  <c r="AF8" i="10" s="1"/>
  <c r="AH14" i="10" a="1"/>
  <c r="AH14" i="10" s="1"/>
  <c r="R13" i="10" a="1"/>
  <c r="R13" i="10" s="1"/>
  <c r="S12" i="10" a="1"/>
  <c r="S12" i="10" s="1"/>
  <c r="AC10" i="10" a="1"/>
  <c r="AC10" i="10" s="1"/>
  <c r="V7" i="10" a="1"/>
  <c r="V7" i="10" s="1"/>
  <c r="AO11" i="10" a="1"/>
  <c r="AO11" i="10" s="1"/>
  <c r="AE9" i="10" a="1"/>
  <c r="AE9" i="10" s="1"/>
  <c r="AA10" i="10" a="1"/>
  <c r="AA10" i="10" s="1"/>
  <c r="P12" i="10" a="1"/>
  <c r="P12" i="10" s="1"/>
  <c r="N14" i="10" a="1"/>
  <c r="N14" i="10" s="1"/>
  <c r="J14" i="10" s="1"/>
  <c r="AO9" i="10" a="1"/>
  <c r="AO9" i="10" s="1"/>
  <c r="AO12" i="10" a="1"/>
  <c r="AO12" i="10" s="1"/>
  <c r="Y9" i="10" a="1"/>
  <c r="Y9" i="10" s="1"/>
  <c r="AL7" i="10" a="1"/>
  <c r="AL7" i="10" s="1"/>
  <c r="AO14" i="10" a="1"/>
  <c r="AO14" i="10" s="1"/>
  <c r="AF14" i="10" a="1"/>
  <c r="AF14" i="10" s="1"/>
  <c r="AG10" i="10" a="1"/>
  <c r="AG10" i="10" s="1"/>
  <c r="AH13" i="10" a="1"/>
  <c r="AH13" i="10" s="1"/>
  <c r="Y11" i="10" a="1"/>
  <c r="Y11" i="10" s="1"/>
  <c r="M9" i="10" a="1"/>
  <c r="M9" i="10" s="1"/>
  <c r="AP6" i="10" a="1"/>
  <c r="AP6" i="10" s="1"/>
  <c r="X11" i="10" a="1"/>
  <c r="X11" i="10" s="1"/>
  <c r="AD14" i="10" a="1"/>
  <c r="AD14" i="10" s="1"/>
  <c r="R11" i="10" a="1"/>
  <c r="R11" i="10" s="1"/>
  <c r="AH12" i="10" a="1"/>
  <c r="AH12" i="10" s="1"/>
  <c r="S6" i="10" a="1"/>
  <c r="S6" i="10" s="1"/>
  <c r="AG14" i="10" a="1"/>
  <c r="AG14" i="10" s="1"/>
  <c r="U12" i="10" a="1"/>
  <c r="U12" i="10" s="1"/>
  <c r="Y8" i="10" a="1"/>
  <c r="Y8" i="10" s="1"/>
  <c r="M10" i="10" a="1"/>
  <c r="M10" i="10" s="1"/>
  <c r="AN12" i="10" a="1"/>
  <c r="AN12" i="10" s="1"/>
  <c r="N11" i="10" a="1"/>
  <c r="N11" i="10" s="1"/>
  <c r="S14" i="10" a="1"/>
  <c r="S14" i="10" s="1"/>
  <c r="AD8" i="10" a="1"/>
  <c r="AD8" i="10" s="1"/>
  <c r="AC14" i="10" a="1"/>
  <c r="AC14" i="10" s="1"/>
  <c r="P7" i="10" a="1"/>
  <c r="P7" i="10" s="1"/>
  <c r="AA11" i="10" a="1"/>
  <c r="AA11" i="10" s="1"/>
  <c r="AD11" i="10" a="1"/>
  <c r="AD11" i="10" s="1"/>
  <c r="AF11" i="10" a="1"/>
  <c r="AF11" i="10" s="1"/>
  <c r="AL13" i="10" a="1"/>
  <c r="AL13" i="10" s="1"/>
  <c r="Q13" i="10" a="1"/>
  <c r="Q13" i="10" s="1"/>
  <c r="T14" i="10" a="1"/>
  <c r="T14" i="10" s="1"/>
  <c r="AP8" i="10" a="1"/>
  <c r="AP8" i="10" s="1"/>
  <c r="AL11" i="10" a="1"/>
  <c r="AL11" i="10" s="1"/>
  <c r="AK6" i="10" a="1"/>
  <c r="AK6" i="10" s="1"/>
  <c r="AC8" i="10" a="1"/>
  <c r="AC8" i="10" s="1"/>
  <c r="AO6" i="10" a="1"/>
  <c r="AO6" i="10" s="1"/>
  <c r="AO8" i="10" a="1"/>
  <c r="AO8" i="10" s="1"/>
  <c r="X10" i="10" a="1"/>
  <c r="X10" i="10" s="1"/>
  <c r="P8" i="10" a="1"/>
  <c r="P8" i="10" s="1"/>
  <c r="AB6" i="10" a="1"/>
  <c r="AB6" i="10" s="1"/>
  <c r="AL10" i="10" a="1"/>
  <c r="AL10" i="10" s="1"/>
  <c r="AD9" i="10" a="1"/>
  <c r="AD9" i="10" s="1"/>
  <c r="M13" i="10" a="1"/>
  <c r="M13" i="10" s="1"/>
  <c r="W14" i="10" a="1"/>
  <c r="W14" i="10" s="1"/>
  <c r="Z8" i="10" a="1"/>
  <c r="Z8" i="10" s="1"/>
  <c r="Y10" i="10" a="1"/>
  <c r="Y10" i="10" s="1"/>
  <c r="AP7" i="10" a="1"/>
  <c r="AP7" i="10" s="1"/>
  <c r="O13" i="10" a="1"/>
  <c r="O13" i="10" s="1"/>
  <c r="AI14" i="10" a="1"/>
  <c r="AI14" i="10" s="1"/>
  <c r="AN9" i="10" a="1"/>
  <c r="AN9" i="10" s="1"/>
  <c r="AJ10" i="10" a="1"/>
  <c r="AJ10" i="10" s="1"/>
  <c r="Y12" i="10" a="1"/>
  <c r="Y12" i="10" s="1"/>
  <c r="AM12" i="10" a="1"/>
  <c r="AM12" i="10" s="1"/>
  <c r="R9" i="10" a="1"/>
  <c r="R9" i="10" s="1"/>
  <c r="AO7" i="10" a="1"/>
  <c r="AO7" i="10" s="1"/>
  <c r="S11" i="10" a="1"/>
  <c r="S11" i="10" s="1"/>
  <c r="R10" i="10" a="1"/>
  <c r="R10" i="10" s="1"/>
  <c r="AI10" i="10" a="1"/>
  <c r="AI10" i="10" s="1"/>
  <c r="AA8" i="10" a="1"/>
  <c r="AA8" i="10" s="1"/>
  <c r="AP12" i="10" a="1"/>
  <c r="AP12" i="10" s="1"/>
  <c r="S7" i="10" a="1"/>
  <c r="S7" i="10" s="1"/>
  <c r="W9" i="10" a="1"/>
  <c r="W9" i="10" s="1"/>
  <c r="U11" i="10" a="1"/>
  <c r="U11" i="10" s="1"/>
  <c r="AF7" i="10" a="1"/>
  <c r="AF7" i="10" s="1"/>
  <c r="O14" i="10" a="1"/>
  <c r="O14" i="10" s="1"/>
  <c r="AB14" i="10" a="1"/>
  <c r="AB14" i="10" s="1"/>
  <c r="L13" i="10" a="1"/>
  <c r="L13" i="10" s="1"/>
  <c r="Y6" i="10" a="1"/>
  <c r="Y6" i="10" s="1"/>
  <c r="X14" i="10" a="1"/>
  <c r="X14" i="10" s="1"/>
  <c r="AC13" i="10" a="1"/>
  <c r="AC13" i="10" s="1"/>
  <c r="AF9" i="10" a="1"/>
  <c r="AF9" i="10" s="1"/>
  <c r="W12" i="10" a="1"/>
  <c r="W12" i="10" s="1"/>
  <c r="AL6" i="10" a="1"/>
  <c r="AL6" i="10" s="1"/>
  <c r="M12" i="10" a="1"/>
  <c r="M12" i="10" s="1"/>
  <c r="O11" i="10" a="1"/>
  <c r="O11" i="10" s="1"/>
  <c r="L8" i="10" a="1"/>
  <c r="L8" i="10" s="1"/>
  <c r="AG7" i="10" a="1"/>
  <c r="AG7" i="10" s="1"/>
  <c r="AB11" i="10" a="1"/>
  <c r="AB11" i="10" s="1"/>
  <c r="AD13" i="10" a="1"/>
  <c r="AD13" i="10" s="1"/>
  <c r="U8" i="10" a="1"/>
  <c r="U8" i="10" s="1"/>
  <c r="Q8" i="10" a="1"/>
  <c r="Q8" i="10" s="1"/>
  <c r="V14" i="10" a="1"/>
  <c r="V14" i="10" s="1"/>
  <c r="AA7" i="10" a="1"/>
  <c r="AA7" i="10" s="1"/>
  <c r="W6" i="10" a="1"/>
  <c r="W6" i="10" s="1"/>
  <c r="O7" i="10" a="1"/>
  <c r="O7" i="10" s="1"/>
  <c r="V8" i="10" a="1"/>
  <c r="V8" i="10" s="1"/>
  <c r="AK11" i="10" a="1"/>
  <c r="AK11" i="10" s="1"/>
  <c r="R8" i="10" a="1"/>
  <c r="R8" i="10" s="1"/>
  <c r="AC11" i="10" a="1"/>
  <c r="AC11" i="10" s="1"/>
  <c r="AD7" i="10" a="1"/>
  <c r="AD7" i="10" s="1"/>
  <c r="P13" i="10" a="1"/>
  <c r="P13" i="10" s="1"/>
  <c r="AF12" i="10" a="1"/>
  <c r="AF12" i="10" s="1"/>
  <c r="AE14" i="10" a="1"/>
  <c r="AE14" i="10" s="1"/>
  <c r="AN10" i="10" a="1"/>
  <c r="AN10" i="10" s="1"/>
  <c r="W7" i="10" a="1"/>
  <c r="W7" i="10" s="1"/>
  <c r="W8" i="10" a="1"/>
  <c r="W8" i="10" s="1"/>
  <c r="AE6" i="10" a="1"/>
  <c r="AE6" i="10" s="1"/>
  <c r="AP9" i="10" a="1"/>
  <c r="AP9" i="10" s="1"/>
  <c r="AM14" i="10" a="1"/>
  <c r="AM14" i="10" s="1"/>
  <c r="Z10" i="10" a="1"/>
  <c r="Z10" i="10" s="1"/>
  <c r="AK12" i="10" a="1"/>
  <c r="AK12" i="10" s="1"/>
  <c r="Q7" i="10" a="1"/>
  <c r="Q7" i="10" s="1"/>
  <c r="AN11" i="10" a="1"/>
  <c r="AN11" i="10" s="1"/>
  <c r="P14" i="10" a="1"/>
  <c r="P14" i="10" s="1"/>
  <c r="R12" i="10" a="1"/>
  <c r="R12" i="10" s="1"/>
  <c r="Z14" i="10" a="1"/>
  <c r="Z14" i="10" s="1"/>
  <c r="AB12" i="10" a="1"/>
  <c r="AB12" i="10" s="1"/>
  <c r="O10" i="10" a="1"/>
  <c r="O10" i="10" s="1"/>
  <c r="AH7" i="10" a="1"/>
  <c r="AH7" i="10" s="1"/>
  <c r="AH8" i="10" a="1"/>
  <c r="AH8" i="10" s="1"/>
  <c r="S10" i="10" a="1"/>
  <c r="S10" i="10" s="1"/>
  <c r="T6" i="10" a="1"/>
  <c r="T6" i="10" s="1"/>
  <c r="M14" i="10" a="1"/>
  <c r="M14" i="10" s="1"/>
  <c r="AE13" i="10" a="1"/>
  <c r="AE13" i="10" s="1"/>
  <c r="X12" i="10" a="1"/>
  <c r="X12" i="10" s="1"/>
  <c r="L14" i="10" a="1"/>
  <c r="L14" i="10" s="1"/>
  <c r="AG13" i="10" a="1"/>
  <c r="AG13" i="10" s="1"/>
  <c r="W13" i="10" a="1"/>
  <c r="W13" i="10" s="1"/>
  <c r="Q14" i="10" a="1"/>
  <c r="Q14" i="10" s="1"/>
  <c r="N12" i="10" a="1"/>
  <c r="N12" i="10" s="1"/>
  <c r="Z11" i="10" a="1"/>
  <c r="Z11" i="10" s="1"/>
  <c r="AM6" i="10" a="1"/>
  <c r="AM6" i="10" s="1"/>
  <c r="V13" i="10" a="1"/>
  <c r="V13" i="10" s="1"/>
  <c r="AG12" i="10" a="1"/>
  <c r="AG12" i="10" s="1"/>
  <c r="AF6" i="10" a="1"/>
  <c r="AF6" i="10" s="1"/>
  <c r="Z6" i="10" a="1"/>
  <c r="Z6" i="10" s="1"/>
  <c r="N10" i="10" a="1"/>
  <c r="N10" i="10" s="1"/>
  <c r="Z9" i="10" a="1"/>
  <c r="Z9" i="10" s="1"/>
  <c r="Z7" i="10" a="1"/>
  <c r="Z7" i="10" s="1"/>
  <c r="AG6" i="10" a="1"/>
  <c r="AG6" i="10" s="1"/>
  <c r="AI11" i="10" a="1"/>
  <c r="AI11" i="10" s="1"/>
  <c r="Q10" i="10" a="1"/>
  <c r="Q10" i="10" s="1"/>
  <c r="AI9" i="10" a="1"/>
  <c r="AI9" i="10" s="1"/>
  <c r="M6" i="10" a="1"/>
  <c r="M6" i="10" s="1"/>
  <c r="Q9" i="10" a="1"/>
  <c r="Q9" i="10" s="1"/>
  <c r="O8" i="10" a="1"/>
  <c r="O8" i="10" s="1"/>
  <c r="AN7" i="10" a="1"/>
  <c r="AN7" i="10" s="1"/>
  <c r="AN8" i="10" a="1"/>
  <c r="AN8" i="10" s="1"/>
  <c r="AH10" i="10" a="1"/>
  <c r="AH10" i="10" s="1"/>
  <c r="P10" i="10" a="1"/>
  <c r="P10" i="10" s="1"/>
  <c r="R14" i="10" a="1"/>
  <c r="R14" i="10" s="1"/>
  <c r="AJ9" i="10" a="1"/>
  <c r="AJ9" i="10" s="1"/>
  <c r="AE7" i="10" a="1"/>
  <c r="AE7" i="10" s="1"/>
  <c r="AH11" i="10" a="1"/>
  <c r="AH11" i="10" s="1"/>
  <c r="L9" i="10" a="1"/>
  <c r="L9" i="10" s="1"/>
  <c r="T12" i="10" a="1"/>
  <c r="T12" i="10" s="1"/>
  <c r="AM7" i="10" a="1"/>
  <c r="AM7" i="10" s="1"/>
  <c r="AN14" i="10" a="1"/>
  <c r="AN14" i="10" s="1"/>
  <c r="AK14" i="10" a="1"/>
  <c r="AK14" i="10" s="1"/>
  <c r="AI8" i="10" a="1"/>
  <c r="AI8" i="10" s="1"/>
  <c r="AM10" i="10" a="1"/>
  <c r="AM10" i="10" s="1"/>
  <c r="E10" i="10" l="1"/>
  <c r="E9" i="10"/>
  <c r="D8" i="10"/>
  <c r="E6" i="10"/>
  <c r="E7" i="10"/>
  <c r="E8" i="10"/>
  <c r="C7" i="10"/>
  <c r="B6" i="10"/>
  <c r="C6" i="10"/>
  <c r="H14" i="10"/>
  <c r="D9" i="10"/>
  <c r="I7" i="10"/>
  <c r="C8" i="10"/>
  <c r="G10" i="10"/>
  <c r="J11" i="10"/>
  <c r="H13" i="10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<sst xmlns="http://schemas.openxmlformats.org/spreadsheetml/2006/main" count="159" uniqueCount="102">
  <si>
    <t>PS</t>
  </si>
  <si>
    <t>FS</t>
  </si>
  <si>
    <t>Temps de poste</t>
  </si>
  <si>
    <t>RP</t>
  </si>
  <si>
    <t>LOC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</si>
  <si>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</si>
  <si>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</si>
  <si>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</si>
  <si>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</si>
  <si>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</si>
  <si>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</si>
  <si>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</si>
  <si>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</si>
  <si>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</si>
  <si>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</si>
  <si>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</si>
  <si>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</si>
  <si>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Année</t>
  </si>
  <si>
    <t>Jours</t>
  </si>
  <si>
    <t>Dates</t>
  </si>
  <si>
    <t>Poste</t>
  </si>
  <si>
    <t>CM</t>
  </si>
  <si>
    <t>Temps EVO Paris</t>
  </si>
  <si>
    <t>Période de Jour</t>
  </si>
  <si>
    <t xml:space="preserve">Période de Nuit </t>
  </si>
  <si>
    <t>Coupé Non Coupé</t>
  </si>
  <si>
    <t>Temps Non Retenue (Evolution)</t>
  </si>
  <si>
    <t>RETOUR PARIS PSL</t>
  </si>
  <si>
    <t>10 en 12</t>
  </si>
  <si>
    <t>10 H de</t>
  </si>
  <si>
    <t>Temps Restant PSL</t>
  </si>
  <si>
    <t>LOC PSL</t>
  </si>
  <si>
    <t>CM PSL</t>
  </si>
  <si>
    <t>EVO</t>
  </si>
  <si>
    <t>Durée  Retenue</t>
  </si>
  <si>
    <t>Pause</t>
  </si>
  <si>
    <t>Durée Trajet</t>
  </si>
  <si>
    <t>Fin Service Paris</t>
  </si>
  <si>
    <t>Journée Travail Evo</t>
  </si>
  <si>
    <t>BC</t>
  </si>
  <si>
    <t>N°</t>
  </si>
  <si>
    <t>Relevé d'heure journalière</t>
  </si>
  <si>
    <t>Heures suppl.</t>
  </si>
  <si>
    <t>Durée réel Trajet</t>
  </si>
  <si>
    <t>FS Coupure Comprise</t>
  </si>
  <si>
    <t>type</t>
  </si>
  <si>
    <t>C</t>
  </si>
  <si>
    <t>RU</t>
  </si>
  <si>
    <t>Nom</t>
  </si>
  <si>
    <t>Poirier</t>
  </si>
  <si>
    <t>année</t>
  </si>
  <si>
    <t>mois</t>
  </si>
  <si>
    <t>Heures Supp</t>
  </si>
  <si>
    <t>negatif</t>
  </si>
  <si>
    <t>solde</t>
  </si>
  <si>
    <t xml:space="preserve">nom </t>
  </si>
  <si>
    <t>POIRIER</t>
  </si>
  <si>
    <t>Mois</t>
  </si>
  <si>
    <t>ANNEE</t>
  </si>
  <si>
    <t>08:00</t>
  </si>
  <si>
    <t>13:00</t>
  </si>
  <si>
    <t/>
  </si>
  <si>
    <t>M</t>
  </si>
  <si>
    <t xml:space="preserve">POSTE </t>
  </si>
  <si>
    <t>EVO PSL</t>
  </si>
  <si>
    <t>poste pause comprise</t>
  </si>
  <si>
    <t>BC PSL</t>
  </si>
  <si>
    <t>10 EN 12</t>
  </si>
  <si>
    <t>NON</t>
  </si>
  <si>
    <t>OUI</t>
  </si>
  <si>
    <t>cm</t>
  </si>
  <si>
    <t>MOIS</t>
  </si>
  <si>
    <t>ID</t>
  </si>
  <si>
    <t>HOTEL</t>
  </si>
  <si>
    <t>PERSONNEL</t>
  </si>
  <si>
    <t>TOURS</t>
  </si>
  <si>
    <t>PARIS</t>
  </si>
  <si>
    <t>NP</t>
  </si>
  <si>
    <t>Ma</t>
  </si>
  <si>
    <t>M PSL</t>
  </si>
  <si>
    <t>NP PSL</t>
  </si>
  <si>
    <t>Coupé</t>
  </si>
  <si>
    <t>EVO ENGIN</t>
  </si>
  <si>
    <t>PS Engin</t>
  </si>
  <si>
    <t>12:00</t>
  </si>
  <si>
    <t>POSTE  TENU</t>
  </si>
  <si>
    <t>DATE</t>
  </si>
  <si>
    <t>DEBUT PAUSE</t>
  </si>
  <si>
    <t>FIN PAUSE</t>
  </si>
  <si>
    <t xml:space="preserve"> EVO DEPART</t>
  </si>
  <si>
    <t>EVO ARRIVEE</t>
  </si>
  <si>
    <t>TEMPS DE REPOS</t>
  </si>
  <si>
    <t>POSTE EVO PSL</t>
  </si>
  <si>
    <t>DEBUT REPOS PARIS</t>
  </si>
  <si>
    <t>FS PARIS  Engin Coupure Comprise</t>
  </si>
  <si>
    <t>08:45</t>
  </si>
  <si>
    <t>19:01</t>
  </si>
  <si>
    <t>CAEN</t>
  </si>
  <si>
    <t>FS Engin</t>
  </si>
  <si>
    <t>16:45</t>
  </si>
  <si>
    <t>12:30</t>
  </si>
  <si>
    <t>NEVERS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</si>
</sst>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9">
    <numFmt numFmtId="164" formatCode="\-[h]:mm"/>
    <numFmt numFmtId="165" formatCode="[h]:mm"/>
    <numFmt numFmtId="166" formatCode="h:mm;@"/>
    <numFmt numFmtId="167" formatCode="[$-F400]h:mm:ss\ AM/PM"/>
    <numFmt numFmtId="168" formatCode="ddd\ dd/mm/yyyy"/>
    <numFmt numFmtId="169" formatCode="dd/mm/yy;@"/>
    <numFmt numFmtId="170" formatCode="mmmm"/>
    <numFmt numFmtId="172" formatCode="[$-F800]dddd\,\ mmmm\ dd\,\ yyyy"/>
    <numFmt numFmtId="175" formatCode="h:mm"/>
  </numFmts>
  <fonts count="2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39">
    <border>
      <left/>
      <right/>
      <top/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ashed">
        <color auto="1"/>
      </left>
      <right style="dashed">
        <color auto="1"/>
      </right>
      <top style="thin">
        <color indexed="64"/>
      </top>
      <bottom/>
      <diagonal/>
    </border>
    <border>
      <left style="dashed">
        <color auto="1"/>
      </left>
      <right/>
      <top style="thin">
        <color indexed="64"/>
      </top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ashed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ashed">
        <color auto="1"/>
      </right>
      <top style="thin">
        <color indexed="64"/>
      </top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 style="dotted">
        <color auto="1"/>
      </right>
      <top style="thin">
        <color indexed="64"/>
      </top>
      <bottom/>
      <diagonal/>
    </border>
    <border>
      <left style="dashed">
        <color auto="1"/>
      </left>
      <right style="dotted">
        <color auto="1"/>
      </right>
      <top/>
      <bottom/>
      <diagonal/>
    </border>
    <border>
      <left style="thin">
        <color indexed="64"/>
      </left>
      <right style="dashed">
        <color indexed="64"/>
      </right>
      <top style="thin">
        <color indexed="64"/>
      </top>
      <bottom/>
      <diagonal/>
    </border>
    <border>
      <left style="thin">
        <color indexed="64"/>
      </left>
      <right style="dashed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dashed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/>
      <top style="thin">
        <color indexed="64"/>
      </top>
      <bottom/>
      <diagonal/>
    </border>
    <border>
      <left style="dotted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thin">
        <color auto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thin">
        <color indexed="64"/>
      </right>
      <top/>
      <bottom/>
      <diagonal/>
    </border>
    <border>
      <left style="thin">
        <color indexed="64"/>
      </left>
      <right style="hair">
        <color auto="1"/>
      </right>
      <top/>
      <bottom/>
      <diagonal/>
    </border>
    <border>
      <left style="hair">
        <color auto="1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72">
    <xf numFmtId="0" fontId="0" fillId="0" borderId="0" xfId="0"/>
    <xf numFmtId="0" fontId="3" fillId="0" borderId="0" xfId="0" applyFont="1"/>
    <xf numFmtId="0" fontId="4" fillId="0" borderId="0" xfId="0" applyFont="1" applyAlignment="1">
      <alignment horizontal="center"/>
    </xf>
    <xf numFmtId="168" fontId="4" fillId="0" borderId="0" xfId="0" applyNumberFormat="1" applyFont="1" applyAlignment="1">
      <alignment horizontal="center"/>
    </xf>
    <xf numFmtId="0" fontId="4" fillId="0" borderId="6" xfId="0" applyFont="1" applyBorder="1" applyAlignment="1">
      <alignment horizontal="center" vertical="center"/>
    </xf>
    <xf numFmtId="168" fontId="4" fillId="0" borderId="7" xfId="0" applyNumberFormat="1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168" fontId="4" fillId="0" borderId="9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20" fontId="7" fillId="0" borderId="3" xfId="0" applyNumberFormat="1" applyFont="1" applyBorder="1" applyAlignment="1">
      <alignment horizontal="center" vertical="center"/>
    </xf>
    <xf numFmtId="20" fontId="9" fillId="0" borderId="3" xfId="0" applyNumberFormat="1" applyFont="1" applyBorder="1" applyAlignment="1">
      <alignment horizontal="center" vertical="center"/>
    </xf>
    <xf numFmtId="0" fontId="10" fillId="3" borderId="12" xfId="0" applyFont="1" applyFill="1" applyBorder="1" applyAlignment="1">
      <alignment horizontal="center" vertical="center"/>
    </xf>
    <xf numFmtId="165" fontId="10" fillId="3" borderId="12" xfId="0" applyNumberFormat="1" applyFont="1" applyFill="1" applyBorder="1" applyAlignment="1">
      <alignment horizontal="center" vertical="center"/>
    </xf>
    <xf numFmtId="165" fontId="10" fillId="3" borderId="10" xfId="0" applyNumberFormat="1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" fillId="0" borderId="0" xfId="1"/>
    <xf numFmtId="0" fontId="1" fillId="2" borderId="0" xfId="1" applyFill="1" applyAlignment="1">
      <alignment horizontal="center" vertical="center"/>
    </xf>
    <xf numFmtId="0" fontId="4" fillId="3" borderId="3" xfId="1" applyFont="1" applyFill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14" fillId="5" borderId="0" xfId="1" applyFont="1" applyFill="1"/>
    <xf numFmtId="0" fontId="0" fillId="3" borderId="0" xfId="0" applyFill="1" applyBorder="1" applyAlignment="1">
      <alignment horizontal="center" vertical="center"/>
    </xf>
    <xf numFmtId="0" fontId="0" fillId="3" borderId="0" xfId="0" applyFill="1"/>
    <xf numFmtId="0" fontId="1" fillId="3" borderId="0" xfId="1" applyFill="1"/>
    <xf numFmtId="0" fontId="0" fillId="3" borderId="0" xfId="0" applyFill="1" applyAlignment="1">
      <alignment horizontal="center" vertical="center"/>
    </xf>
    <xf numFmtId="0" fontId="7" fillId="3" borderId="0" xfId="0" applyFont="1" applyFill="1"/>
    <xf numFmtId="0" fontId="16" fillId="6" borderId="3" xfId="1" applyFont="1" applyFill="1" applyBorder="1" applyAlignment="1">
      <alignment horizontal="center" vertical="center" wrapText="1"/>
    </xf>
    <xf numFmtId="0" fontId="16" fillId="6" borderId="3" xfId="1" applyFont="1" applyFill="1" applyBorder="1"/>
    <xf numFmtId="0" fontId="16" fillId="5" borderId="0" xfId="1" applyFont="1" applyFill="1"/>
    <xf numFmtId="0" fontId="16" fillId="4" borderId="3" xfId="1" applyFont="1" applyFill="1" applyBorder="1" applyAlignment="1">
      <alignment horizontal="center" vertical="center" wrapText="1"/>
    </xf>
    <xf numFmtId="0" fontId="16" fillId="5" borderId="0" xfId="1" applyFont="1" applyFill="1" applyAlignment="1">
      <alignment horizontal="center" vertical="center" wrapText="1"/>
    </xf>
    <xf numFmtId="165" fontId="16" fillId="4" borderId="3" xfId="1" applyNumberFormat="1" applyFont="1" applyFill="1" applyBorder="1" applyAlignment="1">
      <alignment horizontal="center" vertical="center"/>
    </xf>
    <xf numFmtId="164" fontId="16" fillId="4" borderId="3" xfId="1" applyNumberFormat="1" applyFont="1" applyFill="1" applyBorder="1" applyAlignment="1">
      <alignment horizontal="center" vertical="center"/>
    </xf>
    <xf numFmtId="0" fontId="16" fillId="4" borderId="3" xfId="1" applyFont="1" applyFill="1" applyBorder="1"/>
    <xf numFmtId="0" fontId="1" fillId="3" borderId="0" xfId="1" applyFill="1" applyBorder="1"/>
    <xf numFmtId="0" fontId="15" fillId="3" borderId="0" xfId="1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 wrapText="1"/>
    </xf>
    <xf numFmtId="0" fontId="7" fillId="4" borderId="15" xfId="0" applyFont="1" applyFill="1" applyBorder="1" applyAlignment="1">
      <alignment horizontal="center" vertical="center" wrapText="1"/>
    </xf>
    <xf numFmtId="0" fontId="7" fillId="4" borderId="15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64" fontId="8" fillId="2" borderId="3" xfId="0" applyNumberFormat="1" applyFont="1" applyFill="1" applyBorder="1" applyAlignment="1">
      <alignment horizontal="center" vertical="center" wrapText="1"/>
    </xf>
    <xf numFmtId="0" fontId="16" fillId="6" borderId="3" xfId="1" applyFont="1" applyFill="1" applyBorder="1" applyAlignment="1">
      <alignment horizontal="center" vertical="center"/>
    </xf>
    <xf numFmtId="0" fontId="16" fillId="6" borderId="16" xfId="1" applyFont="1" applyFill="1" applyBorder="1" applyAlignment="1">
      <alignment horizontal="center" vertical="center" wrapText="1"/>
    </xf>
    <xf numFmtId="0" fontId="16" fillId="5" borderId="17" xfId="1" applyFont="1" applyFill="1" applyBorder="1" applyAlignment="1">
      <alignment horizontal="center" vertical="center" wrapText="1"/>
    </xf>
    <xf numFmtId="0" fontId="16" fillId="5" borderId="0" xfId="1" applyFont="1" applyFill="1" applyBorder="1"/>
    <xf numFmtId="165" fontId="16" fillId="4" borderId="16" xfId="1" applyNumberFormat="1" applyFont="1" applyFill="1" applyBorder="1" applyAlignment="1">
      <alignment horizontal="center" vertical="center"/>
    </xf>
    <xf numFmtId="0" fontId="16" fillId="4" borderId="16" xfId="1" applyFont="1" applyFill="1" applyBorder="1" applyAlignment="1">
      <alignment horizontal="center"/>
    </xf>
    <xf numFmtId="0" fontId="16" fillId="4" borderId="16" xfId="1" applyFont="1" applyFill="1" applyBorder="1"/>
    <xf numFmtId="0" fontId="17" fillId="0" borderId="0" xfId="0" applyFont="1"/>
    <xf numFmtId="0" fontId="18" fillId="2" borderId="0" xfId="0" applyFont="1" applyFill="1" applyAlignment="1">
      <alignment horizontal="center" vertical="center"/>
    </xf>
    <xf numFmtId="0" fontId="1" fillId="0" borderId="3" xfId="1" applyFill="1" applyBorder="1" applyAlignment="1">
      <alignment horizontal="center" vertical="center"/>
    </xf>
    <xf numFmtId="0" fontId="4" fillId="0" borderId="3" xfId="1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4" fillId="0" borderId="3" xfId="1" quotePrefix="1" applyFont="1" applyFill="1" applyBorder="1" applyAlignment="1">
      <alignment horizontal="center" vertical="center"/>
    </xf>
    <xf numFmtId="169" fontId="10" fillId="3" borderId="2" xfId="0" applyNumberFormat="1" applyFont="1" applyFill="1" applyBorder="1" applyAlignment="1">
      <alignment horizontal="center" vertical="center"/>
    </xf>
    <xf numFmtId="165" fontId="10" fillId="3" borderId="11" xfId="0" applyNumberFormat="1" applyFont="1" applyFill="1" applyBorder="1" applyAlignment="1">
      <alignment horizontal="center" vertical="center"/>
    </xf>
    <xf numFmtId="165" fontId="20" fillId="3" borderId="2" xfId="0" applyNumberFormat="1" applyFont="1" applyFill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20" fontId="9" fillId="0" borderId="0" xfId="0" applyNumberFormat="1" applyFont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 wrapText="1"/>
    </xf>
    <xf numFmtId="20" fontId="20" fillId="2" borderId="3" xfId="0" applyNumberFormat="1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165" fontId="10" fillId="3" borderId="19" xfId="0" applyNumberFormat="1" applyFont="1" applyFill="1" applyBorder="1" applyAlignment="1">
      <alignment horizontal="center" vertical="center" wrapText="1"/>
    </xf>
    <xf numFmtId="0" fontId="0" fillId="0" borderId="3" xfId="0" applyBorder="1"/>
    <xf numFmtId="0" fontId="0" fillId="3" borderId="0" xfId="0" applyFill="1" applyAlignment="1">
      <alignment horizontal="left"/>
    </xf>
    <xf numFmtId="0" fontId="13" fillId="0" borderId="0" xfId="0" applyFont="1" applyBorder="1" applyAlignment="1">
      <alignment vertical="center"/>
    </xf>
    <xf numFmtId="20" fontId="21" fillId="3" borderId="3" xfId="1" applyNumberFormat="1" applyFont="1" applyFill="1" applyBorder="1" applyAlignment="1">
      <alignment horizontal="center" vertical="center" wrapText="1"/>
    </xf>
    <xf numFmtId="20" fontId="21" fillId="3" borderId="3" xfId="1" applyNumberFormat="1" applyFont="1" applyFill="1" applyBorder="1" applyAlignment="1">
      <alignment horizontal="center" vertical="center"/>
    </xf>
    <xf numFmtId="1" fontId="0" fillId="0" borderId="0" xfId="0" applyNumberFormat="1"/>
    <xf numFmtId="0" fontId="12" fillId="0" borderId="23" xfId="0" applyFont="1" applyBorder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0" fontId="0" fillId="0" borderId="0" xfId="0" applyNumberFormat="1"/>
    <xf numFmtId="0" fontId="22" fillId="3" borderId="3" xfId="0" applyFont="1" applyFill="1" applyBorder="1" applyAlignment="1">
      <alignment horizontal="center" vertical="center"/>
    </xf>
    <xf numFmtId="0" fontId="17" fillId="0" borderId="3" xfId="0" applyFont="1" applyBorder="1"/>
    <xf numFmtId="0" fontId="0" fillId="0" borderId="3" xfId="0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 wrapText="1"/>
    </xf>
    <xf numFmtId="14" fontId="0" fillId="0" borderId="3" xfId="0" applyNumberFormat="1" applyBorder="1"/>
    <xf numFmtId="1" fontId="6" fillId="3" borderId="0" xfId="0" applyNumberFormat="1" applyFont="1" applyFill="1" applyBorder="1" applyAlignment="1">
      <alignment horizontal="center" vertical="center"/>
    </xf>
    <xf numFmtId="165" fontId="20" fillId="7" borderId="11" xfId="0" applyNumberFormat="1" applyFont="1" applyFill="1" applyBorder="1" applyAlignment="1">
      <alignment horizontal="center" vertical="center"/>
    </xf>
    <xf numFmtId="165" fontId="20" fillId="3" borderId="1" xfId="0" applyNumberFormat="1" applyFont="1" applyFill="1" applyBorder="1" applyAlignment="1">
      <alignment horizontal="center" vertical="center"/>
    </xf>
    <xf numFmtId="20" fontId="10" fillId="3" borderId="10" xfId="0" applyNumberFormat="1" applyFont="1" applyFill="1" applyBorder="1" applyAlignment="1">
      <alignment horizontal="center" vertical="center"/>
    </xf>
    <xf numFmtId="0" fontId="10" fillId="3" borderId="14" xfId="0" applyNumberFormat="1" applyFont="1" applyFill="1" applyBorder="1" applyAlignment="1">
      <alignment horizontal="center" vertical="center"/>
    </xf>
    <xf numFmtId="165" fontId="20" fillId="3" borderId="11" xfId="0" applyNumberFormat="1" applyFont="1" applyFill="1" applyBorder="1" applyAlignment="1">
      <alignment horizontal="center" vertical="center"/>
    </xf>
    <xf numFmtId="165" fontId="10" fillId="3" borderId="11" xfId="0" applyNumberFormat="1" applyFont="1" applyFill="1" applyBorder="1" applyAlignment="1">
      <alignment horizontal="center" vertical="center" wrapText="1"/>
    </xf>
    <xf numFmtId="165" fontId="20" fillId="7" borderId="12" xfId="0" applyNumberFormat="1" applyFont="1" applyFill="1" applyBorder="1" applyAlignment="1">
      <alignment horizontal="center" vertical="center"/>
    </xf>
    <xf numFmtId="20" fontId="6" fillId="2" borderId="6" xfId="0" applyNumberFormat="1" applyFont="1" applyFill="1" applyBorder="1" applyAlignment="1">
      <alignment horizontal="center" vertical="center" wrapText="1"/>
    </xf>
    <xf numFmtId="166" fontId="20" fillId="9" borderId="25" xfId="0" applyNumberFormat="1" applyFont="1" applyFill="1" applyBorder="1" applyAlignment="1">
      <alignment horizontal="center" vertical="center"/>
    </xf>
    <xf numFmtId="166" fontId="20" fillId="9" borderId="14" xfId="0" applyNumberFormat="1" applyFont="1" applyFill="1" applyBorder="1" applyAlignment="1">
      <alignment horizontal="center" vertical="center"/>
    </xf>
    <xf numFmtId="166" fontId="20" fillId="9" borderId="3" xfId="0" applyNumberFormat="1" applyFont="1" applyFill="1" applyBorder="1" applyAlignment="1">
      <alignment horizontal="center" vertical="center" wrapText="1"/>
    </xf>
    <xf numFmtId="20" fontId="5" fillId="6" borderId="28" xfId="0" applyNumberFormat="1" applyFont="1" applyFill="1" applyBorder="1" applyAlignment="1">
      <alignment horizontal="center" vertical="center" wrapText="1"/>
    </xf>
    <xf numFmtId="20" fontId="5" fillId="6" borderId="27" xfId="0" applyNumberFormat="1" applyFont="1" applyFill="1" applyBorder="1" applyAlignment="1">
      <alignment horizontal="center" vertical="center" wrapText="1"/>
    </xf>
    <xf numFmtId="0" fontId="23" fillId="0" borderId="0" xfId="0" applyFont="1"/>
    <xf numFmtId="0" fontId="10" fillId="3" borderId="3" xfId="0" applyFont="1" applyFill="1" applyBorder="1" applyAlignment="1">
      <alignment horizontal="center" vertical="center" wrapText="1"/>
    </xf>
    <xf numFmtId="0" fontId="10" fillId="3" borderId="3" xfId="0" applyNumberFormat="1" applyFont="1" applyFill="1" applyBorder="1" applyAlignment="1">
      <alignment horizontal="center" vertical="center" wrapText="1"/>
    </xf>
    <xf numFmtId="0" fontId="10" fillId="3" borderId="1" xfId="0" applyNumberFormat="1" applyFont="1" applyFill="1" applyBorder="1" applyAlignment="1">
      <alignment horizontal="center" vertical="center"/>
    </xf>
    <xf numFmtId="0" fontId="10" fillId="3" borderId="13" xfId="0" applyNumberFormat="1" applyFont="1" applyFill="1" applyBorder="1" applyAlignment="1">
      <alignment horizontal="center" vertical="center"/>
    </xf>
    <xf numFmtId="164" fontId="8" fillId="8" borderId="3" xfId="0" applyNumberFormat="1" applyFont="1" applyFill="1" applyBorder="1" applyAlignment="1">
      <alignment horizontal="center" vertical="center" wrapText="1"/>
    </xf>
    <xf numFmtId="164" fontId="8" fillId="8" borderId="3" xfId="0" applyNumberFormat="1" applyFont="1" applyFill="1" applyBorder="1" applyAlignment="1">
      <alignment horizontal="center" vertical="center"/>
    </xf>
    <xf numFmtId="164" fontId="8" fillId="8" borderId="33" xfId="0" applyNumberFormat="1" applyFont="1" applyFill="1" applyBorder="1" applyAlignment="1">
      <alignment horizontal="center" vertical="center"/>
    </xf>
    <xf numFmtId="164" fontId="8" fillId="8" borderId="14" xfId="0" applyNumberFormat="1" applyFont="1" applyFill="1" applyBorder="1" applyAlignment="1">
      <alignment horizontal="center" vertical="center"/>
    </xf>
    <xf numFmtId="0" fontId="20" fillId="9" borderId="3" xfId="0" applyFont="1" applyFill="1" applyBorder="1" applyAlignment="1">
      <alignment horizontal="center" vertical="center" wrapText="1"/>
    </xf>
    <xf numFmtId="164" fontId="20" fillId="9" borderId="25" xfId="0" applyNumberFormat="1" applyFont="1" applyFill="1" applyBorder="1" applyAlignment="1">
      <alignment horizontal="center" vertical="center" wrapText="1"/>
    </xf>
    <xf numFmtId="164" fontId="20" fillId="9" borderId="3" xfId="0" applyNumberFormat="1" applyFont="1" applyFill="1" applyBorder="1" applyAlignment="1">
      <alignment horizontal="center" vertical="center" wrapText="1"/>
    </xf>
    <xf numFmtId="165" fontId="20" fillId="9" borderId="12" xfId="0" applyNumberFormat="1" applyFont="1" applyFill="1" applyBorder="1" applyAlignment="1">
      <alignment horizontal="center" vertical="center"/>
    </xf>
    <xf numFmtId="165" fontId="20" fillId="9" borderId="2" xfId="0" applyNumberFormat="1" applyFont="1" applyFill="1" applyBorder="1" applyAlignment="1">
      <alignment horizontal="center" vertical="center"/>
    </xf>
    <xf numFmtId="165" fontId="20" fillId="9" borderId="13" xfId="0" applyNumberFormat="1" applyFont="1" applyFill="1" applyBorder="1" applyAlignment="1">
      <alignment horizontal="center" vertical="center" wrapText="1"/>
    </xf>
    <xf numFmtId="165" fontId="20" fillId="9" borderId="13" xfId="0" applyNumberFormat="1" applyFont="1" applyFill="1" applyBorder="1" applyAlignment="1">
      <alignment horizontal="center" vertical="center"/>
    </xf>
    <xf numFmtId="165" fontId="20" fillId="9" borderId="18" xfId="0" applyNumberFormat="1" applyFont="1" applyFill="1" applyBorder="1" applyAlignment="1">
      <alignment horizontal="center" vertical="center"/>
    </xf>
    <xf numFmtId="166" fontId="20" fillId="9" borderId="11" xfId="0" applyNumberFormat="1" applyFont="1" applyFill="1" applyBorder="1" applyAlignment="1">
      <alignment horizontal="center" vertical="center"/>
    </xf>
    <xf numFmtId="20" fontId="10" fillId="3" borderId="9" xfId="0" applyNumberFormat="1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 wrapText="1"/>
    </xf>
    <xf numFmtId="20" fontId="5" fillId="6" borderId="24" xfId="0" applyNumberFormat="1" applyFont="1" applyFill="1" applyBorder="1" applyAlignment="1">
      <alignment horizontal="center" vertical="center"/>
    </xf>
    <xf numFmtId="20" fontId="5" fillId="6" borderId="13" xfId="0" applyNumberFormat="1" applyFont="1" applyFill="1" applyBorder="1" applyAlignment="1">
      <alignment horizontal="center" vertical="center"/>
    </xf>
    <xf numFmtId="172" fontId="13" fillId="0" borderId="0" xfId="0" applyNumberFormat="1" applyFont="1" applyBorder="1" applyAlignment="1">
      <alignment vertical="center"/>
    </xf>
    <xf numFmtId="172" fontId="10" fillId="3" borderId="3" xfId="0" applyNumberFormat="1" applyFont="1" applyFill="1" applyBorder="1" applyAlignment="1">
      <alignment horizontal="center" vertical="center" wrapText="1"/>
    </xf>
    <xf numFmtId="172" fontId="0" fillId="0" borderId="0" xfId="0" applyNumberFormat="1"/>
    <xf numFmtId="164" fontId="24" fillId="3" borderId="7" xfId="0" applyNumberFormat="1" applyFont="1" applyFill="1" applyBorder="1" applyAlignment="1">
      <alignment horizontal="center" vertical="center" wrapText="1"/>
    </xf>
    <xf numFmtId="0" fontId="10" fillId="3" borderId="12" xfId="0" applyNumberFormat="1" applyFont="1" applyFill="1" applyBorder="1" applyAlignment="1">
      <alignment horizontal="center" vertical="center"/>
    </xf>
    <xf numFmtId="0" fontId="10" fillId="3" borderId="2" xfId="0" applyNumberFormat="1" applyFont="1" applyFill="1" applyBorder="1" applyAlignment="1">
      <alignment horizontal="center" vertical="center"/>
    </xf>
    <xf numFmtId="0" fontId="10" fillId="3" borderId="6" xfId="0" applyNumberFormat="1" applyFont="1" applyFill="1" applyBorder="1" applyAlignment="1">
      <alignment horizontal="center" vertical="center" wrapText="1"/>
    </xf>
    <xf numFmtId="0" fontId="10" fillId="3" borderId="8" xfId="0" applyNumberFormat="1" applyFont="1" applyFill="1" applyBorder="1" applyAlignment="1">
      <alignment horizontal="center" vertical="center"/>
    </xf>
    <xf numFmtId="0" fontId="10" fillId="3" borderId="26" xfId="0" applyNumberFormat="1" applyFont="1" applyFill="1" applyBorder="1" applyAlignment="1">
      <alignment horizontal="center" vertical="center"/>
    </xf>
    <xf numFmtId="172" fontId="10" fillId="3" borderId="25" xfId="0" applyNumberFormat="1" applyFont="1" applyFill="1" applyBorder="1" applyAlignment="1">
      <alignment horizontal="left" vertical="center"/>
    </xf>
    <xf numFmtId="165" fontId="10" fillId="10" borderId="14" xfId="0" applyNumberFormat="1" applyFont="1" applyFill="1" applyBorder="1" applyAlignment="1">
      <alignment horizontal="center" vertical="center"/>
    </xf>
    <xf numFmtId="165" fontId="10" fillId="10" borderId="25" xfId="0" applyNumberFormat="1" applyFont="1" applyFill="1" applyBorder="1" applyAlignment="1">
      <alignment horizontal="center" vertical="center"/>
    </xf>
    <xf numFmtId="164" fontId="20" fillId="9" borderId="6" xfId="0" applyNumberFormat="1" applyFont="1" applyFill="1" applyBorder="1" applyAlignment="1">
      <alignment horizontal="center" vertical="center" wrapText="1"/>
    </xf>
    <xf numFmtId="165" fontId="20" fillId="9" borderId="8" xfId="0" applyNumberFormat="1" applyFont="1" applyFill="1" applyBorder="1" applyAlignment="1">
      <alignment horizontal="center" vertical="center"/>
    </xf>
    <xf numFmtId="20" fontId="20" fillId="9" borderId="25" xfId="0" applyNumberFormat="1" applyFont="1" applyFill="1" applyBorder="1" applyAlignment="1">
      <alignment horizontal="center" vertical="center"/>
    </xf>
    <xf numFmtId="20" fontId="10" fillId="10" borderId="3" xfId="0" applyNumberFormat="1" applyFont="1" applyFill="1" applyBorder="1" applyAlignment="1">
      <alignment horizontal="center" vertical="center" wrapText="1"/>
    </xf>
    <xf numFmtId="14" fontId="15" fillId="3" borderId="0" xfId="1" applyNumberFormat="1" applyFont="1" applyFill="1" applyBorder="1" applyAlignment="1">
      <alignment horizontal="center" vertical="center" textRotation="90"/>
    </xf>
    <xf numFmtId="20" fontId="0" fillId="0" borderId="0" xfId="0" applyNumberFormat="1"/>
    <xf numFmtId="170" fontId="0" fillId="3" borderId="0" xfId="0" applyNumberFormat="1" applyFill="1" applyAlignment="1">
      <alignment horizontal="center" vertical="center"/>
    </xf>
    <xf numFmtId="20" fontId="7" fillId="0" borderId="3" xfId="0" applyNumberFormat="1" applyFont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167" fontId="5" fillId="2" borderId="3" xfId="0" applyNumberFormat="1" applyFont="1" applyFill="1" applyBorder="1" applyAlignment="1">
      <alignment horizontal="center" vertical="center"/>
    </xf>
    <xf numFmtId="20" fontId="9" fillId="0" borderId="3" xfId="0" applyNumberFormat="1" applyFont="1" applyBorder="1" applyAlignment="1">
      <alignment horizontal="center" vertical="center"/>
    </xf>
    <xf numFmtId="16" fontId="5" fillId="2" borderId="3" xfId="0" applyNumberFormat="1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 wrapText="1"/>
    </xf>
    <xf numFmtId="175" fontId="13" fillId="0" borderId="0" xfId="0" applyNumberFormat="1" applyFont="1" applyBorder="1" applyAlignment="1">
      <alignment vertical="center"/>
    </xf>
    <xf numFmtId="175" fontId="5" fillId="6" borderId="6" xfId="0" applyNumberFormat="1" applyFont="1" applyFill="1" applyBorder="1" applyAlignment="1">
      <alignment horizontal="center" vertical="center" wrapText="1"/>
    </xf>
    <xf numFmtId="175" fontId="5" fillId="6" borderId="15" xfId="0" applyNumberFormat="1" applyFont="1" applyFill="1" applyBorder="1" applyAlignment="1">
      <alignment horizontal="center" vertical="center" wrapText="1"/>
    </xf>
    <xf numFmtId="175" fontId="5" fillId="6" borderId="28" xfId="0" applyNumberFormat="1" applyFont="1" applyFill="1" applyBorder="1" applyAlignment="1">
      <alignment horizontal="center" vertical="center" wrapText="1"/>
    </xf>
    <xf numFmtId="175" fontId="5" fillId="6" borderId="27" xfId="0" applyNumberFormat="1" applyFont="1" applyFill="1" applyBorder="1" applyAlignment="1">
      <alignment horizontal="center" vertical="center" wrapText="1"/>
    </xf>
    <xf numFmtId="175" fontId="5" fillId="6" borderId="20" xfId="0" applyNumberFormat="1" applyFont="1" applyFill="1" applyBorder="1" applyAlignment="1">
      <alignment horizontal="center" vertical="center"/>
    </xf>
    <xf numFmtId="175" fontId="5" fillId="6" borderId="21" xfId="0" applyNumberFormat="1" applyFont="1" applyFill="1" applyBorder="1" applyAlignment="1">
      <alignment horizontal="center" vertical="center"/>
    </xf>
    <xf numFmtId="175" fontId="5" fillId="6" borderId="29" xfId="0" applyNumberFormat="1" applyFont="1" applyFill="1" applyBorder="1" applyAlignment="1">
      <alignment horizontal="center" vertical="center"/>
    </xf>
    <xf numFmtId="175" fontId="5" fillId="6" borderId="22" xfId="0" applyNumberFormat="1" applyFont="1" applyFill="1" applyBorder="1" applyAlignment="1">
      <alignment horizontal="center" vertical="center"/>
    </xf>
    <xf numFmtId="175" fontId="5" fillId="6" borderId="30" xfId="0" applyNumberFormat="1" applyFont="1" applyFill="1" applyBorder="1" applyAlignment="1">
      <alignment horizontal="center" vertical="center"/>
    </xf>
    <xf numFmtId="175" fontId="5" fillId="6" borderId="1" xfId="0" applyNumberFormat="1" applyFont="1" applyFill="1" applyBorder="1" applyAlignment="1">
      <alignment horizontal="center" vertical="center"/>
    </xf>
    <xf numFmtId="175" fontId="5" fillId="6" borderId="36" xfId="0" applyNumberFormat="1" applyFont="1" applyFill="1" applyBorder="1" applyAlignment="1">
      <alignment horizontal="center" vertical="center"/>
    </xf>
    <xf numFmtId="175" fontId="5" fillId="6" borderId="2" xfId="0" applyNumberFormat="1" applyFont="1" applyFill="1" applyBorder="1" applyAlignment="1">
      <alignment horizontal="center" vertical="center"/>
    </xf>
    <xf numFmtId="175" fontId="0" fillId="0" borderId="0" xfId="0" applyNumberFormat="1"/>
    <xf numFmtId="20" fontId="13" fillId="0" borderId="0" xfId="0" applyNumberFormat="1" applyFont="1" applyBorder="1" applyAlignment="1">
      <alignment vertical="center"/>
    </xf>
    <xf numFmtId="20" fontId="8" fillId="8" borderId="3" xfId="0" applyNumberFormat="1" applyFont="1" applyFill="1" applyBorder="1" applyAlignment="1">
      <alignment horizontal="center" vertical="center" wrapText="1"/>
    </xf>
    <xf numFmtId="20" fontId="8" fillId="8" borderId="14" xfId="0" applyNumberFormat="1" applyFont="1" applyFill="1" applyBorder="1" applyAlignment="1">
      <alignment horizontal="center" vertical="center"/>
    </xf>
    <xf numFmtId="20" fontId="17" fillId="8" borderId="14" xfId="0" applyNumberFormat="1" applyFont="1" applyFill="1" applyBorder="1" applyAlignment="1">
      <alignment horizontal="center" vertical="center"/>
    </xf>
    <xf numFmtId="175" fontId="20" fillId="4" borderId="34" xfId="0" applyNumberFormat="1" applyFont="1" applyFill="1" applyBorder="1" applyAlignment="1">
      <alignment horizontal="center" vertical="center" wrapText="1"/>
    </xf>
    <xf numFmtId="175" fontId="20" fillId="4" borderId="35" xfId="0" applyNumberFormat="1" applyFont="1" applyFill="1" applyBorder="1" applyAlignment="1">
      <alignment horizontal="center" vertical="center" wrapText="1"/>
    </xf>
    <xf numFmtId="175" fontId="20" fillId="4" borderId="31" xfId="0" applyNumberFormat="1" applyFont="1" applyFill="1" applyBorder="1" applyAlignment="1">
      <alignment horizontal="center" vertical="center"/>
    </xf>
    <xf numFmtId="175" fontId="20" fillId="4" borderId="32" xfId="0" applyNumberFormat="1" applyFont="1" applyFill="1" applyBorder="1" applyAlignment="1">
      <alignment horizontal="center" vertical="center"/>
    </xf>
    <xf numFmtId="175" fontId="20" fillId="4" borderId="37" xfId="0" applyNumberFormat="1" applyFont="1" applyFill="1" applyBorder="1" applyAlignment="1">
      <alignment horizontal="center" vertical="center"/>
    </xf>
    <xf numFmtId="175" fontId="20" fillId="4" borderId="38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 xr:uid="{19BF3FA2-9F11-48AF-A450-1623DA2BCEFC}"/>
  </cellStyles>
  <dxfs count="87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72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indexed="64"/>
        </left>
        <right style="thin">
          <color indexed="64"/>
        </right>
        <top/>
        <bottom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/>
        <right/>
        <bottom/>
        <vertical/>
        <horizontal/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</dxf>
    <dxf>
      <font>
        <b/>
        <i val="0"/>
        <color auto="1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auto="1"/>
      </font>
      <fill>
        <patternFill>
          <bgColor rgb="FF00FFFF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FFFF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66FF66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66FF66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FF"/>
        <name val="Calibri"/>
        <family val="2"/>
        <scheme val="minor"/>
      </font>
      <numFmt numFmtId="175" formatCode="h:mm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FF"/>
        <name val="Calibri"/>
        <family val="2"/>
        <scheme val="minor"/>
      </font>
      <numFmt numFmtId="175" formatCode="h:mm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hair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numFmt numFmtId="25" formatCode="hh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175" formatCode="h:mm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175" formatCode="h:mm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otted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175" formatCode="h:mm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175" formatCode="h:mm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8" formatCode="ddd\ 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FF"/>
        <name val="Calibri"/>
        <family val="2"/>
        <scheme val="minor"/>
      </font>
      <numFmt numFmtId="166" formatCode="h:mm;@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auto="1"/>
        </left>
        <right style="dashed">
          <color auto="1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FF"/>
        <name val="Calibri"/>
        <family val="2"/>
        <scheme val="minor"/>
      </font>
      <numFmt numFmtId="165" formatCode="[h]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auto="1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FF"/>
        <name val="Calibri"/>
        <family val="2"/>
        <scheme val="minor"/>
      </font>
      <numFmt numFmtId="25" formatCode="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FF"/>
        <name val="Calibri"/>
        <family val="2"/>
        <scheme val="minor"/>
      </font>
      <numFmt numFmtId="165" formatCode="[h]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FF"/>
        <name val="Calibri"/>
        <family val="2"/>
        <scheme val="minor"/>
      </font>
      <numFmt numFmtId="165" formatCode="[h]:mm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dashed">
          <color auto="1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FF"/>
        <name val="Calibri"/>
        <family val="2"/>
        <scheme val="minor"/>
      </font>
      <numFmt numFmtId="165" formatCode="[h]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auto="1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FF"/>
        <name val="Calibri"/>
        <family val="2"/>
        <scheme val="minor"/>
      </font>
      <numFmt numFmtId="165" formatCode="[h]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auto="1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5" formatCode="[h]: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5" formatCode="[h]: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5" formatCode="[h]: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indexed="64"/>
        </top>
        <bottom/>
        <vertical style="dashed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5" formatCode="[h]: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indexed="64"/>
        </top>
        <bottom/>
        <vertical style="dashed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5" formatCode="[h]: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FF"/>
        <name val="Calibri"/>
        <family val="2"/>
        <scheme val="minor"/>
      </font>
      <numFmt numFmtId="165" formatCode="[h]:mm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auto="1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5" formatCode="[h]:m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dashed">
          <color auto="1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FF"/>
        <name val="Calibri"/>
        <family val="2"/>
        <scheme val="minor"/>
      </font>
      <numFmt numFmtId="165" formatCode="[h]: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auto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25" formatCode="hh: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numFmt numFmtId="164" formatCode="\-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FF"/>
        <name val="Calibri"/>
        <family val="2"/>
        <scheme val="minor"/>
      </font>
      <numFmt numFmtId="166" formatCode="h:mm;@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5" formatCode="[h]:mm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dashed">
          <color indexed="64"/>
        </left>
        <right style="thin">
          <color indexed="64"/>
        </right>
        <top/>
        <bottom/>
        <vertical style="dashed">
          <color indexed="64"/>
        </vertic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ashed">
          <color indexed="64"/>
        </right>
        <top/>
        <bottom/>
        <vertical style="dashed">
          <color indexed="64"/>
        </vertic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auto="1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9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auto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ashed">
          <color indexed="64"/>
        </right>
        <top/>
        <bottom/>
        <vertical style="dashed">
          <color indexed="64"/>
        </vertical>
        <horizontal/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numFmt numFmtId="164" formatCode="\-[h]:mm"/>
      <fill>
        <patternFill patternType="solid">
          <fgColor indexed="64"/>
          <bgColor rgb="FF00B0F0"/>
        </patternFill>
      </fill>
      <alignment horizontal="center" vertical="center" textRotation="0" wrapText="1" indent="0" justifyLastLine="0" shrinkToFit="0" readingOrder="0"/>
    </dxf>
    <dxf>
      <fill>
        <patternFill>
          <bgColor theme="0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</dxf>
    <dxf>
      <fill>
        <patternFill patternType="solid">
          <bgColor theme="0" tint="-0.14999847407452621"/>
        </patternFill>
      </fill>
    </dxf>
  </dxfs>
  <tableStyles count="3" defaultTableStyle="TableStyleMedium2" defaultPivotStyle="PivotStyleLight16">
    <tableStyle name="Style de tableau 1" pivot="0" count="0" xr9:uid="{93108909-EBCB-4B97-AE77-93616FF0E748}"/>
    <tableStyle name="Style de tableau 2" pivot="0" count="0" xr9:uid="{6EE02F4E-7048-4717-BA96-7DA1E22CC6BD}"/>
    <tableStyle name="Style de tableau 3" pivot="0" count="0" xr9:uid="{E79522A5-089A-4766-8F5D-86E2E543E483}"/>
  </tableStyles>
  <colors>
    <mruColors>
      <color rgb="FF0000FF"/>
      <color rgb="FF00FF00"/>
      <color rgb="FF00FFFF"/>
      <color rgb="FFFF9900"/>
      <color rgb="FFED7D31"/>
      <color rgb="FF66FF66"/>
      <color rgb="FF008000"/>
      <color rgb="FF00CC00"/>
      <color rgb="FF0000CC"/>
      <color rgb="FF99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314325</xdr:colOff>
      <xdr:row>3</xdr:row>
      <xdr:rowOff>171449</xdr:rowOff>
    </xdr:from>
    <xdr:to>
      <xdr:col>15</xdr:col>
      <xdr:colOff>9525</xdr:colOff>
      <xdr:row>5</xdr:row>
      <xdr:rowOff>142874</xdr:rowOff>
    </xdr:to>
    <xdr:sp macro="[0]!Macro1" textlink="">
      <xdr:nvSpPr>
        <xdr:cNvPr id="2" name="Rectangle 1">
          <a:extLst>
            <a:ext uri="{FF2B5EF4-FFF2-40B4-BE49-F238E27FC236}">
              <a16:creationId xmlns:a16="http://schemas.microsoft.com/office/drawing/2014/main" id="{3669119C-30E7-44EA-849E-31E0F28C7EAD}"/>
            </a:ext>
          </a:extLst>
        </xdr:cNvPr>
        <xdr:cNvSpPr/>
      </xdr:nvSpPr>
      <xdr:spPr>
        <a:xfrm>
          <a:off x="10220325" y="742949"/>
          <a:ext cx="1219200" cy="352425"/>
        </a:xfrm>
        <a:prstGeom prst="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400" b="1" i="1" cap="none" spc="0">
              <a:ln/>
              <a:solidFill>
                <a:schemeClr val="tx1"/>
              </a:solidFill>
              <a:effectLst/>
            </a:rPr>
            <a:t>Poste Tenu</a:t>
          </a:r>
        </a:p>
        <a:p>
          <a:pPr algn="l"/>
          <a:endParaRPr lang="fr-FR" sz="1100" b="1" cap="none" spc="0">
            <a:ln/>
            <a:solidFill>
              <a:schemeClr val="accent3"/>
            </a:solidFill>
            <a:effectLst/>
          </a:endParaRPr>
        </a:p>
      </xdr:txBody>
    </xdr:sp>
    <xdr:clientData/>
  </xdr:twoCellAnchor>
  <xdr:twoCellAnchor>
    <xdr:from>
      <xdr:col>13</xdr:col>
      <xdr:colOff>304800</xdr:colOff>
      <xdr:row>1</xdr:row>
      <xdr:rowOff>152400</xdr:rowOff>
    </xdr:from>
    <xdr:to>
      <xdr:col>15</xdr:col>
      <xdr:colOff>19050</xdr:colOff>
      <xdr:row>3</xdr:row>
      <xdr:rowOff>85725</xdr:rowOff>
    </xdr:to>
    <xdr:sp macro="[0]!Macro1" textlink="">
      <xdr:nvSpPr>
        <xdr:cNvPr id="4" name="Rectangle 3">
          <a:extLst>
            <a:ext uri="{FF2B5EF4-FFF2-40B4-BE49-F238E27FC236}">
              <a16:creationId xmlns:a16="http://schemas.microsoft.com/office/drawing/2014/main" id="{6C36FD30-B60B-4639-8BD8-5DC912FDB01C}"/>
            </a:ext>
          </a:extLst>
        </xdr:cNvPr>
        <xdr:cNvSpPr/>
      </xdr:nvSpPr>
      <xdr:spPr>
        <a:xfrm>
          <a:off x="10210800" y="342900"/>
          <a:ext cx="1238250" cy="314325"/>
        </a:xfrm>
        <a:prstGeom prst="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400" b="1" i="1" cap="none" spc="0">
              <a:ln/>
              <a:solidFill>
                <a:schemeClr val="tx1"/>
              </a:solidFill>
              <a:effectLst/>
            </a:rPr>
            <a:t>Evolution</a:t>
          </a:r>
        </a:p>
        <a:p>
          <a:pPr algn="l"/>
          <a:endParaRPr lang="fr-FR" sz="1100" b="1" cap="none" spc="0">
            <a:ln/>
            <a:solidFill>
              <a:schemeClr val="accent3"/>
            </a:solidFill>
            <a:effectLst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10</xdr:col>
      <xdr:colOff>19049</xdr:colOff>
      <xdr:row>0</xdr:row>
      <xdr:rowOff>895350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ANNEE">
              <a:extLst>
                <a:ext uri="{FF2B5EF4-FFF2-40B4-BE49-F238E27FC236}">
                  <a16:creationId xmlns:a16="http://schemas.microsoft.com/office/drawing/2014/main" id="{A7A93181-0A7F-4201-A3FE-D699869488F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2"/>
              <a:ext cx="3457574" cy="40004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0</xdr:colOff>
      <xdr:row>0</xdr:row>
      <xdr:rowOff>0</xdr:rowOff>
    </xdr:from>
    <xdr:to>
      <xdr:col>30</xdr:col>
      <xdr:colOff>209550</xdr:colOff>
      <xdr:row>0</xdr:row>
      <xdr:rowOff>895350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41F33B12-70EA-4485-AD19-3FA61FCEAC6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05175" y="0"/>
              <a:ext cx="8172450" cy="8953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134471</xdr:colOff>
      <xdr:row>0</xdr:row>
      <xdr:rowOff>33618</xdr:rowOff>
    </xdr:from>
    <xdr:to>
      <xdr:col>7</xdr:col>
      <xdr:colOff>670111</xdr:colOff>
      <xdr:row>2</xdr:row>
      <xdr:rowOff>179294</xdr:rowOff>
    </xdr:to>
    <xdr:sp macro="[0]!Macro1" textlink="">
      <xdr:nvSpPr>
        <xdr:cNvPr id="4" name="Rectangle 3">
          <a:extLst>
            <a:ext uri="{FF2B5EF4-FFF2-40B4-BE49-F238E27FC236}">
              <a16:creationId xmlns:a16="http://schemas.microsoft.com/office/drawing/2014/main" id="{0B842913-761A-444C-9712-BAA6DC967FA8}"/>
            </a:ext>
          </a:extLst>
        </xdr:cNvPr>
        <xdr:cNvSpPr/>
      </xdr:nvSpPr>
      <xdr:spPr>
        <a:xfrm>
          <a:off x="134471" y="33618"/>
          <a:ext cx="2238934" cy="448235"/>
        </a:xfrm>
        <a:prstGeom prst="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400" b="1" i="1" cap="none" spc="0">
              <a:ln/>
              <a:solidFill>
                <a:schemeClr val="tx1"/>
              </a:solidFill>
              <a:effectLst/>
            </a:rPr>
            <a:t>Poste Tenu</a:t>
          </a:r>
        </a:p>
        <a:p>
          <a:pPr algn="l"/>
          <a:endParaRPr lang="fr-FR" sz="1100" b="1" cap="none" spc="0">
            <a:ln/>
            <a:solidFill>
              <a:schemeClr val="accent3"/>
            </a:solidFill>
            <a:effectLst/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6810558F" refreshedDate="44852.624778356483" createdVersion="7" refreshedVersion="7" minRefreshableVersion="3" recordCount="7" xr:uid="{79CE9D5E-19B5-4D5C-8503-E4CCC1F2D23C}">
  <cacheSource type="worksheet">
    <worksheetSource name="Tableau2"/>
  </cacheSource>
  <cacheFields count="36">
    <cacheField name="ID" numFmtId="0">
      <sharedItems containsSemiMixedTypes="0" containsString="0" containsNumber="1" containsInteger="1" minValue="0" maxValue="6"/>
    </cacheField>
    <cacheField name="N°" numFmtId="0">
      <sharedItems containsSemiMixedTypes="0" containsString="0" containsNumber="1" containsInteger="1" minValue="1" maxValue="52"/>
    </cacheField>
    <cacheField name="DATE" numFmtId="172">
      <sharedItems containsDate="1" containsMixedTypes="1" minDate="2022-12-30T00:00:00" maxDate="2023-01-05T00:00:00"/>
    </cacheField>
    <cacheField name="Mois" numFmtId="0">
      <sharedItems containsDate="1" containsBlank="1" containsMixedTypes="1" minDate="1899-12-31T04:01:03" maxDate="1899-12-31T00:41:04" count="26">
        <m/>
        <n v="1"/>
        <n v="5"/>
        <d v="1900-01-07T00:00:00" u="1"/>
        <d v="1899-12-31T00:00:00" u="1"/>
        <d v="1900-01-05T00:00:00" u="1"/>
        <e v="#VALUE!" u="1"/>
        <n v="2" u="1"/>
        <n v="6" u="1"/>
        <d v="1900-01-10T00:00:00" u="1"/>
        <e v="#REF!" u="1"/>
        <d v="1900-01-03T00:00:00" u="1"/>
        <n v="7" u="1"/>
        <d v="1900-01-01T00:00:00" u="1"/>
        <n v="3" u="1"/>
        <d v="1900-01-06T00:00:00" u="1"/>
        <n v="8" u="1"/>
        <n v="9" u="1"/>
        <d v="1900-01-11T00:00:00" u="1"/>
        <d v="1900-01-04T00:00:00" u="1"/>
        <n v="10" u="1"/>
        <n v="11" u="1"/>
        <d v="1900-01-09T00:00:00" u="1"/>
        <d v="1900-01-02T00:00:00" u="1"/>
        <n v="4" u="1"/>
        <n v="12" u="1"/>
      </sharedItems>
    </cacheField>
    <cacheField name="ANNEE" numFmtId="0">
      <sharedItems containsDate="1" containsBlank="1" containsMixedTypes="1" minDate="1900-01-07T10:38:04" maxDate="1900-01-07T10:38:04" count="8">
        <n v="2022"/>
        <n v="2023"/>
        <m u="1"/>
        <d v="1905-07-14T00:00:00" u="1"/>
        <s v="LOC" u="1"/>
        <e v="#VALUE!" u="1"/>
        <e v="#REF!" u="1"/>
        <n v="1900" u="1"/>
      </sharedItems>
    </cacheField>
    <cacheField name="Nom" numFmtId="169">
      <sharedItems containsNonDate="0" containsString="0" containsBlank="1"/>
    </cacheField>
    <cacheField name="POSTE  TENU" numFmtId="0">
      <sharedItems containsBlank="1"/>
    </cacheField>
    <cacheField name="Poste" numFmtId="0">
      <sharedItems/>
    </cacheField>
    <cacheField name="PS" numFmtId="20">
      <sharedItems containsDate="1" containsBlank="1" containsMixedTypes="1" minDate="1899-12-30T08:00:00" maxDate="1899-12-30T10:01:00"/>
    </cacheField>
    <cacheField name="FS" numFmtId="20">
      <sharedItems containsDate="1" containsBlank="1" containsMixedTypes="1" minDate="1899-12-30T15:56:00" maxDate="1899-12-30T17:00:00"/>
    </cacheField>
    <cacheField name="Temps de poste" numFmtId="165">
      <sharedItems containsDate="1" containsMixedTypes="1" minDate="1899-12-30T05:55:00" maxDate="1899-12-30T10:16:00"/>
    </cacheField>
    <cacheField name="PS Engin" numFmtId="175">
      <sharedItems containsSemiMixedTypes="0" containsNonDate="0" containsDate="1" containsString="0" minDate="1899-12-30T00:00:00" maxDate="2023-05-06T08:00:00"/>
    </cacheField>
    <cacheField name="FS Engin" numFmtId="175">
      <sharedItems containsSemiMixedTypes="0" containsNonDate="0" containsDate="1" containsString="0" minDate="1899-12-30T00:00:00" maxDate="1900-01-04T16:45:00"/>
    </cacheField>
    <cacheField name="DEBUT PAUSE" numFmtId="175">
      <sharedItems containsBlank="1"/>
    </cacheField>
    <cacheField name="FIN PAUSE" numFmtId="175">
      <sharedItems containsBlank="1"/>
    </cacheField>
    <cacheField name="FS PARIS  Engin Coupure Comprise" numFmtId="166">
      <sharedItems containsDate="1" containsMixedTypes="1" minDate="2022-12-30T17:50:00" maxDate="2023-05-06T16:45:00"/>
    </cacheField>
    <cacheField name=" EVO DEPART" numFmtId="175">
      <sharedItems containsDate="1" containsBlank="1" containsMixedTypes="1" minDate="1899-12-30T08:00:00" maxDate="1899-12-30T08:00:00"/>
    </cacheField>
    <cacheField name="EVO ARRIVEE" numFmtId="175">
      <sharedItems containsDate="1" containsBlank="1" containsMixedTypes="1" minDate="1899-12-30T17:00:00" maxDate="1899-12-30T17:00:00"/>
    </cacheField>
    <cacheField name="HOTEL" numFmtId="164">
      <sharedItems containsBlank="1"/>
    </cacheField>
    <cacheField name="TEMPS DE REPOS" numFmtId="20">
      <sharedItems containsDate="1" containsMixedTypes="1" minDate="1899-12-30T00:00:00" maxDate="1900-04-29T15:15:00"/>
    </cacheField>
    <cacheField name="Pause" numFmtId="20">
      <sharedItems containsDate="1" containsMixedTypes="1" minDate="1899-12-30T00:30:00" maxDate="1899-12-30T01:00:00"/>
    </cacheField>
    <cacheField name="poste pause comprise" numFmtId="165">
      <sharedItems containsDate="1" containsMixedTypes="1" minDate="1899-12-30T06:15:00" maxDate="1899-12-30T10:36:00"/>
    </cacheField>
    <cacheField name="Heures suppl." numFmtId="165">
      <sharedItems containsDate="1" containsMixedTypes="1" minDate="1899-12-30T02:51:00" maxDate="1899-12-30T02:51:00"/>
    </cacheField>
    <cacheField name="FS Coupure Comprise" numFmtId="165">
      <sharedItems containsDate="1" containsMixedTypes="1" minDate="1899-12-30T16:16:00" maxDate="1899-12-30T19:21:00"/>
    </cacheField>
    <cacheField name="Temps Restant PSL" numFmtId="165">
      <sharedItems/>
    </cacheField>
    <cacheField name="Durée réel Trajet" numFmtId="165">
      <sharedItems containsDate="1" containsMixedTypes="1" minDate="1899-12-30T09:00:00" maxDate="1899-12-30T09:00:00"/>
    </cacheField>
    <cacheField name="Durée Trajet" numFmtId="165">
      <sharedItems containsDate="1" containsMixedTypes="1" minDate="1899-12-30T04:30:00" maxDate="1899-12-30T04:30:00"/>
    </cacheField>
    <cacheField name="RETOUR PARIS PSL" numFmtId="165">
      <sharedItems containsSemiMixedTypes="0" containsNonDate="0" containsDate="1" containsString="0" minDate="1899-12-30T00:00:00" maxDate="1899-12-30T00:30:00"/>
    </cacheField>
    <cacheField name="Durée  Retenue" numFmtId="165">
      <sharedItems/>
    </cacheField>
    <cacheField name="POSTE EVO PSL" numFmtId="165">
      <sharedItems/>
    </cacheField>
    <cacheField name="10 H de" numFmtId="165">
      <sharedItems/>
    </cacheField>
    <cacheField name="Coupé Non Coupé" numFmtId="165">
      <sharedItems/>
    </cacheField>
    <cacheField name="DEBUT REPOS PARIS" numFmtId="165">
      <sharedItems/>
    </cacheField>
    <cacheField name="Journée Travail Evo" numFmtId="20">
      <sharedItems/>
    </cacheField>
    <cacheField name="Fin Service Paris" numFmtId="165">
      <sharedItems/>
    </cacheField>
    <cacheField name="Temps Non Retenue (Evolution)" numFmtId="166">
      <sharedItems/>
    </cacheField>
  </cacheFields>
  <extLst>
    <ext xmlns:x14="http://schemas.microsoft.com/office/spreadsheetml/2009/9/main" uri="{725AE2AE-9491-48be-B2B4-4EB974FC3084}">
      <x14:pivotCacheDefinition pivotCacheId="194856830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n v="0"/>
    <n v="52"/>
    <d v="2022-12-30T00:00:00"/>
    <x v="0"/>
    <x v="0"/>
    <m/>
    <s v="EVO ENGIN"/>
    <s v="EVO ENGIN"/>
    <d v="1899-12-30T08:00:00"/>
    <d v="1899-12-30T17:00:00"/>
    <d v="1899-12-30T09:00:00"/>
    <d v="2022-12-30T08:00:00"/>
    <d v="1899-12-30T17:00:00"/>
    <m/>
    <m/>
    <d v="2022-12-30T17:50:00"/>
    <d v="1899-12-30T08:00:00"/>
    <d v="1899-12-30T17:00:00"/>
    <m/>
    <n v="-0.40972222221898846"/>
    <s v=""/>
    <d v="1899-12-30T09:20:00"/>
    <s v=""/>
    <d v="1899-12-30T17:20:00"/>
    <s v=""/>
    <d v="1899-12-30T09:00:00"/>
    <d v="1899-12-30T04:30:00"/>
    <d v="1899-12-30T00:30:00"/>
    <s v=""/>
    <s v=""/>
    <s v=""/>
    <s v=""/>
    <s v=""/>
    <s v=""/>
    <s v=""/>
    <s v=""/>
  </r>
  <r>
    <n v="1"/>
    <n v="52"/>
    <d v="2022-12-31T00:00:00"/>
    <x v="0"/>
    <x v="0"/>
    <m/>
    <m/>
    <s v=""/>
    <m/>
    <m/>
    <s v=""/>
    <d v="1899-12-30T00:00:00"/>
    <d v="1899-12-30T00:00:00"/>
    <m/>
    <m/>
    <s v=""/>
    <m/>
    <m/>
    <m/>
    <s v=""/>
    <s v=""/>
    <s v=""/>
    <s v=""/>
    <s v=""/>
    <s v=""/>
    <s v=""/>
    <s v=""/>
    <d v="1899-12-30T00:00:00"/>
    <s v=""/>
    <s v=""/>
    <s v=""/>
    <s v=""/>
    <s v=""/>
    <s v=""/>
    <s v=""/>
    <s v=""/>
  </r>
  <r>
    <n v="2"/>
    <n v="1"/>
    <d v="2023-01-03T00:00:00"/>
    <x v="1"/>
    <x v="1"/>
    <m/>
    <s v="CM"/>
    <s v="CM"/>
    <s v="08:45"/>
    <s v="19:01"/>
    <d v="1899-12-30T10:16:00"/>
    <d v="2023-01-03T08:45:00"/>
    <d v="1899-12-31T19:01:00"/>
    <s v=""/>
    <s v=""/>
    <d v="2023-01-03T19:21:00"/>
    <s v=""/>
    <s v=""/>
    <s v="TOURS"/>
    <d v="1900-01-02T14:55:00"/>
    <s v=""/>
    <d v="1899-12-30T10:36:00"/>
    <d v="1899-12-30T02:51:00"/>
    <d v="1899-12-30T19:21:00"/>
    <s v=""/>
    <s v=""/>
    <s v=""/>
    <d v="1899-12-30T00:00:00"/>
    <s v=""/>
    <s v=""/>
    <s v=""/>
    <s v=""/>
    <s v=""/>
    <s v=""/>
    <s v=""/>
    <s v=""/>
  </r>
  <r>
    <n v="3"/>
    <n v="1"/>
    <d v="2023-01-04T00:00:00"/>
    <x v="1"/>
    <x v="1"/>
    <m/>
    <s v="CM"/>
    <s v="CM"/>
    <d v="1899-12-30T10:01:00"/>
    <d v="1899-12-30T15:56:00"/>
    <d v="1899-12-30T05:55:00"/>
    <d v="2023-01-04T10:01:00"/>
    <d v="1899-12-31T15:56:00"/>
    <m/>
    <m/>
    <d v="2023-01-04T16:16:00"/>
    <m/>
    <m/>
    <m/>
    <d v="1899-12-30T14:40:00"/>
    <s v=""/>
    <d v="1899-12-30T06:15:00"/>
    <s v="-1:30"/>
    <d v="1899-12-30T16:16:00"/>
    <s v=""/>
    <s v=""/>
    <s v=""/>
    <d v="1899-12-30T00:00:00"/>
    <s v=""/>
    <s v=""/>
    <s v=""/>
    <s v=""/>
    <s v=""/>
    <s v=""/>
    <s v=""/>
    <s v=""/>
  </r>
  <r>
    <n v="4"/>
    <n v="1"/>
    <s v="05/01/2023"/>
    <x v="1"/>
    <x v="1"/>
    <m/>
    <s v="BC"/>
    <s v="BC"/>
    <s v="08:00"/>
    <s v="16:45"/>
    <d v="1899-12-30T08:15:00"/>
    <d v="2023-01-05T08:00:00"/>
    <d v="1899-12-31T16:45:00"/>
    <s v="12:30"/>
    <s v="13:00"/>
    <d v="2023-01-05T16:45:00"/>
    <m/>
    <s v=""/>
    <s v="NEVERS"/>
    <d v="1899-12-30T15:44:00"/>
    <d v="1899-12-30T00:30:00"/>
    <d v="1899-12-30T08:15:00"/>
    <s v=""/>
    <s v="16:45"/>
    <s v=""/>
    <s v=""/>
    <s v=""/>
    <d v="1899-12-30T00:00:00"/>
    <s v=""/>
    <s v=""/>
    <s v=""/>
    <s v=""/>
    <s v=""/>
    <s v=""/>
    <s v=""/>
    <s v=""/>
  </r>
  <r>
    <n v="5"/>
    <n v="18"/>
    <s v="06/05/2023"/>
    <x v="2"/>
    <x v="1"/>
    <m/>
    <s v="BC"/>
    <s v="BC"/>
    <s v="08:00"/>
    <s v="16:45"/>
    <d v="1899-12-30T07:45:00"/>
    <d v="2023-05-06T08:00:00"/>
    <d v="1900-01-04T16:45:00"/>
    <s v="12:00"/>
    <s v="13:00"/>
    <d v="2023-05-06T16:45:00"/>
    <s v=""/>
    <s v=""/>
    <s v="PARIS"/>
    <d v="1900-04-29T15:15:00"/>
    <d v="1899-12-30T01:00:00"/>
    <d v="1899-12-30T07:45:00"/>
    <s v=""/>
    <s v="16:45"/>
    <s v=""/>
    <s v=""/>
    <s v=""/>
    <d v="1899-12-30T00:00:00"/>
    <s v=""/>
    <s v=""/>
    <s v=""/>
    <s v=""/>
    <s v=""/>
    <s v=""/>
    <s v=""/>
    <s v=""/>
  </r>
  <r>
    <n v="6"/>
    <n v="1"/>
    <s v="07/01/2023"/>
    <x v="1"/>
    <x v="1"/>
    <m/>
    <s v="BC"/>
    <s v="BC"/>
    <s v="08:00"/>
    <s v="16:45"/>
    <d v="1899-12-30T07:45:00"/>
    <d v="2023-01-07T08:00:00"/>
    <d v="1899-12-31T16:45:00"/>
    <s v="12:00"/>
    <s v="13:00"/>
    <d v="2023-01-07T16:45:00"/>
    <s v=""/>
    <s v=""/>
    <s v="CAEN"/>
    <n v="-119.36458333332848"/>
    <d v="1899-12-30T01:00:00"/>
    <d v="1899-12-30T07:45:00"/>
    <s v=""/>
    <s v="16:45"/>
    <s v=""/>
    <s v=""/>
    <s v=""/>
    <d v="1899-12-30T00:00:00"/>
    <s v=""/>
    <s v=""/>
    <s v=""/>
    <s v=""/>
    <s v=""/>
    <s v=""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43B6323-07C4-4858-8109-598BB62448BC}" name="Tableau croisé dynamique6" cacheId="28" applyNumberFormats="0" applyBorderFormats="0" applyFontFormats="0" applyPatternFormats="0" applyAlignmentFormats="0" applyWidthHeightFormats="1" dataCaption="Valeurs" updatedVersion="7" minRefreshableVersion="3" rowGrandTotals="0" colGrandTotals="0" itemPrintTitles="1" createdVersion="7" indent="0" outline="1" outlineData="1" multipleFieldFilters="0">
  <location ref="A5" firstHeaderRow="0" firstDataRow="0" firstDataCol="0" rowPageCount="2" colPageCount="1"/>
  <pivotFields count="36">
    <pivotField subtotalTop="0" showAll="0" defaultSubtotal="0"/>
    <pivotField showAll="0" defaultSubtotal="0"/>
    <pivotField numFmtId="169" showAll="0" defaultSubtotal="0"/>
    <pivotField axis="axisPage" multipleItemSelectionAllowed="1" showAll="0" defaultSubtotal="0">
      <items count="26">
        <item h="1" m="1" x="17"/>
        <item h="1" m="1" x="20"/>
        <item h="1" m="1" x="21"/>
        <item h="1" m="1" x="22"/>
        <item h="1" m="1" x="10"/>
        <item h="1" m="1" x="18"/>
        <item h="1" m="1" x="4"/>
        <item h="1" m="1" x="13"/>
        <item h="1" m="1" x="23"/>
        <item h="1" m="1" x="11"/>
        <item h="1" m="1" x="19"/>
        <item h="1" m="1" x="5"/>
        <item h="1" m="1" x="15"/>
        <item h="1" m="1" x="3"/>
        <item x="1"/>
        <item h="1" m="1" x="7"/>
        <item h="1" m="1" x="14"/>
        <item h="1" m="1" x="24"/>
        <item h="1" x="2"/>
        <item h="1" m="1" x="8"/>
        <item h="1" m="1" x="12"/>
        <item h="1" m="1" x="16"/>
        <item h="1" m="1" x="9"/>
        <item h="1" m="1" x="25"/>
        <item h="1" x="0"/>
        <item h="1" m="1" x="6"/>
      </items>
    </pivotField>
    <pivotField axis="axisPage" multipleItemSelectionAllowed="1" showAll="0" defaultSubtotal="0">
      <items count="8">
        <item h="1" x="0"/>
        <item h="1" m="1" x="3"/>
        <item h="1" m="1" x="6"/>
        <item x="1"/>
        <item h="1" m="1" x="7"/>
        <item h="1" m="1" x="2"/>
        <item h="1" m="1" x="4"/>
        <item h="1" m="1" x="5"/>
      </items>
    </pivotField>
    <pivotField subtotalTop="0" showAll="0" defaultSubtotal="0"/>
    <pivotField subtotalTop="0" showAll="0" defaultSubtotal="0"/>
    <pivotField subtotalTop="0" showAll="0" defaultSubtotal="0"/>
    <pivotField showAll="0" defaultSubtotal="0"/>
    <pivotField showAll="0" defaultSubtotal="0"/>
    <pivotField showAll="0" defaultSubtotal="0"/>
    <pivotField subtotalTop="0" showAll="0" defaultSubtotal="0"/>
    <pivotField numFmtId="166"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howAll="0" defaultSubtotal="0"/>
    <pivotField subtotalTop="0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numFmtId="165" showAll="0" defaultSubtotal="0"/>
    <pivotField showAll="0" defaultSubtotal="0"/>
    <pivotField subtotalTop="0" showAll="0" defaultSubtotal="0"/>
    <pivotField showAll="0" defaultSubtotal="0"/>
    <pivotField showAll="0" defaultSubtotal="0"/>
    <pivotField subtotalTop="0" showAll="0" defaultSubtotal="0"/>
    <pivotField showAll="0" defaultSubtotal="0"/>
    <pivotField showAll="0" defaultSubtotal="0"/>
    <pivotField showAll="0" defaultSubtotal="0"/>
  </pivotFields>
  <pageFields count="2">
    <pageField fld="4" hier="-1"/>
    <pageField fld="3" hier="-1"/>
  </pageFields>
  <formats count="4">
    <format dxfId="86">
      <pivotArea type="all" dataOnly="0" outline="0" fieldPosition="0"/>
    </format>
    <format dxfId="85">
      <pivotArea type="all" dataOnly="0" outline="0" fieldPosition="0"/>
    </format>
    <format dxfId="84">
      <pivotArea type="all" dataOnly="0" outline="0" fieldPosition="0"/>
    </format>
    <format dxfId="83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EE" xr10:uid="{8798ECE9-CCAD-49AC-BA88-AE30FC95F112}" sourceName="ANNEE">
  <pivotTables>
    <pivotTable tabId="10" name="Tableau croisé dynamique6"/>
  </pivotTables>
  <data>
    <tabular pivotCacheId="1948568308">
      <items count="8">
        <i x="1" s="1"/>
        <i x="7" nd="1"/>
        <i x="0" nd="1"/>
        <i x="4" nd="1"/>
        <i x="6" nd="1"/>
        <i x="5" nd="1"/>
        <i x="3" nd="1"/>
        <i x="2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ACD9009C-04FC-4866-8A47-09E671C087BC}" sourceName="Mois">
  <pivotTables>
    <pivotTable tabId="10" name="Tableau croisé dynamique6"/>
  </pivotTables>
  <data>
    <tabular pivotCacheId="1948568308">
      <items count="26">
        <i x="1" s="1"/>
        <i x="2"/>
        <i x="7" nd="1"/>
        <i x="14" nd="1"/>
        <i x="24" nd="1"/>
        <i x="8" nd="1"/>
        <i x="12" nd="1"/>
        <i x="16" nd="1"/>
        <i x="17" nd="1"/>
        <i x="20" nd="1"/>
        <i x="21" nd="1"/>
        <i x="25" nd="1"/>
        <i x="10" nd="1"/>
        <i x="6" nd="1"/>
        <i x="4" nd="1"/>
        <i x="13" nd="1"/>
        <i x="23" nd="1"/>
        <i x="11" nd="1"/>
        <i x="19" nd="1"/>
        <i x="5" nd="1"/>
        <i x="15" nd="1"/>
        <i x="3" nd="1"/>
        <i x="22" nd="1"/>
        <i x="9" nd="1"/>
        <i x="18" nd="1"/>
        <i x="0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EE" xr10:uid="{83A6D139-6C4B-4249-9FA7-E9F5A3F2B910}" cache="Segment_ANNEE" caption="ANNEE" columnCount="2" style="SlicerStyleOther1" rowHeight="241300"/>
  <slicer name="Mois" xr10:uid="{668D5391-70F7-444B-972F-1AB59F6679CD}" cache="Segment_Mois" caption="Mois" columnCount="6" style="SlicerStyleOther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A1E6A15-D3C1-4BE0-8A90-F6337799BB23}" name="Tableau2" displayName="Tableau2" ref="B4:AK11" totalsRowShown="0" headerRowDxfId="82" dataDxfId="81" tableBorderDxfId="80">
  <tableColumns count="36">
    <tableColumn id="1" xr3:uid="{A542CFF2-048B-4D01-B8ED-896DE032E247}" name="ID" dataDxfId="79">
      <calculatedColumnFormula>ROW(B5)-5</calculatedColumnFormula>
    </tableColumn>
    <tableColumn id="9" xr3:uid="{89B35D47-237C-4F89-B2B4-5B379CDEC360}" name="N°" dataDxfId="2">
      <calculatedColumnFormula>_xlfn.ISOWEEKNUM(Tableau2[[#This Row],[DATE]])</calculatedColumnFormula>
    </tableColumn>
    <tableColumn id="2" xr3:uid="{3D2C6450-7710-4FC0-9B5C-305AF40B2774}" name="DATE" dataDxfId="0"/>
    <tableColumn id="34" xr3:uid="{4D5020CC-1D05-4807-8DA7-6C885730BDC7}" name="Mois" dataDxfId="1">
      <calculatedColumnFormula>MONTH(Tableau2[[#This Row],[DATE]])</calculatedColumnFormula>
    </tableColumn>
    <tableColumn id="33" xr3:uid="{0FF17090-EA17-4755-829A-54BCAC6C24A0}" name="ANNEE" dataDxfId="78">
      <calculatedColumnFormula>YEAR(Tableau2[[#This Row],[DATE]])</calculatedColumnFormula>
    </tableColumn>
    <tableColumn id="11" xr3:uid="{7AA3CBCA-B7D4-4D20-8540-91B09450FF48}" name="Nom" dataDxfId="77"/>
    <tableColumn id="3" xr3:uid="{A07D75FE-D198-40DD-936D-610276A5469B}" name="POSTE  TENU" dataDxfId="76"/>
    <tableColumn id="8" xr3:uid="{BB897BF2-BFC8-4CA3-943E-47E5A9363698}" name="Poste" dataDxfId="75">
      <calculatedColumnFormula>IF(Tableau2[[#This Row],[POSTE  TENU]]="","",Tableau2[[#This Row],[POSTE  TENU]])</calculatedColumnFormula>
    </tableColumn>
    <tableColumn id="4" xr3:uid="{3B743626-67A0-41B1-9A98-FA5C5AFA9E71}" name="PS" dataDxfId="74"/>
    <tableColumn id="5" xr3:uid="{D32443B9-E548-41B6-BA92-0ABDCC8227EF}" name="FS" dataDxfId="73"/>
    <tableColumn id="14" xr3:uid="{B578F65A-3F24-4E2F-955A-387940D77681}" name="Temps de poste" dataDxfId="72">
      <calculatedColumnFormula>IF(OR(Tableau2[[#This Row],[Poste]]="m",Tableau2[[#This Row],[Poste]]="RP",Tableau2[[#This Row],[Poste]]="c",Tableau2[[#This Row],[Poste]]=""),"",IF(OR(Tableau2[[#This Row],[POSTE  TENU]]="CM PSL",Tableau2[[#This Row],[POSTE  TENU]]="EVO",Tableau2[[#This Row],[POSTE  TENU]]="loc PSL",Tableau2[[#This Row],[POSTE  TENU]]="cm",Tableau2[[#This Row],[POSTE  TENU]]="loc",Tableau2[[#This Row],[POSTE  TENU]]="",Tableau2[[#This Row],[DEBUT PAUSE]]=""),IF(OR(Tableau2[[#This Row],[DEBUT PAUSE]]="",Tableau2[[#This Row],[FIN PAUSE]]="",Tableau2[[#This Row],[POSTE  TENU]]=""),Tableau2[[#This Row],[FS]]-Tableau2[[#This Row],[PS]],((Tableau2[[#This Row],[DEBUT PAUSE]]-Tableau2[[#This Row],[PS]])+(BD!$K5-Tableau2[[#This Row],[FIN PAUSE]]))),IF(OR(Tableau2[[#This Row],[DEBUT PAUSE]]="",Tableau2[[#This Row],[POSTE  TENU]]="cm psl",Tableau2[[#This Row],[POSTE  TENU]]="EVO",Tableau2[[#This Row],[POSTE  TENU]]="loc psl",Tableau2[[#This Row],[POSTE  TENU]]="cm",Tableau2[[#This Row],[POSTE  TENU]]="loc",Tableau2[[#This Row],[POSTE  TENU]]&lt;&gt;""),IF(OR(Tableau2[[#This Row],[DEBUT PAUSE]]="",Tableau2[[#This Row],[FIN PAUSE]]="",Tableau2[[#This Row],[POSTE  TENU]]=""),Tableau2[[#This Row],[FS]]-Tableau2[[#This Row],[PS]],((Tableau2[[#This Row],[DEBUT PAUSE]]-Tableau2[[#This Row],[PS]])+(Tableau2[[#This Row],[FS]]-Tableau2[[#This Row],[FIN PAUSE]]))),"")))</calculatedColumnFormula>
    </tableColumn>
    <tableColumn id="39" xr3:uid="{3C850512-6DE8-41DE-9250-612C87C45C5E}" name="PS Engin" dataDxfId="46">
      <calculatedColumnFormula>IF(Tableau2[[#This Row],[PS]]=0,0,Tableau2[[#This Row],[DATE]]+Tableau2[[#This Row],[PS]])</calculatedColumnFormula>
    </tableColumn>
    <tableColumn id="13" xr3:uid="{BC2BBE6A-3837-4AE1-AEFA-58229E0BCDDA}" name="FS Engin" dataDxfId="45">
      <calculatedColumnFormula>IF(Tableau2[[#This Row],[FS]]=0,0,Tableau2[[#This Row],[Mois]]+Tableau2[[#This Row],[FS]])</calculatedColumnFormula>
    </tableColumn>
    <tableColumn id="6" xr3:uid="{18CB3992-6DC5-4DF9-9FC7-6F01365536EF}" name="DEBUT PAUSE" dataDxfId="44"/>
    <tableColumn id="7" xr3:uid="{12D86B23-D60A-46F2-B9AE-08BBFC430EBB}" name="FIN PAUSE" dataDxfId="43"/>
    <tableColumn id="38" xr3:uid="{ACB84E62-CA24-44A5-86F2-4E0BEC6A7432}" name="FS PARIS  Engin Coupure Comprise" dataDxfId="71">
      <calculatedColumnFormula>IF(Tableau2[[#This Row],[POSTE  TENU]]&lt;&gt;"rp",IFERROR(IF(Tableau2[[#This Row],[FS Coupure Comprise]]=0,0,(Tableau2[[#This Row],[DATE]]+Tableau2[[#This Row],[FS Coupure Comprise]])+Tableau2[[#This Row],[RETOUR PARIS PSL]]),""),"")</calculatedColumnFormula>
    </tableColumn>
    <tableColumn id="19" xr3:uid="{9ED0FD2D-3348-4B8C-BA93-D4A6048DB826}" name=" EVO DEPART" dataDxfId="41"/>
    <tableColumn id="20" xr3:uid="{33103820-5089-4C28-93BC-171342B25728}" name="EVO ARRIVEE" dataDxfId="40"/>
    <tableColumn id="50" xr3:uid="{8EC19436-ED2D-4174-AA8B-9F53E4F1AF5C}" name="HOTEL" dataDxfId="70"/>
    <tableColumn id="37" xr3:uid="{E956E2DC-DAB3-4B0A-841E-810F8AC7851D}" name="TEMPS DE REPOS" dataDxfId="42">
      <calculatedColumnFormula>IFERROR(IF(MOD(Tableau2[[#This Row],[FS PARIS  Engin Coupure Comprise]],1)=0,0,Tableau2[[#This Row],[PS Engin]]-MAX(Q$5:Q5)),"")</calculatedColumnFormula>
    </tableColumn>
    <tableColumn id="12" xr3:uid="{5539BC5F-2E6C-4AC1-ABF8-E19999068408}" name="Pause" dataDxfId="69">
      <calculatedColumnFormula>IF(Tableau2[[#This Row],[DEBUT PAUSE]]&lt;&gt;"",MOD(Tableau2[[#This Row],[FIN PAUSE]]-Tableau2[[#This Row],[DEBUT PAUSE]],1),"")</calculatedColumnFormula>
    </tableColumn>
    <tableColumn id="10" xr3:uid="{2B9CE5EA-2E35-43F1-A9F5-6F54DE49AF8B}" name="poste pause comprise" dataDxfId="68">
      <calculatedColumnFormula>IFERROR(Tableau2[[#This Row],[FS Coupure Comprise]]-Tableau2[[#This Row],[FS]]+Tableau2[[#This Row],[Temps de poste]],"")</calculatedColumnFormula>
    </tableColumn>
    <tableColumn id="16" xr3:uid="{6764D3CB-8488-4752-8D25-5F3155FC9BAD}" name="Heures suppl." dataDxfId="67">
      <calculatedColumnFormula>IFERROR(IF(OR(Tableau2[[#This Row],[POSTE  TENU]]="EVO PSL",Tableau2[[#This Row],[POSTE  TENU]]="CM",,Tableau2[[#This Row],[POSTE  TENU]]="evo",Tableau2[[#This Row],[POSTE  TENU]]="LOC",Tableau2[[#This Row],[POSTE  TENU]]="LOC PSL",Tableau2[[#This Row],[POSTE  TENU]]="CM PSL"),IF(Tableau2[[#This Row],[poste pause comprise]]&gt;(7.75/24),Tableau2[[#This Row],[poste pause comprise]]-(7.75/24),TEXT((7.75/24)-Tableau2[[#This Row],[poste pause comprise]],"-[h]:mm")),""),"")</calculatedColumnFormula>
    </tableColumn>
    <tableColumn id="17" xr3:uid="{4B2F7C25-EE9B-4C6B-8B97-2038B3E30BCE}" name="FS Coupure Comprise" dataDxfId="66">
      <calculatedColumnFormula>IF(Tableau2[[#This Row],[Temps de poste]]&lt;&gt;"",IFERROR(IF(IF(Tableau2[[#This Row],[DEBUT PAUSE]]="",IF(Tableau2[[#This Row],[DEBUT PAUSE]]="",Tableau2[[#This Row],[Temps de poste]],Tableau2[[#This Row],[FS]])),IF(Tableau2[[#This Row],[FS]]=Tableau2[[#This Row],[FS]],Tableau2[[#This Row],[FS]]+(5/360)),IF(Tableau2[[#This Row],[DEBUT PAUSE]]=Tableau2[[#This Row],[DEBUT PAUSE]],Tableau2[[#This Row],[FS]],Tableau2[[#This Row],[FS]])),""),"")</calculatedColumnFormula>
    </tableColumn>
    <tableColumn id="18" xr3:uid="{908E2876-6130-4246-845B-33FE276ED20C}" name="Temps Restant PSL" dataDxfId="65">
      <calculatedColumnFormula>IF(OR(Tableau2[[#This Row],[POSTE  TENU]]="cm psl",Tableau2[[#This Row],[POSTE  TENU]]="loc PSL",Tableau2[[#This Row],[POSTE  TENU]]="EVO PSL",Tableau2[[#This Row],[POSTE  TENU]]="CM PSL"),IF(AND(OR(Tableau2[[#This Row],[POSTE  TENU]]&lt;&gt;"cm psl",Tableau2[[#This Row],[POSTE  TENU]]&lt;&gt;"loc PSL"),Tableau2[[#This Row],[poste pause comprise]]&lt;(10/24)),(10/24)-Tableau2[[#This Row],[poste pause comprise]],Tableau2[[#This Row],[poste pause comprise]]),"")</calculatedColumnFormula>
    </tableColumn>
    <tableColumn id="21" xr3:uid="{B55DAF5A-C0D7-4156-A547-FA1B2489FD1E}" name="Durée réel Trajet" dataDxfId="64">
      <calculatedColumnFormula>IF(BD!$R5="","",(BD!$S5-BD!$R5))</calculatedColumnFormula>
    </tableColumn>
    <tableColumn id="22" xr3:uid="{A9CF2C23-41BB-4685-BDAF-C3B85C83AA75}" name="Durée Trajet" dataDxfId="63">
      <calculatedColumnFormula>IF(Tableau2[[#This Row],[ EVO DEPART]]="","",(Tableau2[[#This Row],[EVO ARRIVEE]]-Tableau2[[#This Row],[ EVO DEPART]])/2)</calculatedColumnFormula>
    </tableColumn>
    <tableColumn id="23" xr3:uid="{C048318A-F0B9-446A-9D1C-B0F5099AB1CD}" name="RETOUR PARIS PSL" dataDxfId="62">
      <calculatedColumnFormula>IF(OR(Tableau2[[#This Row],[Poste]]="main",Tableau2[[#This Row],[Poste]]="NP",Tableau2[[#This Row],[Poste]]="",Tableau2[[#This Row],[Poste]]="bc",Tableau2[[#This Row],[Poste]]="m",Tableau2[[#This Row],[Poste]]="RP",Tableau2[[#This Row],[Poste]]="c",Tableau2[[#This Row],[Poste]]="cm",Tableau2[[#This Row],[Poste]]="loc",Tableau2[[#This Row],[Poste]]="bc"),0,Données!$O$11)</calculatedColumnFormula>
    </tableColumn>
    <tableColumn id="24" xr3:uid="{D34227E2-2DC2-492A-8D51-E9A8861478F2}" name="Durée  Retenue" dataDxfId="61">
      <calculatedColumnFormula>IF(Tableau2[[#This Row],[Temps Restant PSL]]="","",IF(Tableau2[[#This Row],[Durée Trajet]]="","",Tableau2[[#This Row],[Durée Trajet]]+Tableau2[[#This Row],[RETOUR PARIS PSL]]))</calculatedColumnFormula>
    </tableColumn>
    <tableColumn id="25" xr3:uid="{BB5AC401-66DE-4098-8098-F2C80A63A345}" name="POSTE EVO PSL" dataDxfId="60">
      <calculatedColumnFormula>IFERROR(IF(OR(Tableau2[[#This Row],[POSTE  TENU]]="CM PSL",Tableau2[[#This Row],[POSTE  TENU]]="LOC psl",Tableau2[[#This Row],[POSTE  TENU]]="EVO PSL"),(Tableau2[[#This Row],[poste pause comprise]]+Tableau2[[#This Row],[Durée  Retenue]]),""),"")</calculatedColumnFormula>
    </tableColumn>
    <tableColumn id="26" xr3:uid="{C7F4E7B2-EE9F-4475-9937-67D0FD867073}" name="10 H de" dataDxfId="59">
      <calculatedColumnFormula>IF(OR(Tableau2[[#This Row],[POSTE  TENU]]="evo engin",Tableau2[[#This Row],[POSTE  TENU]]="Ma",Tableau2[[#This Row],[POSTE  TENU]]="bc psl",Tableau2[[#This Row],[POSTE  TENU]]="RP",Tableau2[[#This Row],[POSTE  TENU]]="bc",Tableau2[[#This Row],[POSTE  TENU]]="C",Tableau2[[#This Row],[POSTE  TENU]]="CM",Tableau2[[#This Row],[POSTE  TENU]]="LOC",Tableau2[[#This Row],[POSTE  TENU]]="M"),"",IF(Tableau2[[#This Row],[POSTE  TENU]]&lt;&gt;"",Données!O$9,""))</calculatedColumnFormula>
    </tableColumn>
    <tableColumn id="27" xr3:uid="{961FB0BE-B23D-45A6-A647-85773C20345C}" name="Coupé Non Coupé" dataDxfId="58">
      <calculatedColumnFormula>IF(OR(Tableau2[[#This Row],[POSTE  TENU]]="cm psl",Tableau2[[#This Row],[POSTE  TENU]]="loc psl",Tableau2[[#This Row],[POSTE  TENU]]="BC PSL",Tableau2[[#This Row],[POSTE  TENU]]="EVO PSL"),IF(Tableau2[[#This Row],[POSTE EVO PSL]]&gt;Tableau2[[#This Row],[10 H de]],"Non Coupé","Coupé"),IF(OR(Tableau2[[#This Row],[POSTE  TENU]]="CM",Tableau2[[#This Row],[POSTE  TENU]]="loc",Tableau2[[#This Row],[POSTE  TENU]]="M",Tableau2[[#This Row],[POSTE  TENU]]="C",Tableau2[[#This Row],[POSTE  TENU]]="BC"),"",""))</calculatedColumnFormula>
    </tableColumn>
    <tableColumn id="29" xr3:uid="{7A625727-CC2C-4D84-AA96-45CBB61F9635}" name="DEBUT REPOS PARIS" dataDxfId="57">
      <calculatedColumnFormula>IF(Tableau2[[#This Row],[POSTE  TENU]]&lt;&gt;"evo",IF(Tableau2[[#This Row],[Fin Service Paris]]&lt;&gt;"",Tableau2[[#This Row],[FS Coupure Comprise]]+Tableau2[[#This Row],[RETOUR PARIS PSL]],""),"")</calculatedColumnFormula>
    </tableColumn>
    <tableColumn id="30" xr3:uid="{AF5B17CB-9EDE-4DE7-9CA5-726285D4C6A5}" name="Journée Travail Evo" dataDxfId="56">
      <calculatedColumnFormula>IF(Tableau2[[#This Row],[Durée  Retenue]]="","",Tableau2[[#This Row],[Durée  Retenue]]+Tableau2[[#This Row],[poste pause comprise]])</calculatedColumnFormula>
    </tableColumn>
    <tableColumn id="31" xr3:uid="{17A541D5-448F-42A6-99E9-A2B09121DAE3}" name="Fin Service Paris" dataDxfId="55">
      <calculatedColumnFormula>IF(Tableau2[[#This Row],[POSTE  TENU]]&lt;&gt;"evo",IF(Tableau2[[#This Row],[Journée Travail Evo]]="","",Tableau2[[#This Row],[FS Coupure Comprise]]+Tableau2[[#This Row],[RETOUR PARIS PSL]]+5/360),"")</calculatedColumnFormula>
    </tableColumn>
    <tableColumn id="32" xr3:uid="{C6A348CE-0BF2-4B08-97DC-18A3B0048C3B}" name="Temps Non Retenue (Evolution)" dataDxfId="54">
      <calculatedColumnFormula>IF(Tableau2[[#This Row],[DEBUT REPOS PARIS]]&lt;&gt;"",IF(OR(Tableau2[[#This Row],[POSTE  TENU]]="EVO",Tableau2[[#This Row],[POSTE  TENU]]="evo psl"),IF(OR(Tableau2[[#This Row],[POSTE  TENU]]&lt;&gt;"EVO PSL",Tableau2[[#This Row],[POSTE  TENU]]="evo"),(2.5/24), IF(Tableau2[[#This Row],[POSTE  TENU]]&gt;(2.5/24),2.5/24,TEXT((2.5/24)-#REF!,"[h]:mm"))),IF(OR(Tableau2[[#This Row],[POSTE  TENU]]&lt;&gt;"EVO PSL",Tableau2[[#This Row],[POSTE  TENU]]="evo"),(2.5/24), IF(Tableau2[[#This Row],[POSTE  TENU]]&gt;(2.5/24),2.5/24,TEXT((2.5/24)-#REF!,"[h]:mm")))),"")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54C203B-7D71-4C7B-964F-F448513D4009}" name="TableauCONGES" displayName="TableauCONGES" ref="B2:E6" totalsRowShown="0">
  <autoFilter ref="B2:E6" xr:uid="{6D2F0C06-0959-4DF0-A291-CADDE2F8ECFB}"/>
  <tableColumns count="4">
    <tableColumn id="1" xr3:uid="{9CCABF21-1A45-49D4-8391-A2FC2D931CE2}" name="nom "/>
    <tableColumn id="2" xr3:uid="{CAB870B4-2BF6-4A58-8206-430E5437FF27}" name="année"/>
    <tableColumn id="3" xr3:uid="{99386F69-BD8A-4AFB-8FB9-045F4B6830DF}" name="RU"/>
    <tableColumn id="4" xr3:uid="{ED559C79-69E9-44AF-A7FD-121001A3BC76}" name="C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CA043D8-9C4E-4627-B4E1-356C0ACA9D45}" name="Tableau4" displayName="Tableau4" ref="C3:D15" totalsRowShown="0" headerRowDxfId="53" dataDxfId="51" headerRowBorderDxfId="52" tableBorderDxfId="50" totalsRowBorderDxfId="49">
  <tableColumns count="2">
    <tableColumn id="1" xr3:uid="{49A02EF5-2D91-4F69-A5C5-204DF2F77011}" name="Jours" dataDxfId="48"/>
    <tableColumn id="2" xr3:uid="{703FBCAD-13C2-4746-8232-457673834D9E}" name="Dates" dataDxfId="47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12BA26-A3F4-4568-A214-CBC965DC45AC}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4294967293" r:id="rId1"/>
  <headerFooter>
    <oddFooter>&amp;L&amp;1#&amp;"Calibri"&amp;10&amp;K008000Interne SNCF Réseau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121CC4-EFFC-4924-8EAF-1C473F1D07B8}">
  <sheetPr codeName="Feuil4"/>
  <dimension ref="E2:G32"/>
  <sheetViews>
    <sheetView topLeftCell="B1" workbookViewId="0">
      <selection activeCell="O10" sqref="O10"/>
    </sheetView>
  </sheetViews>
  <sheetFormatPr baseColWidth="10" defaultRowHeight="15" x14ac:dyDescent="0.25"/>
  <cols>
    <col min="3" max="5" width="11.42578125" customWidth="1"/>
  </cols>
  <sheetData>
    <row r="2" spans="5:7" x14ac:dyDescent="0.25">
      <c r="F2" s="86">
        <v>44562</v>
      </c>
      <c r="G2" s="73"/>
    </row>
    <row r="3" spans="5:7" x14ac:dyDescent="0.25">
      <c r="F3" s="86">
        <f>F2+1</f>
        <v>44563</v>
      </c>
      <c r="G3" s="73"/>
    </row>
    <row r="4" spans="5:7" x14ac:dyDescent="0.25">
      <c r="F4" s="86">
        <f t="shared" ref="F4:F32" si="0">F3+1</f>
        <v>44564</v>
      </c>
      <c r="G4" s="73"/>
    </row>
    <row r="5" spans="5:7" x14ac:dyDescent="0.25">
      <c r="F5" s="86">
        <f t="shared" si="0"/>
        <v>44565</v>
      </c>
      <c r="G5" s="73"/>
    </row>
    <row r="6" spans="5:7" x14ac:dyDescent="0.25">
      <c r="F6" s="86">
        <f t="shared" si="0"/>
        <v>44566</v>
      </c>
      <c r="G6" s="73"/>
    </row>
    <row r="7" spans="5:7" x14ac:dyDescent="0.25">
      <c r="F7" s="86">
        <f t="shared" si="0"/>
        <v>44567</v>
      </c>
      <c r="G7" s="73"/>
    </row>
    <row r="8" spans="5:7" x14ac:dyDescent="0.25">
      <c r="F8" s="86">
        <f t="shared" si="0"/>
        <v>44568</v>
      </c>
      <c r="G8" s="73"/>
    </row>
    <row r="9" spans="5:7" x14ac:dyDescent="0.25">
      <c r="E9" s="78"/>
      <c r="F9" s="86">
        <f t="shared" si="0"/>
        <v>44569</v>
      </c>
      <c r="G9" s="73"/>
    </row>
    <row r="10" spans="5:7" x14ac:dyDescent="0.25">
      <c r="F10" s="86">
        <f t="shared" si="0"/>
        <v>44570</v>
      </c>
      <c r="G10" s="73"/>
    </row>
    <row r="11" spans="5:7" x14ac:dyDescent="0.25">
      <c r="F11" s="86">
        <f t="shared" si="0"/>
        <v>44571</v>
      </c>
      <c r="G11" s="73"/>
    </row>
    <row r="12" spans="5:7" x14ac:dyDescent="0.25">
      <c r="F12" s="86">
        <f t="shared" si="0"/>
        <v>44572</v>
      </c>
      <c r="G12" s="73"/>
    </row>
    <row r="13" spans="5:7" x14ac:dyDescent="0.25">
      <c r="F13" s="86">
        <f t="shared" si="0"/>
        <v>44573</v>
      </c>
      <c r="G13" s="73"/>
    </row>
    <row r="14" spans="5:7" x14ac:dyDescent="0.25">
      <c r="F14" s="86">
        <f t="shared" si="0"/>
        <v>44574</v>
      </c>
      <c r="G14" s="73"/>
    </row>
    <row r="15" spans="5:7" x14ac:dyDescent="0.25">
      <c r="F15" s="86">
        <f t="shared" si="0"/>
        <v>44575</v>
      </c>
      <c r="G15" s="73"/>
    </row>
    <row r="16" spans="5:7" x14ac:dyDescent="0.25">
      <c r="F16" s="86">
        <f t="shared" si="0"/>
        <v>44576</v>
      </c>
      <c r="G16" s="73"/>
    </row>
    <row r="17" spans="6:7" x14ac:dyDescent="0.25">
      <c r="F17" s="86">
        <f t="shared" si="0"/>
        <v>44577</v>
      </c>
      <c r="G17" s="73"/>
    </row>
    <row r="18" spans="6:7" x14ac:dyDescent="0.25">
      <c r="F18" s="86">
        <f t="shared" si="0"/>
        <v>44578</v>
      </c>
      <c r="G18" s="73"/>
    </row>
    <row r="19" spans="6:7" x14ac:dyDescent="0.25">
      <c r="F19" s="86">
        <f t="shared" si="0"/>
        <v>44579</v>
      </c>
      <c r="G19" s="73"/>
    </row>
    <row r="20" spans="6:7" x14ac:dyDescent="0.25">
      <c r="F20" s="86">
        <f t="shared" si="0"/>
        <v>44580</v>
      </c>
      <c r="G20" s="73"/>
    </row>
    <row r="21" spans="6:7" x14ac:dyDescent="0.25">
      <c r="F21" s="86">
        <f t="shared" si="0"/>
        <v>44581</v>
      </c>
      <c r="G21" s="73"/>
    </row>
    <row r="22" spans="6:7" x14ac:dyDescent="0.25">
      <c r="F22" s="86">
        <f>F21+1</f>
        <v>44582</v>
      </c>
      <c r="G22" s="73"/>
    </row>
    <row r="23" spans="6:7" x14ac:dyDescent="0.25">
      <c r="F23" s="86">
        <f t="shared" si="0"/>
        <v>44583</v>
      </c>
      <c r="G23" s="73"/>
    </row>
    <row r="24" spans="6:7" x14ac:dyDescent="0.25">
      <c r="F24" s="86">
        <f t="shared" si="0"/>
        <v>44584</v>
      </c>
      <c r="G24" s="73"/>
    </row>
    <row r="25" spans="6:7" x14ac:dyDescent="0.25">
      <c r="F25" s="86">
        <f t="shared" si="0"/>
        <v>44585</v>
      </c>
      <c r="G25" s="73"/>
    </row>
    <row r="26" spans="6:7" x14ac:dyDescent="0.25">
      <c r="F26" s="86">
        <f t="shared" si="0"/>
        <v>44586</v>
      </c>
      <c r="G26" s="73"/>
    </row>
    <row r="27" spans="6:7" x14ac:dyDescent="0.25">
      <c r="F27" s="86">
        <f t="shared" si="0"/>
        <v>44587</v>
      </c>
      <c r="G27" s="73"/>
    </row>
    <row r="28" spans="6:7" x14ac:dyDescent="0.25">
      <c r="F28" s="86">
        <f t="shared" si="0"/>
        <v>44588</v>
      </c>
      <c r="G28" s="73"/>
    </row>
    <row r="29" spans="6:7" x14ac:dyDescent="0.25">
      <c r="F29" s="86">
        <f t="shared" si="0"/>
        <v>44589</v>
      </c>
      <c r="G29" s="73"/>
    </row>
    <row r="30" spans="6:7" x14ac:dyDescent="0.25">
      <c r="F30" s="86">
        <f>F29+1</f>
        <v>44590</v>
      </c>
      <c r="G30" s="73"/>
    </row>
    <row r="31" spans="6:7" x14ac:dyDescent="0.25">
      <c r="F31" s="86">
        <f t="shared" si="0"/>
        <v>44591</v>
      </c>
      <c r="G31" s="73"/>
    </row>
    <row r="32" spans="6:7" x14ac:dyDescent="0.25">
      <c r="F32" s="86">
        <f t="shared" si="0"/>
        <v>44592</v>
      </c>
      <c r="G32" s="73"/>
    </row>
  </sheetData>
  <pageMargins left="0.7" right="0.7" top="0.75" bottom="0.75" header="0.3" footer="0.3"/>
  <pageSetup paperSize="9" orientation="portrait" horizontalDpi="4294967293" verticalDpi="4294967293" r:id="rId1"/>
  <headerFooter>
    <oddFooter>&amp;L&amp;1#&amp;"Calibri"&amp;10&amp;K008000Interne SNCF Réseau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50E26-1683-4DA7-909F-C5F31346A3D2}">
  <sheetPr codeName="Feuil3"/>
  <dimension ref="A1:AQ21"/>
  <sheetViews>
    <sheetView zoomScaleNormal="100" workbookViewId="0">
      <selection activeCell="L9" sqref="L9"/>
    </sheetView>
  </sheetViews>
  <sheetFormatPr baseColWidth="10" defaultRowHeight="15" x14ac:dyDescent="0.25"/>
  <cols>
    <col min="1" max="1" width="6.5703125" style="27" customWidth="1"/>
    <col min="2" max="10" width="4.7109375" style="27" customWidth="1"/>
    <col min="11" max="11" width="0.5703125" style="27" customWidth="1"/>
    <col min="12" max="42" width="6.28515625" style="27" customWidth="1"/>
    <col min="43" max="16384" width="11.42578125" style="27"/>
  </cols>
  <sheetData>
    <row r="1" spans="1:43" ht="75.75" customHeight="1" x14ac:dyDescent="0.25"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41"/>
      <c r="AE1" s="141"/>
      <c r="AF1" s="141"/>
      <c r="AG1" s="141"/>
      <c r="AH1" s="141"/>
      <c r="AI1" s="141"/>
      <c r="AJ1" s="141"/>
      <c r="AK1" s="141"/>
      <c r="AL1" s="141"/>
      <c r="AM1" s="141"/>
      <c r="AN1" s="141"/>
      <c r="AO1" s="141"/>
      <c r="AP1" s="141"/>
    </row>
    <row r="2" spans="1:43" ht="60.75" customHeight="1" x14ac:dyDescent="0.25">
      <c r="A2" s="27" t="s">
        <v>58</v>
      </c>
      <c r="B2" s="74">
        <v>2023</v>
      </c>
      <c r="L2" s="139">
        <f>IFERROR(DATE(B2,B3,1),"")</f>
        <v>44927</v>
      </c>
      <c r="M2" s="139">
        <f>IFERROR(IF(L2&gt;=EOMONTH(L2,0),"",L2+1),"")</f>
        <v>44928</v>
      </c>
      <c r="N2" s="139">
        <f t="shared" ref="N2:AP2" si="0">IFERROR(IF(M2&gt;=EOMONTH(M2,0),"",M2+1),"")</f>
        <v>44929</v>
      </c>
      <c r="O2" s="139">
        <f t="shared" si="0"/>
        <v>44930</v>
      </c>
      <c r="P2" s="139">
        <f t="shared" si="0"/>
        <v>44931</v>
      </c>
      <c r="Q2" s="139">
        <f t="shared" si="0"/>
        <v>44932</v>
      </c>
      <c r="R2" s="139">
        <f t="shared" si="0"/>
        <v>44933</v>
      </c>
      <c r="S2" s="139">
        <f t="shared" si="0"/>
        <v>44934</v>
      </c>
      <c r="T2" s="139">
        <f t="shared" si="0"/>
        <v>44935</v>
      </c>
      <c r="U2" s="139">
        <f t="shared" si="0"/>
        <v>44936</v>
      </c>
      <c r="V2" s="139">
        <f t="shared" si="0"/>
        <v>44937</v>
      </c>
      <c r="W2" s="139">
        <f t="shared" si="0"/>
        <v>44938</v>
      </c>
      <c r="X2" s="139">
        <f t="shared" si="0"/>
        <v>44939</v>
      </c>
      <c r="Y2" s="139">
        <f t="shared" si="0"/>
        <v>44940</v>
      </c>
      <c r="Z2" s="139">
        <f t="shared" si="0"/>
        <v>44941</v>
      </c>
      <c r="AA2" s="139">
        <f t="shared" si="0"/>
        <v>44942</v>
      </c>
      <c r="AB2" s="139">
        <f t="shared" si="0"/>
        <v>44943</v>
      </c>
      <c r="AC2" s="139">
        <f t="shared" si="0"/>
        <v>44944</v>
      </c>
      <c r="AD2" s="139">
        <f t="shared" si="0"/>
        <v>44945</v>
      </c>
      <c r="AE2" s="139">
        <f t="shared" si="0"/>
        <v>44946</v>
      </c>
      <c r="AF2" s="139">
        <f t="shared" si="0"/>
        <v>44947</v>
      </c>
      <c r="AG2" s="139">
        <f t="shared" si="0"/>
        <v>44948</v>
      </c>
      <c r="AH2" s="139">
        <f t="shared" si="0"/>
        <v>44949</v>
      </c>
      <c r="AI2" s="139">
        <f t="shared" si="0"/>
        <v>44950</v>
      </c>
      <c r="AJ2" s="139">
        <f t="shared" si="0"/>
        <v>44951</v>
      </c>
      <c r="AK2" s="139">
        <f t="shared" si="0"/>
        <v>44952</v>
      </c>
      <c r="AL2" s="139">
        <f t="shared" si="0"/>
        <v>44953</v>
      </c>
      <c r="AM2" s="139">
        <f t="shared" si="0"/>
        <v>44954</v>
      </c>
      <c r="AN2" s="139">
        <f t="shared" si="0"/>
        <v>44955</v>
      </c>
      <c r="AO2" s="139">
        <f t="shared" si="0"/>
        <v>44956</v>
      </c>
      <c r="AP2" s="139">
        <f t="shared" si="0"/>
        <v>44957</v>
      </c>
      <c r="AQ2" s="28"/>
    </row>
    <row r="3" spans="1:43" ht="42" customHeight="1" x14ac:dyDescent="0.25">
      <c r="A3" s="27" t="s">
        <v>57</v>
      </c>
      <c r="B3" s="74">
        <v>1</v>
      </c>
      <c r="L3" s="40" t="str">
        <f>IFERROR(TEXT(WEEKDAY(L2),"jjj"),"")</f>
        <v>dim</v>
      </c>
      <c r="M3" s="40" t="str">
        <f t="shared" ref="M3:AP3" si="1">IFERROR(TEXT(WEEKDAY(M2),"jjj"),"")</f>
        <v>lun</v>
      </c>
      <c r="N3" s="40" t="str">
        <f t="shared" si="1"/>
        <v>mar</v>
      </c>
      <c r="O3" s="40" t="str">
        <f t="shared" si="1"/>
        <v>mer</v>
      </c>
      <c r="P3" s="40" t="str">
        <f t="shared" si="1"/>
        <v>jeu</v>
      </c>
      <c r="Q3" s="40" t="str">
        <f t="shared" si="1"/>
        <v>ven</v>
      </c>
      <c r="R3" s="40" t="str">
        <f t="shared" si="1"/>
        <v>sam</v>
      </c>
      <c r="S3" s="40" t="str">
        <f t="shared" si="1"/>
        <v>dim</v>
      </c>
      <c r="T3" s="40" t="str">
        <f t="shared" si="1"/>
        <v>lun</v>
      </c>
      <c r="U3" s="40" t="str">
        <f t="shared" si="1"/>
        <v>mar</v>
      </c>
      <c r="V3" s="40" t="str">
        <f t="shared" si="1"/>
        <v>mer</v>
      </c>
      <c r="W3" s="40" t="str">
        <f t="shared" si="1"/>
        <v>jeu</v>
      </c>
      <c r="X3" s="40" t="str">
        <f t="shared" si="1"/>
        <v>ven</v>
      </c>
      <c r="Y3" s="40" t="str">
        <f t="shared" si="1"/>
        <v>sam</v>
      </c>
      <c r="Z3" s="40" t="str">
        <f t="shared" si="1"/>
        <v>dim</v>
      </c>
      <c r="AA3" s="40" t="str">
        <f t="shared" si="1"/>
        <v>lun</v>
      </c>
      <c r="AB3" s="40" t="str">
        <f t="shared" si="1"/>
        <v>mar</v>
      </c>
      <c r="AC3" s="40" t="str">
        <f t="shared" si="1"/>
        <v>mer</v>
      </c>
      <c r="AD3" s="40" t="str">
        <f t="shared" si="1"/>
        <v>jeu</v>
      </c>
      <c r="AE3" s="40" t="str">
        <f t="shared" si="1"/>
        <v>ven</v>
      </c>
      <c r="AF3" s="40" t="str">
        <f t="shared" si="1"/>
        <v>sam</v>
      </c>
      <c r="AG3" s="40" t="str">
        <f t="shared" si="1"/>
        <v>dim</v>
      </c>
      <c r="AH3" s="40" t="str">
        <f t="shared" si="1"/>
        <v>lun</v>
      </c>
      <c r="AI3" s="40" t="str">
        <f t="shared" si="1"/>
        <v>mar</v>
      </c>
      <c r="AJ3" s="40" t="str">
        <f t="shared" si="1"/>
        <v>mer</v>
      </c>
      <c r="AK3" s="40" t="str">
        <f t="shared" si="1"/>
        <v>jeu</v>
      </c>
      <c r="AL3" s="40" t="str">
        <f t="shared" si="1"/>
        <v>ven</v>
      </c>
      <c r="AM3" s="40" t="str">
        <f t="shared" si="1"/>
        <v>sam</v>
      </c>
      <c r="AN3" s="40" t="str">
        <f t="shared" si="1"/>
        <v>dim</v>
      </c>
      <c r="AO3" s="40" t="str">
        <f t="shared" si="1"/>
        <v>lun</v>
      </c>
      <c r="AP3" s="40" t="str">
        <f t="shared" si="1"/>
        <v>mar</v>
      </c>
      <c r="AQ3" s="28"/>
    </row>
    <row r="4" spans="1:43" ht="15.75" x14ac:dyDescent="0.25">
      <c r="A4" s="85" t="s">
        <v>63</v>
      </c>
      <c r="B4" s="41"/>
      <c r="C4" s="42"/>
      <c r="D4" s="42"/>
      <c r="E4" s="42"/>
      <c r="F4" s="42"/>
      <c r="G4" s="43"/>
      <c r="H4" s="43"/>
      <c r="I4" s="43"/>
      <c r="J4" s="44"/>
      <c r="K4" s="26"/>
      <c r="L4" s="40">
        <f>_xlfn.ISOWEEKNUM(L2)</f>
        <v>52</v>
      </c>
      <c r="M4" s="40">
        <f t="shared" ref="M4:AM4" si="2">_xlfn.ISOWEEKNUM(M2)</f>
        <v>1</v>
      </c>
      <c r="N4" s="40">
        <f t="shared" si="2"/>
        <v>1</v>
      </c>
      <c r="O4" s="40">
        <f t="shared" si="2"/>
        <v>1</v>
      </c>
      <c r="P4" s="40">
        <f t="shared" si="2"/>
        <v>1</v>
      </c>
      <c r="Q4" s="40">
        <f t="shared" si="2"/>
        <v>1</v>
      </c>
      <c r="R4" s="40">
        <f t="shared" si="2"/>
        <v>1</v>
      </c>
      <c r="S4" s="40">
        <f t="shared" si="2"/>
        <v>1</v>
      </c>
      <c r="T4" s="40">
        <f t="shared" si="2"/>
        <v>2</v>
      </c>
      <c r="U4" s="40">
        <f t="shared" si="2"/>
        <v>2</v>
      </c>
      <c r="V4" s="40">
        <f t="shared" si="2"/>
        <v>2</v>
      </c>
      <c r="W4" s="40">
        <f t="shared" si="2"/>
        <v>2</v>
      </c>
      <c r="X4" s="40">
        <f t="shared" si="2"/>
        <v>2</v>
      </c>
      <c r="Y4" s="40">
        <f t="shared" si="2"/>
        <v>2</v>
      </c>
      <c r="Z4" s="40">
        <f t="shared" si="2"/>
        <v>2</v>
      </c>
      <c r="AA4" s="40">
        <f t="shared" si="2"/>
        <v>3</v>
      </c>
      <c r="AB4" s="40">
        <f t="shared" si="2"/>
        <v>3</v>
      </c>
      <c r="AC4" s="40">
        <f t="shared" si="2"/>
        <v>3</v>
      </c>
      <c r="AD4" s="40">
        <f t="shared" si="2"/>
        <v>3</v>
      </c>
      <c r="AE4" s="40">
        <f t="shared" si="2"/>
        <v>3</v>
      </c>
      <c r="AF4" s="40">
        <f t="shared" si="2"/>
        <v>3</v>
      </c>
      <c r="AG4" s="40">
        <f t="shared" si="2"/>
        <v>3</v>
      </c>
      <c r="AH4" s="40">
        <f t="shared" si="2"/>
        <v>4</v>
      </c>
      <c r="AI4" s="40">
        <f t="shared" si="2"/>
        <v>4</v>
      </c>
      <c r="AJ4" s="40">
        <f t="shared" si="2"/>
        <v>4</v>
      </c>
      <c r="AK4" s="40">
        <f t="shared" si="2"/>
        <v>4</v>
      </c>
      <c r="AL4" s="40">
        <f t="shared" si="2"/>
        <v>4</v>
      </c>
      <c r="AM4" s="40">
        <f t="shared" si="2"/>
        <v>4</v>
      </c>
      <c r="AN4" s="40">
        <f>IFERROR(_xlfn.ISOWEEKNUM(AN2),"")</f>
        <v>4</v>
      </c>
      <c r="AO4" s="40">
        <f>IFERROR(_xlfn.ISOWEEKNUM(AO2),"")</f>
        <v>5</v>
      </c>
      <c r="AP4" s="40">
        <f>IFERROR(_xlfn.ISOWEEKNUM(AP2),"")</f>
        <v>5</v>
      </c>
      <c r="AQ4" s="28"/>
    </row>
    <row r="5" spans="1:43" ht="15.75" hidden="1" x14ac:dyDescent="0.25">
      <c r="A5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39"/>
      <c r="AH5" s="39"/>
      <c r="AI5" s="39"/>
      <c r="AJ5" s="39"/>
      <c r="AK5" s="39"/>
      <c r="AL5" s="39"/>
      <c r="AM5" s="39"/>
      <c r="AN5" s="39"/>
      <c r="AO5" s="39"/>
      <c r="AP5" s="39"/>
      <c r="AQ5" s="28"/>
    </row>
    <row r="6" spans="1:43" ht="15.75" customHeight="1" x14ac:dyDescent="0.25">
      <c r="A6"/>
      <c r="B6" s="87" t="str">
        <f>IF($A6="C",COUNTIF(L6:AP6,"C"),"")</f>
        <v/>
      </c>
      <c r="C6" s="87" t="str">
        <f>IF($A6="CM",COUNTIF($L$6:$AP$6,"CM"),"")</f>
        <v/>
      </c>
      <c r="D6" s="87" t="str">
        <f>IF($A6="CM PSL",COUNTIF(L6:AP6,"CM PSL"),"")</f>
        <v/>
      </c>
      <c r="E6" s="87" t="str">
        <f>IF($A6="LOC",COUNTIF(L6:AP6,"LOC"),"")</f>
        <v/>
      </c>
      <c r="F6" s="87" t="str">
        <f>IF($A6="LOC PSL",COUNTIF(L6:AP6,"LOC PSL"),"")</f>
        <v/>
      </c>
      <c r="G6" s="87" t="str">
        <f>IF($A6="EVO",COUNTIF(L6:AP6,"EVO"),"")</f>
        <v/>
      </c>
      <c r="H6" s="87" t="str">
        <f>IF($A6="RP",COUNTIF(L6:AP6,"RP"),"")</f>
        <v/>
      </c>
      <c r="J6" s="87" t="str">
        <f>IF($A6="Ma",COUNTIF(L6:AP6,"M"),"")</f>
        <v/>
      </c>
      <c r="K6" s="29"/>
      <c r="L6" s="76" t="str" cm="1">
        <f t="array" ref="L6">IFERROR(INDEX(Tableau2[Poste],MATCH(1,(Tableau2[Poste]=TCD!$A6)*(TCD!L$2=Tableau2[DATE]),0)),"")</f>
        <v/>
      </c>
      <c r="M6" s="76" t="str" cm="1">
        <f t="array" ref="M6">IFERROR(INDEX(Tableau2[Poste],MATCH(1,(Tableau2[POSTE  TENU]=TCD!$A6)*(TCD!M$2=Tableau2[DATE]),0)),"")</f>
        <v/>
      </c>
      <c r="N6" s="76" t="str" cm="1">
        <f t="array" ref="N6">IFERROR(INDEX(Tableau2[Poste],MATCH(1,(Tableau2[POSTE  TENU]=TCD!$A6)*(TCD!N$2=Tableau2[DATE]),0)),"")</f>
        <v/>
      </c>
      <c r="O6" s="76" t="str" cm="1">
        <f t="array" ref="O6">IFERROR(INDEX(Tableau2[Poste],MATCH(1,(Tableau2[POSTE  TENU]=TCD!$A6)*(TCD!O$2=Tableau2[DATE]),0)),"")</f>
        <v/>
      </c>
      <c r="P6" s="76" t="str" cm="1">
        <f t="array" ref="P6">IFERROR(INDEX(Tableau2[Poste],MATCH(1,(Tableau2[POSTE  TENU]=TCD!$A6)*(TCD!P$2=Tableau2[DATE]),0)),"")</f>
        <v/>
      </c>
      <c r="Q6" s="76" t="str" cm="1">
        <f t="array" ref="Q6">IFERROR(INDEX(Tableau2[Poste],MATCH(1,(Tableau2[POSTE  TENU]=TCD!$A6)*(TCD!Q$2=Tableau2[DATE]),0)),"")</f>
        <v/>
      </c>
      <c r="R6" s="76" t="str" cm="1">
        <f t="array" ref="R6">IFERROR(INDEX(Tableau2[Poste],MATCH(1,(Tableau2[POSTE  TENU]=TCD!$A6)*(TCD!R$2=Tableau2[DATE]),0)),"")</f>
        <v/>
      </c>
      <c r="S6" s="76" t="str" cm="1">
        <f t="array" ref="S6">IFERROR(INDEX(Tableau2[Poste],MATCH(1,(Tableau2[POSTE  TENU]=TCD!$A6)*(TCD!S$2=Tableau2[DATE]),0)),"")</f>
        <v/>
      </c>
      <c r="T6" s="76" t="str" cm="1">
        <f t="array" ref="T6">IFERROR(INDEX(Tableau2[Poste],MATCH(1,(Tableau2[POSTE  TENU]=TCD!$A6)*(TCD!T$2=Tableau2[DATE]),0)),"")</f>
        <v/>
      </c>
      <c r="U6" s="76" t="str" cm="1">
        <f t="array" ref="U6">IFERROR(INDEX(Tableau2[Poste],MATCH(1,(Tableau2[POSTE  TENU]=TCD!$A6)*(TCD!U$2=Tableau2[DATE]),0)),"")</f>
        <v/>
      </c>
      <c r="V6" s="76" t="str" cm="1">
        <f t="array" ref="V6">IFERROR(INDEX(Tableau2[Poste],MATCH(1,(Tableau2[POSTE  TENU]=TCD!$A6)*(TCD!V$2=Tableau2[DATE]),0)),"")</f>
        <v/>
      </c>
      <c r="W6" s="76" t="str" cm="1">
        <f t="array" ref="W6">IFERROR(INDEX(Tableau2[Poste],MATCH(1,(Tableau2[POSTE  TENU]=TCD!$A6)*(TCD!W$2=Tableau2[DATE]),0)),"")</f>
        <v/>
      </c>
      <c r="X6" s="76" t="str" cm="1">
        <f t="array" ref="X6">IFERROR(INDEX(Tableau2[Poste],MATCH(1,(Tableau2[POSTE  TENU]=TCD!$A6)*(TCD!X$2=Tableau2[DATE]),0)),"")</f>
        <v/>
      </c>
      <c r="Y6" s="76" t="str" cm="1">
        <f t="array" ref="Y6">IFERROR(INDEX(Tableau2[Poste],MATCH(1,(Tableau2[POSTE  TENU]=TCD!$A6)*(TCD!Y$2=Tableau2[DATE]),0)),"")</f>
        <v/>
      </c>
      <c r="Z6" s="76" t="str" cm="1">
        <f t="array" ref="Z6">IFERROR(INDEX(Tableau2[Poste],MATCH(1,(Tableau2[POSTE  TENU]=TCD!$A6)*(TCD!Z$2=Tableau2[DATE]),0)),"")</f>
        <v/>
      </c>
      <c r="AA6" s="76" t="str" cm="1">
        <f t="array" ref="AA6">IFERROR(INDEX(Tableau2[Poste],MATCH(1,(Tableau2[POSTE  TENU]=TCD!$A6)*(TCD!AA$2=Tableau2[DATE]),0)),"")</f>
        <v/>
      </c>
      <c r="AB6" s="76" t="str" cm="1">
        <f t="array" ref="AB6">IFERROR(INDEX(Tableau2[Poste],MATCH(1,(Tableau2[POSTE  TENU]=TCD!$A6)*(TCD!AB$2=Tableau2[DATE]),0)),"")</f>
        <v/>
      </c>
      <c r="AC6" s="76" t="str" cm="1">
        <f t="array" ref="AC6">IFERROR(INDEX(Tableau2[Poste],MATCH(1,(Tableau2[POSTE  TENU]=TCD!$A6)*(TCD!AC$2=Tableau2[DATE]),0)),"")</f>
        <v/>
      </c>
      <c r="AD6" s="76" t="str" cm="1">
        <f t="array" ref="AD6">IFERROR(INDEX(Tableau2[Poste],MATCH(1,(Tableau2[POSTE  TENU]=TCD!$A6)*(TCD!AD$2=Tableau2[DATE]),0)),"")</f>
        <v/>
      </c>
      <c r="AE6" s="76" t="str" cm="1">
        <f t="array" ref="AE6">IFERROR(INDEX(Tableau2[Poste],MATCH(1,(Tableau2[POSTE  TENU]=TCD!$A6)*(TCD!AE$2=Tableau2[DATE]),0)),"")</f>
        <v/>
      </c>
      <c r="AF6" s="76" t="str" cm="1">
        <f t="array" ref="AF6">IFERROR(INDEX(Tableau2[Poste],MATCH(1,(Tableau2[POSTE  TENU]=TCD!$A6)*(TCD!AF$2=Tableau2[DATE]),0)),"")</f>
        <v/>
      </c>
      <c r="AG6" s="76" t="str" cm="1">
        <f t="array" ref="AG6">IFERROR(INDEX(Tableau2[Poste],MATCH(1,(Tableau2[Poste]=TCD!$A6)*(TCD!AG$2=Tableau2[DATE]),0)),"")</f>
        <v/>
      </c>
      <c r="AH6" s="76" t="str" cm="1">
        <f t="array" ref="AH6">IFERROR(INDEX(Tableau2[Poste],MATCH(1,(Tableau2[Poste]=TCD!$A6)*(TCD!AH$2=Tableau2[DATE]),0)),"")</f>
        <v/>
      </c>
      <c r="AI6" s="76" t="str" cm="1">
        <f t="array" ref="AI6">IFERROR(INDEX(Tableau2[Poste],MATCH(1,(Tableau2[Poste]=TCD!$A6)*(TCD!AI$2=Tableau2[DATE]),0)),"")</f>
        <v/>
      </c>
      <c r="AJ6" s="76" t="str" cm="1">
        <f t="array" ref="AJ6">IFERROR(INDEX(Tableau2[Poste],MATCH(1,(Tableau2[Poste]=TCD!$A6)*(TCD!AJ$2=Tableau2[DATE]),0)),"")</f>
        <v/>
      </c>
      <c r="AK6" s="76" t="str" cm="1">
        <f t="array" ref="AK6">IFERROR(INDEX(Tableau2[Poste],MATCH(1,(Tableau2[Poste]=TCD!$A6)*(TCD!AK$2=Tableau2[DATE]),0)),"")</f>
        <v/>
      </c>
      <c r="AL6" s="76" t="str" cm="1">
        <f t="array" ref="AL6">IFERROR(INDEX(Tableau2[Poste],MATCH(1,(Tableau2[Poste]=TCD!$A6)*(TCD!AL$2=Tableau2[DATE]),0)),"")</f>
        <v/>
      </c>
      <c r="AM6" s="76" t="str" cm="1">
        <f t="array" ref="AM6">IFERROR(INDEX(Tableau2[Poste],MATCH(1,(Tableau2[Poste]=TCD!$A6)*(TCD!AM$2=Tableau2[DATE]),0)),"")</f>
        <v/>
      </c>
      <c r="AN6" s="76" t="str" cm="1">
        <f t="array" ref="AN6">IFERROR(INDEX(Tableau2[Poste],MATCH(1,(Tableau2[Poste]=TCD!$A6)*(TCD!AN$2=Tableau2[DATE]),0)),"")</f>
        <v/>
      </c>
      <c r="AO6" s="76" t="str" cm="1">
        <f t="array" ref="AO6">IFERROR(INDEX(Tableau2[Poste],MATCH(1,(Tableau2[Poste]=TCD!$A6)*(TCD!AO$2=Tableau2[DATE]),0)),"")</f>
        <v/>
      </c>
      <c r="AP6" s="76" t="str" cm="1">
        <f t="array" ref="AP6">IFERROR(INDEX(Tableau2[Poste],MATCH(1,(Tableau2[Poste]=TCD!$A6)*(TCD!AP$2=Tableau2[DATE]),0)),"")</f>
        <v/>
      </c>
    </row>
    <row r="7" spans="1:43" ht="15.75" customHeight="1" x14ac:dyDescent="0.25">
      <c r="A7"/>
      <c r="B7" s="87" t="str">
        <f>IF($A7="C",COUNTIF(L7:AP7,"C"),"")</f>
        <v/>
      </c>
      <c r="C7" s="87" t="str">
        <f>IF($A7="cm",COUNTIF(L7:AP7,"CM"),"")</f>
        <v/>
      </c>
      <c r="D7" s="87" t="str">
        <f t="shared" ref="D7:D14" si="3">IF($A7="cm PSL",COUNTIF(L7:AP7,"CM PSL"),"")</f>
        <v/>
      </c>
      <c r="E7" s="87" t="str">
        <f t="shared" ref="E7:E14" si="4">IF($A7="LOC",COUNTIF(L7:AP7,"LOC"),"")</f>
        <v/>
      </c>
      <c r="F7" s="87" t="str">
        <f t="shared" ref="F7:F14" si="5">IF($A7="LOC PSL",COUNTIF(L7:AP7,"LOC PSL"),"")</f>
        <v/>
      </c>
      <c r="G7" s="87" t="str">
        <f t="shared" ref="G7:G14" si="6">IF($A7="EVO",COUNTIF(L7:AP7,"EVO"),"")</f>
        <v/>
      </c>
      <c r="H7" s="87" t="str">
        <f t="shared" ref="H7:H14" si="7">IF($A7="RP",COUNTIF(L7:AP7,"RP"),"")</f>
        <v/>
      </c>
      <c r="I7" s="87" t="str">
        <f t="shared" ref="I7:I14" si="8">IF($A7="C",COUNTIF(L7:AP7,"C"),"")</f>
        <v/>
      </c>
      <c r="J7" s="87" t="str">
        <f t="shared" ref="J7:J14" si="9">IF($A7="M",COUNTIF(L7:AP7,"M"),"")</f>
        <v/>
      </c>
      <c r="K7" s="29"/>
      <c r="L7" s="76" t="str" cm="1">
        <f t="array" ref="L7">IFERROR(INDEX(Tableau2[Poste],MATCH(1,(Tableau2[POSTE  TENU]=TCD!$A7)*(TCD!L$2=Tableau2[DATE]),0)),"")</f>
        <v/>
      </c>
      <c r="M7" s="76" t="str" cm="1">
        <f t="array" ref="M7">IFERROR(INDEX(Tableau2[Poste],MATCH(1,(Tableau2[POSTE  TENU]=TCD!$A7)*(TCD!M$2=Tableau2[DATE]),0)),"")</f>
        <v/>
      </c>
      <c r="N7" s="76" t="str" cm="1">
        <f t="array" ref="N7">IFERROR(INDEX(Tableau2[Poste],MATCH(1,(Tableau2[POSTE  TENU]=TCD!$A7)*(TCD!N$2=Tableau2[DATE]),0)),"")</f>
        <v/>
      </c>
      <c r="O7" s="76" t="str" cm="1">
        <f t="array" ref="O7">IFERROR(INDEX(Tableau2[Poste],MATCH(1,(Tableau2[POSTE  TENU]=TCD!$A7)*(TCD!O$2=Tableau2[DATE]),0)),"")</f>
        <v/>
      </c>
      <c r="P7" s="76" t="str" cm="1">
        <f t="array" ref="P7">IFERROR(INDEX(Tableau2[Poste],MATCH(1,(Tableau2[POSTE  TENU]=TCD!$A7)*(TCD!P$2=Tableau2[DATE]),0)),"")</f>
        <v/>
      </c>
      <c r="Q7" s="76" t="str" cm="1">
        <f t="array" ref="Q7">IFERROR(INDEX(Tableau2[Poste],MATCH(1,(Tableau2[POSTE  TENU]=TCD!$A7)*(TCD!Q$2=Tableau2[DATE]),0)),"")</f>
        <v/>
      </c>
      <c r="R7" s="76" t="str" cm="1">
        <f t="array" ref="R7">IFERROR(INDEX(Tableau2[Poste],MATCH(1,(Tableau2[POSTE  TENU]=TCD!$A7)*(TCD!R$2=Tableau2[DATE]),0)),"")</f>
        <v/>
      </c>
      <c r="S7" s="76" t="str" cm="1">
        <f t="array" ref="S7">IFERROR(INDEX(Tableau2[Poste],MATCH(1,(Tableau2[POSTE  TENU]=TCD!$A7)*(TCD!S$2=Tableau2[DATE]),0)),"")</f>
        <v/>
      </c>
      <c r="T7" s="76" t="str" cm="1">
        <f t="array" ref="T7">IFERROR(INDEX(Tableau2[Poste],MATCH(1,(Tableau2[POSTE  TENU]=TCD!$A7)*(TCD!T$2=Tableau2[DATE]),0)),"")</f>
        <v/>
      </c>
      <c r="U7" s="76" t="str" cm="1">
        <f t="array" ref="U7">IFERROR(INDEX(Tableau2[Poste],MATCH(1,(Tableau2[POSTE  TENU]=TCD!$A7)*(TCD!U$2=Tableau2[DATE]),0)),"")</f>
        <v/>
      </c>
      <c r="V7" s="76" t="str" cm="1">
        <f t="array" ref="V7">IFERROR(INDEX(Tableau2[Poste],MATCH(1,(Tableau2[POSTE  TENU]=TCD!$A7)*(TCD!V$2=Tableau2[DATE]),0)),"")</f>
        <v/>
      </c>
      <c r="W7" s="76" t="str" cm="1">
        <f t="array" ref="W7">IFERROR(INDEX(Tableau2[Poste],MATCH(1,(Tableau2[POSTE  TENU]=TCD!$A7)*(TCD!W$2=Tableau2[DATE]),0)),"")</f>
        <v/>
      </c>
      <c r="X7" s="76" t="str" cm="1">
        <f t="array" ref="X7">IFERROR(INDEX(Tableau2[Poste],MATCH(1,(Tableau2[POSTE  TENU]=TCD!$A7)*(TCD!X$2=Tableau2[DATE]),0)),"")</f>
        <v/>
      </c>
      <c r="Y7" s="76" t="str" cm="1">
        <f t="array" ref="Y7">IFERROR(INDEX(Tableau2[Poste],MATCH(1,(Tableau2[POSTE  TENU]=TCD!$A7)*(TCD!Y$2=Tableau2[DATE]),0)),"")</f>
        <v/>
      </c>
      <c r="Z7" s="76" t="str" cm="1">
        <f t="array" ref="Z7">IFERROR(INDEX(Tableau2[Poste],MATCH(1,(Tableau2[POSTE  TENU]=TCD!$A7)*(TCD!Z$2=Tableau2[DATE]),0)),"")</f>
        <v/>
      </c>
      <c r="AA7" s="76" t="str" cm="1">
        <f t="array" ref="AA7">IFERROR(INDEX(Tableau2[Poste],MATCH(1,(Tableau2[POSTE  TENU]=TCD!$A7)*(TCD!AA$2=Tableau2[DATE]),0)),"")</f>
        <v/>
      </c>
      <c r="AB7" s="76" t="str" cm="1">
        <f t="array" ref="AB7">IFERROR(INDEX(Tableau2[Poste],MATCH(1,(Tableau2[POSTE  TENU]=TCD!$A7)*(TCD!AB$2=Tableau2[DATE]),0)),"")</f>
        <v/>
      </c>
      <c r="AC7" s="76" t="str" cm="1">
        <f t="array" ref="AC7">IFERROR(INDEX(Tableau2[Poste],MATCH(1,(Tableau2[POSTE  TENU]=TCD!$A7)*(TCD!AC$2=Tableau2[DATE]),0)),"")</f>
        <v/>
      </c>
      <c r="AD7" s="76" t="str" cm="1">
        <f t="array" ref="AD7">IFERROR(INDEX(Tableau2[Poste],MATCH(1,(Tableau2[POSTE  TENU]=TCD!$A7)*(TCD!AD$2=Tableau2[DATE]),0)),"")</f>
        <v/>
      </c>
      <c r="AE7" s="76" t="str" cm="1">
        <f t="array" ref="AE7">IFERROR(INDEX(Tableau2[Poste],MATCH(1,(Tableau2[POSTE  TENU]=TCD!$A7)*(TCD!AE$2=Tableau2[DATE]),0)),"")</f>
        <v/>
      </c>
      <c r="AF7" s="76" t="str" cm="1">
        <f t="array" ref="AF7">IFERROR(INDEX(Tableau2[Poste],MATCH(1,(Tableau2[POSTE  TENU]=TCD!$A7)*(TCD!AF$2=Tableau2[DATE]),0)),"")</f>
        <v/>
      </c>
      <c r="AG7" s="76" t="str" cm="1">
        <f t="array" ref="AG7">IFERROR(INDEX(Tableau2[Poste],MATCH(1,(Tableau2[POSTE  TENU]=TCD!$A7)*(TCD!AG$2=Tableau2[DATE]),0)),"")</f>
        <v/>
      </c>
      <c r="AH7" s="76" t="str" cm="1">
        <f t="array" ref="AH7">IFERROR(INDEX(Tableau2[Poste],MATCH(1,(Tableau2[Poste]=TCD!$A7)*(TCD!AH$2=Tableau2[DATE]),0)),"")</f>
        <v/>
      </c>
      <c r="AI7" s="76" t="str" cm="1">
        <f t="array" ref="AI7">IFERROR(INDEX(Tableau2[Poste],MATCH(1,(Tableau2[Poste]=TCD!$A7)*(TCD!AI$2=Tableau2[DATE]),0)),"")</f>
        <v/>
      </c>
      <c r="AJ7" s="76" t="str" cm="1">
        <f t="array" ref="AJ7">IFERROR(INDEX(Tableau2[Poste],MATCH(1,(Tableau2[Poste]=TCD!$A7)*(TCD!AJ$2=Tableau2[DATE]),0)),"")</f>
        <v/>
      </c>
      <c r="AK7" s="76" t="str" cm="1">
        <f t="array" ref="AK7">IFERROR(INDEX(Tableau2[Poste],MATCH(1,(Tableau2[Poste]=TCD!$A7)*(TCD!AK$2=Tableau2[DATE]),0)),"")</f>
        <v/>
      </c>
      <c r="AL7" s="76" t="str" cm="1">
        <f t="array" ref="AL7">IFERROR(INDEX(Tableau2[Poste],MATCH(1,(Tableau2[Poste]=TCD!$A7)*(TCD!AL$2=Tableau2[DATE]),0)),"")</f>
        <v/>
      </c>
      <c r="AM7" s="76" t="str" cm="1">
        <f t="array" ref="AM7">IFERROR(INDEX(Tableau2[Poste],MATCH(1,(Tableau2[Poste]=TCD!$A7)*(TCD!AM$2=Tableau2[DATE]),0)),"")</f>
        <v/>
      </c>
      <c r="AN7" s="76" t="str" cm="1">
        <f t="array" ref="AN7">IFERROR(INDEX(Tableau2[Poste],MATCH(1,(Tableau2[Poste]=TCD!$A7)*(TCD!AN$2=Tableau2[DATE]),0)),"")</f>
        <v/>
      </c>
      <c r="AO7" s="76" t="str" cm="1">
        <f t="array" ref="AO7">IFERROR(INDEX(Tableau2[Poste],MATCH(1,(Tableau2[Poste]=TCD!$A7)*(TCD!AO$2=Tableau2[DATE]),0)),"")</f>
        <v/>
      </c>
      <c r="AP7" s="76" t="str" cm="1">
        <f t="array" ref="AP7">IFERROR(INDEX(Tableau2[Poste],MATCH(1,(Tableau2[Poste]=TCD!$A7)*(TCD!AP$2=Tableau2[DATE]),0)),"")</f>
        <v/>
      </c>
    </row>
    <row r="8" spans="1:43" ht="15.75" customHeight="1" x14ac:dyDescent="0.25">
      <c r="A8"/>
      <c r="B8" s="87" t="str">
        <f t="shared" ref="B8:B14" si="10">IF($A8="BC",COUNTIF(L8:AP8,"BC"),"")</f>
        <v/>
      </c>
      <c r="C8" s="87" t="str">
        <f t="shared" ref="C8:C14" si="11">IF($A8="cm",COUNTIF(L8:AP8,"CM"),"")</f>
        <v/>
      </c>
      <c r="D8" s="87" t="str">
        <f t="shared" si="3"/>
        <v/>
      </c>
      <c r="E8" s="87" t="str">
        <f t="shared" si="4"/>
        <v/>
      </c>
      <c r="F8" s="87" t="str">
        <f t="shared" si="5"/>
        <v/>
      </c>
      <c r="G8" s="87" t="str">
        <f t="shared" si="6"/>
        <v/>
      </c>
      <c r="H8" s="87" t="str">
        <f t="shared" si="7"/>
        <v/>
      </c>
      <c r="I8" s="87" t="str">
        <f t="shared" si="8"/>
        <v/>
      </c>
      <c r="J8" s="87" t="str">
        <f t="shared" si="9"/>
        <v/>
      </c>
      <c r="K8" s="29"/>
      <c r="L8" s="76" t="str" cm="1">
        <f t="array" ref="L8">IFERROR(INDEX(Tableau2[Poste],MATCH(1,(Tableau2[POSTE  TENU]=TCD!$A8)*(TCD!L$2=Tableau2[DATE]),0)),"")</f>
        <v/>
      </c>
      <c r="M8" s="76" t="str" cm="1">
        <f t="array" ref="M8">IFERROR(INDEX(Tableau2[Poste],MATCH(1,(Tableau2[POSTE  TENU]=TCD!$A8)*(TCD!M$2=Tableau2[DATE]),0)),"")</f>
        <v/>
      </c>
      <c r="N8" s="76" t="str" cm="1">
        <f t="array" ref="N8">IFERROR(INDEX(Tableau2[Poste],MATCH(1,(Tableau2[POSTE  TENU]=TCD!$A8)*(TCD!N$2=Tableau2[DATE]),0)),"")</f>
        <v/>
      </c>
      <c r="O8" s="76" t="str" cm="1">
        <f t="array" ref="O8">IFERROR(INDEX(Tableau2[Poste],MATCH(1,(Tableau2[POSTE  TENU]=TCD!$A8)*(TCD!O$2=Tableau2[DATE]),0)),"")</f>
        <v/>
      </c>
      <c r="P8" s="76" t="str" cm="1">
        <f t="array" ref="P8">IFERROR(INDEX(Tableau2[Poste],MATCH(1,(Tableau2[POSTE  TENU]=TCD!$A8)*(TCD!P$2=Tableau2[DATE]),0)),"")</f>
        <v/>
      </c>
      <c r="Q8" s="76" t="str" cm="1">
        <f t="array" ref="Q8">IFERROR(INDEX(Tableau2[Poste],MATCH(1,(Tableau2[POSTE  TENU]=TCD!$A8)*(TCD!Q$2=Tableau2[DATE]),0)),"")</f>
        <v/>
      </c>
      <c r="R8" s="76" t="str" cm="1">
        <f t="array" ref="R8">IFERROR(INDEX(Tableau2[Poste],MATCH(1,(Tableau2[POSTE  TENU]=TCD!$A8)*(TCD!R$2=Tableau2[DATE]),0)),"")</f>
        <v/>
      </c>
      <c r="S8" s="76" t="str" cm="1">
        <f t="array" ref="S8">IFERROR(INDEX(Tableau2[Poste],MATCH(1,(Tableau2[POSTE  TENU]=TCD!$A8)*(TCD!S$2=Tableau2[DATE]),0)),"")</f>
        <v/>
      </c>
      <c r="T8" s="76" t="str" cm="1">
        <f t="array" ref="T8">IFERROR(INDEX(Tableau2[Poste],MATCH(1,(Tableau2[POSTE  TENU]=TCD!$A8)*(TCD!T$2=Tableau2[DATE]),0)),"")</f>
        <v/>
      </c>
      <c r="U8" s="76" t="str" cm="1">
        <f t="array" ref="U8">IFERROR(INDEX(Tableau2[Poste],MATCH(1,(Tableau2[POSTE  TENU]=TCD!$A8)*(TCD!U$2=Tableau2[DATE]),0)),"")</f>
        <v/>
      </c>
      <c r="V8" s="76" t="str" cm="1">
        <f t="array" ref="V8">IFERROR(INDEX(Tableau2[Poste],MATCH(1,(Tableau2[POSTE  TENU]=TCD!$A8)*(TCD!V$2=Tableau2[DATE]),0)),"")</f>
        <v/>
      </c>
      <c r="W8" s="76" t="str" cm="1">
        <f t="array" ref="W8">IFERROR(INDEX(Tableau2[Poste],MATCH(1,(Tableau2[POSTE  TENU]=TCD!$A8)*(TCD!W$2=Tableau2[DATE]),0)),"")</f>
        <v/>
      </c>
      <c r="X8" s="76" t="str" cm="1">
        <f t="array" ref="X8">IFERROR(INDEX(Tableau2[Poste],MATCH(1,(Tableau2[POSTE  TENU]=TCD!$A8)*(TCD!X$2=Tableau2[DATE]),0)),"")</f>
        <v/>
      </c>
      <c r="Y8" s="76" t="str" cm="1">
        <f t="array" ref="Y8">IFERROR(INDEX(Tableau2[Poste],MATCH(1,(Tableau2[POSTE  TENU]=TCD!$A8)*(TCD!Y$2=Tableau2[DATE]),0)),"")</f>
        <v/>
      </c>
      <c r="Z8" s="76" t="str" cm="1">
        <f t="array" ref="Z8">IFERROR(INDEX(Tableau2[Poste],MATCH(1,(Tableau2[POSTE  TENU]=TCD!$A8)*(TCD!Z$2=Tableau2[DATE]),0)),"")</f>
        <v/>
      </c>
      <c r="AA8" s="76" t="str" cm="1">
        <f t="array" ref="AA8">IFERROR(INDEX(Tableau2[Poste],MATCH(1,(Tableau2[POSTE  TENU]=TCD!$A8)*(TCD!AA$2=Tableau2[DATE]),0)),"")</f>
        <v/>
      </c>
      <c r="AB8" s="76" t="str" cm="1">
        <f t="array" ref="AB8">IFERROR(INDEX(Tableau2[Poste],MATCH(1,(Tableau2[POSTE  TENU]=TCD!$A8)*(TCD!AB$2=Tableau2[DATE]),0)),"")</f>
        <v/>
      </c>
      <c r="AC8" s="76" t="str" cm="1">
        <f t="array" ref="AC8">IFERROR(INDEX(Tableau2[Poste],MATCH(1,(Tableau2[POSTE  TENU]=TCD!$A8)*(TCD!AC$2=Tableau2[DATE]),0)),"")</f>
        <v/>
      </c>
      <c r="AD8" s="76" t="str" cm="1">
        <f t="array" ref="AD8">IFERROR(INDEX(Tableau2[Poste],MATCH(1,(Tableau2[POSTE  TENU]=TCD!$A8)*(TCD!AD$2=Tableau2[DATE]),0)),"")</f>
        <v/>
      </c>
      <c r="AE8" s="76" t="str" cm="1">
        <f t="array" ref="AE8">IFERROR(INDEX(Tableau2[Poste],MATCH(1,(Tableau2[POSTE  TENU]=TCD!$A8)*(TCD!AE$2=Tableau2[DATE]),0)),"")</f>
        <v/>
      </c>
      <c r="AF8" s="76" t="str" cm="1">
        <f t="array" ref="AF8">IFERROR(INDEX(Tableau2[Poste],MATCH(1,(Tableau2[POSTE  TENU]=TCD!$A8)*(TCD!AF$2=Tableau2[DATE]),0)),"")</f>
        <v/>
      </c>
      <c r="AG8" s="76" t="str" cm="1">
        <f t="array" ref="AG8">IFERROR(INDEX(Tableau2[Poste],MATCH(1,(Tableau2[POSTE  TENU]=TCD!$A8)*(TCD!AG$2=Tableau2[DATE]),0)),"")</f>
        <v/>
      </c>
      <c r="AH8" s="76" t="str" cm="1">
        <f t="array" ref="AH8">IFERROR(INDEX(Tableau2[Poste],MATCH(1,(Tableau2[Poste]=TCD!$A8)*(TCD!AH$2=Tableau2[DATE]),0)),"")</f>
        <v/>
      </c>
      <c r="AI8" s="76" t="str" cm="1">
        <f t="array" ref="AI8">IFERROR(INDEX(Tableau2[Poste],MATCH(1,(Tableau2[Poste]=TCD!$A8)*(TCD!AI$2=Tableau2[DATE]),0)),"")</f>
        <v/>
      </c>
      <c r="AJ8" s="76" t="str" cm="1">
        <f t="array" ref="AJ8">IFERROR(INDEX(Tableau2[Poste],MATCH(1,(Tableau2[Poste]=TCD!$A8)*(TCD!AJ$2=Tableau2[DATE]),0)),"")</f>
        <v/>
      </c>
      <c r="AK8" s="76" t="str" cm="1">
        <f t="array" ref="AK8">IFERROR(INDEX(Tableau2[Poste],MATCH(1,(Tableau2[Poste]=TCD!$A8)*(TCD!AK$2=Tableau2[DATE]),0)),"")</f>
        <v/>
      </c>
      <c r="AL8" s="76" t="str" cm="1">
        <f t="array" ref="AL8">IFERROR(INDEX(Tableau2[Poste],MATCH(1,(Tableau2[Poste]=TCD!$A8)*(TCD!AL$2=Tableau2[DATE]),0)),"")</f>
        <v/>
      </c>
      <c r="AM8" s="76" t="str" cm="1">
        <f t="array" ref="AM8">IFERROR(INDEX(Tableau2[Poste],MATCH(1,(Tableau2[Poste]=TCD!$A8)*(TCD!AM$2=Tableau2[DATE]),0)),"")</f>
        <v/>
      </c>
      <c r="AN8" s="76" t="str" cm="1">
        <f t="array" ref="AN8">IFERROR(INDEX(Tableau2[Poste],MATCH(1,(Tableau2[Poste]=TCD!$A8)*(TCD!AN$2=Tableau2[DATE]),0)),"")</f>
        <v/>
      </c>
      <c r="AO8" s="76" t="str" cm="1">
        <f t="array" ref="AO8">IFERROR(INDEX(Tableau2[Poste],MATCH(1,(Tableau2[Poste]=TCD!$A8)*(TCD!AO$2=Tableau2[DATE]),0)),"")</f>
        <v/>
      </c>
      <c r="AP8" s="76" t="str" cm="1">
        <f t="array" ref="AP8">IFERROR(INDEX(Tableau2[Poste],MATCH(1,(Tableau2[Poste]=TCD!$A8)*(TCD!AP$2=Tableau2[DATE]),0)),"")</f>
        <v/>
      </c>
    </row>
    <row r="9" spans="1:43" ht="12" customHeight="1" x14ac:dyDescent="0.25">
      <c r="A9"/>
      <c r="B9" s="87" t="str">
        <f t="shared" si="10"/>
        <v/>
      </c>
      <c r="C9" s="87" t="str">
        <f t="shared" si="11"/>
        <v/>
      </c>
      <c r="D9" s="87" t="str">
        <f t="shared" si="3"/>
        <v/>
      </c>
      <c r="E9" s="87" t="str">
        <f t="shared" si="4"/>
        <v/>
      </c>
      <c r="F9" s="87" t="str">
        <f t="shared" si="5"/>
        <v/>
      </c>
      <c r="G9" s="87" t="str">
        <f t="shared" si="6"/>
        <v/>
      </c>
      <c r="H9" s="87" t="str">
        <f t="shared" si="7"/>
        <v/>
      </c>
      <c r="I9" s="87" t="str">
        <f t="shared" si="8"/>
        <v/>
      </c>
      <c r="J9" s="87" t="str">
        <f t="shared" si="9"/>
        <v/>
      </c>
      <c r="K9" s="29"/>
      <c r="L9" s="76" t="str" cm="1">
        <f t="array" ref="L9">IFERROR(INDEX(Tableau2[Poste],MATCH(1,(Tableau2[POSTE  TENU]=TCD!$A9)*(TCD!L$2=Tableau2[DATE]),0)),"")</f>
        <v/>
      </c>
      <c r="M9" s="76" t="str" cm="1">
        <f t="array" ref="M9">IFERROR(INDEX(Tableau2[Poste],MATCH(1,(Tableau2[POSTE  TENU]=TCD!$A9)*(TCD!M$2=Tableau2[DATE]),0)),"")</f>
        <v/>
      </c>
      <c r="N9" s="76" t="str" cm="1">
        <f t="array" ref="N9">IFERROR(INDEX(Tableau2[Poste],MATCH(1,(Tableau2[POSTE  TENU]=TCD!$A9)*(TCD!N$2=Tableau2[DATE]),0)),"")</f>
        <v/>
      </c>
      <c r="O9" s="76" t="str" cm="1">
        <f t="array" ref="O9">IFERROR(INDEX(Tableau2[Poste],MATCH(1,(Tableau2[POSTE  TENU]=TCD!$A9)*(TCD!O$2=Tableau2[DATE]),0)),"")</f>
        <v/>
      </c>
      <c r="P9" s="76" t="str" cm="1">
        <f t="array" ref="P9">IFERROR(INDEX(Tableau2[Poste],MATCH(1,(Tableau2[POSTE  TENU]=TCD!$A9)*(TCD!P$2=Tableau2[DATE]),0)),"")</f>
        <v/>
      </c>
      <c r="Q9" s="76" t="str" cm="1">
        <f t="array" ref="Q9">IFERROR(INDEX(Tableau2[Poste],MATCH(1,(Tableau2[POSTE  TENU]=TCD!$A9)*(TCD!Q$2=Tableau2[DATE]),0)),"")</f>
        <v/>
      </c>
      <c r="R9" s="76" t="str" cm="1">
        <f t="array" ref="R9">IFERROR(INDEX(Tableau2[Poste],MATCH(1,(Tableau2[POSTE  TENU]=TCD!$A9)*(TCD!R$2=Tableau2[DATE]),0)),"")</f>
        <v/>
      </c>
      <c r="S9" s="76" t="str" cm="1">
        <f t="array" ref="S9">IFERROR(INDEX(Tableau2[Poste],MATCH(1,(Tableau2[POSTE  TENU]=TCD!$A9)*(TCD!S$2=Tableau2[DATE]),0)),"")</f>
        <v/>
      </c>
      <c r="T9" s="76" t="str" cm="1">
        <f t="array" ref="T9">IFERROR(INDEX(Tableau2[Poste],MATCH(1,(Tableau2[POSTE  TENU]=TCD!$A9)*(TCD!T$2=Tableau2[DATE]),0)),"")</f>
        <v/>
      </c>
      <c r="U9" s="76" t="str" cm="1">
        <f t="array" ref="U9">IFERROR(INDEX(Tableau2[Poste],MATCH(1,(Tableau2[POSTE  TENU]=TCD!$A9)*(TCD!U$2=Tableau2[DATE]),0)),"")</f>
        <v/>
      </c>
      <c r="V9" s="76" t="str" cm="1">
        <f t="array" ref="V9">IFERROR(INDEX(Tableau2[Poste],MATCH(1,(Tableau2[POSTE  TENU]=TCD!$A9)*(TCD!V$2=Tableau2[DATE]),0)),"")</f>
        <v/>
      </c>
      <c r="W9" s="76" t="str" cm="1">
        <f t="array" ref="W9">IFERROR(INDEX(Tableau2[Poste],MATCH(1,(Tableau2[POSTE  TENU]=TCD!$A9)*(TCD!W$2=Tableau2[DATE]),0)),"")</f>
        <v/>
      </c>
      <c r="X9" s="76" t="str" cm="1">
        <f t="array" ref="X9">IFERROR(INDEX(Tableau2[Poste],MATCH(1,(Tableau2[POSTE  TENU]=TCD!$A9)*(TCD!X$2=Tableau2[DATE]),0)),"")</f>
        <v/>
      </c>
      <c r="Y9" s="76" t="str" cm="1">
        <f t="array" ref="Y9">IFERROR(INDEX(Tableau2[Poste],MATCH(1,(Tableau2[POSTE  TENU]=TCD!$A9)*(TCD!Y$2=Tableau2[DATE]),0)),"")</f>
        <v/>
      </c>
      <c r="Z9" s="76" t="str" cm="1">
        <f t="array" ref="Z9">IFERROR(INDEX(Tableau2[Poste],MATCH(1,(Tableau2[POSTE  TENU]=TCD!$A9)*(TCD!Z$2=Tableau2[DATE]),0)),"")</f>
        <v/>
      </c>
      <c r="AA9" s="76" t="str" cm="1">
        <f t="array" ref="AA9">IFERROR(INDEX(Tableau2[Poste],MATCH(1,(Tableau2[POSTE  TENU]=TCD!$A9)*(TCD!AA$2=Tableau2[DATE]),0)),"")</f>
        <v/>
      </c>
      <c r="AB9" s="76" t="str" cm="1">
        <f t="array" ref="AB9">IFERROR(INDEX(Tableau2[Poste],MATCH(1,(Tableau2[POSTE  TENU]=TCD!$A9)*(TCD!AB$2=Tableau2[DATE]),0)),"")</f>
        <v/>
      </c>
      <c r="AC9" s="76" t="str" cm="1">
        <f t="array" ref="AC9">IFERROR(INDEX(Tableau2[Poste],MATCH(1,(Tableau2[POSTE  TENU]=TCD!$A9)*(TCD!AC$2=Tableau2[DATE]),0)),"")</f>
        <v/>
      </c>
      <c r="AD9" s="76" t="str" cm="1">
        <f t="array" ref="AD9">IFERROR(INDEX(Tableau2[Poste],MATCH(1,(Tableau2[POSTE  TENU]=TCD!$A9)*(TCD!AD$2=Tableau2[DATE]),0)),"")</f>
        <v/>
      </c>
      <c r="AE9" s="76" t="str" cm="1">
        <f t="array" ref="AE9">IFERROR(INDEX(Tableau2[Poste],MATCH(1,(Tableau2[POSTE  TENU]=TCD!$A9)*(TCD!AE$2=Tableau2[DATE]),0)),"")</f>
        <v/>
      </c>
      <c r="AF9" s="76" t="str" cm="1">
        <f t="array" ref="AF9">IFERROR(INDEX(Tableau2[Poste],MATCH(1,(Tableau2[POSTE  TENU]=TCD!$A9)*(TCD!AF$2=Tableau2[DATE]),0)),"")</f>
        <v/>
      </c>
      <c r="AG9" s="76" t="str" cm="1">
        <f t="array" ref="AG9">IFERROR(INDEX(Tableau2[Poste],MATCH(1,(Tableau2[POSTE  TENU]=TCD!$A9)*(TCD!AG$2=Tableau2[DATE]),0)),"")</f>
        <v/>
      </c>
      <c r="AH9" s="76" t="str" cm="1">
        <f t="array" ref="AH9">IFERROR(INDEX(Tableau2[Poste],MATCH(1,(Tableau2[Poste]=TCD!$A9)*(TCD!AH$2=Tableau2[DATE]),0)),"")</f>
        <v/>
      </c>
      <c r="AI9" s="76" t="str" cm="1">
        <f t="array" ref="AI9">IFERROR(INDEX(Tableau2[Poste],MATCH(1,(Tableau2[Poste]=TCD!$A9)*(TCD!AI$2=Tableau2[DATE]),0)),"")</f>
        <v/>
      </c>
      <c r="AJ9" s="76" t="str" cm="1">
        <f t="array" ref="AJ9">IFERROR(INDEX(Tableau2[Poste],MATCH(1,(Tableau2[Poste]=TCD!$A9)*(TCD!AJ$2=Tableau2[DATE]),0)),"")</f>
        <v/>
      </c>
      <c r="AK9" s="76" t="str" cm="1">
        <f t="array" ref="AK9">IFERROR(INDEX(Tableau2[Poste],MATCH(1,(Tableau2[Poste]=TCD!$A9)*(TCD!AK$2=Tableau2[DATE]),0)),"")</f>
        <v/>
      </c>
      <c r="AL9" s="76" t="str" cm="1">
        <f t="array" ref="AL9">IFERROR(INDEX(Tableau2[Poste],MATCH(1,(Tableau2[Poste]=TCD!$A9)*(TCD!AL$2=Tableau2[DATE]),0)),"")</f>
        <v/>
      </c>
      <c r="AM9" s="76" t="str" cm="1">
        <f t="array" ref="AM9">IFERROR(INDEX(Tableau2[Poste],MATCH(1,(Tableau2[Poste]=TCD!$A9)*(TCD!AM$2=Tableau2[DATE]),0)),"")</f>
        <v/>
      </c>
      <c r="AN9" s="76" t="str" cm="1">
        <f t="array" ref="AN9">IFERROR(INDEX(Tableau2[Poste],MATCH(1,(Tableau2[Poste]=TCD!$A9)*(TCD!AN$2=Tableau2[DATE]),0)),"")</f>
        <v/>
      </c>
      <c r="AO9" s="76" t="str" cm="1">
        <f t="array" ref="AO9">IFERROR(INDEX(Tableau2[Poste],MATCH(1,(Tableau2[Poste]=TCD!$A9)*(TCD!AO$2=Tableau2[DATE]),0)),"")</f>
        <v/>
      </c>
      <c r="AP9" s="76" t="str" cm="1">
        <f t="array" ref="AP9">IFERROR(INDEX(Tableau2[Poste],MATCH(1,(Tableau2[Poste]=TCD!$A9)*(TCD!AP$2=Tableau2[DATE]),0)),"")</f>
        <v/>
      </c>
    </row>
    <row r="10" spans="1:43" ht="15.75" customHeight="1" x14ac:dyDescent="0.25">
      <c r="A10"/>
      <c r="B10" s="87" t="str">
        <f t="shared" si="10"/>
        <v/>
      </c>
      <c r="C10" s="87" t="str">
        <f t="shared" si="11"/>
        <v/>
      </c>
      <c r="D10" s="87" t="str">
        <f t="shared" si="3"/>
        <v/>
      </c>
      <c r="E10" s="87" t="str">
        <f t="shared" si="4"/>
        <v/>
      </c>
      <c r="F10" s="87" t="str">
        <f t="shared" si="5"/>
        <v/>
      </c>
      <c r="G10" s="87" t="str">
        <f t="shared" si="6"/>
        <v/>
      </c>
      <c r="H10" s="87" t="str">
        <f t="shared" si="7"/>
        <v/>
      </c>
      <c r="I10" s="87" t="str">
        <f t="shared" si="8"/>
        <v/>
      </c>
      <c r="J10" s="87" t="str">
        <f t="shared" si="9"/>
        <v/>
      </c>
      <c r="K10" s="29"/>
      <c r="L10" s="76" t="str" cm="1">
        <f t="array" ref="L10">IFERROR(INDEX(Tableau2[Poste],MATCH(1,(Tableau2[POSTE  TENU]=TCD!$A10)*(TCD!L$2=Tableau2[DATE]),0)),"")</f>
        <v/>
      </c>
      <c r="M10" s="76" t="str" cm="1">
        <f t="array" ref="M10">IFERROR(INDEX(Tableau2[Poste],MATCH(1,(Tableau2[POSTE  TENU]=TCD!$A10)*(TCD!M$2=Tableau2[DATE]),0)),"")</f>
        <v/>
      </c>
      <c r="N10" s="76" t="str" cm="1">
        <f t="array" ref="N10">IFERROR(INDEX(Tableau2[Poste],MATCH(1,(Tableau2[POSTE  TENU]=TCD!$A10)*(TCD!N$2=Tableau2[DATE]),0)),"")</f>
        <v/>
      </c>
      <c r="O10" s="76" t="str" cm="1">
        <f t="array" ref="O10">IFERROR(INDEX(Tableau2[Poste],MATCH(1,(Tableau2[POSTE  TENU]=TCD!$A10)*(TCD!O$2=Tableau2[DATE]),0)),"")</f>
        <v/>
      </c>
      <c r="P10" s="76" t="str" cm="1">
        <f t="array" ref="P10">IFERROR(INDEX(Tableau2[Poste],MATCH(1,(Tableau2[POSTE  TENU]=TCD!$A10)*(TCD!P$2=Tableau2[DATE]),0)),"")</f>
        <v/>
      </c>
      <c r="Q10" s="76" t="str" cm="1">
        <f t="array" ref="Q10">IFERROR(INDEX(Tableau2[Poste],MATCH(1,(Tableau2[POSTE  TENU]=TCD!$A10)*(TCD!Q$2=Tableau2[DATE]),0)),"")</f>
        <v/>
      </c>
      <c r="R10" s="76" t="str" cm="1">
        <f t="array" ref="R10">IFERROR(INDEX(Tableau2[Poste],MATCH(1,(Tableau2[POSTE  TENU]=TCD!$A10)*(TCD!R$2=Tableau2[DATE]),0)),"")</f>
        <v/>
      </c>
      <c r="S10" s="76" t="str" cm="1">
        <f t="array" ref="S10">IFERROR(INDEX(Tableau2[Poste],MATCH(1,(Tableau2[POSTE  TENU]=TCD!$A10)*(TCD!S$2=Tableau2[DATE]),0)),"")</f>
        <v/>
      </c>
      <c r="T10" s="76" t="str" cm="1">
        <f t="array" ref="T10">IFERROR(INDEX(Tableau2[Poste],MATCH(1,(Tableau2[POSTE  TENU]=TCD!$A10)*(TCD!T$2=Tableau2[DATE]),0)),"")</f>
        <v/>
      </c>
      <c r="U10" s="76" t="str" cm="1">
        <f t="array" ref="U10">IFERROR(INDEX(Tableau2[Poste],MATCH(1,(Tableau2[POSTE  TENU]=TCD!$A10)*(TCD!U$2=Tableau2[DATE]),0)),"")</f>
        <v/>
      </c>
      <c r="V10" s="76" t="str" cm="1">
        <f t="array" ref="V10">IFERROR(INDEX(Tableau2[Poste],MATCH(1,(Tableau2[POSTE  TENU]=TCD!$A10)*(TCD!V$2=Tableau2[DATE]),0)),"")</f>
        <v/>
      </c>
      <c r="W10" s="76" t="str" cm="1">
        <f t="array" ref="W10">IFERROR(INDEX(Tableau2[Poste],MATCH(1,(Tableau2[POSTE  TENU]=TCD!$A10)*(TCD!W$2=Tableau2[DATE]),0)),"")</f>
        <v/>
      </c>
      <c r="X10" s="76" t="str" cm="1">
        <f t="array" ref="X10">IFERROR(INDEX(Tableau2[Poste],MATCH(1,(Tableau2[POSTE  TENU]=TCD!$A10)*(TCD!X$2=Tableau2[DATE]),0)),"")</f>
        <v/>
      </c>
      <c r="Y10" s="76" t="str" cm="1">
        <f t="array" ref="Y10">IFERROR(INDEX(Tableau2[Poste],MATCH(1,(Tableau2[POSTE  TENU]=TCD!$A10)*(TCD!Y$2=Tableau2[DATE]),0)),"")</f>
        <v/>
      </c>
      <c r="Z10" s="76" t="str" cm="1">
        <f t="array" ref="Z10">IFERROR(INDEX(Tableau2[Poste],MATCH(1,(Tableau2[POSTE  TENU]=TCD!$A10)*(TCD!Z$2=Tableau2[DATE]),0)),"")</f>
        <v/>
      </c>
      <c r="AA10" s="76" t="str" cm="1">
        <f t="array" ref="AA10">IFERROR(INDEX(Tableau2[Poste],MATCH(1,(Tableau2[POSTE  TENU]=TCD!$A10)*(TCD!AA$2=Tableau2[DATE]),0)),"")</f>
        <v/>
      </c>
      <c r="AB10" s="76" t="str" cm="1">
        <f t="array" ref="AB10">IFERROR(INDEX(Tableau2[Poste],MATCH(1,(Tableau2[POSTE  TENU]=TCD!$A10)*(TCD!AB$2=Tableau2[DATE]),0)),"")</f>
        <v/>
      </c>
      <c r="AC10" s="76" t="str" cm="1">
        <f t="array" ref="AC10">IFERROR(INDEX(Tableau2[Poste],MATCH(1,(Tableau2[POSTE  TENU]=TCD!$A10)*(TCD!AC$2=Tableau2[DATE]),0)),"")</f>
        <v/>
      </c>
      <c r="AD10" s="76" t="str" cm="1">
        <f t="array" ref="AD10">IFERROR(INDEX(Tableau2[Poste],MATCH(1,(Tableau2[POSTE  TENU]=TCD!$A10)*(TCD!AD$2=Tableau2[DATE]),0)),"")</f>
        <v/>
      </c>
      <c r="AE10" s="76" t="str" cm="1">
        <f t="array" ref="AE10">IFERROR(INDEX(Tableau2[Poste],MATCH(1,(Tableau2[POSTE  TENU]=TCD!$A10)*(TCD!AE$2=Tableau2[DATE]),0)),"")</f>
        <v/>
      </c>
      <c r="AF10" s="76" t="str" cm="1">
        <f t="array" ref="AF10">IFERROR(INDEX(Tableau2[Poste],MATCH(1,(Tableau2[POSTE  TENU]=TCD!$A10)*(TCD!AF$2=Tableau2[DATE]),0)),"")</f>
        <v/>
      </c>
      <c r="AG10" s="76" t="str" cm="1">
        <f t="array" ref="AG10">IFERROR(INDEX(Tableau2[Poste],MATCH(1,(Tableau2[POSTE  TENU]=TCD!$A10)*(TCD!AG$2=Tableau2[DATE]),0)),"")</f>
        <v/>
      </c>
      <c r="AH10" s="76" t="str" cm="1">
        <f t="array" ref="AH10">IFERROR(INDEX(Tableau2[Poste],MATCH(1,(Tableau2[Poste]=TCD!$A10)*(TCD!AH$2=Tableau2[DATE]),0)),"")</f>
        <v/>
      </c>
      <c r="AI10" s="76" t="str" cm="1">
        <f t="array" ref="AI10">IFERROR(INDEX(Tableau2[Poste],MATCH(1,(Tableau2[Poste]=TCD!$A10)*(TCD!AI$2=Tableau2[DATE]),0)),"")</f>
        <v/>
      </c>
      <c r="AJ10" s="76" t="str" cm="1">
        <f t="array" ref="AJ10">IFERROR(INDEX(Tableau2[Poste],MATCH(1,(Tableau2[Poste]=TCD!$A10)*(TCD!AJ$2=Tableau2[DATE]),0)),"")</f>
        <v/>
      </c>
      <c r="AK10" s="76" t="str" cm="1">
        <f t="array" ref="AK10">IFERROR(INDEX(Tableau2[Poste],MATCH(1,(Tableau2[Poste]=TCD!$A10)*(TCD!AK$2=Tableau2[DATE]),0)),"")</f>
        <v/>
      </c>
      <c r="AL10" s="76" t="str" cm="1">
        <f t="array" ref="AL10">IFERROR(INDEX(Tableau2[Poste],MATCH(1,(Tableau2[Poste]=TCD!$A10)*(TCD!AL$2=Tableau2[DATE]),0)),"")</f>
        <v/>
      </c>
      <c r="AM10" s="76" t="str" cm="1">
        <f t="array" ref="AM10">IFERROR(INDEX(Tableau2[Poste],MATCH(1,(Tableau2[Poste]=TCD!$A10)*(TCD!AM$2=Tableau2[DATE]),0)),"")</f>
        <v/>
      </c>
      <c r="AN10" s="76" t="str" cm="1">
        <f t="array" ref="AN10">IFERROR(INDEX(Tableau2[Poste],MATCH(1,(Tableau2[Poste]=TCD!$A10)*(TCD!AN$2=Tableau2[DATE]),0)),"")</f>
        <v/>
      </c>
      <c r="AO10" s="76" t="str" cm="1">
        <f t="array" ref="AO10">IFERROR(INDEX(Tableau2[Poste],MATCH(1,(Tableau2[Poste]=TCD!$A10)*(TCD!AO$2=Tableau2[DATE]),0)),"")</f>
        <v/>
      </c>
      <c r="AP10" s="76" t="str" cm="1">
        <f t="array" ref="AP10">IFERROR(INDEX(Tableau2[Poste],MATCH(1,(Tableau2[Poste]=TCD!$A10)*(TCD!AP$2=Tableau2[DATE]),0)),"")</f>
        <v/>
      </c>
    </row>
    <row r="11" spans="1:43" ht="15.75" customHeight="1" x14ac:dyDescent="0.25">
      <c r="A11"/>
      <c r="B11" s="87" t="str">
        <f t="shared" si="10"/>
        <v/>
      </c>
      <c r="C11" s="87" t="str">
        <f t="shared" si="11"/>
        <v/>
      </c>
      <c r="D11" s="87" t="str">
        <f t="shared" si="3"/>
        <v/>
      </c>
      <c r="E11" s="87" t="str">
        <f t="shared" si="4"/>
        <v/>
      </c>
      <c r="F11" s="87" t="str">
        <f t="shared" si="5"/>
        <v/>
      </c>
      <c r="G11" s="87" t="str">
        <f t="shared" si="6"/>
        <v/>
      </c>
      <c r="H11" s="87" t="str">
        <f t="shared" si="7"/>
        <v/>
      </c>
      <c r="I11" s="87" t="str">
        <f t="shared" si="8"/>
        <v/>
      </c>
      <c r="J11" s="87" t="str">
        <f t="shared" si="9"/>
        <v/>
      </c>
      <c r="K11" s="29"/>
      <c r="L11" s="76" t="str" cm="1">
        <f t="array" ref="L11">IFERROR(INDEX(Tableau2[Poste],MATCH(1,(Tableau2[Poste]=TCD!$A11)*(TCD!L$2=Tableau2[DATE]),0)),"")</f>
        <v/>
      </c>
      <c r="M11" s="76" t="str" cm="1">
        <f t="array" ref="M11">IFERROR(INDEX(Tableau2[Poste],MATCH(1,(Tableau2[Poste]=TCD!$A11)*(TCD!M$2=Tableau2[DATE]),0)),"")</f>
        <v/>
      </c>
      <c r="N11" s="76" t="str" cm="1">
        <f t="array" ref="N11">IFERROR(INDEX(Tableau2[Poste],MATCH(1,(Tableau2[Poste]=TCD!$A11)*(TCD!N$2=Tableau2[DATE]),0)),"")</f>
        <v/>
      </c>
      <c r="O11" s="76" t="str" cm="1">
        <f t="array" ref="O11">IFERROR(INDEX(Tableau2[Poste],MATCH(1,(Tableau2[Poste]=TCD!$A11)*(TCD!O$2=Tableau2[DATE]),0)),"")</f>
        <v/>
      </c>
      <c r="P11" s="76" t="str" cm="1">
        <f t="array" ref="P11">IFERROR(INDEX(Tableau2[Poste],MATCH(1,(Tableau2[Poste]=TCD!$A11)*(TCD!P$2=Tableau2[DATE]),0)),"")</f>
        <v/>
      </c>
      <c r="Q11" s="76" t="str" cm="1">
        <f t="array" ref="Q11">IFERROR(INDEX(Tableau2[Poste],MATCH(1,(Tableau2[Poste]=TCD!$A11)*(TCD!Q$2=Tableau2[DATE]),0)),"")</f>
        <v/>
      </c>
      <c r="R11" s="76" t="str" cm="1">
        <f t="array" ref="R11">IFERROR(INDEX(Tableau2[Poste],MATCH(1,(Tableau2[Poste]=TCD!$A11)*(TCD!R$2=Tableau2[DATE]),0)),"")</f>
        <v/>
      </c>
      <c r="S11" s="76" t="str" cm="1">
        <f t="array" ref="S11">IFERROR(INDEX(Tableau2[Poste],MATCH(1,(Tableau2[Poste]=TCD!$A11)*(TCD!S$2=Tableau2[DATE]),0)),"")</f>
        <v/>
      </c>
      <c r="T11" s="76" t="str" cm="1">
        <f t="array" ref="T11">IFERROR(INDEX(Tableau2[Poste],MATCH(1,(Tableau2[Poste]=TCD!$A11)*(TCD!T$2=Tableau2[DATE]),0)),"")</f>
        <v/>
      </c>
      <c r="U11" s="76" t="str" cm="1">
        <f t="array" ref="U11">IFERROR(INDEX(Tableau2[Poste],MATCH(1,(Tableau2[Poste]=TCD!$A11)*(TCD!U$2=Tableau2[DATE]),0)),"")</f>
        <v/>
      </c>
      <c r="V11" s="76" t="str" cm="1">
        <f t="array" ref="V11">IFERROR(INDEX(Tableau2[Poste],MATCH(1,(Tableau2[Poste]=TCD!$A11)*(TCD!V$2=Tableau2[DATE]),0)),"")</f>
        <v/>
      </c>
      <c r="W11" s="76" t="str" cm="1">
        <f t="array" ref="W11">IFERROR(INDEX(Tableau2[Poste],MATCH(1,(Tableau2[Poste]=TCD!$A11)*(TCD!W$2=Tableau2[DATE]),0)),"")</f>
        <v/>
      </c>
      <c r="X11" s="76" t="str" cm="1">
        <f t="array" ref="X11">IFERROR(INDEX(Tableau2[Poste],MATCH(1,(Tableau2[Poste]=TCD!$A11)*(TCD!X$2=Tableau2[DATE]),0)),"")</f>
        <v/>
      </c>
      <c r="Y11" s="76" t="str" cm="1">
        <f t="array" ref="Y11">IFERROR(INDEX(Tableau2[Poste],MATCH(1,(Tableau2[Poste]=TCD!$A11)*(TCD!Y$2=Tableau2[DATE]),0)),"")</f>
        <v/>
      </c>
      <c r="Z11" s="76" t="str" cm="1">
        <f t="array" ref="Z11">IFERROR(INDEX(Tableau2[Poste],MATCH(1,(Tableau2[Poste]=TCD!$A11)*(TCD!Z$2=Tableau2[DATE]),0)),"")</f>
        <v/>
      </c>
      <c r="AA11" s="76" t="str" cm="1">
        <f t="array" ref="AA11">IFERROR(INDEX(Tableau2[Poste],MATCH(1,(Tableau2[Poste]=TCD!$A11)*(TCD!AA$2=Tableau2[DATE]),0)),"")</f>
        <v/>
      </c>
      <c r="AB11" s="76" t="str" cm="1">
        <f t="array" ref="AB11">IFERROR(INDEX(Tableau2[Poste],MATCH(1,(Tableau2[Poste]=TCD!$A11)*(TCD!AB$2=Tableau2[DATE]),0)),"")</f>
        <v/>
      </c>
      <c r="AC11" s="76" t="str" cm="1">
        <f t="array" ref="AC11">IFERROR(INDEX(Tableau2[Poste],MATCH(1,(Tableau2[Poste]=TCD!$A11)*(TCD!AC$2=Tableau2[DATE]),0)),"")</f>
        <v/>
      </c>
      <c r="AD11" s="76" t="str" cm="1">
        <f t="array" ref="AD11">IFERROR(INDEX(Tableau2[Poste],MATCH(1,(Tableau2[Poste]=TCD!$A11)*(TCD!AD$2=Tableau2[DATE]),0)),"")</f>
        <v/>
      </c>
      <c r="AE11" s="76" t="str" cm="1">
        <f t="array" ref="AE11">IFERROR(INDEX(Tableau2[Poste],MATCH(1,(Tableau2[Poste]=TCD!$A11)*(TCD!AE$2=Tableau2[DATE]),0)),"")</f>
        <v/>
      </c>
      <c r="AF11" s="76" t="str" cm="1">
        <f t="array" ref="AF11">IFERROR(INDEX(Tableau2[Poste],MATCH(1,(Tableau2[Poste]=TCD!$A11)*(TCD!AF$2=Tableau2[DATE]),0)),"")</f>
        <v/>
      </c>
      <c r="AG11" s="76" t="str" cm="1">
        <f t="array" ref="AG11">IFERROR(INDEX(Tableau2[Poste],MATCH(1,(Tableau2[Poste]=TCD!$A11)*(TCD!AG$2=Tableau2[DATE]),0)),"")</f>
        <v/>
      </c>
      <c r="AH11" s="76" t="str" cm="1">
        <f t="array" ref="AH11">IFERROR(INDEX(Tableau2[Poste],MATCH(1,(Tableau2[Poste]=TCD!$A11)*(TCD!AH$2=Tableau2[DATE]),0)),"")</f>
        <v/>
      </c>
      <c r="AI11" s="76" t="str" cm="1">
        <f t="array" ref="AI11">IFERROR(INDEX(Tableau2[Poste],MATCH(1,(Tableau2[Poste]=TCD!$A11)*(TCD!AI$2=Tableau2[DATE]),0)),"")</f>
        <v/>
      </c>
      <c r="AJ11" s="76" t="str" cm="1">
        <f t="array" ref="AJ11">IFERROR(INDEX(Tableau2[Poste],MATCH(1,(Tableau2[Poste]=TCD!$A11)*(TCD!AJ$2=Tableau2[DATE]),0)),"")</f>
        <v/>
      </c>
      <c r="AK11" s="76" t="str" cm="1">
        <f t="array" ref="AK11">IFERROR(INDEX(Tableau2[Poste],MATCH(1,(Tableau2[Poste]=TCD!$A11)*(TCD!AK$2=Tableau2[DATE]),0)),"")</f>
        <v/>
      </c>
      <c r="AL11" s="76" t="str" cm="1">
        <f t="array" ref="AL11">IFERROR(INDEX(Tableau2[Poste],MATCH(1,(Tableau2[Poste]=TCD!$A11)*(TCD!AL$2=Tableau2[DATE]),0)),"")</f>
        <v/>
      </c>
      <c r="AM11" s="76" t="str" cm="1">
        <f t="array" ref="AM11">IFERROR(INDEX(Tableau2[Poste],MATCH(1,(Tableau2[Poste]=TCD!$A11)*(TCD!AM$2=Tableau2[DATE]),0)),"")</f>
        <v/>
      </c>
      <c r="AN11" s="76" t="str" cm="1">
        <f t="array" ref="AN11">IFERROR(INDEX(Tableau2[Poste],MATCH(1,(Tableau2[Poste]=TCD!$A11)*(TCD!AN$2=Tableau2[DATE]),0)),"")</f>
        <v/>
      </c>
      <c r="AO11" s="76" t="str" cm="1">
        <f t="array" ref="AO11">IFERROR(INDEX(Tableau2[Poste],MATCH(1,(Tableau2[Poste]=TCD!$A11)*(TCD!AO$2=Tableau2[DATE]),0)),"")</f>
        <v/>
      </c>
      <c r="AP11" s="76" t="str" cm="1">
        <f t="array" ref="AP11">IFERROR(INDEX(Tableau2[Poste],MATCH(1,(Tableau2[Poste]=TCD!$A11)*(TCD!AP$2=Tableau2[DATE]),0)),"")</f>
        <v/>
      </c>
    </row>
    <row r="12" spans="1:43" ht="15.75" customHeight="1" x14ac:dyDescent="0.25">
      <c r="A12"/>
      <c r="B12" s="87" t="str">
        <f t="shared" si="10"/>
        <v/>
      </c>
      <c r="C12" s="87" t="str">
        <f t="shared" si="11"/>
        <v/>
      </c>
      <c r="D12" s="87" t="str">
        <f t="shared" si="3"/>
        <v/>
      </c>
      <c r="E12" s="87" t="str">
        <f t="shared" si="4"/>
        <v/>
      </c>
      <c r="F12" s="87" t="str">
        <f t="shared" si="5"/>
        <v/>
      </c>
      <c r="G12" s="87" t="str">
        <f t="shared" si="6"/>
        <v/>
      </c>
      <c r="H12" s="87" t="str">
        <f t="shared" si="7"/>
        <v/>
      </c>
      <c r="I12" s="87" t="str">
        <f t="shared" si="8"/>
        <v/>
      </c>
      <c r="J12" s="87" t="str">
        <f t="shared" si="9"/>
        <v/>
      </c>
      <c r="L12" s="76" t="str" cm="1">
        <f t="array" ref="L12">IFERROR(INDEX(Tableau2[Poste],MATCH(1,(Tableau2[Poste]=TCD!$A12)*(TCD!L$2=Tableau2[DATE]),0)),"")</f>
        <v/>
      </c>
      <c r="M12" s="76" t="str" cm="1">
        <f t="array" ref="M12">IFERROR(INDEX(Tableau2[Poste],MATCH(1,(Tableau2[Poste]=TCD!$A12)*(TCD!M$2=Tableau2[DATE]),0)),"")</f>
        <v/>
      </c>
      <c r="N12" s="76" t="str" cm="1">
        <f t="array" ref="N12">IFERROR(INDEX(Tableau2[Poste],MATCH(1,(Tableau2[Poste]=TCD!$A12)*(TCD!N$2=Tableau2[DATE]),0)),"")</f>
        <v/>
      </c>
      <c r="O12" s="76" t="str" cm="1">
        <f t="array" ref="O12">IFERROR(INDEX(Tableau2[Poste],MATCH(1,(Tableau2[Poste]=TCD!$A12)*(TCD!O$2=Tableau2[DATE]),0)),"")</f>
        <v/>
      </c>
      <c r="P12" s="76" t="str" cm="1">
        <f t="array" ref="P12">IFERROR(INDEX(Tableau2[Poste],MATCH(1,(Tableau2[Poste]=TCD!$A12)*(TCD!P$2=Tableau2[DATE]),0)),"")</f>
        <v/>
      </c>
      <c r="Q12" s="76" t="str" cm="1">
        <f t="array" ref="Q12">IFERROR(INDEX(Tableau2[Poste],MATCH(1,(Tableau2[Poste]=TCD!$A12)*(TCD!Q$2=Tableau2[DATE]),0)),"")</f>
        <v/>
      </c>
      <c r="R12" s="76" t="str" cm="1">
        <f t="array" ref="R12">IFERROR(INDEX(Tableau2[Poste],MATCH(1,(Tableau2[Poste]=TCD!$A12)*(TCD!R$2=Tableau2[DATE]),0)),"")</f>
        <v/>
      </c>
      <c r="S12" s="76" t="str" cm="1">
        <f t="array" ref="S12">IFERROR(INDEX(Tableau2[Poste],MATCH(1,(Tableau2[Poste]=TCD!$A12)*(TCD!S$2=Tableau2[DATE]),0)),"")</f>
        <v/>
      </c>
      <c r="T12" s="76" t="str" cm="1">
        <f t="array" ref="T12">IFERROR(INDEX(Tableau2[Poste],MATCH(1,(Tableau2[Poste]=TCD!$A12)*(TCD!T$2=Tableau2[DATE]),0)),"")</f>
        <v/>
      </c>
      <c r="U12" s="76" t="str" cm="1">
        <f t="array" ref="U12">IFERROR(INDEX(Tableau2[Poste],MATCH(1,(Tableau2[Poste]=TCD!$A12)*(TCD!U$2=Tableau2[DATE]),0)),"")</f>
        <v/>
      </c>
      <c r="V12" s="76" t="str" cm="1">
        <f t="array" ref="V12">IFERROR(INDEX(Tableau2[Poste],MATCH(1,(Tableau2[Poste]=TCD!$A12)*(TCD!V$2=Tableau2[DATE]),0)),"")</f>
        <v/>
      </c>
      <c r="W12" s="76" t="str" cm="1">
        <f t="array" ref="W12">IFERROR(INDEX(Tableau2[Poste],MATCH(1,(Tableau2[Poste]=TCD!$A12)*(TCD!W$2=Tableau2[DATE]),0)),"")</f>
        <v/>
      </c>
      <c r="X12" s="76" t="str" cm="1">
        <f t="array" ref="X12">IFERROR(INDEX(Tableau2[Poste],MATCH(1,(Tableau2[Poste]=TCD!$A12)*(TCD!X$2=Tableau2[DATE]),0)),"")</f>
        <v/>
      </c>
      <c r="Y12" s="76" t="str" cm="1">
        <f t="array" ref="Y12">IFERROR(INDEX(Tableau2[Poste],MATCH(1,(Tableau2[Poste]=TCD!$A12)*(TCD!Y$2=Tableau2[DATE]),0)),"")</f>
        <v/>
      </c>
      <c r="Z12" s="76" t="str" cm="1">
        <f t="array" ref="Z12">IFERROR(INDEX(Tableau2[Poste],MATCH(1,(Tableau2[Poste]=TCD!$A12)*(TCD!Z$2=Tableau2[DATE]),0)),"")</f>
        <v/>
      </c>
      <c r="AA12" s="76" t="str" cm="1">
        <f t="array" ref="AA12">IFERROR(INDEX(Tableau2[Poste],MATCH(1,(Tableau2[Poste]=TCD!$A12)*(TCD!AA$2=Tableau2[DATE]),0)),"")</f>
        <v/>
      </c>
      <c r="AB12" s="76" t="str" cm="1">
        <f t="array" ref="AB12">IFERROR(INDEX(Tableau2[Poste],MATCH(1,(Tableau2[Poste]=TCD!$A12)*(TCD!AB$2=Tableau2[DATE]),0)),"")</f>
        <v/>
      </c>
      <c r="AC12" s="76" t="str" cm="1">
        <f t="array" ref="AC12">IFERROR(INDEX(Tableau2[Poste],MATCH(1,(Tableau2[Poste]=TCD!$A12)*(TCD!AC$2=Tableau2[DATE]),0)),"")</f>
        <v/>
      </c>
      <c r="AD12" s="76" t="str" cm="1">
        <f t="array" ref="AD12">IFERROR(INDEX(Tableau2[Poste],MATCH(1,(Tableau2[Poste]=TCD!$A12)*(TCD!AD$2=Tableau2[DATE]),0)),"")</f>
        <v/>
      </c>
      <c r="AE12" s="76" t="str" cm="1">
        <f t="array" ref="AE12">IFERROR(INDEX(Tableau2[Poste],MATCH(1,(Tableau2[Poste]=TCD!$A12)*(TCD!AE$2=Tableau2[DATE]),0)),"")</f>
        <v/>
      </c>
      <c r="AF12" s="76" t="str" cm="1">
        <f t="array" ref="AF12">IFERROR(INDEX(Tableau2[Poste],MATCH(1,(Tableau2[Poste]=TCD!$A12)*(TCD!AF$2=Tableau2[DATE]),0)),"")</f>
        <v/>
      </c>
      <c r="AG12" s="76" t="str" cm="1">
        <f t="array" ref="AG12">IFERROR(INDEX(Tableau2[Poste],MATCH(1,(Tableau2[Poste]=TCD!$A12)*(TCD!AG$2=Tableau2[DATE]),0)),"")</f>
        <v/>
      </c>
      <c r="AH12" s="76" t="str" cm="1">
        <f t="array" ref="AH12">IFERROR(INDEX(Tableau2[Poste],MATCH(1,(Tableau2[Poste]=TCD!$A12)*(TCD!AH$2=Tableau2[DATE]),0)),"")</f>
        <v/>
      </c>
      <c r="AI12" s="76" t="str" cm="1">
        <f t="array" ref="AI12">IFERROR(INDEX(Tableau2[Poste],MATCH(1,(Tableau2[Poste]=TCD!$A12)*(TCD!AI$2=Tableau2[DATE]),0)),"")</f>
        <v/>
      </c>
      <c r="AJ12" s="76" t="str" cm="1">
        <f t="array" ref="AJ12">IFERROR(INDEX(Tableau2[Poste],MATCH(1,(Tableau2[Poste]=TCD!$A12)*(TCD!AJ$2=Tableau2[DATE]),0)),"")</f>
        <v/>
      </c>
      <c r="AK12" s="76" t="str" cm="1">
        <f t="array" ref="AK12">IFERROR(INDEX(Tableau2[Poste],MATCH(1,(Tableau2[Poste]=TCD!$A12)*(TCD!AK$2=Tableau2[DATE]),0)),"")</f>
        <v/>
      </c>
      <c r="AL12" s="76" t="str" cm="1">
        <f t="array" ref="AL12">IFERROR(INDEX(Tableau2[Poste],MATCH(1,(Tableau2[Poste]=TCD!$A12)*(TCD!AL$2=Tableau2[DATE]),0)),"")</f>
        <v/>
      </c>
      <c r="AM12" s="76" t="str" cm="1">
        <f t="array" ref="AM12">IFERROR(INDEX(Tableau2[Poste],MATCH(1,(Tableau2[Poste]=TCD!$A12)*(TCD!AM$2=Tableau2[DATE]),0)),"")</f>
        <v/>
      </c>
      <c r="AN12" s="76" t="str" cm="1">
        <f t="array" ref="AN12">IFERROR(INDEX(Tableau2[Poste],MATCH(1,(Tableau2[Poste]=TCD!$A12)*(TCD!AN$2=Tableau2[DATE]),0)),"")</f>
        <v/>
      </c>
      <c r="AO12" s="76" t="str" cm="1">
        <f t="array" ref="AO12">IFERROR(INDEX(Tableau2[Poste],MATCH(1,(Tableau2[Poste]=TCD!$A12)*(TCD!AO$2=Tableau2[DATE]),0)),"")</f>
        <v/>
      </c>
      <c r="AP12" s="76" t="str" cm="1">
        <f t="array" ref="AP12">IFERROR(INDEX(Tableau2[Poste],MATCH(1,(Tableau2[Poste]=TCD!$A12)*(TCD!AP$2=Tableau2[DATE]),0)),"")</f>
        <v/>
      </c>
    </row>
    <row r="13" spans="1:43" ht="15.75" customHeight="1" x14ac:dyDescent="0.25">
      <c r="A13"/>
      <c r="B13" s="87" t="str">
        <f t="shared" si="10"/>
        <v/>
      </c>
      <c r="C13" s="87" t="str">
        <f t="shared" si="11"/>
        <v/>
      </c>
      <c r="D13" s="87" t="str">
        <f t="shared" si="3"/>
        <v/>
      </c>
      <c r="E13" s="87" t="str">
        <f t="shared" si="4"/>
        <v/>
      </c>
      <c r="F13" s="87" t="str">
        <f t="shared" si="5"/>
        <v/>
      </c>
      <c r="G13" s="87" t="str">
        <f t="shared" si="6"/>
        <v/>
      </c>
      <c r="H13" s="87" t="str">
        <f t="shared" si="7"/>
        <v/>
      </c>
      <c r="I13" s="87" t="str">
        <f t="shared" si="8"/>
        <v/>
      </c>
      <c r="J13" s="87" t="str">
        <f t="shared" si="9"/>
        <v/>
      </c>
      <c r="L13" s="76" t="str" cm="1">
        <f t="array" ref="L13">IFERROR(INDEX(Tableau2[Poste],MATCH(1,(Tableau2[Poste]=TCD!$A13)*(TCD!L$2=Tableau2[DATE]),0)),"")</f>
        <v/>
      </c>
      <c r="M13" s="76" t="str" cm="1">
        <f t="array" ref="M13">IFERROR(INDEX(Tableau2[Poste],MATCH(1,(Tableau2[Poste]=TCD!$A13)*(TCD!M$2=Tableau2[DATE]),0)),"")</f>
        <v/>
      </c>
      <c r="N13" s="76" t="str" cm="1">
        <f t="array" ref="N13">IFERROR(INDEX(Tableau2[Poste],MATCH(1,(Tableau2[Poste]=TCD!$A13)*(TCD!N$2=Tableau2[DATE]),0)),"")</f>
        <v/>
      </c>
      <c r="O13" s="76" t="str" cm="1">
        <f t="array" ref="O13">IFERROR(INDEX(Tableau2[Poste],MATCH(1,(Tableau2[Poste]=TCD!$A13)*(TCD!O$2=Tableau2[DATE]),0)),"")</f>
        <v/>
      </c>
      <c r="P13" s="76" t="str" cm="1">
        <f t="array" ref="P13">IFERROR(INDEX(Tableau2[Poste],MATCH(1,(Tableau2[Poste]=TCD!$A13)*(TCD!P$2=Tableau2[DATE]),0)),"")</f>
        <v/>
      </c>
      <c r="Q13" s="76" t="str" cm="1">
        <f t="array" ref="Q13">IFERROR(INDEX(Tableau2[Poste],MATCH(1,(Tableau2[Poste]=TCD!$A13)*(TCD!Q$2=Tableau2[DATE]),0)),"")</f>
        <v/>
      </c>
      <c r="R13" s="76" t="str" cm="1">
        <f t="array" ref="R13">IFERROR(INDEX(Tableau2[Poste],MATCH(1,(Tableau2[Poste]=TCD!$A13)*(TCD!R$2=Tableau2[DATE]),0)),"")</f>
        <v/>
      </c>
      <c r="S13" s="76" t="str" cm="1">
        <f t="array" ref="S13">IFERROR(INDEX(Tableau2[Poste],MATCH(1,(Tableau2[Poste]=TCD!$A13)*(TCD!S$2=Tableau2[DATE]),0)),"")</f>
        <v/>
      </c>
      <c r="T13" s="76" t="str" cm="1">
        <f t="array" ref="T13">IFERROR(INDEX(Tableau2[Poste],MATCH(1,(Tableau2[Poste]=TCD!$A13)*(TCD!T$2=Tableau2[DATE]),0)),"")</f>
        <v/>
      </c>
      <c r="U13" s="76" t="str" cm="1">
        <f t="array" ref="U13">IFERROR(INDEX(Tableau2[Poste],MATCH(1,(Tableau2[Poste]=TCD!$A13)*(TCD!U$2=Tableau2[DATE]),0)),"")</f>
        <v/>
      </c>
      <c r="V13" s="76" t="str" cm="1">
        <f t="array" ref="V13">IFERROR(INDEX(Tableau2[Poste],MATCH(1,(Tableau2[Poste]=TCD!$A13)*(TCD!V$2=Tableau2[DATE]),0)),"")</f>
        <v/>
      </c>
      <c r="W13" s="76" t="str" cm="1">
        <f t="array" ref="W13">IFERROR(INDEX(Tableau2[Poste],MATCH(1,(Tableau2[Poste]=TCD!$A13)*(TCD!W$2=Tableau2[DATE]),0)),"")</f>
        <v/>
      </c>
      <c r="X13" s="76" t="str" cm="1">
        <f t="array" ref="X13">IFERROR(INDEX(Tableau2[Poste],MATCH(1,(Tableau2[Poste]=TCD!$A13)*(TCD!X$2=Tableau2[DATE]),0)),"")</f>
        <v/>
      </c>
      <c r="Y13" s="76" t="str" cm="1">
        <f t="array" ref="Y13">IFERROR(INDEX(Tableau2[Poste],MATCH(1,(Tableau2[Poste]=TCD!$A13)*(TCD!Y$2=Tableau2[DATE]),0)),"")</f>
        <v/>
      </c>
      <c r="Z13" s="76" t="str" cm="1">
        <f t="array" ref="Z13">IFERROR(INDEX(Tableau2[Poste],MATCH(1,(Tableau2[Poste]=TCD!$A13)*(TCD!Z$2=Tableau2[DATE]),0)),"")</f>
        <v/>
      </c>
      <c r="AA13" s="76" t="str" cm="1">
        <f t="array" ref="AA13">IFERROR(INDEX(Tableau2[Poste],MATCH(1,(Tableau2[Poste]=TCD!$A13)*(TCD!AA$2=Tableau2[DATE]),0)),"")</f>
        <v/>
      </c>
      <c r="AB13" s="76" t="str" cm="1">
        <f t="array" ref="AB13">IFERROR(INDEX(Tableau2[Poste],MATCH(1,(Tableau2[Poste]=TCD!$A13)*(TCD!AB$2=Tableau2[DATE]),0)),"")</f>
        <v/>
      </c>
      <c r="AC13" s="76" t="str" cm="1">
        <f t="array" ref="AC13">IFERROR(INDEX(Tableau2[Poste],MATCH(1,(Tableau2[Poste]=TCD!$A13)*(TCD!AC$2=Tableau2[DATE]),0)),"")</f>
        <v/>
      </c>
      <c r="AD13" s="76" t="str" cm="1">
        <f t="array" ref="AD13">IFERROR(INDEX(Tableau2[Poste],MATCH(1,(Tableau2[Poste]=TCD!$A13)*(TCD!AD$2=Tableau2[DATE]),0)),"")</f>
        <v/>
      </c>
      <c r="AE13" s="76" t="str" cm="1">
        <f t="array" ref="AE13">IFERROR(INDEX(Tableau2[Poste],MATCH(1,(Tableau2[Poste]=TCD!$A13)*(TCD!AE$2=Tableau2[DATE]),0)),"")</f>
        <v/>
      </c>
      <c r="AF13" s="76" t="str" cm="1">
        <f t="array" ref="AF13">IFERROR(INDEX(Tableau2[Poste],MATCH(1,(Tableau2[Poste]=TCD!$A13)*(TCD!AF$2=Tableau2[DATE]),0)),"")</f>
        <v/>
      </c>
      <c r="AG13" s="76" t="str" cm="1">
        <f t="array" ref="AG13">IFERROR(INDEX(Tableau2[Poste],MATCH(1,(Tableau2[Poste]=TCD!$A13)*(TCD!AG$2=Tableau2[DATE]),0)),"")</f>
        <v/>
      </c>
      <c r="AH13" s="76" t="str" cm="1">
        <f t="array" ref="AH13">IFERROR(INDEX(Tableau2[Poste],MATCH(1,(Tableau2[Poste]=TCD!$A13)*(TCD!AH$2=Tableau2[DATE]),0)),"")</f>
        <v/>
      </c>
      <c r="AI13" s="76" t="str" cm="1">
        <f t="array" ref="AI13">IFERROR(INDEX(Tableau2[Poste],MATCH(1,(Tableau2[Poste]=TCD!$A13)*(TCD!AI$2=Tableau2[DATE]),0)),"")</f>
        <v/>
      </c>
      <c r="AJ13" s="76" t="str" cm="1">
        <f t="array" ref="AJ13">IFERROR(INDEX(Tableau2[Poste],MATCH(1,(Tableau2[Poste]=TCD!$A13)*(TCD!AJ$2=Tableau2[DATE]),0)),"")</f>
        <v/>
      </c>
      <c r="AK13" s="76" t="str" cm="1">
        <f t="array" ref="AK13">IFERROR(INDEX(Tableau2[Poste],MATCH(1,(Tableau2[Poste]=TCD!$A13)*(TCD!AK$2=Tableau2[DATE]),0)),"")</f>
        <v/>
      </c>
      <c r="AL13" s="76" t="str" cm="1">
        <f t="array" ref="AL13">IFERROR(INDEX(Tableau2[Poste],MATCH(1,(Tableau2[Poste]=TCD!$A13)*(TCD!AL$2=Tableau2[DATE]),0)),"")</f>
        <v/>
      </c>
      <c r="AM13" s="76" t="str" cm="1">
        <f t="array" ref="AM13">IFERROR(INDEX(Tableau2[Poste],MATCH(1,(Tableau2[Poste]=TCD!$A13)*(TCD!AM$2=Tableau2[DATE]),0)),"")</f>
        <v/>
      </c>
      <c r="AN13" s="76" t="str" cm="1">
        <f t="array" ref="AN13">IFERROR(INDEX(Tableau2[Poste],MATCH(1,(Tableau2[Poste]=TCD!$A13)*(TCD!AN$2=Tableau2[DATE]),0)),"")</f>
        <v/>
      </c>
      <c r="AO13" s="76" t="str" cm="1">
        <f t="array" ref="AO13">IFERROR(INDEX(Tableau2[Poste],MATCH(1,(Tableau2[Poste]=TCD!$A13)*(TCD!AO$2=Tableau2[DATE]),0)),"")</f>
        <v/>
      </c>
      <c r="AP13" s="77"/>
    </row>
    <row r="14" spans="1:43" ht="15.75" customHeight="1" x14ac:dyDescent="0.25">
      <c r="A14"/>
      <c r="B14" s="87" t="str">
        <f t="shared" si="10"/>
        <v/>
      </c>
      <c r="C14" s="87" t="str">
        <f t="shared" si="11"/>
        <v/>
      </c>
      <c r="D14" s="87" t="str">
        <f t="shared" si="3"/>
        <v/>
      </c>
      <c r="E14" s="87" t="str">
        <f t="shared" si="4"/>
        <v/>
      </c>
      <c r="F14" s="87" t="str">
        <f t="shared" si="5"/>
        <v/>
      </c>
      <c r="G14" s="87" t="str">
        <f t="shared" si="6"/>
        <v/>
      </c>
      <c r="H14" s="87" t="str">
        <f t="shared" si="7"/>
        <v/>
      </c>
      <c r="I14" s="87" t="str">
        <f t="shared" si="8"/>
        <v/>
      </c>
      <c r="J14" s="87" t="str">
        <f t="shared" si="9"/>
        <v/>
      </c>
      <c r="L14" s="76" t="str" cm="1">
        <f t="array" ref="L14">IFERROR(INDEX(Tableau2[Poste],MATCH(1,(Tableau2[Poste]=TCD!$A14)*(TCD!L$2=Tableau2[DATE]),0)),"")</f>
        <v/>
      </c>
      <c r="M14" s="76" t="str" cm="1">
        <f t="array" ref="M14">IFERROR(INDEX(Tableau2[Poste],MATCH(1,(Tableau2[Poste]=TCD!$A14)*(TCD!M$2=Tableau2[DATE]),0)),"")</f>
        <v/>
      </c>
      <c r="N14" s="76" t="str" cm="1">
        <f t="array" ref="N14">IFERROR(INDEX(Tableau2[Poste],MATCH(1,(Tableau2[Poste]=TCD!$A14)*(TCD!N$2=Tableau2[DATE]),0)),"")</f>
        <v/>
      </c>
      <c r="O14" s="76" t="str" cm="1">
        <f t="array" ref="O14">IFERROR(INDEX(Tableau2[Poste],MATCH(1,(Tableau2[Poste]=TCD!$A14)*(TCD!O$2=Tableau2[DATE]),0)),"")</f>
        <v/>
      </c>
      <c r="P14" s="76" t="str" cm="1">
        <f t="array" ref="P14">IFERROR(INDEX(Tableau2[Poste],MATCH(1,(Tableau2[Poste]=TCD!$A14)*(TCD!P$2=Tableau2[DATE]),0)),"")</f>
        <v/>
      </c>
      <c r="Q14" s="76" t="str" cm="1">
        <f t="array" ref="Q14">IFERROR(INDEX(Tableau2[Poste],MATCH(1,(Tableau2[Poste]=TCD!$A14)*(TCD!Q$2=Tableau2[DATE]),0)),"")</f>
        <v/>
      </c>
      <c r="R14" s="76" t="str" cm="1">
        <f t="array" ref="R14">IFERROR(INDEX(Tableau2[Poste],MATCH(1,(Tableau2[Poste]=TCD!$A14)*(TCD!R$2=Tableau2[DATE]),0)),"")</f>
        <v/>
      </c>
      <c r="S14" s="76" t="str" cm="1">
        <f t="array" ref="S14">IFERROR(INDEX(Tableau2[Poste],MATCH(1,(Tableau2[Poste]=TCD!$A14)*(TCD!S$2=Tableau2[DATE]),0)),"")</f>
        <v/>
      </c>
      <c r="T14" s="76" t="str" cm="1">
        <f t="array" ref="T14">IFERROR(INDEX(Tableau2[Poste],MATCH(1,(Tableau2[Poste]=TCD!$A14)*(TCD!T$2=Tableau2[DATE]),0)),"")</f>
        <v/>
      </c>
      <c r="U14" s="76" t="str" cm="1">
        <f t="array" ref="U14">IFERROR(INDEX(Tableau2[Poste],MATCH(1,(Tableau2[Poste]=TCD!$A14)*(TCD!U$2=Tableau2[DATE]),0)),"")</f>
        <v/>
      </c>
      <c r="V14" s="76" t="str" cm="1">
        <f t="array" ref="V14">IFERROR(INDEX(Tableau2[Poste],MATCH(1,(Tableau2[Poste]=TCD!$A14)*(TCD!V$2=Tableau2[DATE]),0)),"")</f>
        <v/>
      </c>
      <c r="W14" s="76" t="str" cm="1">
        <f t="array" ref="W14">IFERROR(INDEX(Tableau2[Poste],MATCH(1,(Tableau2[Poste]=TCD!$A14)*(TCD!W$2=Tableau2[DATE]),0)),"")</f>
        <v/>
      </c>
      <c r="X14" s="76" t="str" cm="1">
        <f t="array" ref="X14">IFERROR(INDEX(Tableau2[Poste],MATCH(1,(Tableau2[Poste]=TCD!$A14)*(TCD!X$2=Tableau2[DATE]),0)),"")</f>
        <v/>
      </c>
      <c r="Y14" s="76" t="str" cm="1">
        <f t="array" ref="Y14">IFERROR(INDEX(Tableau2[Poste],MATCH(1,(Tableau2[Poste]=TCD!$A14)*(TCD!Y$2=Tableau2[DATE]),0)),"")</f>
        <v/>
      </c>
      <c r="Z14" s="76" t="str" cm="1">
        <f t="array" ref="Z14">IFERROR(INDEX(Tableau2[Poste],MATCH(1,(Tableau2[Poste]=TCD!$A14)*(TCD!Z$2=Tableau2[DATE]),0)),"")</f>
        <v/>
      </c>
      <c r="AA14" s="76" t="str" cm="1">
        <f t="array" ref="AA14">IFERROR(INDEX(Tableau2[Poste],MATCH(1,(Tableau2[Poste]=TCD!$A14)*(TCD!AA$2=Tableau2[DATE]),0)),"")</f>
        <v/>
      </c>
      <c r="AB14" s="76" t="str" cm="1">
        <f t="array" ref="AB14">IFERROR(INDEX(Tableau2[Poste],MATCH(1,(Tableau2[Poste]=TCD!$A14)*(TCD!AB$2=Tableau2[DATE]),0)),"")</f>
        <v/>
      </c>
      <c r="AC14" s="76" t="str" cm="1">
        <f t="array" ref="AC14">IFERROR(INDEX(Tableau2[Poste],MATCH(1,(Tableau2[Poste]=TCD!$A14)*(TCD!AC$2=Tableau2[DATE]),0)),"")</f>
        <v/>
      </c>
      <c r="AD14" s="76" t="str" cm="1">
        <f t="array" ref="AD14">IFERROR(INDEX(Tableau2[Poste],MATCH(1,(Tableau2[Poste]=TCD!$A14)*(TCD!AD$2=Tableau2[DATE]),0)),"")</f>
        <v/>
      </c>
      <c r="AE14" s="76" t="str" cm="1">
        <f t="array" ref="AE14">IFERROR(INDEX(Tableau2[Poste],MATCH(1,(Tableau2[Poste]=TCD!$A14)*(TCD!AE$2=Tableau2[DATE]),0)),"")</f>
        <v/>
      </c>
      <c r="AF14" s="76" t="str" cm="1">
        <f t="array" ref="AF14">IFERROR(INDEX(Tableau2[Poste],MATCH(1,(Tableau2[Poste]=TCD!$A14)*(TCD!AF$2=Tableau2[DATE]),0)),"")</f>
        <v/>
      </c>
      <c r="AG14" s="76" t="str" cm="1">
        <f t="array" ref="AG14">IFERROR(INDEX(Tableau2[Poste],MATCH(1,(Tableau2[Poste]=TCD!$A14)*(TCD!AG$2=Tableau2[DATE]),0)),"")</f>
        <v/>
      </c>
      <c r="AH14" s="76" t="str" cm="1">
        <f t="array" ref="AH14">IFERROR(INDEX(Tableau2[Poste],MATCH(1,(Tableau2[Poste]=TCD!$A14)*(TCD!AH$2=Tableau2[DATE]),0)),"")</f>
        <v/>
      </c>
      <c r="AI14" s="76" t="str" cm="1">
        <f t="array" ref="AI14">IFERROR(INDEX(Tableau2[Poste],MATCH(1,(Tableau2[Poste]=TCD!$A14)*(TCD!AI$2=Tableau2[DATE]),0)),"")</f>
        <v/>
      </c>
      <c r="AJ14" s="76" t="str" cm="1">
        <f t="array" ref="AJ14">IFERROR(INDEX(Tableau2[Poste],MATCH(1,(Tableau2[Poste]=TCD!$A14)*(TCD!AJ$2=Tableau2[DATE]),0)),"")</f>
        <v/>
      </c>
      <c r="AK14" s="76" t="str" cm="1">
        <f t="array" ref="AK14">IFERROR(INDEX(Tableau2[Poste],MATCH(1,(Tableau2[Poste]=TCD!$A14)*(TCD!AK$2=Tableau2[DATE]),0)),"")</f>
        <v/>
      </c>
      <c r="AL14" s="76" t="str" cm="1">
        <f t="array" ref="AL14">IFERROR(INDEX(Tableau2[Poste],MATCH(1,(Tableau2[Poste]=TCD!$A14)*(TCD!AL$2=Tableau2[DATE]),0)),"")</f>
        <v/>
      </c>
      <c r="AM14" s="76" t="str" cm="1">
        <f t="array" ref="AM14">IFERROR(INDEX(Tableau2[Poste],MATCH(1,(Tableau2[Poste]=TCD!$A14)*(TCD!AM$2=Tableau2[DATE]),0)),"")</f>
        <v/>
      </c>
      <c r="AN14" s="76" t="str" cm="1">
        <f t="array" ref="AN14">IFERROR(INDEX(Tableau2[Poste],MATCH(1,(Tableau2[Poste]=TCD!$A14)*(TCD!AN$2=Tableau2[DATE]),0)),"")</f>
        <v/>
      </c>
      <c r="AO14" s="76" t="str" cm="1">
        <f t="array" ref="AO14">IFERROR(INDEX(Tableau2[Poste],MATCH(1,(Tableau2[Poste]=TCD!$A14)*(TCD!AO$2=Tableau2[DATE]),0)),"")</f>
        <v/>
      </c>
      <c r="AP14" s="77"/>
    </row>
    <row r="15" spans="1:43" x14ac:dyDescent="0.25"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</row>
    <row r="16" spans="1:43" x14ac:dyDescent="0.25"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</row>
    <row r="21" spans="1:1" x14ac:dyDescent="0.25">
      <c r="A21"/>
    </row>
  </sheetData>
  <mergeCells count="1">
    <mergeCell ref="L1:AP1"/>
  </mergeCells>
  <conditionalFormatting sqref="L2:AP4">
    <cfRule type="cellIs" dxfId="39" priority="50" operator="notEqual">
      <formula>""</formula>
    </cfRule>
  </conditionalFormatting>
  <conditionalFormatting sqref="L6:AP12 L13:AO14">
    <cfRule type="cellIs" dxfId="38" priority="1" operator="equal">
      <formula>"EVO ENGIN"</formula>
    </cfRule>
    <cfRule type="cellIs" dxfId="37" priority="22" operator="equal">
      <formula>"Ma"</formula>
    </cfRule>
    <cfRule type="cellIs" dxfId="36" priority="23" operator="equal">
      <formula>"M PSL"</formula>
    </cfRule>
    <cfRule type="cellIs" dxfId="35" priority="24" operator="equal">
      <formula>"BC PSL"</formula>
    </cfRule>
    <cfRule type="cellIs" dxfId="34" priority="25" operator="equal">
      <formula>"RU"</formula>
    </cfRule>
    <cfRule type="cellIs" dxfId="33" priority="26" operator="equal">
      <formula>"CM PSL"</formula>
    </cfRule>
    <cfRule type="cellIs" dxfId="32" priority="27" operator="equal">
      <formula>"EVO"</formula>
    </cfRule>
    <cfRule type="cellIs" dxfId="31" priority="28" operator="equal">
      <formula>"EVO PSL"</formula>
    </cfRule>
    <cfRule type="cellIs" dxfId="30" priority="29" operator="equal">
      <formula>"NP"</formula>
    </cfRule>
    <cfRule type="cellIs" dxfId="29" priority="42" operator="equal">
      <formula>"M"</formula>
    </cfRule>
    <cfRule type="cellIs" dxfId="28" priority="43" operator="equal">
      <formula>"LOC PSL"</formula>
    </cfRule>
    <cfRule type="cellIs" dxfId="27" priority="44" operator="equal">
      <formula>"C"</formula>
    </cfRule>
    <cfRule type="cellIs" dxfId="26" priority="45" operator="equal">
      <formula>"RP"</formula>
    </cfRule>
    <cfRule type="cellIs" dxfId="25" priority="46" operator="equal">
      <formula>"LOC"</formula>
    </cfRule>
    <cfRule type="cellIs" dxfId="24" priority="48" operator="equal">
      <formula>"CM"</formula>
    </cfRule>
    <cfRule type="cellIs" dxfId="23" priority="49" operator="equal">
      <formula>"BC"</formula>
    </cfRule>
  </conditionalFormatting>
  <conditionalFormatting sqref="A13">
    <cfRule type="expression" dxfId="22" priority="5">
      <formula>$A$13=""</formula>
    </cfRule>
    <cfRule type="cellIs" dxfId="21" priority="30" operator="notEqual">
      <formula>""</formula>
    </cfRule>
  </conditionalFormatting>
  <conditionalFormatting sqref="A6:J6">
    <cfRule type="expression" dxfId="20" priority="21">
      <formula>$A$6&lt;&gt;""</formula>
    </cfRule>
  </conditionalFormatting>
  <conditionalFormatting sqref="A7:J7">
    <cfRule type="expression" dxfId="19" priority="20">
      <formula>$A$7&lt;&gt;""</formula>
    </cfRule>
  </conditionalFormatting>
  <conditionalFormatting sqref="A8:J8">
    <cfRule type="expression" dxfId="18" priority="19">
      <formula>$A$8&lt;&gt;""</formula>
    </cfRule>
  </conditionalFormatting>
  <conditionalFormatting sqref="A9:J9">
    <cfRule type="expression" dxfId="17" priority="18">
      <formula>$A$9&lt;&gt;""</formula>
    </cfRule>
  </conditionalFormatting>
  <conditionalFormatting sqref="A10:J10">
    <cfRule type="expression" dxfId="16" priority="17">
      <formula>$A$10&lt;&gt;""</formula>
    </cfRule>
  </conditionalFormatting>
  <conditionalFormatting sqref="A6">
    <cfRule type="expression" dxfId="15" priority="16">
      <formula>$A$6=""</formula>
    </cfRule>
  </conditionalFormatting>
  <conditionalFormatting sqref="A7">
    <cfRule type="expression" dxfId="14" priority="15">
      <formula>$A$7=""</formula>
    </cfRule>
  </conditionalFormatting>
  <conditionalFormatting sqref="A8">
    <cfRule type="expression" dxfId="13" priority="14">
      <formula>$A$8=""</formula>
    </cfRule>
  </conditionalFormatting>
  <conditionalFormatting sqref="A9">
    <cfRule type="expression" dxfId="12" priority="13">
      <formula>$A$9=""</formula>
    </cfRule>
  </conditionalFormatting>
  <conditionalFormatting sqref="A10">
    <cfRule type="expression" dxfId="11" priority="12">
      <formula>$A$10=""</formula>
    </cfRule>
  </conditionalFormatting>
  <conditionalFormatting sqref="A11:J11">
    <cfRule type="expression" dxfId="10" priority="11">
      <formula>$A$11&lt;&gt;""</formula>
    </cfRule>
  </conditionalFormatting>
  <conditionalFormatting sqref="A12:J12">
    <cfRule type="expression" dxfId="9" priority="10">
      <formula>$A$12&lt;&gt;""</formula>
    </cfRule>
  </conditionalFormatting>
  <conditionalFormatting sqref="A13:J13">
    <cfRule type="expression" dxfId="8" priority="9">
      <formula>$A$13&lt;&gt;""</formula>
    </cfRule>
  </conditionalFormatting>
  <conditionalFormatting sqref="A14:J14">
    <cfRule type="expression" dxfId="7" priority="8">
      <formula>$A$14&lt;&gt;""</formula>
    </cfRule>
  </conditionalFormatting>
  <conditionalFormatting sqref="A11">
    <cfRule type="expression" dxfId="6" priority="7">
      <formula>$A$11=""</formula>
    </cfRule>
  </conditionalFormatting>
  <conditionalFormatting sqref="A12">
    <cfRule type="expression" dxfId="5" priority="6">
      <formula>$A$12=""</formula>
    </cfRule>
  </conditionalFormatting>
  <conditionalFormatting sqref="L6:AP6">
    <cfRule type="cellIs" dxfId="4" priority="3" operator="notEqual">
      <formula>""</formula>
    </cfRule>
    <cfRule type="containsText" dxfId="3" priority="4" operator="containsText" text="&quot;C&quot;">
      <formula>NOT(ISERROR(SEARCH("""C""",L6)))</formula>
    </cfRule>
  </conditionalFormatting>
  <pageMargins left="0.7" right="0.7" top="0.75" bottom="0.75" header="0.3" footer="0.3"/>
  <pageSetup paperSize="9" scale="37" orientation="portrait" horizontalDpi="4294967293" verticalDpi="4294967293" r:id="rId2"/>
  <headerFooter>
    <oddFooter>&amp;L&amp;1#&amp;"Calibri"&amp;10&amp;K008000Interne SNCF Réseau</oddFooter>
  </headerFooter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007FE7-5C5B-4DFF-97B8-22254C6BFF56}">
  <sheetPr codeName="bd"/>
  <dimension ref="A1:AQ313"/>
  <sheetViews>
    <sheetView showGridLines="0" tabSelected="1" topLeftCell="D1" zoomScale="85" zoomScaleNormal="85" workbookViewId="0">
      <selection activeCell="X11" sqref="X11"/>
    </sheetView>
  </sheetViews>
  <sheetFormatPr baseColWidth="10" defaultRowHeight="15" x14ac:dyDescent="0.25"/>
  <cols>
    <col min="1" max="1" width="2.140625" hidden="1" customWidth="1"/>
    <col min="2" max="2" width="43.140625" hidden="1" customWidth="1"/>
    <col min="3" max="3" width="4.140625" hidden="1" customWidth="1"/>
    <col min="4" max="4" width="29" style="125" bestFit="1" customWidth="1"/>
    <col min="5" max="5" width="6" style="81" hidden="1" customWidth="1"/>
    <col min="6" max="6" width="8" style="81" customWidth="1"/>
    <col min="7" max="7" width="5.85546875" hidden="1" customWidth="1"/>
    <col min="8" max="8" width="12.140625" bestFit="1" customWidth="1"/>
    <col min="9" max="9" width="12.140625" hidden="1" customWidth="1"/>
    <col min="10" max="11" width="6.5703125" customWidth="1"/>
    <col min="12" max="12" width="7.7109375" bestFit="1" customWidth="1"/>
    <col min="13" max="13" width="9.5703125" style="161" bestFit="1" customWidth="1"/>
    <col min="14" max="14" width="9.5703125" style="161" customWidth="1"/>
    <col min="15" max="16" width="7.5703125" style="161" bestFit="1" customWidth="1"/>
    <col min="17" max="17" width="11.28515625" customWidth="1"/>
    <col min="18" max="18" width="9" style="161" customWidth="1"/>
    <col min="19" max="19" width="9.7109375" style="161" customWidth="1"/>
    <col min="20" max="20" width="13.85546875" bestFit="1" customWidth="1"/>
    <col min="21" max="21" width="12.42578125" style="140" bestFit="1" customWidth="1"/>
    <col min="22" max="22" width="7" hidden="1" customWidth="1"/>
    <col min="23" max="23" width="0" hidden="1" customWidth="1"/>
    <col min="24" max="24" width="8.140625" bestFit="1" customWidth="1"/>
    <col min="25" max="25" width="9.7109375" bestFit="1" customWidth="1"/>
    <col min="26" max="26" width="12.42578125" bestFit="1" customWidth="1"/>
    <col min="27" max="28" width="7.140625" bestFit="1" customWidth="1"/>
    <col min="29" max="29" width="6.85546875" bestFit="1" customWidth="1"/>
    <col min="30" max="30" width="8.42578125" bestFit="1" customWidth="1"/>
    <col min="31" max="31" width="9.5703125" bestFit="1" customWidth="1"/>
    <col min="32" max="32" width="8.5703125" bestFit="1" customWidth="1"/>
    <col min="33" max="34" width="12.28515625" bestFit="1" customWidth="1"/>
    <col min="35" max="35" width="11.140625" customWidth="1"/>
    <col min="36" max="37" width="10.5703125" hidden="1" customWidth="1"/>
    <col min="38" max="38" width="12.42578125" bestFit="1" customWidth="1"/>
    <col min="41" max="41" width="15.7109375" style="71" customWidth="1"/>
    <col min="42" max="42" width="1.7109375" customWidth="1"/>
    <col min="43" max="43" width="11.42578125" bestFit="1" customWidth="1"/>
    <col min="44" max="45" width="10.42578125" customWidth="1"/>
  </cols>
  <sheetData>
    <row r="1" spans="2:41" ht="9.75" customHeight="1" x14ac:dyDescent="0.25">
      <c r="B1" s="75" t="s">
        <v>41</v>
      </c>
      <c r="C1" s="75"/>
      <c r="D1" s="123"/>
      <c r="E1" s="75"/>
      <c r="F1" s="75"/>
      <c r="G1" s="75"/>
      <c r="H1" s="75"/>
      <c r="I1" s="75"/>
      <c r="J1" s="75"/>
      <c r="K1" s="75"/>
      <c r="L1" s="75"/>
      <c r="M1" s="148"/>
      <c r="N1" s="148"/>
      <c r="O1" s="148"/>
      <c r="P1" s="148"/>
      <c r="Q1" s="75"/>
      <c r="R1" s="148"/>
      <c r="S1" s="148"/>
      <c r="T1" s="75"/>
      <c r="U1" s="162"/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75"/>
      <c r="AH1" s="75"/>
      <c r="AI1" s="75"/>
      <c r="AJ1" s="75"/>
      <c r="AK1" s="75"/>
      <c r="AM1" s="64"/>
      <c r="AO1"/>
    </row>
    <row r="2" spans="2:41" ht="14.25" customHeight="1" x14ac:dyDescent="0.25">
      <c r="B2" s="75"/>
      <c r="C2" s="75"/>
      <c r="D2" s="123"/>
      <c r="E2" s="75"/>
      <c r="F2" s="75"/>
      <c r="G2" s="75"/>
      <c r="H2" s="75"/>
      <c r="I2" s="75"/>
      <c r="J2" s="75"/>
      <c r="K2" s="75"/>
      <c r="L2" s="75"/>
      <c r="M2" s="148"/>
      <c r="N2" s="148"/>
      <c r="O2" s="148"/>
      <c r="P2" s="148"/>
      <c r="Q2" s="75"/>
      <c r="R2" s="148"/>
      <c r="S2" s="148"/>
      <c r="T2" s="75"/>
      <c r="U2" s="162"/>
      <c r="V2" s="75"/>
      <c r="W2" s="75"/>
      <c r="X2" s="75"/>
      <c r="Y2" s="75"/>
      <c r="Z2" s="75"/>
      <c r="AA2" s="75"/>
      <c r="AB2" s="75"/>
      <c r="AC2" s="75"/>
      <c r="AD2" s="75"/>
      <c r="AE2" s="75"/>
      <c r="AF2" s="75"/>
      <c r="AG2" s="75"/>
      <c r="AH2" s="75"/>
      <c r="AI2" s="75"/>
      <c r="AJ2" s="75"/>
      <c r="AK2" s="75"/>
      <c r="AM2" s="65"/>
      <c r="AO2"/>
    </row>
    <row r="3" spans="2:41" ht="20.25" customHeight="1" x14ac:dyDescent="0.25">
      <c r="C3" s="75"/>
      <c r="D3" s="123"/>
      <c r="G3" s="75"/>
      <c r="H3" s="75"/>
      <c r="I3" s="75"/>
      <c r="J3" s="75"/>
      <c r="K3" s="75"/>
      <c r="L3" s="75"/>
      <c r="M3" s="148"/>
      <c r="N3" s="148"/>
      <c r="O3" s="148"/>
      <c r="P3" s="148"/>
      <c r="Q3" s="75"/>
      <c r="R3" s="148"/>
      <c r="S3" s="148"/>
      <c r="T3" s="71"/>
      <c r="U3" s="162"/>
      <c r="V3" s="75"/>
      <c r="W3" s="75"/>
      <c r="X3" s="75"/>
      <c r="Y3" s="75"/>
      <c r="Z3" s="75"/>
      <c r="AA3" s="75"/>
      <c r="AB3" s="75"/>
      <c r="AC3" s="75"/>
      <c r="AD3" s="75"/>
      <c r="AE3" s="75"/>
      <c r="AF3" s="75"/>
      <c r="AG3" s="75"/>
      <c r="AO3"/>
    </row>
    <row r="4" spans="2:41" ht="78.75" x14ac:dyDescent="0.25">
      <c r="B4" s="66" t="s">
        <v>72</v>
      </c>
      <c r="C4" s="126" t="s">
        <v>40</v>
      </c>
      <c r="D4" s="124" t="s">
        <v>86</v>
      </c>
      <c r="E4" s="129" t="s">
        <v>57</v>
      </c>
      <c r="F4" s="103" t="s">
        <v>58</v>
      </c>
      <c r="G4" s="102" t="s">
        <v>48</v>
      </c>
      <c r="H4" s="102" t="s">
        <v>85</v>
      </c>
      <c r="I4" s="120" t="s">
        <v>20</v>
      </c>
      <c r="J4" s="99" t="s">
        <v>0</v>
      </c>
      <c r="K4" s="100" t="s">
        <v>1</v>
      </c>
      <c r="L4" s="138" t="s">
        <v>2</v>
      </c>
      <c r="M4" s="149" t="s">
        <v>83</v>
      </c>
      <c r="N4" s="150" t="s">
        <v>98</v>
      </c>
      <c r="O4" s="151" t="s">
        <v>87</v>
      </c>
      <c r="P4" s="152" t="s">
        <v>88</v>
      </c>
      <c r="Q4" s="98" t="s">
        <v>94</v>
      </c>
      <c r="R4" s="166" t="s">
        <v>89</v>
      </c>
      <c r="S4" s="167" t="s">
        <v>90</v>
      </c>
      <c r="T4" s="106" t="s">
        <v>73</v>
      </c>
      <c r="U4" s="163" t="s">
        <v>91</v>
      </c>
      <c r="V4" s="95" t="s">
        <v>35</v>
      </c>
      <c r="W4" s="68" t="s">
        <v>65</v>
      </c>
      <c r="X4" s="102" t="s">
        <v>42</v>
      </c>
      <c r="Y4" s="68" t="s">
        <v>44</v>
      </c>
      <c r="Z4" s="46" t="s">
        <v>30</v>
      </c>
      <c r="AA4" s="67" t="s">
        <v>43</v>
      </c>
      <c r="AB4" s="69" t="s">
        <v>36</v>
      </c>
      <c r="AC4" s="70" t="s">
        <v>27</v>
      </c>
      <c r="AD4" s="67" t="s">
        <v>34</v>
      </c>
      <c r="AE4" s="110" t="s">
        <v>92</v>
      </c>
      <c r="AF4" s="110" t="s">
        <v>29</v>
      </c>
      <c r="AG4" s="110" t="s">
        <v>25</v>
      </c>
      <c r="AH4" s="111" t="s">
        <v>93</v>
      </c>
      <c r="AI4" s="112" t="s">
        <v>38</v>
      </c>
      <c r="AJ4" s="135" t="s">
        <v>37</v>
      </c>
      <c r="AK4" s="112" t="s">
        <v>26</v>
      </c>
      <c r="AO4"/>
    </row>
    <row r="5" spans="2:41" ht="18.75" x14ac:dyDescent="0.25">
      <c r="B5" s="79">
        <f>ROW(B5)-5</f>
        <v>0</v>
      </c>
      <c r="C5" s="127">
        <f>_xlfn.ISOWEEKNUM(Tableau2[[#This Row],[DATE]])</f>
        <v>52</v>
      </c>
      <c r="D5" s="132">
        <v>44925</v>
      </c>
      <c r="E5" s="130"/>
      <c r="F5" s="91">
        <f>YEAR(Tableau2[[#This Row],[DATE]])</f>
        <v>2022</v>
      </c>
      <c r="G5" s="60"/>
      <c r="H5" s="17" t="s">
        <v>82</v>
      </c>
      <c r="I5" s="20" t="str">
        <f>IF(Tableau2[[#This Row],[POSTE  TENU]]="","",Tableau2[[#This Row],[POSTE  TENU]])</f>
        <v>EVO ENGIN</v>
      </c>
      <c r="J5" s="121">
        <v>0.33333333333333331</v>
      </c>
      <c r="K5" s="122">
        <v>0.70833333333333337</v>
      </c>
      <c r="L5" s="133">
        <f>IF(OR(Tableau2[[#This Row],[Poste]]="Ma",Tableau2[[#This Row],[Poste]]="RP",Tableau2[[#This Row],[Poste]]="c",Tableau2[[#This Row],[Poste]]="",Tableau2[[#This Row],[Poste]]="Ru"),"",IF(OR(Tableau2[[#This Row],[POSTE  TENU]]="CM PSL",Tableau2[[#This Row],[POSTE  TENU]]="EVO",Tableau2[[#This Row],[POSTE  TENU]]="loc PSL",Tableau2[[#This Row],[POSTE  TENU]]="cm",Tableau2[[#This Row],[POSTE  TENU]]="loc",Tableau2[[#This Row],[POSTE  TENU]]="",Tableau2[[#This Row],[DEBUT PAUSE]]=""),IF(OR(Tableau2[[#This Row],[DEBUT PAUSE]]="",Tableau2[[#This Row],[FIN PAUSE]]="",Tableau2[[#This Row],[POSTE  TENU]]=""),Tableau2[[#This Row],[FS]]-Tableau2[[#This Row],[PS]],((Tableau2[[#This Row],[DEBUT PAUSE]]-Tableau2[[#This Row],[PS]])+(BD!$K5-Tableau2[[#This Row],[FIN PAUSE]]))),IF(OR(Tableau2[[#This Row],[DEBUT PAUSE]]="",Tableau2[[#This Row],[POSTE  TENU]]="cm psl",Tableau2[[#This Row],[POSTE  TENU]]="EVO",Tableau2[[#This Row],[POSTE  TENU]]="loc psl",Tableau2[[#This Row],[POSTE  TENU]]="cm",Tableau2[[#This Row],[POSTE  TENU]]="loc",Tableau2[[#This Row],[POSTE  TENU]]&lt;&gt;""),IF(OR(Tableau2[[#This Row],[DEBUT PAUSE]]="",Tableau2[[#This Row],[FIN PAUSE]]="",Tableau2[[#This Row],[POSTE  TENU]]=""),Tableau2[[#This Row],[FS]]-Tableau2[[#This Row],[PS]],((Tableau2[[#This Row],[DEBUT PAUSE]]-Tableau2[[#This Row],[PS]])+(Tableau2[[#This Row],[FS]]-Tableau2[[#This Row],[FIN PAUSE]]))),"")))</f>
        <v>0.37500000000000006</v>
      </c>
      <c r="M5" s="153">
        <f>IF(Tableau2[[#This Row],[PS]]=0,0,Tableau2[[#This Row],[DATE]]+Tableau2[[#This Row],[PS]])</f>
        <v>44925.333333333336</v>
      </c>
      <c r="N5" s="153">
        <f>IF(Tableau2[[#This Row],[FS]]=0,0,Tableau2[[#This Row],[Mois]]+Tableau2[[#This Row],[FS]])</f>
        <v>0.70833333333333337</v>
      </c>
      <c r="O5" s="154"/>
      <c r="P5" s="155"/>
      <c r="Q5" s="96">
        <f>IF(OR(Tableau2[[#This Row],[POSTE  TENU]]&lt;&gt;"RP",Tableau2[[#This Row],[POSTE  TENU]]&lt;&gt;"EVO",Tableau2[[#This Row],[POSTE  TENU]]&lt;&gt;"rp"),IFERROR(IF(Tableau2[[#This Row],[FS Coupure Comprise]]=0,0,(Tableau2[[#This Row],[DATE]]+Tableau2[[#This Row],[FS Coupure Comprise]])+Tableau2[[#This Row],[RETOUR PARIS PSL]]),""),"")</f>
        <v>44925.743055555555</v>
      </c>
      <c r="R5" s="168">
        <v>0.33333333333333331</v>
      </c>
      <c r="S5" s="169">
        <v>0.70833333333333337</v>
      </c>
      <c r="T5" s="107"/>
      <c r="U5" s="164">
        <f>IFERROR(IF(MOD(Tableau2[[#This Row],[FS PARIS  Engin Coupure Comprise]],1)=0,0,Tableau2[[#This Row],[PS Engin]]-MAX(Q$5:Q5)),"")</f>
        <v>-0.40972222221898846</v>
      </c>
      <c r="V5" s="90" t="str">
        <f>IF(Tableau2[[#This Row],[DEBUT PAUSE]]&lt;&gt;"",MOD(Tableau2[[#This Row],[FIN PAUSE]]-Tableau2[[#This Row],[DEBUT PAUSE]],1),"")</f>
        <v/>
      </c>
      <c r="W5" s="92">
        <f>IFERROR(Tableau2[[#This Row],[FS Coupure Comprise]]-Tableau2[[#This Row],[FS]]+Tableau2[[#This Row],[Temps de poste]],"")</f>
        <v>0.3888888888888889</v>
      </c>
      <c r="X5" s="93" t="str">
        <f>IFERROR(IF(OR(Tableau2[[#This Row],[POSTE  TENU]]="EVO PSL",Tableau2[[#This Row],[POSTE  TENU]]="CM",,Tableau2[[#This Row],[POSTE  TENU]]="evo",Tableau2[[#This Row],[POSTE  TENU]]="LOC",Tableau2[[#This Row],[POSTE  TENU]]="LOC PSL",Tableau2[[#This Row],[POSTE  TENU]]="CM PSL"),IF(Tableau2[[#This Row],[poste pause comprise]]&gt;(7.75/24),Tableau2[[#This Row],[poste pause comprise]]-(7.75/24),TEXT((7.75/24)-Tableau2[[#This Row],[poste pause comprise]],"-[h]:mm")),""),"")</f>
        <v/>
      </c>
      <c r="Y5" s="88">
        <f>IF(Tableau2[[#This Row],[Temps de poste]]&lt;&gt;"",IFERROR(IF(IF(Tableau2[[#This Row],[DEBUT PAUSE]]="",IF(Tableau2[[#This Row],[DEBUT PAUSE]]="",Tableau2[[#This Row],[Temps de poste]],Tableau2[[#This Row],[FS]])),IF(Tableau2[[#This Row],[FS]]=Tableau2[[#This Row],[FS]],Tableau2[[#This Row],[FS]]+(5/360)),IF(Tableau2[[#This Row],[DEBUT PAUSE]]=Tableau2[[#This Row],[DEBUT PAUSE]],Tableau2[[#This Row],[FS]],Tableau2[[#This Row],[FS]])),""),"")</f>
        <v>0.72222222222222221</v>
      </c>
      <c r="Z5" s="19" t="str">
        <f>IF(OR(Tableau2[[#This Row],[POSTE  TENU]]="cm psl",Tableau2[[#This Row],[POSTE  TENU]]="loc PSL",Tableau2[[#This Row],[POSTE  TENU]]="EVO PSL",Tableau2[[#This Row],[POSTE  TENU]]="CM PSL"),IF(AND(OR(Tableau2[[#This Row],[POSTE  TENU]]&lt;&gt;"cm psl",Tableau2[[#This Row],[POSTE  TENU]]&lt;&gt;"loc PSL"),Tableau2[[#This Row],[poste pause comprise]]&lt;(10/24)),(10/24)-Tableau2[[#This Row],[poste pause comprise]],Tableau2[[#This Row],[poste pause comprise]]),"")</f>
        <v/>
      </c>
      <c r="AA5" s="61">
        <f>IF(BD!$R5="","",(BD!$S5-BD!$R5))</f>
        <v>0.37500000000000006</v>
      </c>
      <c r="AB5" s="61">
        <f>IF(Tableau2[[#This Row],[ EVO DEPART]]="","",(Tableau2[[#This Row],[EVO ARRIVEE]]-Tableau2[[#This Row],[ EVO DEPART]])/2)</f>
        <v>0.18750000000000003</v>
      </c>
      <c r="AC5" s="18">
        <f>IF(OR(Tableau2[[#This Row],[Poste]]="main",Tableau2[[#This Row],[Poste]]="NP",Tableau2[[#This Row],[Poste]]="",Tableau2[[#This Row],[Poste]]="bc",Tableau2[[#This Row],[Poste]]="m",Tableau2[[#This Row],[Poste]]="RP",Tableau2[[#This Row],[Poste]]="c",Tableau2[[#This Row],[Poste]]="cm",Tableau2[[#This Row],[Poste]]="loc",Tableau2[[#This Row],[Poste]]="bc"),0,Données!$O$11)</f>
        <v>2.0833333333333332E-2</v>
      </c>
      <c r="AD5" s="18" t="str">
        <f>IF(Tableau2[[#This Row],[Temps Restant PSL]]="","",IF(Tableau2[[#This Row],[Durée Trajet]]="","",Tableau2[[#This Row],[Durée Trajet]]+Tableau2[[#This Row],[RETOUR PARIS PSL]]))</f>
        <v/>
      </c>
      <c r="AE5" s="113" t="str">
        <f>IFERROR(IF(OR(Tableau2[[#This Row],[POSTE  TENU]]="CM PSL",Tableau2[[#This Row],[POSTE  TENU]]="LOC psl",Tableau2[[#This Row],[POSTE  TENU]]="EVO PSL"),(Tableau2[[#This Row],[poste pause comprise]]+Tableau2[[#This Row],[Durée  Retenue]]),""),"")</f>
        <v/>
      </c>
      <c r="AF5" s="114" t="str">
        <f>IF(OR(Tableau2[[#This Row],[POSTE  TENU]]="evo engin",Tableau2[[#This Row],[POSTE  TENU]]="Ma",Tableau2[[#This Row],[POSTE  TENU]]="bc psl",Tableau2[[#This Row],[POSTE  TENU]]="RP",Tableau2[[#This Row],[POSTE  TENU]]="bc",Tableau2[[#This Row],[POSTE  TENU]]="C",Tableau2[[#This Row],[POSTE  TENU]]="CM",Tableau2[[#This Row],[POSTE  TENU]]="LOC",Tableau2[[#This Row],[POSTE  TENU]]="M"),"",IF(Tableau2[[#This Row],[POSTE  TENU]]&lt;&gt;"",Données!O$9,""))</f>
        <v/>
      </c>
      <c r="AG5" s="115" t="str">
        <f>IF(OR(Tableau2[[#This Row],[POSTE  TENU]]="cm psl",Tableau2[[#This Row],[POSTE  TENU]]="loc psl",Tableau2[[#This Row],[POSTE  TENU]]="BC PSL",Tableau2[[#This Row],[POSTE  TENU]]="EVO PSL"),IF(Tableau2[[#This Row],[POSTE EVO PSL]]&gt;Tableau2[[#This Row],[10 H de]],"Non Coupé","Coupé"),IF(OR(Tableau2[[#This Row],[POSTE  TENU]]="CM",Tableau2[[#This Row],[POSTE  TENU]]="loc",Tableau2[[#This Row],[POSTE  TENU]]="M",Tableau2[[#This Row],[POSTE  TENU]]="C",Tableau2[[#This Row],[POSTE  TENU]]="BC"),"",""))</f>
        <v/>
      </c>
      <c r="AH5" s="116" t="str">
        <f>IF(Tableau2[[#This Row],[POSTE  TENU]]&lt;&gt;"evo",IF(Tableau2[[#This Row],[Fin Service Paris]]&lt;&gt;"",Tableau2[[#This Row],[FS Coupure Comprise]]+Tableau2[[#This Row],[RETOUR PARIS PSL]],""),"")</f>
        <v/>
      </c>
      <c r="AI5" s="137" t="str">
        <f>IF(Tableau2[[#This Row],[Durée  Retenue]]="","",Tableau2[[#This Row],[Durée  Retenue]]+Tableau2[[#This Row],[poste pause comprise]])</f>
        <v/>
      </c>
      <c r="AJ5" s="136" t="str">
        <f>IF(Tableau2[[#This Row],[POSTE  TENU]]&lt;&gt;"evo",IF(Tableau2[[#This Row],[Journée Travail Evo]]="","",Tableau2[[#This Row],[FS Coupure Comprise]]+Tableau2[[#This Row],[RETOUR PARIS PSL]]+5/360),"")</f>
        <v/>
      </c>
      <c r="AK5" s="118" t="str">
        <f>IF(Tableau2[[#This Row],[DEBUT REPOS PARIS]]&lt;&gt;"",IF(OR(Tableau2[[#This Row],[POSTE  TENU]]="EVO",Tableau2[[#This Row],[POSTE  TENU]]="evo psl"),IF(OR(Tableau2[[#This Row],[POSTE  TENU]]&lt;&gt;"EVO PSL",Tableau2[[#This Row],[POSTE  TENU]]="evo"),(2.5/24), IF(Tableau2[[#This Row],[POSTE  TENU]]&gt;(2.5/24),2.5/24,TEXT((2.5/24)-#REF!,"[h]:mm"))),IF(OR(Tableau2[[#This Row],[POSTE  TENU]]&lt;&gt;"EVO PSL",Tableau2[[#This Row],[POSTE  TENU]]="evo"),(2.5/24), IF(Tableau2[[#This Row],[POSTE  TENU]]&gt;(2.5/24),2.5/24,TEXT((2.5/24)-#REF!,"[h]:mm")))),"")</f>
        <v/>
      </c>
      <c r="AO5"/>
    </row>
    <row r="6" spans="2:41" ht="18.75" x14ac:dyDescent="0.25">
      <c r="B6" s="80">
        <f t="shared" ref="B6" si="0">ROW(B6)-5</f>
        <v>1</v>
      </c>
      <c r="C6" s="128">
        <f>_xlfn.ISOWEEKNUM(Tableau2[[#This Row],[DATE]])</f>
        <v>52</v>
      </c>
      <c r="D6" s="132">
        <v>44926</v>
      </c>
      <c r="E6" s="131"/>
      <c r="F6" s="91">
        <f>YEAR(Tableau2[[#This Row],[DATE]])</f>
        <v>2022</v>
      </c>
      <c r="G6" s="60"/>
      <c r="H6" s="17"/>
      <c r="I6" s="20" t="str">
        <f>IF(Tableau2[[#This Row],[POSTE  TENU]]="","",Tableau2[[#This Row],[POSTE  TENU]])</f>
        <v/>
      </c>
      <c r="J6" s="121"/>
      <c r="K6" s="122"/>
      <c r="L6" s="133" t="str">
        <f>IF(OR(Tableau2[[#This Row],[Poste]]="Ma",Tableau2[[#This Row],[Poste]]="RP",Tableau2[[#This Row],[Poste]]="c",Tableau2[[#This Row],[Poste]]="",Tableau2[[#This Row],[Poste]]="Ru"),"",IF(OR(Tableau2[[#This Row],[POSTE  TENU]]="CM PSL",Tableau2[[#This Row],[POSTE  TENU]]="EVO",Tableau2[[#This Row],[POSTE  TENU]]="loc PSL",Tableau2[[#This Row],[POSTE  TENU]]="cm",Tableau2[[#This Row],[POSTE  TENU]]="loc",Tableau2[[#This Row],[POSTE  TENU]]="",Tableau2[[#This Row],[DEBUT PAUSE]]=""),IF(OR(Tableau2[[#This Row],[DEBUT PAUSE]]="",Tableau2[[#This Row],[FIN PAUSE]]="",Tableau2[[#This Row],[POSTE  TENU]]=""),Tableau2[[#This Row],[FS]]-Tableau2[[#This Row],[PS]],((Tableau2[[#This Row],[DEBUT PAUSE]]-Tableau2[[#This Row],[PS]])+(BD!$K6-Tableau2[[#This Row],[FIN PAUSE]]))),IF(OR(Tableau2[[#This Row],[DEBUT PAUSE]]="",Tableau2[[#This Row],[POSTE  TENU]]="cm psl",Tableau2[[#This Row],[POSTE  TENU]]="EVO",Tableau2[[#This Row],[POSTE  TENU]]="loc psl",Tableau2[[#This Row],[POSTE  TENU]]="cm",Tableau2[[#This Row],[POSTE  TENU]]="loc",Tableau2[[#This Row],[POSTE  TENU]]&lt;&gt;""),IF(OR(Tableau2[[#This Row],[DEBUT PAUSE]]="",Tableau2[[#This Row],[FIN PAUSE]]="",Tableau2[[#This Row],[POSTE  TENU]]=""),Tableau2[[#This Row],[FS]]-Tableau2[[#This Row],[PS]],((Tableau2[[#This Row],[DEBUT PAUSE]]-Tableau2[[#This Row],[PS]])+(Tableau2[[#This Row],[FS]]-Tableau2[[#This Row],[FIN PAUSE]]))),"")))</f>
        <v/>
      </c>
      <c r="M6" s="153">
        <f>IF(Tableau2[[#This Row],[PS]]=0,0,Tableau2[[#This Row],[DATE]]+Tableau2[[#This Row],[PS]])</f>
        <v>0</v>
      </c>
      <c r="N6" s="153">
        <f>IF(Tableau2[[#This Row],[FS]]=0,0,Tableau2[[#This Row],[Mois]]+Tableau2[[#This Row],[FS]])</f>
        <v>0</v>
      </c>
      <c r="O6" s="156"/>
      <c r="P6" s="157"/>
      <c r="Q6" s="97" t="str">
        <f>IF(OR(Tableau2[[#This Row],[POSTE  TENU]]&lt;&gt;"RP",Tableau2[[#This Row],[POSTE  TENU]]&lt;&gt;"EVO",Tableau2[[#This Row],[POSTE  TENU]]&lt;&gt;"rp"),IFERROR(IF(Tableau2[[#This Row],[FS Coupure Comprise]]=0,0,(Tableau2[[#This Row],[DATE]]+Tableau2[[#This Row],[FS Coupure Comprise]])+Tableau2[[#This Row],[RETOUR PARIS PSL]]),""),"")</f>
        <v/>
      </c>
      <c r="R6" s="168"/>
      <c r="S6" s="169"/>
      <c r="T6" s="108"/>
      <c r="U6" s="165" t="str">
        <f>IFERROR(IF(MOD(Tableau2[[#This Row],[FS PARIS  Engin Coupure Comprise]],1)=0,0,Tableau2[[#This Row],[PS Engin]]-MAX(Q$5:Q5)),"")</f>
        <v/>
      </c>
      <c r="V6" s="90" t="str">
        <f>IF(Tableau2[[#This Row],[DEBUT PAUSE]]&lt;&gt;"",MOD(Tableau2[[#This Row],[FIN PAUSE]]-Tableau2[[#This Row],[DEBUT PAUSE]],1),"")</f>
        <v/>
      </c>
      <c r="W6" s="89" t="str">
        <f>IFERROR(Tableau2[[#This Row],[FS Coupure Comprise]]-Tableau2[[#This Row],[FS]]+Tableau2[[#This Row],[Temps de poste]],"")</f>
        <v/>
      </c>
      <c r="X6" s="93" t="str">
        <f>IFERROR(IF(OR(Tableau2[[#This Row],[POSTE  TENU]]="EVO PSL",Tableau2[[#This Row],[POSTE  TENU]]="CM",,Tableau2[[#This Row],[POSTE  TENU]]="evo",Tableau2[[#This Row],[POSTE  TENU]]="LOC",Tableau2[[#This Row],[POSTE  TENU]]="LOC PSL",Tableau2[[#This Row],[POSTE  TENU]]="CM PSL"),IF(Tableau2[[#This Row],[poste pause comprise]]&gt;(7.75/24),Tableau2[[#This Row],[poste pause comprise]]-(7.75/24),TEXT((7.75/24)-Tableau2[[#This Row],[poste pause comprise]],"-[h]:mm")),""),"")</f>
        <v/>
      </c>
      <c r="Y6" s="88" t="str">
        <f>IF(Tableau2[[#This Row],[Temps de poste]]&lt;&gt;"",IFERROR(IF(IF(Tableau2[[#This Row],[DEBUT PAUSE]]="",IF(Tableau2[[#This Row],[DEBUT PAUSE]]="",Tableau2[[#This Row],[Temps de poste]],Tableau2[[#This Row],[FS]])),IF(Tableau2[[#This Row],[FS]]=Tableau2[[#This Row],[FS]],Tableau2[[#This Row],[FS]]+(5/360)),IF(Tableau2[[#This Row],[DEBUT PAUSE]]=Tableau2[[#This Row],[DEBUT PAUSE]],Tableau2[[#This Row],[FS]],Tableau2[[#This Row],[FS]])),""),"")</f>
        <v/>
      </c>
      <c r="Z6" s="19" t="str">
        <f>IF(OR(Tableau2[[#This Row],[POSTE  TENU]]="cm psl",Tableau2[[#This Row],[POSTE  TENU]]="loc PSL",Tableau2[[#This Row],[POSTE  TENU]]="EVO PSL",Tableau2[[#This Row],[POSTE  TENU]]="CM PSL"),IF(AND(OR(Tableau2[[#This Row],[POSTE  TENU]]&lt;&gt;"cm psl",Tableau2[[#This Row],[POSTE  TENU]]&lt;&gt;"loc PSL"),Tableau2[[#This Row],[poste pause comprise]]&lt;(10/24)),(10/24)-Tableau2[[#This Row],[poste pause comprise]],Tableau2[[#This Row],[poste pause comprise]]),"")</f>
        <v/>
      </c>
      <c r="AA6" s="61" t="str">
        <f>IF(BD!$R6="","",(BD!$S6-BD!$R6))</f>
        <v/>
      </c>
      <c r="AB6" s="61" t="str">
        <f>IF(Tableau2[[#This Row],[ EVO DEPART]]="","",(Tableau2[[#This Row],[EVO ARRIVEE]]-Tableau2[[#This Row],[ EVO DEPART]])/2)</f>
        <v/>
      </c>
      <c r="AC6" s="18">
        <f>IF(OR(Tableau2[[#This Row],[Poste]]="main",Tableau2[[#This Row],[Poste]]="NP",Tableau2[[#This Row],[Poste]]="",Tableau2[[#This Row],[Poste]]="bc",Tableau2[[#This Row],[Poste]]="m",Tableau2[[#This Row],[Poste]]="RP",Tableau2[[#This Row],[Poste]]="c",Tableau2[[#This Row],[Poste]]="cm",Tableau2[[#This Row],[Poste]]="loc",Tableau2[[#This Row],[Poste]]="bc"),0,Données!$O$11)</f>
        <v>0</v>
      </c>
      <c r="AD6" s="18" t="str">
        <f>IF(Tableau2[[#This Row],[Temps Restant PSL]]="","",IF(Tableau2[[#This Row],[Durée Trajet]]="","",Tableau2[[#This Row],[Durée Trajet]]+Tableau2[[#This Row],[RETOUR PARIS PSL]]))</f>
        <v/>
      </c>
      <c r="AE6" s="113" t="str">
        <f>IFERROR(IF(OR(Tableau2[[#This Row],[POSTE  TENU]]="CM PSL",Tableau2[[#This Row],[POSTE  TENU]]="LOC psl",Tableau2[[#This Row],[POSTE  TENU]]="EVO PSL"),(Tableau2[[#This Row],[poste pause comprise]]+Tableau2[[#This Row],[Durée  Retenue]]),""),"")</f>
        <v/>
      </c>
      <c r="AF6" s="114" t="str">
        <f>IF(OR(Tableau2[[#This Row],[POSTE  TENU]]="evo engin",Tableau2[[#This Row],[POSTE  TENU]]="Ma",Tableau2[[#This Row],[POSTE  TENU]]="bc psl",Tableau2[[#This Row],[POSTE  TENU]]="RP",Tableau2[[#This Row],[POSTE  TENU]]="bc",Tableau2[[#This Row],[POSTE  TENU]]="C",Tableau2[[#This Row],[POSTE  TENU]]="CM",Tableau2[[#This Row],[POSTE  TENU]]="LOC",Tableau2[[#This Row],[POSTE  TENU]]="M"),"",IF(Tableau2[[#This Row],[POSTE  TENU]]&lt;&gt;"",Données!O$9,""))</f>
        <v/>
      </c>
      <c r="AG6" s="115" t="str">
        <f>IF(OR(Tableau2[[#This Row],[POSTE  TENU]]="cm psl",Tableau2[[#This Row],[POSTE  TENU]]="loc psl",Tableau2[[#This Row],[POSTE  TENU]]="BC PSL",Tableau2[[#This Row],[POSTE  TENU]]="EVO PSL"),IF(Tableau2[[#This Row],[POSTE EVO PSL]]&gt;Tableau2[[#This Row],[10 H de]],"Non Coupé","Coupé"),IF(OR(Tableau2[[#This Row],[POSTE  TENU]]="CM",Tableau2[[#This Row],[POSTE  TENU]]="loc",Tableau2[[#This Row],[POSTE  TENU]]="M",Tableau2[[#This Row],[POSTE  TENU]]="C",Tableau2[[#This Row],[POSTE  TENU]]="BC"),"",""))</f>
        <v/>
      </c>
      <c r="AH6" s="116" t="str">
        <f>IF(Tableau2[[#This Row],[POSTE  TENU]]&lt;&gt;"evo",IF(Tableau2[[#This Row],[Fin Service Paris]]&lt;&gt;"",Tableau2[[#This Row],[FS Coupure Comprise]]+Tableau2[[#This Row],[RETOUR PARIS PSL]],""),"")</f>
        <v/>
      </c>
      <c r="AI6" s="137" t="str">
        <f>IF(Tableau2[[#This Row],[Durée  Retenue]]="","",Tableau2[[#This Row],[Durée  Retenue]]+Tableau2[[#This Row],[poste pause comprise]])</f>
        <v/>
      </c>
      <c r="AJ6" s="136" t="str">
        <f>IF(Tableau2[[#This Row],[POSTE  TENU]]&lt;&gt;"evo",IF(Tableau2[[#This Row],[Journée Travail Evo]]="","",Tableau2[[#This Row],[FS Coupure Comprise]]+Tableau2[[#This Row],[RETOUR PARIS PSL]]+5/360),"")</f>
        <v/>
      </c>
      <c r="AK6" s="118" t="str">
        <f>IF(Tableau2[[#This Row],[DEBUT REPOS PARIS]]&lt;&gt;"",IF(OR(Tableau2[[#This Row],[POSTE  TENU]]="EVO",Tableau2[[#This Row],[POSTE  TENU]]="evo psl"),IF(OR(Tableau2[[#This Row],[POSTE  TENU]]&lt;&gt;"EVO PSL",Tableau2[[#This Row],[POSTE  TENU]]="evo"),(2.5/24), IF(Tableau2[[#This Row],[POSTE  TENU]]&gt;(2.5/24),2.5/24,TEXT((2.5/24)-#REF!,"[h]:mm"))),IF(OR(Tableau2[[#This Row],[POSTE  TENU]]&lt;&gt;"EVO PSL",Tableau2[[#This Row],[POSTE  TENU]]="evo"),(2.5/24), IF(Tableau2[[#This Row],[POSTE  TENU]]&gt;(2.5/24),2.5/24,TEXT((2.5/24)-#REF!,"[h]:mm")))),"")</f>
        <v/>
      </c>
      <c r="AO6"/>
    </row>
    <row r="7" spans="2:41" ht="18.75" x14ac:dyDescent="0.25">
      <c r="B7" s="80">
        <f t="shared" ref="B7:B8" si="1">ROW(B7)-5</f>
        <v>2</v>
      </c>
      <c r="C7" s="104">
        <f>_xlfn.ISOWEEKNUM(Tableau2[[#This Row],[DATE]])</f>
        <v>1</v>
      </c>
      <c r="D7" s="132">
        <v>44929</v>
      </c>
      <c r="E7" s="105">
        <f>MONTH(Tableau2[[#This Row],[DATE]])</f>
        <v>1</v>
      </c>
      <c r="F7" s="91">
        <f>YEAR(Tableau2[[#This Row],[DATE]])</f>
        <v>2023</v>
      </c>
      <c r="G7" s="60"/>
      <c r="H7" s="17" t="s">
        <v>21</v>
      </c>
      <c r="I7" s="20" t="str">
        <f>IF(Tableau2[[#This Row],[POSTE  TENU]]="","",Tableau2[[#This Row],[POSTE  TENU]])</f>
        <v>CM</v>
      </c>
      <c r="J7" s="121" t="s">
        <v>95</v>
      </c>
      <c r="K7" s="122" t="s">
        <v>96</v>
      </c>
      <c r="L7" s="134">
        <f>IF(OR(Tableau2[[#This Row],[Poste]]="m",Tableau2[[#This Row],[Poste]]="RP",Tableau2[[#This Row],[Poste]]="c",Tableau2[[#This Row],[Poste]]=""),"",IF(OR(Tableau2[[#This Row],[POSTE  TENU]]="CM PSL",Tableau2[[#This Row],[POSTE  TENU]]="EVO",Tableau2[[#This Row],[POSTE  TENU]]="loc PSL",Tableau2[[#This Row],[POSTE  TENU]]="cm",Tableau2[[#This Row],[POSTE  TENU]]="loc",Tableau2[[#This Row],[POSTE  TENU]]="",Tableau2[[#This Row],[DEBUT PAUSE]]=""),IF(OR(Tableau2[[#This Row],[DEBUT PAUSE]]="",Tableau2[[#This Row],[FIN PAUSE]]="",Tableau2[[#This Row],[POSTE  TENU]]=""),Tableau2[[#This Row],[FS]]-Tableau2[[#This Row],[PS]],((Tableau2[[#This Row],[DEBUT PAUSE]]-Tableau2[[#This Row],[PS]])+(BD!$K7-Tableau2[[#This Row],[FIN PAUSE]]))),IF(OR(Tableau2[[#This Row],[DEBUT PAUSE]]="",Tableau2[[#This Row],[POSTE  TENU]]="cm psl",Tableau2[[#This Row],[POSTE  TENU]]="EVO",Tableau2[[#This Row],[POSTE  TENU]]="loc psl",Tableau2[[#This Row],[POSTE  TENU]]="cm",Tableau2[[#This Row],[POSTE  TENU]]="loc",Tableau2[[#This Row],[POSTE  TENU]]&lt;&gt;""),IF(OR(Tableau2[[#This Row],[DEBUT PAUSE]]="",Tableau2[[#This Row],[FIN PAUSE]]="",Tableau2[[#This Row],[POSTE  TENU]]=""),Tableau2[[#This Row],[FS]]-Tableau2[[#This Row],[PS]],((Tableau2[[#This Row],[DEBUT PAUSE]]-Tableau2[[#This Row],[PS]])+(Tableau2[[#This Row],[FS]]-Tableau2[[#This Row],[FIN PAUSE]]))),"")))</f>
        <v>0.42777777777777776</v>
      </c>
      <c r="M7" s="158">
        <f>IF(Tableau2[[#This Row],[PS]]=0,0,Tableau2[[#This Row],[DATE]]+Tableau2[[#This Row],[PS]])</f>
        <v>44929.364583333336</v>
      </c>
      <c r="N7" s="153">
        <f>IF(Tableau2[[#This Row],[FS]]=0,0,Tableau2[[#This Row],[Mois]]+Tableau2[[#This Row],[FS]])</f>
        <v>1.7923611111111111</v>
      </c>
      <c r="O7" s="156" t="s">
        <v>61</v>
      </c>
      <c r="P7" s="159" t="s">
        <v>61</v>
      </c>
      <c r="Q7" s="97">
        <f>IF(Tableau2[[#This Row],[POSTE  TENU]]&lt;&gt;"rp",IFERROR(IF(Tableau2[[#This Row],[FS Coupure Comprise]]=0,0,(Tableau2[[#This Row],[DATE]]+Tableau2[[#This Row],[FS Coupure Comprise]])+Tableau2[[#This Row],[RETOUR PARIS PSL]]),""),"")</f>
        <v>44929.806250000001</v>
      </c>
      <c r="R7" s="170" t="s">
        <v>61</v>
      </c>
      <c r="S7" s="171" t="s">
        <v>61</v>
      </c>
      <c r="T7" s="109" t="s">
        <v>75</v>
      </c>
      <c r="U7" s="164">
        <f>IFERROR(IF(MOD(Tableau2[[#This Row],[FS PARIS  Engin Coupure Comprise]],1)=0,0,Tableau2[[#This Row],[PS Engin]]-MAX(Q$5:Q6)),"")</f>
        <v>3.6215277777810115</v>
      </c>
      <c r="V7" s="119" t="str">
        <f>IF(Tableau2[[#This Row],[DEBUT PAUSE]]&lt;&gt;"",MOD(Tableau2[[#This Row],[FIN PAUSE]]-Tableau2[[#This Row],[DEBUT PAUSE]],1),"")</f>
        <v/>
      </c>
      <c r="W7" s="62">
        <f>IFERROR(Tableau2[[#This Row],[FS Coupure Comprise]]-Tableau2[[#This Row],[FS]]+Tableau2[[#This Row],[Temps de poste]],"")</f>
        <v>0.4416666666666666</v>
      </c>
      <c r="X7" s="72">
        <f>IFERROR(IF(OR(Tableau2[[#This Row],[POSTE  TENU]]="EVO PSL",Tableau2[[#This Row],[POSTE  TENU]]="CM",,Tableau2[[#This Row],[POSTE  TENU]]="evo",Tableau2[[#This Row],[POSTE  TENU]]="LOC",Tableau2[[#This Row],[POSTE  TENU]]="LOC PSL",Tableau2[[#This Row],[POSTE  TENU]]="CM PSL"),IF(Tableau2[[#This Row],[poste pause comprise]]&gt;(7.75/24),Tableau2[[#This Row],[poste pause comprise]]-(7.75/24),TEXT((7.75/24)-Tableau2[[#This Row],[poste pause comprise]],"-[h]:mm")),""),"")</f>
        <v>0.11874999999999991</v>
      </c>
      <c r="Y7" s="94">
        <f>IF(Tableau2[[#This Row],[Temps de poste]]&lt;&gt;"",IFERROR(IF(IF(Tableau2[[#This Row],[DEBUT PAUSE]]="",IF(Tableau2[[#This Row],[DEBUT PAUSE]]="",Tableau2[[#This Row],[Temps de poste]],Tableau2[[#This Row],[FS]])),IF(Tableau2[[#This Row],[FS]]=Tableau2[[#This Row],[FS]],Tableau2[[#This Row],[FS]]+(5/360)),IF(Tableau2[[#This Row],[DEBUT PAUSE]]=Tableau2[[#This Row],[DEBUT PAUSE]],Tableau2[[#This Row],[FS]],Tableau2[[#This Row],[FS]])),""),"")</f>
        <v>0.80624999999999991</v>
      </c>
      <c r="Z7" s="19" t="str">
        <f>IF(OR(Tableau2[[#This Row],[POSTE  TENU]]="cm psl",Tableau2[[#This Row],[POSTE  TENU]]="loc PSL",Tableau2[[#This Row],[POSTE  TENU]]="EVO PSL",Tableau2[[#This Row],[POSTE  TENU]]="CM PSL"),IF(AND(OR(Tableau2[[#This Row],[POSTE  TENU]]&lt;&gt;"cm psl",Tableau2[[#This Row],[POSTE  TENU]]&lt;&gt;"loc PSL"),Tableau2[[#This Row],[poste pause comprise]]&lt;(10/24)),(10/24)-Tableau2[[#This Row],[poste pause comprise]],Tableau2[[#This Row],[poste pause comprise]]),"")</f>
        <v/>
      </c>
      <c r="AA7" s="61" t="str">
        <f>IF(BD!$R7="","",(BD!$S7-BD!$R7))</f>
        <v/>
      </c>
      <c r="AB7" s="61" t="str">
        <f>IF(Tableau2[[#This Row],[ EVO DEPART]]="","",(Tableau2[[#This Row],[EVO ARRIVEE]]-Tableau2[[#This Row],[ EVO DEPART]])/2)</f>
        <v/>
      </c>
      <c r="AC7" s="18">
        <f>IF(OR(Tableau2[[#This Row],[Poste]]="main",Tableau2[[#This Row],[Poste]]="NP",Tableau2[[#This Row],[Poste]]="",Tableau2[[#This Row],[Poste]]="bc",Tableau2[[#This Row],[Poste]]="m",Tableau2[[#This Row],[Poste]]="RP",Tableau2[[#This Row],[Poste]]="c",Tableau2[[#This Row],[Poste]]="cm",Tableau2[[#This Row],[Poste]]="loc",Tableau2[[#This Row],[Poste]]="bc"),0,Données!$O$11)</f>
        <v>0</v>
      </c>
      <c r="AD7" s="18" t="str">
        <f>IF(Tableau2[[#This Row],[Temps Restant PSL]]="","",IF(Tableau2[[#This Row],[Durée Trajet]]="","",Tableau2[[#This Row],[Durée Trajet]]+Tableau2[[#This Row],[RETOUR PARIS PSL]]))</f>
        <v/>
      </c>
      <c r="AE7" s="113" t="str">
        <f>IFERROR(IF(OR(Tableau2[[#This Row],[POSTE  TENU]]="CM PSL",Tableau2[[#This Row],[POSTE  TENU]]="LOC psl",Tableau2[[#This Row],[POSTE  TENU]]="EVO PSL"),(Tableau2[[#This Row],[poste pause comprise]]+Tableau2[[#This Row],[Durée  Retenue]]),""),"")</f>
        <v/>
      </c>
      <c r="AF7" s="113" t="str">
        <f>IF(OR(Tableau2[[#This Row],[POSTE  TENU]]="evo engin",Tableau2[[#This Row],[POSTE  TENU]]="Ma",Tableau2[[#This Row],[POSTE  TENU]]="bc psl",Tableau2[[#This Row],[POSTE  TENU]]="RP",Tableau2[[#This Row],[POSTE  TENU]]="bc",Tableau2[[#This Row],[POSTE  TENU]]="C",Tableau2[[#This Row],[POSTE  TENU]]="CM",Tableau2[[#This Row],[POSTE  TENU]]="LOC",Tableau2[[#This Row],[POSTE  TENU]]="M"),"",IF(Tableau2[[#This Row],[POSTE  TENU]]&lt;&gt;"",Données!O$9,""))</f>
        <v/>
      </c>
      <c r="AG7" s="115" t="str">
        <f>IF(OR(Tableau2[[#This Row],[POSTE  TENU]]="cm psl",Tableau2[[#This Row],[POSTE  TENU]]="loc psl",Tableau2[[#This Row],[POSTE  TENU]]="BC PSL",Tableau2[[#This Row],[POSTE  TENU]]="EVO PSL"),IF(Tableau2[[#This Row],[POSTE EVO PSL]]&gt;Tableau2[[#This Row],[10 H de]],"Non Coupé","Coupé"),IF(OR(Tableau2[[#This Row],[POSTE  TENU]]="CM",Tableau2[[#This Row],[POSTE  TENU]]="loc",Tableau2[[#This Row],[POSTE  TENU]]="M",Tableau2[[#This Row],[POSTE  TENU]]="C",Tableau2[[#This Row],[POSTE  TENU]]="BC"),"",""))</f>
        <v/>
      </c>
      <c r="AH7" s="116" t="str">
        <f>IF(Tableau2[[#This Row],[POSTE  TENU]]&lt;&gt;"evo",IF(Tableau2[[#This Row],[Fin Service Paris]]&lt;&gt;"",Tableau2[[#This Row],[FS Coupure Comprise]]+Tableau2[[#This Row],[RETOUR PARIS PSL]],""),"")</f>
        <v/>
      </c>
      <c r="AI7" s="137" t="str">
        <f>IF(Tableau2[[#This Row],[Durée  Retenue]]="","",Tableau2[[#This Row],[Durée  Retenue]]+Tableau2[[#This Row],[poste pause comprise]])</f>
        <v/>
      </c>
      <c r="AJ7" s="117" t="str">
        <f>IF(Tableau2[[#This Row],[POSTE  TENU]]&lt;&gt;"evo",IF(Tableau2[[#This Row],[Journée Travail Evo]]="","",Tableau2[[#This Row],[FS Coupure Comprise]]+Tableau2[[#This Row],[RETOUR PARIS PSL]]+5/360),"")</f>
        <v/>
      </c>
      <c r="AK7" s="118" t="str">
        <f>IF(Tableau2[[#This Row],[DEBUT REPOS PARIS]]&lt;&gt;"",IF(OR(Tableau2[[#This Row],[POSTE  TENU]]="EVO",Tableau2[[#This Row],[POSTE  TENU]]="evo psl"),IF(OR(Tableau2[[#This Row],[POSTE  TENU]]&lt;&gt;"EVO PSL",Tableau2[[#This Row],[POSTE  TENU]]="evo"),(2.5/24), IF(Tableau2[[#This Row],[POSTE  TENU]]&gt;(2.5/24),2.5/24,TEXT((2.5/24)-#REF!,"[h]:mm"))),IF(OR(Tableau2[[#This Row],[POSTE  TENU]]&lt;&gt;"EVO PSL",Tableau2[[#This Row],[POSTE  TENU]]="evo"),(2.5/24), IF(Tableau2[[#This Row],[POSTE  TENU]]&gt;(2.5/24),2.5/24,TEXT((2.5/24)-#REF!,"[h]:mm")))),"")</f>
        <v/>
      </c>
      <c r="AO7"/>
    </row>
    <row r="8" spans="2:41" ht="18.75" x14ac:dyDescent="0.25">
      <c r="B8" s="80">
        <f t="shared" si="1"/>
        <v>3</v>
      </c>
      <c r="C8" s="104">
        <f>_xlfn.ISOWEEKNUM(Tableau2[[#This Row],[DATE]])</f>
        <v>1</v>
      </c>
      <c r="D8" s="132">
        <v>44930</v>
      </c>
      <c r="E8" s="105">
        <f>MONTH(Tableau2[[#This Row],[DATE]])</f>
        <v>1</v>
      </c>
      <c r="F8" s="91">
        <f>YEAR(Tableau2[[#This Row],[DATE]])</f>
        <v>2023</v>
      </c>
      <c r="G8" s="60"/>
      <c r="H8" s="17" t="s">
        <v>21</v>
      </c>
      <c r="I8" s="20" t="str">
        <f>IF(Tableau2[[#This Row],[POSTE  TENU]]="","",Tableau2[[#This Row],[POSTE  TENU]])</f>
        <v>CM</v>
      </c>
      <c r="J8" s="121">
        <v>0.41736111111111113</v>
      </c>
      <c r="K8" s="122">
        <v>0.66388888888888886</v>
      </c>
      <c r="L8" s="134">
        <f>IF(OR(Tableau2[[#This Row],[Poste]]="m",Tableau2[[#This Row],[Poste]]="RP",Tableau2[[#This Row],[Poste]]="c",Tableau2[[#This Row],[Poste]]=""),"",IF(OR(Tableau2[[#This Row],[POSTE  TENU]]="CM PSL",Tableau2[[#This Row],[POSTE  TENU]]="EVO",Tableau2[[#This Row],[POSTE  TENU]]="loc PSL",Tableau2[[#This Row],[POSTE  TENU]]="cm",Tableau2[[#This Row],[POSTE  TENU]]="loc",Tableau2[[#This Row],[POSTE  TENU]]="",Tableau2[[#This Row],[DEBUT PAUSE]]=""),IF(OR(Tableau2[[#This Row],[DEBUT PAUSE]]="",Tableau2[[#This Row],[FIN PAUSE]]="",Tableau2[[#This Row],[POSTE  TENU]]=""),Tableau2[[#This Row],[FS]]-Tableau2[[#This Row],[PS]],((Tableau2[[#This Row],[DEBUT PAUSE]]-Tableau2[[#This Row],[PS]])+(BD!$K8-Tableau2[[#This Row],[FIN PAUSE]]))),IF(OR(Tableau2[[#This Row],[DEBUT PAUSE]]="",Tableau2[[#This Row],[POSTE  TENU]]="cm psl",Tableau2[[#This Row],[POSTE  TENU]]="EVO",Tableau2[[#This Row],[POSTE  TENU]]="loc psl",Tableau2[[#This Row],[POSTE  TENU]]="cm",Tableau2[[#This Row],[POSTE  TENU]]="loc",Tableau2[[#This Row],[POSTE  TENU]]&lt;&gt;""),IF(OR(Tableau2[[#This Row],[DEBUT PAUSE]]="",Tableau2[[#This Row],[FIN PAUSE]]="",Tableau2[[#This Row],[POSTE  TENU]]=""),Tableau2[[#This Row],[FS]]-Tableau2[[#This Row],[PS]],((Tableau2[[#This Row],[DEBUT PAUSE]]-Tableau2[[#This Row],[PS]])+(Tableau2[[#This Row],[FS]]-Tableau2[[#This Row],[FIN PAUSE]]))),"")))</f>
        <v>0.24652777777777773</v>
      </c>
      <c r="M8" s="158">
        <f>IF(Tableau2[[#This Row],[PS]]=0,0,Tableau2[[#This Row],[DATE]]+Tableau2[[#This Row],[PS]])</f>
        <v>44930.417361111111</v>
      </c>
      <c r="N8" s="153">
        <f>IF(Tableau2[[#This Row],[FS]]=0,0,Tableau2[[#This Row],[Mois]]+Tableau2[[#This Row],[FS]])</f>
        <v>1.6638888888888888</v>
      </c>
      <c r="O8" s="156"/>
      <c r="P8" s="159"/>
      <c r="Q8" s="97">
        <f>IF(Tableau2[[#This Row],[POSTE  TENU]]&lt;&gt;"rp",IFERROR(IF(Tableau2[[#This Row],[FS Coupure Comprise]]=0,0,(Tableau2[[#This Row],[DATE]]+Tableau2[[#This Row],[FS Coupure Comprise]])+Tableau2[[#This Row],[RETOUR PARIS PSL]]),""),"")</f>
        <v>44930.677777777775</v>
      </c>
      <c r="R8" s="170"/>
      <c r="S8" s="171"/>
      <c r="T8" s="109"/>
      <c r="U8" s="164">
        <f>IFERROR(IF(MOD(Tableau2[[#This Row],[FS PARIS  Engin Coupure Comprise]],1)=0,0,Tableau2[[#This Row],[PS Engin]]-MAX(Q$5:Q7)),"")</f>
        <v>0.61111111110949423</v>
      </c>
      <c r="V8" s="119" t="str">
        <f>IF(Tableau2[[#This Row],[DEBUT PAUSE]]&lt;&gt;"",MOD(Tableau2[[#This Row],[FIN PAUSE]]-Tableau2[[#This Row],[DEBUT PAUSE]],1),"")</f>
        <v/>
      </c>
      <c r="W8" s="62">
        <f>IFERROR(Tableau2[[#This Row],[FS Coupure Comprise]]-Tableau2[[#This Row],[FS]]+Tableau2[[#This Row],[Temps de poste]],"")</f>
        <v>0.26041666666666657</v>
      </c>
      <c r="X8" s="72" t="str">
        <f>IFERROR(IF(OR(Tableau2[[#This Row],[POSTE  TENU]]="EVO PSL",Tableau2[[#This Row],[POSTE  TENU]]="CM",,Tableau2[[#This Row],[POSTE  TENU]]="evo",Tableau2[[#This Row],[POSTE  TENU]]="LOC",Tableau2[[#This Row],[POSTE  TENU]]="LOC PSL",Tableau2[[#This Row],[POSTE  TENU]]="CM PSL"),IF(Tableau2[[#This Row],[poste pause comprise]]&gt;(7.75/24),Tableau2[[#This Row],[poste pause comprise]]-(7.75/24),TEXT((7.75/24)-Tableau2[[#This Row],[poste pause comprise]],"-[h]:mm")),""),"")</f>
        <v>-1:30</v>
      </c>
      <c r="Y8" s="94">
        <f>IF(Tableau2[[#This Row],[Temps de poste]]&lt;&gt;"",IFERROR(IF(IF(Tableau2[[#This Row],[DEBUT PAUSE]]="",IF(Tableau2[[#This Row],[DEBUT PAUSE]]="",Tableau2[[#This Row],[Temps de poste]],Tableau2[[#This Row],[FS]])),IF(Tableau2[[#This Row],[FS]]=Tableau2[[#This Row],[FS]],Tableau2[[#This Row],[FS]]+(5/360)),IF(Tableau2[[#This Row],[DEBUT PAUSE]]=Tableau2[[#This Row],[DEBUT PAUSE]],Tableau2[[#This Row],[FS]],Tableau2[[#This Row],[FS]])),""),"")</f>
        <v>0.6777777777777777</v>
      </c>
      <c r="Z8" s="19" t="str">
        <f>IF(OR(Tableau2[[#This Row],[POSTE  TENU]]="cm psl",Tableau2[[#This Row],[POSTE  TENU]]="loc PSL",Tableau2[[#This Row],[POSTE  TENU]]="EVO PSL",Tableau2[[#This Row],[POSTE  TENU]]="CM PSL"),IF(AND(OR(Tableau2[[#This Row],[POSTE  TENU]]&lt;&gt;"cm psl",Tableau2[[#This Row],[POSTE  TENU]]&lt;&gt;"loc PSL"),Tableau2[[#This Row],[poste pause comprise]]&lt;(10/24)),(10/24)-Tableau2[[#This Row],[poste pause comprise]],Tableau2[[#This Row],[poste pause comprise]]),"")</f>
        <v/>
      </c>
      <c r="AA8" s="61" t="str">
        <f>IF(BD!$R8="","",(BD!$S8-BD!$R8))</f>
        <v/>
      </c>
      <c r="AB8" s="61" t="str">
        <f>IF(Tableau2[[#This Row],[ EVO DEPART]]="","",(Tableau2[[#This Row],[EVO ARRIVEE]]-Tableau2[[#This Row],[ EVO DEPART]])/2)</f>
        <v/>
      </c>
      <c r="AC8" s="18">
        <f>IF(OR(Tableau2[[#This Row],[Poste]]="main",Tableau2[[#This Row],[Poste]]="NP",Tableau2[[#This Row],[Poste]]="",Tableau2[[#This Row],[Poste]]="bc",Tableau2[[#This Row],[Poste]]="m",Tableau2[[#This Row],[Poste]]="RP",Tableau2[[#This Row],[Poste]]="c",Tableau2[[#This Row],[Poste]]="cm",Tableau2[[#This Row],[Poste]]="loc",Tableau2[[#This Row],[Poste]]="bc"),0,Données!$O$11)</f>
        <v>0</v>
      </c>
      <c r="AD8" s="18" t="str">
        <f>IF(Tableau2[[#This Row],[Temps Restant PSL]]="","",IF(Tableau2[[#This Row],[Durée Trajet]]="","",Tableau2[[#This Row],[Durée Trajet]]+Tableau2[[#This Row],[RETOUR PARIS PSL]]))</f>
        <v/>
      </c>
      <c r="AE8" s="113" t="str">
        <f>IFERROR(IF(OR(Tableau2[[#This Row],[POSTE  TENU]]="CM PSL",Tableau2[[#This Row],[POSTE  TENU]]="LOC psl",Tableau2[[#This Row],[POSTE  TENU]]="EVO PSL"),(Tableau2[[#This Row],[poste pause comprise]]+Tableau2[[#This Row],[Durée  Retenue]]),""),"")</f>
        <v/>
      </c>
      <c r="AF8" s="113" t="str">
        <f>IF(OR(Tableau2[[#This Row],[POSTE  TENU]]="evo engin",Tableau2[[#This Row],[POSTE  TENU]]="Ma",Tableau2[[#This Row],[POSTE  TENU]]="bc psl",Tableau2[[#This Row],[POSTE  TENU]]="RP",Tableau2[[#This Row],[POSTE  TENU]]="bc",Tableau2[[#This Row],[POSTE  TENU]]="C",Tableau2[[#This Row],[POSTE  TENU]]="CM",Tableau2[[#This Row],[POSTE  TENU]]="LOC",Tableau2[[#This Row],[POSTE  TENU]]="M"),"",IF(Tableau2[[#This Row],[POSTE  TENU]]&lt;&gt;"",Données!O$9,""))</f>
        <v/>
      </c>
      <c r="AG8" s="115" t="str">
        <f>IF(OR(Tableau2[[#This Row],[POSTE  TENU]]="cm psl",Tableau2[[#This Row],[POSTE  TENU]]="loc psl",Tableau2[[#This Row],[POSTE  TENU]]="BC PSL",Tableau2[[#This Row],[POSTE  TENU]]="EVO PSL"),IF(Tableau2[[#This Row],[POSTE EVO PSL]]&gt;Tableau2[[#This Row],[10 H de]],"Non Coupé","Coupé"),IF(OR(Tableau2[[#This Row],[POSTE  TENU]]="CM",Tableau2[[#This Row],[POSTE  TENU]]="loc",Tableau2[[#This Row],[POSTE  TENU]]="M",Tableau2[[#This Row],[POSTE  TENU]]="C",Tableau2[[#This Row],[POSTE  TENU]]="BC"),"",""))</f>
        <v/>
      </c>
      <c r="AH8" s="116" t="str">
        <f>IF(Tableau2[[#This Row],[POSTE  TENU]]&lt;&gt;"evo",IF(Tableau2[[#This Row],[Fin Service Paris]]&lt;&gt;"",Tableau2[[#This Row],[FS Coupure Comprise]]+Tableau2[[#This Row],[RETOUR PARIS PSL]],""),"")</f>
        <v/>
      </c>
      <c r="AI8" s="137" t="str">
        <f>IF(Tableau2[[#This Row],[Durée  Retenue]]="","",Tableau2[[#This Row],[Durée  Retenue]]+Tableau2[[#This Row],[poste pause comprise]])</f>
        <v/>
      </c>
      <c r="AJ8" s="117" t="str">
        <f>IF(Tableau2[[#This Row],[POSTE  TENU]]&lt;&gt;"evo",IF(Tableau2[[#This Row],[Journée Travail Evo]]="","",Tableau2[[#This Row],[FS Coupure Comprise]]+Tableau2[[#This Row],[RETOUR PARIS PSL]]+5/360),"")</f>
        <v/>
      </c>
      <c r="AK8" s="118" t="str">
        <f>IF(Tableau2[[#This Row],[DEBUT REPOS PARIS]]&lt;&gt;"",IF(OR(Tableau2[[#This Row],[POSTE  TENU]]="EVO",Tableau2[[#This Row],[POSTE  TENU]]="evo psl"),IF(OR(Tableau2[[#This Row],[POSTE  TENU]]&lt;&gt;"EVO PSL",Tableau2[[#This Row],[POSTE  TENU]]="evo"),(2.5/24), IF(Tableau2[[#This Row],[POSTE  TENU]]&gt;(2.5/24),2.5/24,TEXT((2.5/24)-#REF!,"[h]:mm"))),IF(OR(Tableau2[[#This Row],[POSTE  TENU]]&lt;&gt;"EVO PSL",Tableau2[[#This Row],[POSTE  TENU]]="evo"),(2.5/24), IF(Tableau2[[#This Row],[POSTE  TENU]]&gt;(2.5/24),2.5/24,TEXT((2.5/24)-#REF!,"[h]:mm")))),"")</f>
        <v/>
      </c>
      <c r="AO8"/>
    </row>
    <row r="9" spans="2:41" ht="18.75" x14ac:dyDescent="0.25">
      <c r="B9" s="80">
        <f>ROW(B9)-5</f>
        <v>4</v>
      </c>
      <c r="C9" s="104">
        <f>_xlfn.ISOWEEKNUM(Tableau2[[#This Row],[DATE]])</f>
        <v>1</v>
      </c>
      <c r="D9" s="132">
        <v>44931</v>
      </c>
      <c r="E9" s="105">
        <f>MONTH(Tableau2[[#This Row],[DATE]])</f>
        <v>1</v>
      </c>
      <c r="F9" s="91">
        <f>YEAR(Tableau2[[#This Row],[DATE]])</f>
        <v>2023</v>
      </c>
      <c r="G9" s="60"/>
      <c r="H9" s="17" t="s">
        <v>39</v>
      </c>
      <c r="I9" s="20" t="str">
        <f>IF(Tableau2[[#This Row],[POSTE  TENU]]="","",Tableau2[[#This Row],[POSTE  TENU]])</f>
        <v>BC</v>
      </c>
      <c r="J9" s="121" t="s">
        <v>59</v>
      </c>
      <c r="K9" s="122" t="s">
        <v>99</v>
      </c>
      <c r="L9" s="134">
        <f>IF(OR(Tableau2[[#This Row],[Poste]]="m",Tableau2[[#This Row],[Poste]]="RP",Tableau2[[#This Row],[Poste]]="c",Tableau2[[#This Row],[Poste]]=""),"",IF(OR(Tableau2[[#This Row],[POSTE  TENU]]="CM PSL",Tableau2[[#This Row],[POSTE  TENU]]="EVO",Tableau2[[#This Row],[POSTE  TENU]]="loc PSL",Tableau2[[#This Row],[POSTE  TENU]]="cm",Tableau2[[#This Row],[POSTE  TENU]]="loc",Tableau2[[#This Row],[POSTE  TENU]]="",Tableau2[[#This Row],[DEBUT PAUSE]]=""),IF(OR(Tableau2[[#This Row],[DEBUT PAUSE]]="",Tableau2[[#This Row],[FIN PAUSE]]="",Tableau2[[#This Row],[POSTE  TENU]]=""),Tableau2[[#This Row],[FS]]-Tableau2[[#This Row],[PS]],((Tableau2[[#This Row],[DEBUT PAUSE]]-Tableau2[[#This Row],[PS]])+(BD!$K9-Tableau2[[#This Row],[FIN PAUSE]]))),IF(OR(Tableau2[[#This Row],[DEBUT PAUSE]]="",Tableau2[[#This Row],[POSTE  TENU]]="cm psl",Tableau2[[#This Row],[POSTE  TENU]]="EVO",Tableau2[[#This Row],[POSTE  TENU]]="loc psl",Tableau2[[#This Row],[POSTE  TENU]]="cm",Tableau2[[#This Row],[POSTE  TENU]]="loc",Tableau2[[#This Row],[POSTE  TENU]]&lt;&gt;""),IF(OR(Tableau2[[#This Row],[DEBUT PAUSE]]="",Tableau2[[#This Row],[FIN PAUSE]]="",Tableau2[[#This Row],[POSTE  TENU]]=""),Tableau2[[#This Row],[FS]]-Tableau2[[#This Row],[PS]],((Tableau2[[#This Row],[DEBUT PAUSE]]-Tableau2[[#This Row],[PS]])+(Tableau2[[#This Row],[FS]]-Tableau2[[#This Row],[FIN PAUSE]]))),"")))</f>
        <v>0.34375000000000006</v>
      </c>
      <c r="M9" s="158">
        <f>IF(Tableau2[[#This Row],[PS]]=0,0,Tableau2[[#This Row],[DATE]]+Tableau2[[#This Row],[PS]])</f>
        <v>44931.333333333336</v>
      </c>
      <c r="N9" s="160">
        <f>IF(Tableau2[[#This Row],[FS]]=0,0,Tableau2[[#This Row],[Mois]]+Tableau2[[#This Row],[FS]])</f>
        <v>1.6979166666666665</v>
      </c>
      <c r="O9" s="156" t="s">
        <v>100</v>
      </c>
      <c r="P9" s="159" t="s">
        <v>60</v>
      </c>
      <c r="Q9" s="97">
        <f>IF(Tableau2[[#This Row],[POSTE  TENU]]&lt;&gt;"rp",IFERROR(IF(Tableau2[[#This Row],[FS Coupure Comprise]]=0,0,(Tableau2[[#This Row],[DATE]]+Tableau2[[#This Row],[FS Coupure Comprise]])+Tableau2[[#This Row],[RETOUR PARIS PSL]]),""),"")</f>
        <v>44931.697916666664</v>
      </c>
      <c r="R9" s="170"/>
      <c r="S9" s="171" t="s">
        <v>61</v>
      </c>
      <c r="T9" s="109" t="s">
        <v>101</v>
      </c>
      <c r="U9" s="164">
        <f>IFERROR(IF(MOD(Tableau2[[#This Row],[FS PARIS  Engin Coupure Comprise]],1)=0,0,Tableau2[[#This Row],[PS Engin]]-MAX(Q$5:Q8)),"")</f>
        <v>0.65555555556056788</v>
      </c>
      <c r="V9" s="119">
        <f>IF(Tableau2[[#This Row],[DEBUT PAUSE]]&lt;&gt;"",MOD(Tableau2[[#This Row],[FIN PAUSE]]-Tableau2[[#This Row],[DEBUT PAUSE]],1),"")</f>
        <v>2.0833333333333259E-2</v>
      </c>
      <c r="W9" s="62">
        <f>IFERROR(Tableau2[[#This Row],[FS Coupure Comprise]]-Tableau2[[#This Row],[FS]]+Tableau2[[#This Row],[Temps de poste]],"")</f>
        <v>0.34375000000000006</v>
      </c>
      <c r="X9" s="72" t="str">
        <f>IFERROR(IF(OR(Tableau2[[#This Row],[POSTE  TENU]]="EVO PSL",Tableau2[[#This Row],[POSTE  TENU]]="CM",,Tableau2[[#This Row],[POSTE  TENU]]="evo",Tableau2[[#This Row],[POSTE  TENU]]="LOC",Tableau2[[#This Row],[POSTE  TENU]]="LOC PSL",Tableau2[[#This Row],[POSTE  TENU]]="CM PSL"),IF(Tableau2[[#This Row],[poste pause comprise]]&gt;(7.75/24),Tableau2[[#This Row],[poste pause comprise]]-(7.75/24),TEXT((7.75/24)-Tableau2[[#This Row],[poste pause comprise]],"-[h]:mm")),""),"")</f>
        <v/>
      </c>
      <c r="Y9" s="94" t="str">
        <f>IF(Tableau2[[#This Row],[Temps de poste]]&lt;&gt;"",IFERROR(IF(IF(Tableau2[[#This Row],[DEBUT PAUSE]]="",IF(Tableau2[[#This Row],[DEBUT PAUSE]]="",Tableau2[[#This Row],[Temps de poste]],Tableau2[[#This Row],[FS]])),IF(Tableau2[[#This Row],[FS]]=Tableau2[[#This Row],[FS]],Tableau2[[#This Row],[FS]]+(5/360)),IF(Tableau2[[#This Row],[DEBUT PAUSE]]=Tableau2[[#This Row],[DEBUT PAUSE]],Tableau2[[#This Row],[FS]],Tableau2[[#This Row],[FS]])),""),"")</f>
        <v>16:45</v>
      </c>
      <c r="Z9" s="19" t="str">
        <f>IF(OR(Tableau2[[#This Row],[POSTE  TENU]]="cm psl",Tableau2[[#This Row],[POSTE  TENU]]="loc PSL",Tableau2[[#This Row],[POSTE  TENU]]="EVO PSL",Tableau2[[#This Row],[POSTE  TENU]]="CM PSL"),IF(AND(OR(Tableau2[[#This Row],[POSTE  TENU]]&lt;&gt;"cm psl",Tableau2[[#This Row],[POSTE  TENU]]&lt;&gt;"loc PSL"),Tableau2[[#This Row],[poste pause comprise]]&lt;(10/24)),(10/24)-Tableau2[[#This Row],[poste pause comprise]],Tableau2[[#This Row],[poste pause comprise]]),"")</f>
        <v/>
      </c>
      <c r="AA9" s="61" t="str">
        <f>IF(BD!$R9="","",(BD!$S9-BD!$R9))</f>
        <v/>
      </c>
      <c r="AB9" s="61" t="str">
        <f>IF(Tableau2[[#This Row],[ EVO DEPART]]="","",(Tableau2[[#This Row],[EVO ARRIVEE]]-Tableau2[[#This Row],[ EVO DEPART]])/2)</f>
        <v/>
      </c>
      <c r="AC9" s="18">
        <f>IF(OR(Tableau2[[#This Row],[Poste]]="main",Tableau2[[#This Row],[Poste]]="NP",Tableau2[[#This Row],[Poste]]="",Tableau2[[#This Row],[Poste]]="bc",Tableau2[[#This Row],[Poste]]="m",Tableau2[[#This Row],[Poste]]="RP",Tableau2[[#This Row],[Poste]]="c",Tableau2[[#This Row],[Poste]]="cm",Tableau2[[#This Row],[Poste]]="loc",Tableau2[[#This Row],[Poste]]="bc"),0,Données!$O$11)</f>
        <v>0</v>
      </c>
      <c r="AD9" s="18" t="str">
        <f>IF(Tableau2[[#This Row],[Temps Restant PSL]]="","",IF(Tableau2[[#This Row],[Durée Trajet]]="","",Tableau2[[#This Row],[Durée Trajet]]+Tableau2[[#This Row],[RETOUR PARIS PSL]]))</f>
        <v/>
      </c>
      <c r="AE9" s="113" t="str">
        <f>IFERROR(IF(OR(Tableau2[[#This Row],[POSTE  TENU]]="CM PSL",Tableau2[[#This Row],[POSTE  TENU]]="LOC psl",Tableau2[[#This Row],[POSTE  TENU]]="EVO PSL"),(Tableau2[[#This Row],[poste pause comprise]]+Tableau2[[#This Row],[Durée  Retenue]]),""),"")</f>
        <v/>
      </c>
      <c r="AF9" s="113" t="str">
        <f>IF(OR(Tableau2[[#This Row],[POSTE  TENU]]="evo engin",Tableau2[[#This Row],[POSTE  TENU]]="Ma",Tableau2[[#This Row],[POSTE  TENU]]="bc psl",Tableau2[[#This Row],[POSTE  TENU]]="RP",Tableau2[[#This Row],[POSTE  TENU]]="bc",Tableau2[[#This Row],[POSTE  TENU]]="C",Tableau2[[#This Row],[POSTE  TENU]]="CM",Tableau2[[#This Row],[POSTE  TENU]]="LOC",Tableau2[[#This Row],[POSTE  TENU]]="M"),"",IF(Tableau2[[#This Row],[POSTE  TENU]]&lt;&gt;"",Données!O$9,""))</f>
        <v/>
      </c>
      <c r="AG9" s="115" t="str">
        <f>IF(OR(Tableau2[[#This Row],[POSTE  TENU]]="cm psl",Tableau2[[#This Row],[POSTE  TENU]]="loc psl",Tableau2[[#This Row],[POSTE  TENU]]="BC PSL",Tableau2[[#This Row],[POSTE  TENU]]="EVO PSL"),IF(Tableau2[[#This Row],[POSTE EVO PSL]]&gt;Tableau2[[#This Row],[10 H de]],"Non Coupé","Coupé"),IF(OR(Tableau2[[#This Row],[POSTE  TENU]]="CM",Tableau2[[#This Row],[POSTE  TENU]]="loc",Tableau2[[#This Row],[POSTE  TENU]]="M",Tableau2[[#This Row],[POSTE  TENU]]="C",Tableau2[[#This Row],[POSTE  TENU]]="BC"),"",""))</f>
        <v/>
      </c>
      <c r="AH9" s="116" t="str">
        <f>IF(Tableau2[[#This Row],[POSTE  TENU]]&lt;&gt;"evo",IF(Tableau2[[#This Row],[Fin Service Paris]]&lt;&gt;"",Tableau2[[#This Row],[FS Coupure Comprise]]+Tableau2[[#This Row],[RETOUR PARIS PSL]],""),"")</f>
        <v/>
      </c>
      <c r="AI9" s="137" t="str">
        <f>IF(Tableau2[[#This Row],[Durée  Retenue]]="","",Tableau2[[#This Row],[Durée  Retenue]]+Tableau2[[#This Row],[poste pause comprise]])</f>
        <v/>
      </c>
      <c r="AJ9" s="117" t="str">
        <f>IF(Tableau2[[#This Row],[POSTE  TENU]]&lt;&gt;"evo",IF(Tableau2[[#This Row],[Journée Travail Evo]]="","",Tableau2[[#This Row],[FS Coupure Comprise]]+Tableau2[[#This Row],[RETOUR PARIS PSL]]+5/360),"")</f>
        <v/>
      </c>
      <c r="AK9" s="118" t="str">
        <f>IF(Tableau2[[#This Row],[DEBUT REPOS PARIS]]&lt;&gt;"",IF(OR(Tableau2[[#This Row],[POSTE  TENU]]="EVO",Tableau2[[#This Row],[POSTE  TENU]]="evo psl"),IF(OR(Tableau2[[#This Row],[POSTE  TENU]]&lt;&gt;"EVO PSL",Tableau2[[#This Row],[POSTE  TENU]]="evo"),(2.5/24), IF(Tableau2[[#This Row],[POSTE  TENU]]&gt;(2.5/24),2.5/24,TEXT((2.5/24)-#REF!,"[h]:mm"))),IF(OR(Tableau2[[#This Row],[POSTE  TENU]]&lt;&gt;"EVO PSL",Tableau2[[#This Row],[POSTE  TENU]]="evo"),(2.5/24), IF(Tableau2[[#This Row],[POSTE  TENU]]&gt;(2.5/24),2.5/24,TEXT((2.5/24)-#REF!,"[h]:mm")))),"")</f>
        <v/>
      </c>
      <c r="AM9" s="101" t="str">
        <f>IF(AND(OR(Tableau2[[#This Row],[POSTE  TENU]]&lt;&gt;"cm psl",Tableau2[[#This Row],[POSTE  TENU]]&lt;&gt;"loc psl",Tableau2[[#This Row],[POSTE  TENU]]&lt;&gt;"BC PSL",Tableau2[[#This Row],[POSTE  TENU]]&lt;&gt;"EVO PSL"),Tableau2[[#This Row],[POSTE EVO PSL]]&gt;Tableau2[[#This Row],[10 H de]]),"non coupe","Coupé")</f>
        <v>Coupé</v>
      </c>
      <c r="AO9"/>
    </row>
    <row r="10" spans="2:41" ht="18.75" x14ac:dyDescent="0.25">
      <c r="B10" s="80">
        <f>ROW(B10)-5</f>
        <v>5</v>
      </c>
      <c r="C10" s="104">
        <f>_xlfn.ISOWEEKNUM(Tableau2[[#This Row],[DATE]])</f>
        <v>1</v>
      </c>
      <c r="D10" s="132">
        <v>44932</v>
      </c>
      <c r="E10" s="105">
        <f>MONTH(Tableau2[[#This Row],[DATE]])</f>
        <v>1</v>
      </c>
      <c r="F10" s="91">
        <f>YEAR(Tableau2[[#This Row],[DATE]])</f>
        <v>2023</v>
      </c>
      <c r="G10" s="60"/>
      <c r="H10" s="17" t="s">
        <v>39</v>
      </c>
      <c r="I10" s="20" t="str">
        <f>IF(Tableau2[[#This Row],[POSTE  TENU]]="","",Tableau2[[#This Row],[POSTE  TENU]])</f>
        <v>BC</v>
      </c>
      <c r="J10" s="121" t="s">
        <v>59</v>
      </c>
      <c r="K10" s="122" t="s">
        <v>99</v>
      </c>
      <c r="L10" s="134">
        <f>IF(OR(Tableau2[[#This Row],[Poste]]="m",Tableau2[[#This Row],[Poste]]="RP",Tableau2[[#This Row],[Poste]]="c",Tableau2[[#This Row],[Poste]]=""),"",IF(OR(Tableau2[[#This Row],[POSTE  TENU]]="CM PSL",Tableau2[[#This Row],[POSTE  TENU]]="EVO",Tableau2[[#This Row],[POSTE  TENU]]="loc PSL",Tableau2[[#This Row],[POSTE  TENU]]="cm",Tableau2[[#This Row],[POSTE  TENU]]="loc",Tableau2[[#This Row],[POSTE  TENU]]="",Tableau2[[#This Row],[DEBUT PAUSE]]=""),IF(OR(Tableau2[[#This Row],[DEBUT PAUSE]]="",Tableau2[[#This Row],[FIN PAUSE]]="",Tableau2[[#This Row],[POSTE  TENU]]=""),Tableau2[[#This Row],[FS]]-Tableau2[[#This Row],[PS]],((Tableau2[[#This Row],[DEBUT PAUSE]]-Tableau2[[#This Row],[PS]])+(BD!$K10-Tableau2[[#This Row],[FIN PAUSE]]))),IF(OR(Tableau2[[#This Row],[DEBUT PAUSE]]="",Tableau2[[#This Row],[POSTE  TENU]]="cm psl",Tableau2[[#This Row],[POSTE  TENU]]="EVO",Tableau2[[#This Row],[POSTE  TENU]]="loc psl",Tableau2[[#This Row],[POSTE  TENU]]="cm",Tableau2[[#This Row],[POSTE  TENU]]="loc",Tableau2[[#This Row],[POSTE  TENU]]&lt;&gt;""),IF(OR(Tableau2[[#This Row],[DEBUT PAUSE]]="",Tableau2[[#This Row],[FIN PAUSE]]="",Tableau2[[#This Row],[POSTE  TENU]]=""),Tableau2[[#This Row],[FS]]-Tableau2[[#This Row],[PS]],((Tableau2[[#This Row],[DEBUT PAUSE]]-Tableau2[[#This Row],[PS]])+(Tableau2[[#This Row],[FS]]-Tableau2[[#This Row],[FIN PAUSE]]))),"")))</f>
        <v>0.32291666666666669</v>
      </c>
      <c r="M10" s="158">
        <f>IF(Tableau2[[#This Row],[PS]]=0,0,Tableau2[[#This Row],[DATE]]+Tableau2[[#This Row],[PS]])</f>
        <v>44932.333333333336</v>
      </c>
      <c r="N10" s="160">
        <f>IF(Tableau2[[#This Row],[FS]]=0,0,Tableau2[[#This Row],[Mois]]+Tableau2[[#This Row],[FS]])</f>
        <v>1.6979166666666665</v>
      </c>
      <c r="O10" s="156" t="s">
        <v>84</v>
      </c>
      <c r="P10" s="159" t="s">
        <v>60</v>
      </c>
      <c r="Q10" s="97">
        <f>IF(Tableau2[[#This Row],[POSTE  TENU]]&lt;&gt;"rp",IFERROR(IF(Tableau2[[#This Row],[FS Coupure Comprise]]=0,0,(Tableau2[[#This Row],[DATE]]+Tableau2[[#This Row],[FS Coupure Comprise]])+Tableau2[[#This Row],[RETOUR PARIS PSL]]),""),"")</f>
        <v>44932.697916666664</v>
      </c>
      <c r="R10" s="170" t="s">
        <v>61</v>
      </c>
      <c r="S10" s="171" t="s">
        <v>61</v>
      </c>
      <c r="T10" s="109" t="s">
        <v>76</v>
      </c>
      <c r="U10" s="164">
        <f>IFERROR(IF(MOD(Tableau2[[#This Row],[FS PARIS  Engin Coupure Comprise]],1)=0,0,Tableau2[[#This Row],[PS Engin]]-MAX(Q$5:Q9)),"")</f>
        <v>0.63541666667151731</v>
      </c>
      <c r="V10" s="119">
        <f>IF(Tableau2[[#This Row],[DEBUT PAUSE]]&lt;&gt;"",MOD(Tableau2[[#This Row],[FIN PAUSE]]-Tableau2[[#This Row],[DEBUT PAUSE]],1),"")</f>
        <v>4.166666666666663E-2</v>
      </c>
      <c r="W10" s="62">
        <f>IFERROR(Tableau2[[#This Row],[FS Coupure Comprise]]-Tableau2[[#This Row],[FS]]+Tableau2[[#This Row],[Temps de poste]],"")</f>
        <v>0.32291666666666669</v>
      </c>
      <c r="X10" s="72" t="str">
        <f>IFERROR(IF(OR(Tableau2[[#This Row],[POSTE  TENU]]="EVO PSL",Tableau2[[#This Row],[POSTE  TENU]]="CM",,Tableau2[[#This Row],[POSTE  TENU]]="evo",Tableau2[[#This Row],[POSTE  TENU]]="LOC",Tableau2[[#This Row],[POSTE  TENU]]="LOC PSL",Tableau2[[#This Row],[POSTE  TENU]]="CM PSL"),IF(Tableau2[[#This Row],[poste pause comprise]]&gt;(7.75/24),Tableau2[[#This Row],[poste pause comprise]]-(7.75/24),TEXT((7.75/24)-Tableau2[[#This Row],[poste pause comprise]],"-[h]:mm")),""),"")</f>
        <v/>
      </c>
      <c r="Y10" s="94" t="str">
        <f>IF(Tableau2[[#This Row],[Temps de poste]]&lt;&gt;"",IFERROR(IF(IF(Tableau2[[#This Row],[DEBUT PAUSE]]="",IF(Tableau2[[#This Row],[DEBUT PAUSE]]="",Tableau2[[#This Row],[Temps de poste]],Tableau2[[#This Row],[FS]])),IF(Tableau2[[#This Row],[FS]]=Tableau2[[#This Row],[FS]],Tableau2[[#This Row],[FS]]+(5/360)),IF(Tableau2[[#This Row],[DEBUT PAUSE]]=Tableau2[[#This Row],[DEBUT PAUSE]],Tableau2[[#This Row],[FS]],Tableau2[[#This Row],[FS]])),""),"")</f>
        <v>16:45</v>
      </c>
      <c r="Z10" s="19" t="str">
        <f>IF(OR(Tableau2[[#This Row],[POSTE  TENU]]="cm psl",Tableau2[[#This Row],[POSTE  TENU]]="loc PSL",Tableau2[[#This Row],[POSTE  TENU]]="EVO PSL",Tableau2[[#This Row],[POSTE  TENU]]="CM PSL"),IF(AND(OR(Tableau2[[#This Row],[POSTE  TENU]]&lt;&gt;"cm psl",Tableau2[[#This Row],[POSTE  TENU]]&lt;&gt;"loc PSL"),Tableau2[[#This Row],[poste pause comprise]]&lt;(10/24)),(10/24)-Tableau2[[#This Row],[poste pause comprise]],Tableau2[[#This Row],[poste pause comprise]]),"")</f>
        <v/>
      </c>
      <c r="AA10" s="61" t="str">
        <f>IF(BD!$R10="","",(BD!$S10-BD!$R10))</f>
        <v/>
      </c>
      <c r="AB10" s="61" t="str">
        <f>IF(Tableau2[[#This Row],[ EVO DEPART]]="","",(Tableau2[[#This Row],[EVO ARRIVEE]]-Tableau2[[#This Row],[ EVO DEPART]])/2)</f>
        <v/>
      </c>
      <c r="AC10" s="18">
        <f>IF(OR(Tableau2[[#This Row],[Poste]]="main",Tableau2[[#This Row],[Poste]]="NP",Tableau2[[#This Row],[Poste]]="",Tableau2[[#This Row],[Poste]]="bc",Tableau2[[#This Row],[Poste]]="m",Tableau2[[#This Row],[Poste]]="RP",Tableau2[[#This Row],[Poste]]="c",Tableau2[[#This Row],[Poste]]="cm",Tableau2[[#This Row],[Poste]]="loc",Tableau2[[#This Row],[Poste]]="bc"),0,Données!$O$11)</f>
        <v>0</v>
      </c>
      <c r="AD10" s="18" t="str">
        <f>IF(Tableau2[[#This Row],[Temps Restant PSL]]="","",IF(Tableau2[[#This Row],[Durée Trajet]]="","",Tableau2[[#This Row],[Durée Trajet]]+Tableau2[[#This Row],[RETOUR PARIS PSL]]))</f>
        <v/>
      </c>
      <c r="AE10" s="113" t="str">
        <f>IFERROR(IF(OR(Tableau2[[#This Row],[POSTE  TENU]]="CM PSL",Tableau2[[#This Row],[POSTE  TENU]]="LOC psl",Tableau2[[#This Row],[POSTE  TENU]]="EVO PSL"),(Tableau2[[#This Row],[poste pause comprise]]+Tableau2[[#This Row],[Durée  Retenue]]),""),"")</f>
        <v/>
      </c>
      <c r="AF10" s="113" t="str">
        <f>IF(OR(Tableau2[[#This Row],[POSTE  TENU]]="evo engin",Tableau2[[#This Row],[POSTE  TENU]]="Ma",Tableau2[[#This Row],[POSTE  TENU]]="bc psl",Tableau2[[#This Row],[POSTE  TENU]]="RP",Tableau2[[#This Row],[POSTE  TENU]]="bc",Tableau2[[#This Row],[POSTE  TENU]]="C",Tableau2[[#This Row],[POSTE  TENU]]="CM",Tableau2[[#This Row],[POSTE  TENU]]="LOC",Tableau2[[#This Row],[POSTE  TENU]]="M"),"",IF(Tableau2[[#This Row],[POSTE  TENU]]&lt;&gt;"",Données!O$9,""))</f>
        <v/>
      </c>
      <c r="AG10" s="115" t="str">
        <f>IF(OR(Tableau2[[#This Row],[POSTE  TENU]]="cm psl",Tableau2[[#This Row],[POSTE  TENU]]="loc psl",Tableau2[[#This Row],[POSTE  TENU]]="BC PSL",Tableau2[[#This Row],[POSTE  TENU]]="EVO PSL"),IF(Tableau2[[#This Row],[POSTE EVO PSL]]&gt;Tableau2[[#This Row],[10 H de]],"Non Coupé","Coupé"),IF(OR(Tableau2[[#This Row],[POSTE  TENU]]="CM",Tableau2[[#This Row],[POSTE  TENU]]="loc",Tableau2[[#This Row],[POSTE  TENU]]="M",Tableau2[[#This Row],[POSTE  TENU]]="C",Tableau2[[#This Row],[POSTE  TENU]]="BC"),"",""))</f>
        <v/>
      </c>
      <c r="AH10" s="116" t="str">
        <f>IF(Tableau2[[#This Row],[POSTE  TENU]]&lt;&gt;"evo",IF(Tableau2[[#This Row],[Fin Service Paris]]&lt;&gt;"",Tableau2[[#This Row],[FS Coupure Comprise]]+Tableau2[[#This Row],[RETOUR PARIS PSL]],""),"")</f>
        <v/>
      </c>
      <c r="AI10" s="137" t="str">
        <f>IF(Tableau2[[#This Row],[Durée  Retenue]]="","",Tableau2[[#This Row],[Durée  Retenue]]+Tableau2[[#This Row],[poste pause comprise]])</f>
        <v/>
      </c>
      <c r="AJ10" s="117" t="str">
        <f>IF(Tableau2[[#This Row],[POSTE  TENU]]&lt;&gt;"evo",IF(Tableau2[[#This Row],[Journée Travail Evo]]="","",Tableau2[[#This Row],[FS Coupure Comprise]]+Tableau2[[#This Row],[RETOUR PARIS PSL]]+5/360),"")</f>
        <v/>
      </c>
      <c r="AK10" s="118" t="str">
        <f>IF(Tableau2[[#This Row],[DEBUT REPOS PARIS]]&lt;&gt;"",IF(OR(Tableau2[[#This Row],[POSTE  TENU]]="EVO",Tableau2[[#This Row],[POSTE  TENU]]="evo psl"),IF(OR(Tableau2[[#This Row],[POSTE  TENU]]&lt;&gt;"EVO PSL",Tableau2[[#This Row],[POSTE  TENU]]="evo"),(2.5/24), IF(Tableau2[[#This Row],[POSTE  TENU]]&gt;(2.5/24),2.5/24,TEXT((2.5/24)-#REF!,"[h]:mm"))),IF(OR(Tableau2[[#This Row],[POSTE  TENU]]&lt;&gt;"EVO PSL",Tableau2[[#This Row],[POSTE  TENU]]="evo"),(2.5/24), IF(Tableau2[[#This Row],[POSTE  TENU]]&gt;(2.5/24),2.5/24,TEXT((2.5/24)-#REF!,"[h]:mm")))),"")</f>
        <v/>
      </c>
      <c r="AL10" s="71"/>
      <c r="AO10"/>
    </row>
    <row r="11" spans="2:41" ht="18.75" x14ac:dyDescent="0.25">
      <c r="B11" s="80">
        <f>ROW(B11)-5</f>
        <v>6</v>
      </c>
      <c r="C11" s="104">
        <f>_xlfn.ISOWEEKNUM(Tableau2[[#This Row],[DATE]])</f>
        <v>1</v>
      </c>
      <c r="D11" s="132">
        <v>44933</v>
      </c>
      <c r="E11" s="105">
        <f>MONTH(Tableau2[[#This Row],[DATE]])</f>
        <v>1</v>
      </c>
      <c r="F11" s="91">
        <f>YEAR(Tableau2[[#This Row],[DATE]])</f>
        <v>2023</v>
      </c>
      <c r="G11" s="60"/>
      <c r="H11" s="17" t="s">
        <v>39</v>
      </c>
      <c r="I11" s="20" t="str">
        <f>IF(Tableau2[[#This Row],[POSTE  TENU]]="","",Tableau2[[#This Row],[POSTE  TENU]])</f>
        <v>BC</v>
      </c>
      <c r="J11" s="121" t="s">
        <v>59</v>
      </c>
      <c r="K11" s="122" t="s">
        <v>99</v>
      </c>
      <c r="L11" s="134">
        <f>IF(OR(Tableau2[[#This Row],[Poste]]="m",Tableau2[[#This Row],[Poste]]="RP",Tableau2[[#This Row],[Poste]]="c",Tableau2[[#This Row],[Poste]]=""),"",IF(OR(Tableau2[[#This Row],[POSTE  TENU]]="CM PSL",Tableau2[[#This Row],[POSTE  TENU]]="EVO",Tableau2[[#This Row],[POSTE  TENU]]="loc PSL",Tableau2[[#This Row],[POSTE  TENU]]="cm",Tableau2[[#This Row],[POSTE  TENU]]="loc",Tableau2[[#This Row],[POSTE  TENU]]="",Tableau2[[#This Row],[DEBUT PAUSE]]=""),IF(OR(Tableau2[[#This Row],[DEBUT PAUSE]]="",Tableau2[[#This Row],[FIN PAUSE]]="",Tableau2[[#This Row],[POSTE  TENU]]=""),Tableau2[[#This Row],[FS]]-Tableau2[[#This Row],[PS]],((Tableau2[[#This Row],[DEBUT PAUSE]]-Tableau2[[#This Row],[PS]])+(BD!$K11-Tableau2[[#This Row],[FIN PAUSE]]))),IF(OR(Tableau2[[#This Row],[DEBUT PAUSE]]="",Tableau2[[#This Row],[POSTE  TENU]]="cm psl",Tableau2[[#This Row],[POSTE  TENU]]="EVO",Tableau2[[#This Row],[POSTE  TENU]]="loc psl",Tableau2[[#This Row],[POSTE  TENU]]="cm",Tableau2[[#This Row],[POSTE  TENU]]="loc",Tableau2[[#This Row],[POSTE  TENU]]&lt;&gt;""),IF(OR(Tableau2[[#This Row],[DEBUT PAUSE]]="",Tableau2[[#This Row],[FIN PAUSE]]="",Tableau2[[#This Row],[POSTE  TENU]]=""),Tableau2[[#This Row],[FS]]-Tableau2[[#This Row],[PS]],((Tableau2[[#This Row],[DEBUT PAUSE]]-Tableau2[[#This Row],[PS]])+(Tableau2[[#This Row],[FS]]-Tableau2[[#This Row],[FIN PAUSE]]))),"")))</f>
        <v>0.32291666666666669</v>
      </c>
      <c r="M11" s="158">
        <f>IF(Tableau2[[#This Row],[PS]]=0,0,Tableau2[[#This Row],[DATE]]+Tableau2[[#This Row],[PS]])</f>
        <v>44933.333333333336</v>
      </c>
      <c r="N11" s="160">
        <f>IF(Tableau2[[#This Row],[FS]]=0,0,Tableau2[[#This Row],[Mois]]+Tableau2[[#This Row],[FS]])</f>
        <v>1.6979166666666665</v>
      </c>
      <c r="O11" s="156" t="s">
        <v>84</v>
      </c>
      <c r="P11" s="159" t="s">
        <v>60</v>
      </c>
      <c r="Q11" s="97">
        <f>IF(Tableau2[[#This Row],[POSTE  TENU]]&lt;&gt;"rp",IFERROR(IF(Tableau2[[#This Row],[FS Coupure Comprise]]=0,0,(Tableau2[[#This Row],[DATE]]+Tableau2[[#This Row],[FS Coupure Comprise]])+Tableau2[[#This Row],[RETOUR PARIS PSL]]),""),"")</f>
        <v>44933.697916666664</v>
      </c>
      <c r="R11" s="170" t="s">
        <v>61</v>
      </c>
      <c r="S11" s="171" t="s">
        <v>61</v>
      </c>
      <c r="T11" s="109" t="s">
        <v>97</v>
      </c>
      <c r="U11" s="164">
        <f>IFERROR(IF(MOD(Tableau2[[#This Row],[FS PARIS  Engin Coupure Comprise]],1)=0,0,Tableau2[[#This Row],[PS Engin]]-MAX(Q$5:Q10)),"")</f>
        <v>0.63541666667151731</v>
      </c>
      <c r="V11" s="119">
        <f>IF(Tableau2[[#This Row],[DEBUT PAUSE]]&lt;&gt;"",MOD(Tableau2[[#This Row],[FIN PAUSE]]-Tableau2[[#This Row],[DEBUT PAUSE]],1),"")</f>
        <v>4.166666666666663E-2</v>
      </c>
      <c r="W11" s="62">
        <f>IFERROR(Tableau2[[#This Row],[FS Coupure Comprise]]-Tableau2[[#This Row],[FS]]+Tableau2[[#This Row],[Temps de poste]],"")</f>
        <v>0.32291666666666669</v>
      </c>
      <c r="X11" s="72" t="str">
        <f>IFERROR(IF(OR(Tableau2[[#This Row],[POSTE  TENU]]="EVO PSL",Tableau2[[#This Row],[POSTE  TENU]]="CM",,Tableau2[[#This Row],[POSTE  TENU]]="evo",Tableau2[[#This Row],[POSTE  TENU]]="LOC",Tableau2[[#This Row],[POSTE  TENU]]="LOC PSL",Tableau2[[#This Row],[POSTE  TENU]]="CM PSL"),IF(Tableau2[[#This Row],[poste pause comprise]]&gt;(7.75/24),Tableau2[[#This Row],[poste pause comprise]]-(7.75/24),TEXT((7.75/24)-Tableau2[[#This Row],[poste pause comprise]],"-[h]:mm")),""),"")</f>
        <v/>
      </c>
      <c r="Y11" s="94" t="str">
        <f>IF(Tableau2[[#This Row],[Temps de poste]]&lt;&gt;"",IFERROR(IF(IF(Tableau2[[#This Row],[DEBUT PAUSE]]="",IF(Tableau2[[#This Row],[DEBUT PAUSE]]="",Tableau2[[#This Row],[Temps de poste]],Tableau2[[#This Row],[FS]])),IF(Tableau2[[#This Row],[FS]]=Tableau2[[#This Row],[FS]],Tableau2[[#This Row],[FS]]+(5/360)),IF(Tableau2[[#This Row],[DEBUT PAUSE]]=Tableau2[[#This Row],[DEBUT PAUSE]],Tableau2[[#This Row],[FS]],Tableau2[[#This Row],[FS]])),""),"")</f>
        <v>16:45</v>
      </c>
      <c r="Z11" s="19" t="str">
        <f>IF(OR(Tableau2[[#This Row],[POSTE  TENU]]="cm psl",Tableau2[[#This Row],[POSTE  TENU]]="loc PSL",Tableau2[[#This Row],[POSTE  TENU]]="EVO PSL",Tableau2[[#This Row],[POSTE  TENU]]="CM PSL"),IF(AND(OR(Tableau2[[#This Row],[POSTE  TENU]]&lt;&gt;"cm psl",Tableau2[[#This Row],[POSTE  TENU]]&lt;&gt;"loc PSL"),Tableau2[[#This Row],[poste pause comprise]]&lt;(10/24)),(10/24)-Tableau2[[#This Row],[poste pause comprise]],Tableau2[[#This Row],[poste pause comprise]]),"")</f>
        <v/>
      </c>
      <c r="AA11" s="61" t="str">
        <f>IF(BD!$R11="","",(BD!$S11-BD!$R11))</f>
        <v/>
      </c>
      <c r="AB11" s="61" t="str">
        <f>IF(Tableau2[[#This Row],[ EVO DEPART]]="","",(Tableau2[[#This Row],[EVO ARRIVEE]]-Tableau2[[#This Row],[ EVO DEPART]])/2)</f>
        <v/>
      </c>
      <c r="AC11" s="18">
        <f>IF(OR(Tableau2[[#This Row],[Poste]]="main",Tableau2[[#This Row],[Poste]]="NP",Tableau2[[#This Row],[Poste]]="",Tableau2[[#This Row],[Poste]]="bc",Tableau2[[#This Row],[Poste]]="m",Tableau2[[#This Row],[Poste]]="RP",Tableau2[[#This Row],[Poste]]="c",Tableau2[[#This Row],[Poste]]="cm",Tableau2[[#This Row],[Poste]]="loc",Tableau2[[#This Row],[Poste]]="bc"),0,Données!$O$11)</f>
        <v>0</v>
      </c>
      <c r="AD11" s="18" t="str">
        <f>IF(Tableau2[[#This Row],[Temps Restant PSL]]="","",IF(Tableau2[[#This Row],[Durée Trajet]]="","",Tableau2[[#This Row],[Durée Trajet]]+Tableau2[[#This Row],[RETOUR PARIS PSL]]))</f>
        <v/>
      </c>
      <c r="AE11" s="113" t="str">
        <f>IFERROR(IF(OR(Tableau2[[#This Row],[POSTE  TENU]]="CM PSL",Tableau2[[#This Row],[POSTE  TENU]]="LOC psl",Tableau2[[#This Row],[POSTE  TENU]]="EVO PSL"),(Tableau2[[#This Row],[poste pause comprise]]+Tableau2[[#This Row],[Durée  Retenue]]),""),"")</f>
        <v/>
      </c>
      <c r="AF11" s="113" t="str">
        <f>IF(OR(Tableau2[[#This Row],[POSTE  TENU]]="evo engin",Tableau2[[#This Row],[POSTE  TENU]]="Ma",Tableau2[[#This Row],[POSTE  TENU]]="bc psl",Tableau2[[#This Row],[POSTE  TENU]]="RP",Tableau2[[#This Row],[POSTE  TENU]]="bc",Tableau2[[#This Row],[POSTE  TENU]]="C",Tableau2[[#This Row],[POSTE  TENU]]="CM",Tableau2[[#This Row],[POSTE  TENU]]="LOC",Tableau2[[#This Row],[POSTE  TENU]]="M"),"",IF(Tableau2[[#This Row],[POSTE  TENU]]&lt;&gt;"",Données!O$9,""))</f>
        <v/>
      </c>
      <c r="AG11" s="115" t="str">
        <f>IF(OR(Tableau2[[#This Row],[POSTE  TENU]]="cm psl",Tableau2[[#This Row],[POSTE  TENU]]="loc psl",Tableau2[[#This Row],[POSTE  TENU]]="BC PSL",Tableau2[[#This Row],[POSTE  TENU]]="EVO PSL"),IF(Tableau2[[#This Row],[POSTE EVO PSL]]&gt;Tableau2[[#This Row],[10 H de]],"Non Coupé","Coupé"),IF(OR(Tableau2[[#This Row],[POSTE  TENU]]="CM",Tableau2[[#This Row],[POSTE  TENU]]="loc",Tableau2[[#This Row],[POSTE  TENU]]="M",Tableau2[[#This Row],[POSTE  TENU]]="C",Tableau2[[#This Row],[POSTE  TENU]]="BC"),"",""))</f>
        <v/>
      </c>
      <c r="AH11" s="116" t="str">
        <f>IF(Tableau2[[#This Row],[POSTE  TENU]]&lt;&gt;"evo",IF(Tableau2[[#This Row],[Fin Service Paris]]&lt;&gt;"",Tableau2[[#This Row],[FS Coupure Comprise]]+Tableau2[[#This Row],[RETOUR PARIS PSL]],""),"")</f>
        <v/>
      </c>
      <c r="AI11" s="137" t="str">
        <f>IF(Tableau2[[#This Row],[Durée  Retenue]]="","",Tableau2[[#This Row],[Durée  Retenue]]+Tableau2[[#This Row],[poste pause comprise]])</f>
        <v/>
      </c>
      <c r="AJ11" s="117" t="str">
        <f>IF(Tableau2[[#This Row],[POSTE  TENU]]&lt;&gt;"evo",IF(Tableau2[[#This Row],[Journée Travail Evo]]="","",Tableau2[[#This Row],[FS Coupure Comprise]]+Tableau2[[#This Row],[RETOUR PARIS PSL]]+5/360),"")</f>
        <v/>
      </c>
      <c r="AK11" s="118" t="str">
        <f>IF(Tableau2[[#This Row],[DEBUT REPOS PARIS]]&lt;&gt;"",IF(OR(Tableau2[[#This Row],[POSTE  TENU]]="EVO",Tableau2[[#This Row],[POSTE  TENU]]="evo psl"),IF(OR(Tableau2[[#This Row],[POSTE  TENU]]&lt;&gt;"EVO PSL",Tableau2[[#This Row],[POSTE  TENU]]="evo"),(2.5/24), IF(Tableau2[[#This Row],[POSTE  TENU]]&gt;(2.5/24),2.5/24,TEXT((2.5/24)-#REF!,"[h]:mm"))),IF(OR(Tableau2[[#This Row],[POSTE  TENU]]&lt;&gt;"EVO PSL",Tableau2[[#This Row],[POSTE  TENU]]="evo"),(2.5/24), IF(Tableau2[[#This Row],[POSTE  TENU]]&gt;(2.5/24),2.5/24,TEXT((2.5/24)-#REF!,"[h]:mm")))),"")</f>
        <v/>
      </c>
      <c r="AL11" s="71"/>
      <c r="AO11"/>
    </row>
    <row r="12" spans="2:41" x14ac:dyDescent="0.25">
      <c r="AN12" s="71"/>
      <c r="AO12"/>
    </row>
    <row r="13" spans="2:41" x14ac:dyDescent="0.25">
      <c r="AN13" s="71"/>
      <c r="AO13"/>
    </row>
    <row r="14" spans="2:41" x14ac:dyDescent="0.25">
      <c r="AN14" s="71"/>
      <c r="AO14"/>
    </row>
    <row r="15" spans="2:41" ht="15.75" customHeight="1" x14ac:dyDescent="0.25">
      <c r="AN15" s="71"/>
      <c r="AO15"/>
    </row>
    <row r="16" spans="2:41" x14ac:dyDescent="0.25">
      <c r="AN16" s="71"/>
      <c r="AO16"/>
    </row>
    <row r="17" spans="12:41" x14ac:dyDescent="0.25">
      <c r="AN17" s="71"/>
      <c r="AO17"/>
    </row>
    <row r="18" spans="12:41" ht="18.75" customHeight="1" x14ac:dyDescent="0.25">
      <c r="AN18" s="71"/>
      <c r="AO18"/>
    </row>
    <row r="19" spans="12:41" x14ac:dyDescent="0.25">
      <c r="L19" s="140"/>
      <c r="AN19" s="71"/>
      <c r="AO19"/>
    </row>
    <row r="288" spans="23:23" x14ac:dyDescent="0.25">
      <c r="W288" s="54"/>
    </row>
    <row r="300" spans="2:41" s="54" customFormat="1" x14ac:dyDescent="0.25">
      <c r="B300"/>
      <c r="C300"/>
      <c r="D300" s="125"/>
      <c r="E300" s="81"/>
      <c r="F300" s="81"/>
      <c r="G300"/>
      <c r="H300"/>
      <c r="I300"/>
      <c r="J300"/>
      <c r="K300"/>
      <c r="L300"/>
      <c r="M300" s="161"/>
      <c r="N300" s="161"/>
      <c r="O300" s="161"/>
      <c r="P300" s="161"/>
      <c r="Q300"/>
      <c r="R300" s="161"/>
      <c r="S300" s="161"/>
      <c r="T300"/>
      <c r="U300" s="14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O300" s="71"/>
    </row>
    <row r="309" spans="43:43" x14ac:dyDescent="0.25">
      <c r="AQ309" t="s">
        <v>74</v>
      </c>
    </row>
    <row r="313" spans="43:43" x14ac:dyDescent="0.25">
      <c r="AQ313" t="s">
        <v>74</v>
      </c>
    </row>
  </sheetData>
  <phoneticPr fontId="19" type="noConversion"/>
  <dataValidations disablePrompts="1" count="1">
    <dataValidation type="list" allowBlank="1" showInputMessage="1" showErrorMessage="1" sqref="H5:H11" xr:uid="{3878614A-D0D3-4BA8-8688-94F79DB27DFF}">
      <formula1>Poste</formula1>
    </dataValidation>
  </dataValidations>
  <pageMargins left="0.7" right="0.7" top="0.75" bottom="0.75" header="0.3" footer="0.3"/>
  <pageSetup paperSize="9" scale="29" orientation="portrait" horizontalDpi="4294967293" verticalDpi="4294967293" r:id="rId1"/>
  <headerFooter>
    <oddFooter>&amp;L&amp;1#&amp;"Calibri"&amp;10&amp;K008000Interne SNCF Réseau</oddFooter>
  </headerFooter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65C10-927C-45DF-8BBD-272A5B7D165A}">
  <sheetPr codeName="Feuil1"/>
  <dimension ref="B1:E17"/>
  <sheetViews>
    <sheetView topLeftCell="A4" zoomScaleNormal="100" workbookViewId="0">
      <selection activeCell="F14" sqref="F14"/>
    </sheetView>
  </sheetViews>
  <sheetFormatPr baseColWidth="10" defaultRowHeight="21" x14ac:dyDescent="0.35"/>
  <cols>
    <col min="1" max="1" width="4.7109375" style="25" customWidth="1"/>
    <col min="2" max="2" width="15.28515625" style="25" bestFit="1" customWidth="1"/>
    <col min="3" max="3" width="9" style="25" customWidth="1"/>
    <col min="4" max="5" width="13.140625" style="25" bestFit="1" customWidth="1"/>
    <col min="6" max="16384" width="11.42578125" style="25"/>
  </cols>
  <sheetData>
    <row r="1" spans="2:5" ht="10.5" customHeight="1" x14ac:dyDescent="0.35"/>
    <row r="2" spans="2:5" x14ac:dyDescent="0.35">
      <c r="B2" s="32" t="s">
        <v>48</v>
      </c>
      <c r="C2" s="52" t="s">
        <v>49</v>
      </c>
      <c r="D2" s="33"/>
      <c r="E2" s="33"/>
    </row>
    <row r="3" spans="2:5" x14ac:dyDescent="0.35">
      <c r="B3" s="32" t="s">
        <v>20</v>
      </c>
      <c r="C3" s="52" t="s">
        <v>21</v>
      </c>
      <c r="D3" s="33"/>
      <c r="E3" s="33"/>
    </row>
    <row r="4" spans="2:5" x14ac:dyDescent="0.35">
      <c r="B4" s="32" t="s">
        <v>50</v>
      </c>
      <c r="C4" s="52">
        <v>2022</v>
      </c>
      <c r="D4" s="33"/>
      <c r="E4" s="33"/>
    </row>
    <row r="5" spans="2:5" x14ac:dyDescent="0.35">
      <c r="B5" s="32" t="s">
        <v>51</v>
      </c>
      <c r="C5" s="52">
        <v>9</v>
      </c>
      <c r="D5" s="33"/>
      <c r="E5" s="33"/>
    </row>
    <row r="6" spans="2:5" ht="10.5" customHeight="1" x14ac:dyDescent="0.35">
      <c r="B6" s="33"/>
      <c r="C6" s="33"/>
      <c r="D6" s="33"/>
      <c r="E6" s="33"/>
    </row>
    <row r="7" spans="2:5" ht="37.5" x14ac:dyDescent="0.35">
      <c r="B7" s="33"/>
      <c r="C7" s="31" t="str">
        <f>"Total " &amp;  $C$4</f>
        <v>Total 2022</v>
      </c>
      <c r="D7" s="31" t="str">
        <f>"Solde " &amp;$C$4</f>
        <v>Solde 2022</v>
      </c>
      <c r="E7" s="48" t="str">
        <f>IF($C$5="","","Total "&amp;TEXT(1&amp;"/ "&amp;$C$5,"mmmm"))</f>
        <v>Total septembre</v>
      </c>
    </row>
    <row r="8" spans="2:5" x14ac:dyDescent="0.35">
      <c r="B8" s="47" t="s">
        <v>46</v>
      </c>
      <c r="C8" s="34">
        <f>COUNTIFS(Tableau2[Nom],individuel!$C$2,Tableau2[POSTE  TENU],individuel!B8,Tableau2[ANNEE],individuel!$C$4,Tableau2[Mois],individuel!$C$5)</f>
        <v>0</v>
      </c>
      <c r="D8" s="34">
        <f>SUMIFS(TableauCONGES[C],TableauCONGES[[nom ]],individuel!$C$2,TableauCONGES[année],individuel!$C$4)-$C$8</f>
        <v>28</v>
      </c>
      <c r="E8" s="34">
        <f>COUNTIFS(Tableau2[Nom],individuel!C2,Tableau2[POSTE  TENU],individuel!B8,Tableau2[ANNEE],individuel!C4,Tableau2[Mois],individuel!C5)</f>
        <v>0</v>
      </c>
    </row>
    <row r="9" spans="2:5" ht="21.75" thickBot="1" x14ac:dyDescent="0.4">
      <c r="B9" s="47" t="s">
        <v>47</v>
      </c>
      <c r="C9" s="34">
        <f>COUNTIFS(Tableau2[Nom],individuel!$C$2,Tableau2[POSTE  TENU],individuel!B9,Tableau2[ANNEE],individuel!$C$4,Tableau2[Mois],individuel!$C$5)</f>
        <v>0</v>
      </c>
      <c r="D9" s="34">
        <f>SUMIFS(TableauCONGES[RU],TableauCONGES[[nom ]],individuel!$C$2,TableauCONGES[année],individuel!$C$4)-$C$9</f>
        <v>8</v>
      </c>
      <c r="E9" s="34">
        <f>COUNTIFS(Tableau2[Nom],individuel!C4,Tableau2[POSTE  TENU],individuel!B9,Tableau2[ANNEE],individuel!C5,Tableau2[Mois],individuel!C6)</f>
        <v>0</v>
      </c>
    </row>
    <row r="10" spans="2:5" x14ac:dyDescent="0.35">
      <c r="B10" s="47" t="s">
        <v>62</v>
      </c>
      <c r="C10" s="34">
        <f>COUNTIFS(Tableau2[Nom],individuel!$C$2,Tableau2[POSTE  TENU],individuel!B10,Tableau2[ANNEE],individuel!$C$4,Tableau2[Mois],individuel!$C$5)</f>
        <v>0</v>
      </c>
      <c r="D10" s="49"/>
      <c r="E10" s="34">
        <f>COUNTIFS(Tableau2[Nom],individuel!C5,Tableau2[POSTE  TENU],individuel!B10,Tableau2[ANNEE],individuel!C6,Tableau2[Mois],individuel!C7)</f>
        <v>0</v>
      </c>
    </row>
    <row r="11" spans="2:5" ht="10.5" customHeight="1" x14ac:dyDescent="0.35">
      <c r="B11" s="33"/>
      <c r="C11" s="35"/>
      <c r="D11" s="35"/>
      <c r="E11" s="35"/>
    </row>
    <row r="12" spans="2:5" ht="37.5" x14ac:dyDescent="0.35">
      <c r="B12" s="33"/>
      <c r="C12" s="31" t="str">
        <f>"Total " &amp;  $C$4</f>
        <v>Total 2022</v>
      </c>
      <c r="D12" s="48" t="str">
        <f>IF($C$5="","","Total "&amp;TEXT(1&amp;"/ "&amp;$C$5,"mmmm"))</f>
        <v>Total septembre</v>
      </c>
      <c r="E12" s="33"/>
    </row>
    <row r="13" spans="2:5" x14ac:dyDescent="0.35">
      <c r="B13" s="32" t="s">
        <v>70</v>
      </c>
      <c r="C13" s="36" t="e">
        <f>SUMIFS(#REF!,Tableau2[Poste],individuel!C3,Tableau2[ANNEE],individuel!C4)</f>
        <v>#REF!</v>
      </c>
      <c r="D13" s="51" t="e">
        <f>SUMIFS(#REF!,Tableau2[Poste],individuel!C3,Tableau2[ANNEE],individuel!C4,Tableau2[Mois],individuel!C5)</f>
        <v>#REF!</v>
      </c>
      <c r="E13" s="50"/>
    </row>
    <row r="14" spans="2:5" x14ac:dyDescent="0.35">
      <c r="B14" s="32" t="s">
        <v>52</v>
      </c>
      <c r="C14" s="36" t="e">
        <f>SUMIFS(#REF!,Tableau2[Poste],individuel!C4,Tableau2[ANNEE],individuel!C5)</f>
        <v>#REF!</v>
      </c>
      <c r="D14" s="51"/>
      <c r="E14" s="50"/>
    </row>
    <row r="15" spans="2:5" x14ac:dyDescent="0.35">
      <c r="B15" s="32" t="s">
        <v>53</v>
      </c>
      <c r="C15" s="37"/>
      <c r="D15" s="51"/>
      <c r="E15" s="50"/>
    </row>
    <row r="16" spans="2:5" ht="9" customHeight="1" x14ac:dyDescent="0.35">
      <c r="B16" s="33"/>
      <c r="C16" s="33"/>
      <c r="D16" s="33"/>
      <c r="E16" s="33"/>
    </row>
    <row r="17" spans="2:5" x14ac:dyDescent="0.35">
      <c r="B17" s="32" t="s">
        <v>54</v>
      </c>
      <c r="C17" s="38"/>
      <c r="D17" s="53"/>
      <c r="E17" s="33"/>
    </row>
  </sheetData>
  <dataValidations count="2">
    <dataValidation type="list" allowBlank="1" showInputMessage="1" showErrorMessage="1" sqref="C3" xr:uid="{24482F8A-544D-4BD4-947E-7AF17486D876}">
      <formula1>Poste</formula1>
    </dataValidation>
    <dataValidation type="list" allowBlank="1" showInputMessage="1" showErrorMessage="1" sqref="C5" xr:uid="{CC7C3EAC-BCFC-4B4D-8E78-63C59EAE898F}">
      <formula1>MOIS</formula1>
    </dataValidation>
  </dataValidations>
  <pageMargins left="0.7" right="0.7" top="0.75" bottom="0.75" header="0.3" footer="0.3"/>
  <pageSetup paperSize="9" scale="35" orientation="portrait" horizontalDpi="4294967293" verticalDpi="4294967293" r:id="rId1"/>
  <headerFooter>
    <oddFooter>&amp;L&amp;1#&amp;"Calibri"&amp;10&amp;K008000Interne SNCF Réseau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19BCF5-503B-4243-9AD0-06AC40355CA5}">
  <sheetPr codeName="Feuil5"/>
  <dimension ref="B2:E3"/>
  <sheetViews>
    <sheetView workbookViewId="0">
      <selection activeCell="D3" sqref="D3"/>
    </sheetView>
  </sheetViews>
  <sheetFormatPr baseColWidth="10" defaultRowHeight="15.75" x14ac:dyDescent="0.25"/>
  <cols>
    <col min="1" max="16384" width="11.42578125" style="21"/>
  </cols>
  <sheetData>
    <row r="2" spans="2:5" x14ac:dyDescent="0.25">
      <c r="B2" s="21" t="s">
        <v>55</v>
      </c>
      <c r="C2" s="21" t="s">
        <v>50</v>
      </c>
      <c r="D2" s="21" t="s">
        <v>47</v>
      </c>
      <c r="E2" s="21" t="s">
        <v>46</v>
      </c>
    </row>
    <row r="3" spans="2:5" x14ac:dyDescent="0.25">
      <c r="B3" s="21" t="s">
        <v>56</v>
      </c>
      <c r="C3" s="21">
        <v>2022</v>
      </c>
      <c r="D3" s="21">
        <v>8</v>
      </c>
      <c r="E3" s="21">
        <v>28</v>
      </c>
    </row>
  </sheetData>
  <pageMargins left="0.7" right="0.7" top="0.75" bottom="0.75" header="0.3" footer="0.3"/>
  <pageSetup paperSize="9" orientation="portrait" horizontalDpi="4294967293" verticalDpi="4294967293" r:id="rId1"/>
  <headerFooter>
    <oddFooter>&amp;L&amp;1#&amp;"Calibri"&amp;10&amp;K008000Interne SNCF Réseau</oddFooter>
  </headerFooter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37753D-A087-4822-B906-363FEAC13C46}">
  <sheetPr codeName="Feuil2"/>
  <dimension ref="A1:P63"/>
  <sheetViews>
    <sheetView workbookViewId="0">
      <selection activeCell="O11" sqref="O11:P11"/>
    </sheetView>
  </sheetViews>
  <sheetFormatPr baseColWidth="10" defaultRowHeight="15" x14ac:dyDescent="0.25"/>
  <cols>
    <col min="2" max="2" width="1.28515625" customWidth="1"/>
    <col min="3" max="3" width="13.85546875" bestFit="1" customWidth="1"/>
    <col min="4" max="4" width="14.140625" bestFit="1" customWidth="1"/>
  </cols>
  <sheetData>
    <row r="1" spans="1:16" ht="15.75" x14ac:dyDescent="0.25">
      <c r="A1" s="9">
        <v>2022</v>
      </c>
    </row>
    <row r="2" spans="1:16" ht="15.75" x14ac:dyDescent="0.25">
      <c r="H2" s="55" t="s">
        <v>71</v>
      </c>
      <c r="L2" s="84" t="s">
        <v>81</v>
      </c>
      <c r="O2" s="143" t="s">
        <v>23</v>
      </c>
      <c r="P2" s="143"/>
    </row>
    <row r="3" spans="1:16" ht="15.75" x14ac:dyDescent="0.25">
      <c r="A3" s="9" t="s">
        <v>17</v>
      </c>
      <c r="B3" s="12"/>
      <c r="C3" s="10" t="s">
        <v>18</v>
      </c>
      <c r="D3" s="11" t="s">
        <v>19</v>
      </c>
      <c r="E3" s="12"/>
      <c r="F3" s="13" t="s">
        <v>20</v>
      </c>
      <c r="G3" t="s">
        <v>67</v>
      </c>
      <c r="H3" s="56">
        <v>1</v>
      </c>
      <c r="I3" s="21"/>
      <c r="J3" s="22" t="s">
        <v>45</v>
      </c>
      <c r="L3" s="82" t="s">
        <v>66</v>
      </c>
      <c r="M3" s="83" t="s">
        <v>69</v>
      </c>
      <c r="O3" s="15">
        <v>0.27083333333333331</v>
      </c>
      <c r="P3" s="15">
        <v>0.89583333333333337</v>
      </c>
    </row>
    <row r="4" spans="1:16" ht="15.75" x14ac:dyDescent="0.25">
      <c r="A4" s="8">
        <v>2022</v>
      </c>
      <c r="C4" s="4" t="s">
        <v>5</v>
      </c>
      <c r="D4" s="5">
        <f>DATE(A1,1,1)</f>
        <v>44562</v>
      </c>
      <c r="F4" s="14" t="s">
        <v>82</v>
      </c>
      <c r="G4" t="s">
        <v>68</v>
      </c>
      <c r="H4" s="57">
        <v>2</v>
      </c>
      <c r="I4" s="21"/>
      <c r="J4" s="23" t="s">
        <v>33</v>
      </c>
      <c r="L4" s="82" t="s">
        <v>79</v>
      </c>
      <c r="M4" s="83" t="s">
        <v>69</v>
      </c>
      <c r="O4" s="143" t="s">
        <v>24</v>
      </c>
      <c r="P4" s="143"/>
    </row>
    <row r="5" spans="1:16" ht="15.75" x14ac:dyDescent="0.25">
      <c r="A5" s="8">
        <v>2023</v>
      </c>
      <c r="C5" s="4" t="s">
        <v>6</v>
      </c>
      <c r="D5" s="5">
        <f>ROUND(DATE(A1,4,MOD(234-11*MOD(A1,19),30))/7,0)*7-6</f>
        <v>44668</v>
      </c>
      <c r="F5" s="45" t="s">
        <v>39</v>
      </c>
      <c r="G5" s="54" t="s">
        <v>68</v>
      </c>
      <c r="H5" s="58">
        <v>3</v>
      </c>
      <c r="I5" s="21"/>
      <c r="J5" s="23" t="s">
        <v>32</v>
      </c>
      <c r="L5" s="82" t="s">
        <v>80</v>
      </c>
      <c r="M5" s="83" t="s">
        <v>69</v>
      </c>
      <c r="O5" s="16">
        <v>0.89583333333333337</v>
      </c>
      <c r="P5" s="63">
        <v>0.25</v>
      </c>
    </row>
    <row r="6" spans="1:16" ht="15.75" x14ac:dyDescent="0.25">
      <c r="A6" s="8">
        <v>2024</v>
      </c>
      <c r="C6" s="4" t="s">
        <v>7</v>
      </c>
      <c r="D6" s="5">
        <f>D5+1</f>
        <v>44669</v>
      </c>
      <c r="F6" s="82" t="s">
        <v>66</v>
      </c>
      <c r="G6" t="s">
        <v>68</v>
      </c>
      <c r="H6" s="59">
        <v>4</v>
      </c>
      <c r="I6" s="21"/>
      <c r="J6" s="23" t="s">
        <v>31</v>
      </c>
      <c r="O6" s="144" t="s">
        <v>39</v>
      </c>
      <c r="P6" s="144"/>
    </row>
    <row r="7" spans="1:16" ht="15.75" x14ac:dyDescent="0.25">
      <c r="A7" s="8">
        <v>2025</v>
      </c>
      <c r="C7" s="4" t="s">
        <v>8</v>
      </c>
      <c r="D7" s="5">
        <f>DATE(A1,5,1)</f>
        <v>44682</v>
      </c>
      <c r="F7" s="23" t="s">
        <v>46</v>
      </c>
      <c r="G7" t="s">
        <v>68</v>
      </c>
      <c r="H7" s="57">
        <v>5</v>
      </c>
      <c r="I7" s="21"/>
      <c r="J7" s="24"/>
      <c r="O7" s="145">
        <v>0.33333333333333331</v>
      </c>
      <c r="P7" s="145"/>
    </row>
    <row r="8" spans="1:16" ht="15.75" x14ac:dyDescent="0.25">
      <c r="A8" s="8">
        <v>2026</v>
      </c>
      <c r="C8" s="4" t="s">
        <v>9</v>
      </c>
      <c r="D8" s="5">
        <f>DATE(A1,5,8)</f>
        <v>44689</v>
      </c>
      <c r="F8" s="14" t="s">
        <v>21</v>
      </c>
      <c r="G8" t="s">
        <v>68</v>
      </c>
      <c r="H8" s="57">
        <v>6</v>
      </c>
      <c r="I8" s="21"/>
      <c r="J8" s="24"/>
      <c r="O8" s="146" t="s">
        <v>28</v>
      </c>
      <c r="P8" s="146"/>
    </row>
    <row r="9" spans="1:16" ht="15.75" x14ac:dyDescent="0.25">
      <c r="A9" s="8">
        <v>2027</v>
      </c>
      <c r="C9" s="4" t="s">
        <v>10</v>
      </c>
      <c r="D9" s="5">
        <f>D5+39</f>
        <v>44707</v>
      </c>
      <c r="F9" s="14" t="s">
        <v>32</v>
      </c>
      <c r="G9" t="s">
        <v>68</v>
      </c>
      <c r="H9" s="57">
        <v>7</v>
      </c>
      <c r="I9" s="21"/>
      <c r="J9" s="24"/>
      <c r="O9" s="145">
        <v>0.41666666666666669</v>
      </c>
      <c r="P9" s="145"/>
    </row>
    <row r="10" spans="1:16" ht="15.75" x14ac:dyDescent="0.25">
      <c r="A10" s="8">
        <v>2028</v>
      </c>
      <c r="C10" s="4" t="s">
        <v>11</v>
      </c>
      <c r="D10" s="5">
        <f>D5+50</f>
        <v>44718</v>
      </c>
      <c r="F10" s="14" t="s">
        <v>64</v>
      </c>
      <c r="G10" t="s">
        <v>68</v>
      </c>
      <c r="H10" s="57">
        <v>8</v>
      </c>
      <c r="I10" s="21"/>
      <c r="J10" s="24"/>
      <c r="O10" s="147" t="s">
        <v>22</v>
      </c>
      <c r="P10" s="147"/>
    </row>
    <row r="11" spans="1:16" x14ac:dyDescent="0.25">
      <c r="A11" s="8">
        <v>2029</v>
      </c>
      <c r="C11" s="4" t="s">
        <v>12</v>
      </c>
      <c r="D11" s="5">
        <f>DATE(A1,7,14)</f>
        <v>44756</v>
      </c>
      <c r="F11" s="14" t="s">
        <v>4</v>
      </c>
      <c r="G11" t="s">
        <v>68</v>
      </c>
      <c r="H11" s="57">
        <v>9</v>
      </c>
      <c r="O11" s="142">
        <v>2.0833333333333332E-2</v>
      </c>
      <c r="P11" s="142"/>
    </row>
    <row r="12" spans="1:16" x14ac:dyDescent="0.25">
      <c r="A12" s="8">
        <v>2030</v>
      </c>
      <c r="C12" s="4" t="s">
        <v>13</v>
      </c>
      <c r="D12" s="5">
        <f>DATE(A1,8,15)</f>
        <v>44788</v>
      </c>
      <c r="F12" s="14" t="s">
        <v>31</v>
      </c>
      <c r="G12" t="s">
        <v>69</v>
      </c>
      <c r="H12" s="57">
        <v>10</v>
      </c>
    </row>
    <row r="13" spans="1:16" x14ac:dyDescent="0.25">
      <c r="A13" s="8">
        <v>2031</v>
      </c>
      <c r="C13" s="4" t="s">
        <v>14</v>
      </c>
      <c r="D13" s="5">
        <f>DATE(A1,11,1)</f>
        <v>44866</v>
      </c>
      <c r="F13" s="14" t="s">
        <v>62</v>
      </c>
      <c r="G13" t="s">
        <v>69</v>
      </c>
      <c r="H13" s="57">
        <v>11</v>
      </c>
    </row>
    <row r="14" spans="1:16" x14ac:dyDescent="0.25">
      <c r="A14" s="8">
        <v>2032</v>
      </c>
      <c r="C14" s="4" t="s">
        <v>15</v>
      </c>
      <c r="D14" s="5">
        <f>DATE(A1,11,11)</f>
        <v>44876</v>
      </c>
      <c r="F14" s="82" t="s">
        <v>79</v>
      </c>
      <c r="G14" t="s">
        <v>69</v>
      </c>
      <c r="H14" s="57">
        <v>12</v>
      </c>
    </row>
    <row r="15" spans="1:16" x14ac:dyDescent="0.25">
      <c r="A15" s="8">
        <v>2033</v>
      </c>
      <c r="C15" s="6" t="s">
        <v>16</v>
      </c>
      <c r="D15" s="7">
        <f>DATE(A1,12,25)</f>
        <v>44920</v>
      </c>
      <c r="F15" s="23" t="s">
        <v>78</v>
      </c>
      <c r="G15" t="s">
        <v>68</v>
      </c>
    </row>
    <row r="16" spans="1:16" x14ac:dyDescent="0.25">
      <c r="A16" s="1"/>
      <c r="C16" s="2"/>
      <c r="D16" s="3"/>
      <c r="F16" s="14" t="s">
        <v>77</v>
      </c>
      <c r="G16" s="54" t="s">
        <v>68</v>
      </c>
    </row>
    <row r="17" spans="3:7" x14ac:dyDescent="0.25">
      <c r="C17" s="2"/>
      <c r="D17" s="3"/>
      <c r="F17" s="82" t="s">
        <v>80</v>
      </c>
      <c r="G17" t="s">
        <v>68</v>
      </c>
    </row>
    <row r="18" spans="3:7" x14ac:dyDescent="0.25">
      <c r="C18" s="2"/>
      <c r="D18" s="3"/>
      <c r="F18" s="14" t="s">
        <v>3</v>
      </c>
      <c r="G18" t="s">
        <v>68</v>
      </c>
    </row>
    <row r="19" spans="3:7" x14ac:dyDescent="0.25">
      <c r="C19" s="2"/>
      <c r="D19" s="3"/>
      <c r="F19" s="14" t="s">
        <v>47</v>
      </c>
      <c r="G19" s="54" t="s">
        <v>69</v>
      </c>
    </row>
    <row r="20" spans="3:7" x14ac:dyDescent="0.25">
      <c r="C20" s="2"/>
      <c r="D20" s="3"/>
    </row>
    <row r="21" spans="3:7" x14ac:dyDescent="0.25">
      <c r="C21" s="2"/>
      <c r="D21" s="3"/>
    </row>
    <row r="22" spans="3:7" x14ac:dyDescent="0.25">
      <c r="C22" s="2"/>
      <c r="D22" s="3"/>
    </row>
    <row r="23" spans="3:7" x14ac:dyDescent="0.25">
      <c r="C23" s="2"/>
      <c r="D23" s="3"/>
    </row>
    <row r="24" spans="3:7" x14ac:dyDescent="0.25">
      <c r="C24" s="2"/>
      <c r="D24" s="3"/>
    </row>
    <row r="25" spans="3:7" x14ac:dyDescent="0.25">
      <c r="C25" s="2"/>
      <c r="D25" s="3"/>
    </row>
    <row r="26" spans="3:7" x14ac:dyDescent="0.25">
      <c r="C26" s="2"/>
      <c r="D26" s="3"/>
    </row>
    <row r="27" spans="3:7" x14ac:dyDescent="0.25">
      <c r="C27" s="2"/>
      <c r="D27" s="3"/>
    </row>
    <row r="28" spans="3:7" x14ac:dyDescent="0.25">
      <c r="C28" s="2"/>
      <c r="D28" s="3"/>
    </row>
    <row r="29" spans="3:7" x14ac:dyDescent="0.25">
      <c r="C29" s="2"/>
      <c r="D29" s="3"/>
    </row>
    <row r="30" spans="3:7" x14ac:dyDescent="0.25">
      <c r="C30" s="2"/>
      <c r="D30" s="3"/>
    </row>
    <row r="31" spans="3:7" x14ac:dyDescent="0.25">
      <c r="C31" s="2"/>
      <c r="D31" s="3"/>
    </row>
    <row r="32" spans="3:7" x14ac:dyDescent="0.25">
      <c r="C32" s="2"/>
      <c r="D32" s="3"/>
    </row>
    <row r="33" spans="3:4" x14ac:dyDescent="0.25">
      <c r="C33" s="2"/>
      <c r="D33" s="3"/>
    </row>
    <row r="34" spans="3:4" x14ac:dyDescent="0.25">
      <c r="C34" s="2"/>
      <c r="D34" s="3"/>
    </row>
    <row r="35" spans="3:4" x14ac:dyDescent="0.25">
      <c r="C35" s="2"/>
      <c r="D35" s="3"/>
    </row>
    <row r="36" spans="3:4" x14ac:dyDescent="0.25">
      <c r="C36" s="2"/>
      <c r="D36" s="3"/>
    </row>
    <row r="37" spans="3:4" x14ac:dyDescent="0.25">
      <c r="C37" s="2"/>
      <c r="D37" s="3"/>
    </row>
    <row r="38" spans="3:4" x14ac:dyDescent="0.25">
      <c r="C38" s="2"/>
      <c r="D38" s="3"/>
    </row>
    <row r="39" spans="3:4" x14ac:dyDescent="0.25">
      <c r="C39" s="2"/>
      <c r="D39" s="3"/>
    </row>
    <row r="40" spans="3:4" x14ac:dyDescent="0.25">
      <c r="C40" s="2"/>
      <c r="D40" s="3"/>
    </row>
    <row r="41" spans="3:4" x14ac:dyDescent="0.25">
      <c r="C41" s="2"/>
      <c r="D41" s="3"/>
    </row>
    <row r="42" spans="3:4" x14ac:dyDescent="0.25">
      <c r="C42" s="2"/>
      <c r="D42" s="3"/>
    </row>
    <row r="43" spans="3:4" x14ac:dyDescent="0.25">
      <c r="C43" s="2"/>
      <c r="D43" s="3"/>
    </row>
    <row r="44" spans="3:4" x14ac:dyDescent="0.25">
      <c r="C44" s="2"/>
      <c r="D44" s="3"/>
    </row>
    <row r="45" spans="3:4" x14ac:dyDescent="0.25">
      <c r="C45" s="2"/>
      <c r="D45" s="3"/>
    </row>
    <row r="46" spans="3:4" x14ac:dyDescent="0.25">
      <c r="C46" s="2"/>
      <c r="D46" s="3"/>
    </row>
    <row r="47" spans="3:4" x14ac:dyDescent="0.25">
      <c r="C47" s="2"/>
      <c r="D47" s="3"/>
    </row>
    <row r="48" spans="3:4" x14ac:dyDescent="0.25">
      <c r="C48" s="2"/>
      <c r="D48" s="3"/>
    </row>
    <row r="49" spans="3:4" x14ac:dyDescent="0.25">
      <c r="C49" s="2"/>
      <c r="D49" s="3"/>
    </row>
    <row r="50" spans="3:4" x14ac:dyDescent="0.25">
      <c r="C50" s="2"/>
      <c r="D50" s="3"/>
    </row>
    <row r="51" spans="3:4" x14ac:dyDescent="0.25">
      <c r="C51" s="2"/>
      <c r="D51" s="3"/>
    </row>
    <row r="52" spans="3:4" x14ac:dyDescent="0.25">
      <c r="C52" s="2"/>
      <c r="D52" s="3"/>
    </row>
    <row r="53" spans="3:4" x14ac:dyDescent="0.25">
      <c r="C53" s="2"/>
      <c r="D53" s="3"/>
    </row>
    <row r="54" spans="3:4" x14ac:dyDescent="0.25">
      <c r="C54" s="2"/>
      <c r="D54" s="3"/>
    </row>
    <row r="55" spans="3:4" x14ac:dyDescent="0.25">
      <c r="C55" s="2"/>
      <c r="D55" s="3"/>
    </row>
    <row r="56" spans="3:4" x14ac:dyDescent="0.25">
      <c r="C56" s="2"/>
      <c r="D56" s="3"/>
    </row>
    <row r="57" spans="3:4" x14ac:dyDescent="0.25">
      <c r="C57" s="2"/>
      <c r="D57" s="3"/>
    </row>
    <row r="58" spans="3:4" x14ac:dyDescent="0.25">
      <c r="C58" s="2"/>
      <c r="D58" s="3"/>
    </row>
    <row r="59" spans="3:4" x14ac:dyDescent="0.25">
      <c r="C59" s="2"/>
      <c r="D59" s="3"/>
    </row>
    <row r="60" spans="3:4" x14ac:dyDescent="0.25">
      <c r="C60" s="2"/>
      <c r="D60" s="3"/>
    </row>
    <row r="61" spans="3:4" x14ac:dyDescent="0.25">
      <c r="C61" s="2"/>
      <c r="D61" s="3"/>
    </row>
    <row r="62" spans="3:4" x14ac:dyDescent="0.25">
      <c r="C62" s="2"/>
      <c r="D62" s="3"/>
    </row>
    <row r="63" spans="3:4" x14ac:dyDescent="0.25">
      <c r="C63" s="2"/>
      <c r="D63" s="3"/>
    </row>
  </sheetData>
  <autoFilter ref="F4:F10" xr:uid="{1F37753D-A087-4822-B906-363FEAC13C46}">
    <sortState xmlns:xlrd2="http://schemas.microsoft.com/office/spreadsheetml/2017/richdata2" ref="F5:F19">
      <sortCondition ref="F4:F10"/>
    </sortState>
  </autoFilter>
  <mergeCells count="8">
    <mergeCell ref="O11:P11"/>
    <mergeCell ref="O2:P2"/>
    <mergeCell ref="O4:P4"/>
    <mergeCell ref="O6:P6"/>
    <mergeCell ref="O7:P7"/>
    <mergeCell ref="O8:P8"/>
    <mergeCell ref="O9:P9"/>
    <mergeCell ref="O10:P10"/>
  </mergeCells>
  <dataValidations count="1">
    <dataValidation type="list" allowBlank="1" showInputMessage="1" showErrorMessage="1" sqref="A1" xr:uid="{AEDA7B04-EC52-46A1-9B43-49C0173F5654}">
      <formula1>$A$4:$A$8</formula1>
    </dataValidation>
  </dataValidations>
  <pageMargins left="0.7" right="0.7" top="0.75" bottom="0.75" header="0.3" footer="0.3"/>
  <pageSetup paperSize="9" orientation="portrait" horizontalDpi="4294967293" verticalDpi="4294967293" r:id="rId1"/>
  <headerFooter>
    <oddFooter>&amp;L&amp;1#&amp;"Calibri"&amp;10&amp;K008000Interne SNCF Réseau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Feuil3</vt:lpstr>
      <vt:lpstr>Feuil1</vt:lpstr>
      <vt:lpstr>TCD</vt:lpstr>
      <vt:lpstr>BD</vt:lpstr>
      <vt:lpstr>individuel</vt:lpstr>
      <vt:lpstr>Absence</vt:lpstr>
      <vt:lpstr>Données</vt:lpstr>
      <vt:lpstr>BD</vt:lpstr>
      <vt:lpstr>feriés</vt:lpstr>
      <vt:lpstr>MOIS</vt:lpstr>
      <vt:lpstr>Poste</vt:lpstr>
      <vt:lpstr>individuel!Zone_d_impression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6810558F</dc:creator>
  <cp:lastModifiedBy>6810558F</cp:lastModifiedBy>
  <dcterms:created xsi:type="dcterms:W3CDTF">2022-09-20T22:14:35Z</dcterms:created>
  <dcterms:modified xsi:type="dcterms:W3CDTF">2022-10-18T13:54:26Z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2022-10-18T09:57:01Z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bd0a7ca5-131f-47b6-abfb-e5442027c374</vt:lpwstr>
  </property>
  <property fmtid="{D5CDD505-2E9C-101B-9397-08002B2CF9AE}" pid="8" name="MSIP_Label_67cce88e-ba6c-4072-9a4d-8f9e28d4554f_ContentBits">
    <vt:lpwstr>2</vt:lpwstr>
  </property>
</Properties>
</file>